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daniel.feliz\Desktop\Licitaciones y sorteos\LISTAS DE PARTIDAS PARA REVISION\"/>
    </mc:Choice>
  </mc:AlternateContent>
  <xr:revisionPtr revIDLastSave="0" documentId="8_{8F03187F-634D-48BB-9530-8BFEEB3104BE}" xr6:coauthVersionLast="47" xr6:coauthVersionMax="47" xr10:uidLastSave="{00000000-0000-0000-0000-000000000000}"/>
  <bookViews>
    <workbookView xWindow="-120" yWindow="-120" windowWidth="29040" windowHeight="15840" tabRatio="1000" firstSheet="8" activeTab="8" xr2:uid="{00000000-000D-0000-FFFF-FFFF00000000}"/>
  </bookViews>
  <sheets>
    <sheet name="PARTIDAS VIEJAS" sheetId="1" state="hidden" r:id="rId1"/>
    <sheet name="ACUEDUCTO" sheetId="2" state="hidden" r:id="rId2"/>
    <sheet name="quimicos" sheetId="46" state="hidden" r:id="rId3"/>
    <sheet name="LPU" sheetId="3" state="hidden" r:id="rId4"/>
    <sheet name="MOV. TIERRA ALC." sheetId="4" state="hidden" r:id="rId5"/>
    <sheet name="Especificaciones Técnicas" sheetId="5" state="hidden" r:id="rId6"/>
    <sheet name="Pre Villar Pando Limpio (2)" sheetId="48" state="hidden" r:id="rId7"/>
    <sheet name="Pre Villar Pando Limpio (3)" sheetId="49" state="hidden" r:id="rId8"/>
    <sheet name="Pre Villarpando 2022" sheetId="51" r:id="rId9"/>
    <sheet name="Volumetría" sheetId="7" state="hidden" r:id="rId10"/>
    <sheet name="BbQuantityLink" sheetId="8" state="veryHidden" r:id="rId11"/>
    <sheet name="Hoja10" sheetId="10" state="hidden" r:id="rId12"/>
    <sheet name="Hoja8" sheetId="11" state="hidden" r:id="rId13"/>
    <sheet name="ANALISIS PTAP VP" sheetId="13" state="hidden" r:id="rId14"/>
    <sheet name="Analic. Alim.VP" sheetId="14" state="hidden" r:id="rId15"/>
    <sheet name="Analic. Estruc.VP" sheetId="15" state="hidden" r:id="rId16"/>
    <sheet name="MT TUBERIAS" sheetId="16" state="hidden" r:id="rId17"/>
    <sheet name="Analisis Definitivo" sheetId="17" state="hidden" r:id="rId18"/>
    <sheet name="ANALISIS PTAP" sheetId="18" state="hidden" r:id="rId19"/>
    <sheet name="ANALISIS General" sheetId="19" state="hidden" r:id="rId20"/>
    <sheet name="Hoja4" sheetId="20" state="hidden" r:id="rId21"/>
    <sheet name="Analic. Estruc." sheetId="21" state="hidden" r:id="rId22"/>
    <sheet name="Analic. Alim." sheetId="22" state="hidden" r:id="rId23"/>
    <sheet name="CASA QUIMICO" sheetId="24" state="hidden" r:id="rId24"/>
    <sheet name="MT-A" sheetId="25" state="hidden" r:id="rId25"/>
    <sheet name="MT-H" sheetId="26" state="hidden" r:id="rId26"/>
    <sheet name="MT-C" sheetId="27" state="hidden" r:id="rId27"/>
    <sheet name="MT-G" sheetId="28" state="hidden" r:id="rId28"/>
    <sheet name="MT-F" sheetId="29" state="hidden" r:id="rId29"/>
    <sheet name="Hoja7" sheetId="30" state="hidden" r:id="rId30"/>
    <sheet name="Hoja5" sheetId="31" state="hidden" r:id="rId31"/>
    <sheet name="SDAN" sheetId="32" state="hidden" r:id="rId32"/>
    <sheet name="CASETA CLORACION" sheetId="33" state="hidden" r:id="rId33"/>
    <sheet name="Hoja6" sheetId="34" state="hidden" r:id="rId34"/>
    <sheet name="VOLUMENES Y AREAS" sheetId="35" state="hidden" r:id="rId35"/>
    <sheet name="Partes Planta" sheetId="36" state="hidden" r:id="rId36"/>
    <sheet name="Hoja3" sheetId="37" state="hidden" r:id="rId37"/>
    <sheet name="Hoja2" sheetId="38" state="hidden" r:id="rId38"/>
    <sheet name="ANALISIS DEPOSITO" sheetId="39" state="hidden" r:id="rId39"/>
    <sheet name="Hoja1" sheetId="40" state="hidden" r:id="rId40"/>
    <sheet name="Carcamo de Bombeo 30m3" sheetId="41" state="hidden" r:id="rId41"/>
    <sheet name="ANALISIS " sheetId="42" state="hidden" r:id="rId42"/>
    <sheet name="Hoja11" sheetId="43" state="hidden" r:id="rId43"/>
    <sheet name="Hoja9" sheetId="44" state="hidden" r:id="rId44"/>
    <sheet name="PARA PREGUNTAR" sheetId="4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o" localSheetId="3">[1]CUB02!$U$11:$U$17</definedName>
    <definedName name="\p" localSheetId="3">[1]CUB02!$U$1:$U$8</definedName>
    <definedName name="\q" localSheetId="3">[1]CUB02!$W$1:$W$8</definedName>
    <definedName name="\w" localSheetId="3">[1]CUB02!$W$11:$W$244</definedName>
    <definedName name="\z" localSheetId="3">[1]CUB02!$S$6</definedName>
    <definedName name="____MZ1155">[2]Mezcla!$F$37</definedName>
    <definedName name="___hor280">[3]Analisis!$D$63</definedName>
    <definedName name="___pu5">[4]Sheet5!$E:$E</definedName>
    <definedName name="__hor210">'[5]anal term'!$G$1512</definedName>
    <definedName name="__pu5">[6]Sheet5!$E:$E</definedName>
    <definedName name="__REALIZADO" localSheetId="3">[1]CUB02!$W$1:$W$8</definedName>
    <definedName name="_1_6">NA()</definedName>
    <definedName name="_c">NA()</definedName>
    <definedName name="_CAL50">[7]insumo!$D$11</definedName>
    <definedName name="_d">NA()</definedName>
    <definedName name="_Fill" localSheetId="22" hidden="1">#REF!</definedName>
    <definedName name="_Fill" localSheetId="14" hidden="1">#REF!</definedName>
    <definedName name="_Fill" localSheetId="21" hidden="1">#REF!</definedName>
    <definedName name="_Fill" localSheetId="15" hidden="1">#REF!</definedName>
    <definedName name="_Fill" localSheetId="38" hidden="1">#REF!</definedName>
    <definedName name="_Fill" localSheetId="19" hidden="1">#REF!</definedName>
    <definedName name="_Fill" localSheetId="18" hidden="1">#REF!</definedName>
    <definedName name="_Fill" localSheetId="13" hidden="1">#REF!</definedName>
    <definedName name="_Fill" localSheetId="40" hidden="1">#REF!</definedName>
    <definedName name="_Fill" localSheetId="3" hidden="1">#REF!</definedName>
    <definedName name="_Fill" localSheetId="25" hidden="1">#REF!</definedName>
    <definedName name="_Fill" localSheetId="6" hidden="1">#REF!</definedName>
    <definedName name="_Fill" localSheetId="7" hidden="1">#REF!</definedName>
    <definedName name="_Fill" localSheetId="8" hidden="1">#REF!</definedName>
    <definedName name="_Fill" localSheetId="2" hidden="1">#REF!</definedName>
    <definedName name="_Fill" localSheetId="9" hidden="1">#REF!</definedName>
    <definedName name="_Fill" hidden="1">#REF!</definedName>
    <definedName name="_xlnm._FilterDatabase" localSheetId="1" hidden="1">ACUEDUCTO!$A$12:$F$1110</definedName>
    <definedName name="_xlnm._FilterDatabase" localSheetId="6" hidden="1">'Pre Villar Pando Limpio (2)'!$A$11:$F$1003</definedName>
    <definedName name="_xlnm._FilterDatabase" localSheetId="7" hidden="1">'Pre Villar Pando Limpio (3)'!$A$11:$F$1026</definedName>
    <definedName name="_xlnm._FilterDatabase" localSheetId="8" hidden="1">'Pre Villarpando 2022'!$A$11:$H$1660</definedName>
    <definedName name="_hor210">'[5]anal term'!$G$1512</definedName>
    <definedName name="_Key1" localSheetId="6" hidden="1">#REF!</definedName>
    <definedName name="_Key1" localSheetId="7" hidden="1">#REF!</definedName>
    <definedName name="_Key1" localSheetId="8" hidden="1">#REF!</definedName>
    <definedName name="_Key1" localSheetId="2" hidden="1">#REF!</definedName>
    <definedName name="_Key1" hidden="1">#REF!</definedName>
    <definedName name="_MAAL">[8]MOJornal!$D$31</definedName>
    <definedName name="_MZ1155">[7]Mezcla!$G$37</definedName>
    <definedName name="_OP2AL">[8]MOJornal!$D$51</definedName>
    <definedName name="_Order1" hidden="1">255</definedName>
    <definedName name="_Order2" hidden="1">255</definedName>
    <definedName name="_pl12">[9]analisis!$G$2477</definedName>
    <definedName name="_pl316">[9]analisis!$G$2513</definedName>
    <definedName name="_pl38">[9]analisis!$G$2486</definedName>
    <definedName name="_pu5">[10]Sheet5!$E:$E</definedName>
    <definedName name="_Sort" localSheetId="6" hidden="1">#REF!</definedName>
    <definedName name="_Sort" localSheetId="7" hidden="1">#REF!</definedName>
    <definedName name="_Sort" localSheetId="8" hidden="1">#REF!</definedName>
    <definedName name="_Sort" localSheetId="2" hidden="1">#REF!</definedName>
    <definedName name="_Sort" hidden="1">#REF!</definedName>
    <definedName name="_TCAL">[8]MOJornal!$D$63</definedName>
    <definedName name="_VAR38">[11]Precio!$F$11</definedName>
    <definedName name="aa_3">"$#REF!.$B$109"</definedName>
    <definedName name="AAG">[11]Precio!$F$20</definedName>
    <definedName name="AC" localSheetId="3">[2]insumo!$D$4</definedName>
    <definedName name="AC">[7]insumo!$D$4</definedName>
    <definedName name="AC38G40" localSheetId="3">'[12]LISTADO INSUMOS DEL 2000'!$I$29</definedName>
    <definedName name="AC38G40">'[13]LISTADO INSUMOS DEL 2000'!$I$29</definedName>
    <definedName name="acer_malla_01">#REF!</definedName>
    <definedName name="Acero.C1.1erN.Villa">'[14]Detalle Acero'!$H$26</definedName>
    <definedName name="Acero.C2.1erN.Villa">'[14]Detalle Acero'!$L$26</definedName>
    <definedName name="Acero.platea.Villa">'[14]Detalle Acero'!$D$26</definedName>
    <definedName name="Acero.Viga.Platea.Villa">'[14]Detalle Acero'!$F$26</definedName>
    <definedName name="Acero_1_2_____Grado_40">[15]Insumos!$B$6:$D$6</definedName>
    <definedName name="Acero_1_4______Grado_40">[15]Insumos!$B$7:$D$7</definedName>
    <definedName name="Acero_3_4__1_____Grado_40">[15]Insumos!$B$8:$D$8</definedName>
    <definedName name="Acero_3_8______Grado_40">[15]Insumos!$B$9:$D$9</definedName>
    <definedName name="Acero_Grado_60">'[16]LISTA DE PRECIO'!$C$6</definedName>
    <definedName name="Acero_MO_Alambre" localSheetId="9">'[17]ANALISIS PLANTA'!$F$273</definedName>
    <definedName name="Acero_MO_Alambre">#REF!</definedName>
    <definedName name="acero_obra">#REF!</definedName>
    <definedName name="Acero_QQ" localSheetId="3">[18]INSU!$D$9</definedName>
    <definedName name="ADICIONAL_6">NA()</definedName>
    <definedName name="AG">[11]Precio!$F$21</definedName>
    <definedName name="agua" localSheetId="9">'[17]ANALISIS PLANTA'!$E$13</definedName>
    <definedName name="agua">#REF!</definedName>
    <definedName name="Agua.Potable.1erN">[19]Análisis!$F$1816</definedName>
    <definedName name="Agua.Potable.3er.4toy5toN">[19]Análisis!$F$1956</definedName>
    <definedName name="ALAM18">[11]Precio!$F$15</definedName>
    <definedName name="Alamber_galv_No18">#REF!</definedName>
    <definedName name="Alambre_galv_No8">#REF!</definedName>
    <definedName name="Alambre_galvanizago__18">'[16]LISTA DE PRECIO'!$C$7</definedName>
    <definedName name="Alambre_No._18">[15]Insumos!$B$20:$D$20</definedName>
    <definedName name="Alambre_Varilla" localSheetId="3">[18]INSU!$D$17</definedName>
    <definedName name="ALAMBRED">[7]insumo!$D$5</definedName>
    <definedName name="ALBANIL2">'[20]M.O.'!$C$12</definedName>
    <definedName name="Alq._Madera_P_Rampa_____Incl._M_O">[15]Insumos!$B$127:$D$127</definedName>
    <definedName name="Alq._Madera_P_Viga_____Incl._M_O">[15]Insumos!$B$128:$D$128</definedName>
    <definedName name="Alq._Madera_P_Vigas_y_Columnas_Amarre____Incl._M_O">[15]Insumos!$B$129:$D$129</definedName>
    <definedName name="ALQ_416">#REF!</definedName>
    <definedName name="alq_MAQUITO">#REF!</definedName>
    <definedName name="ALQ_MART">#REF!</definedName>
    <definedName name="ALQ_RODILLO">#REF!</definedName>
    <definedName name="ana">[21]PRESUPUESTO!$C$4</definedName>
    <definedName name="Andamio.Pañete.pared.Exterior">[19]Insumos!$E$155</definedName>
    <definedName name="andamiosin">[7]Mezcla!$G$158</definedName>
    <definedName name="ANGULAR_3">"$#REF!.$B$246"</definedName>
    <definedName name="Antepecho">[19]Análisis!$D$1212</definedName>
    <definedName name="Antepecho..superior.incluye.losa">[19]Análisis!$D$658</definedName>
    <definedName name="_xlnm.Extract" localSheetId="3">[1]CUB02!$S$13:$AN$415</definedName>
    <definedName name="_xlnm.Print_Area" localSheetId="1">ACUEDUCTO!$A$1:$F$1134</definedName>
    <definedName name="_xlnm.Print_Area" localSheetId="5">'Especificaciones Técnicas'!$A$1:$G$139</definedName>
    <definedName name="_xlnm.Print_Area" localSheetId="44">'PARA PREGUNTAR'!$A$1:$E$33</definedName>
    <definedName name="_xlnm.Print_Area" localSheetId="6">'Pre Villar Pando Limpio (2)'!$A$1:$F$999</definedName>
    <definedName name="_xlnm.Print_Area" localSheetId="7">'Pre Villar Pando Limpio (3)'!$A$1:$F$1020</definedName>
    <definedName name="_xlnm.Print_Area" localSheetId="8">'Pre Villarpando 2022'!$A$1:$F$1660</definedName>
    <definedName name="AreaTotal1" localSheetId="6">'Pre Villar Pando Limpio (2)'!$C$796</definedName>
    <definedName name="AreaTotal1" localSheetId="7">'Pre Villar Pando Limpio (3)'!$C$796</definedName>
    <definedName name="AreaTotal1" localSheetId="8">'Pre Villarpando 2022'!#REF!</definedName>
    <definedName name="AreaTotal1">#REF!</definedName>
    <definedName name="arena" localSheetId="9">'[17]ANALISIS PLANTA'!$E$17</definedName>
    <definedName name="arena">#REF!</definedName>
    <definedName name="Arena.Horm.Visto">[14]Insumos!$E$16</definedName>
    <definedName name="Arena_Gruesa_Lavada">[15]Insumos!$B$16:$D$16</definedName>
    <definedName name="ARENA_LAV_CLASIF">'[22]MATERIALES LISTADO'!$D$9</definedName>
    <definedName name="arena_panete">#REF!</definedName>
    <definedName name="ARENAFINA">[7]insumo!$D$6</definedName>
    <definedName name="ARENAGRUESA">[7]insumo!$D$7</definedName>
    <definedName name="ArenaOchoa.MA">[23]Insumos!$C$14</definedName>
    <definedName name="ayudante_dia">#REF!</definedName>
    <definedName name="Baldosin30x60">[24]Insumos!$E$90</definedName>
    <definedName name="Baldosines.GraniMármol">[19]Insumos!$E$71</definedName>
    <definedName name="barra12">[9]analisis!$G$2860</definedName>
    <definedName name="Base.piso.Mármol">[19]Análisis!$D$471</definedName>
    <definedName name="BENEFICIOS">'[16]LISTA DE PRECIO'!$C$18</definedName>
    <definedName name="BLOCK0.10M">[7]insumo!$D$8</definedName>
    <definedName name="BLOCK0.15M" localSheetId="3">[2]insumo!$D$9</definedName>
    <definedName name="BLOCK0.15M">[7]insumo!$D$9</definedName>
    <definedName name="BLOCK0.20M" localSheetId="3">[2]insumo!$D$10</definedName>
    <definedName name="BLOCK0.20M">[7]insumo!$D$10</definedName>
    <definedName name="Bloque.12.SNP.Villas">[19]Análisis!$D$1112</definedName>
    <definedName name="Bloque.4.SNP.Villas">[19]Análisis!$D$915</definedName>
    <definedName name="bloque_4">#REF!</definedName>
    <definedName name="bloque_6">#REF!</definedName>
    <definedName name="bloque_8">#REF!</definedName>
    <definedName name="bloque_calado_01">#REF!</definedName>
    <definedName name="Bloques.8.SNPT">[19]Análisis!$D$306</definedName>
    <definedName name="Bloques_de_6">[15]Insumos!$B$22:$D$22</definedName>
    <definedName name="Bloques_de_8">[15]Insumos!$B$23:$D$23</definedName>
    <definedName name="Bomba.Arrastre">[19]Insumos!$E$142</definedName>
    <definedName name="BOMBILLAS_1500W" localSheetId="3">[25]INSU!$B$42</definedName>
    <definedName name="BOMBILLAS_1500W">[26]INSU!$B$42</definedName>
    <definedName name="Borrar_Esc.">[27]Escalera!$J$9:$M$9,[27]Escalera!$J$10:$R$10,[27]Escalera!$AL$14:$AM$14,[27]Escalera!$AL$16:$AM$16,[27]Escalera!$I$16:$M$16,[27]Escalera!$B$19:$AE$32,[27]Escalera!$AN$19:$AQ$32</definedName>
    <definedName name="Borrar_Muros">[27]Muros!$W$15:$Z$15,[27]Muros!$AA$15:$AD$15,[27]Muros!$AF$13,[27]Muros!$K$20:$L$20,[27]Muros!$O$26:$P$26</definedName>
    <definedName name="Borrar_Precio">'[28]Cotz.'!$F$23:$F$800,'[28]Cotz.'!$K$280:$K$800</definedName>
    <definedName name="Borrar_V.C1">[29]qqVgas!$J$9:$M$9,[29]qqVgas!$J$10:$R$10,[29]qqVgas!$AJ$11:$AK$11,[29]qqVgas!$AR$11:$AS$11,[29]qqVgas!$AG$13:$AH$13,[29]qqVgas!$AP$13:$AQ$13,[29]qqVgas!$D$16:$AC$195</definedName>
    <definedName name="BRIGADATOPOGRAFICA" localSheetId="3">'[30]M.O.'!$C$9</definedName>
    <definedName name="BRIGADATOPOGRAFICA">'[20]M.O.'!$C$9</definedName>
    <definedName name="Brillado.Marmol">[19]Insumos!$E$134</definedName>
    <definedName name="C._ADICIONAL_6">NA()</definedName>
    <definedName name="Cabañas.Ejecutivas">'[19]Cabañas Ejecutivas'!$G$109</definedName>
    <definedName name="Cabañas.Presidenciales">'[19]Cabañas Presidenciales '!$G$161</definedName>
    <definedName name="cabañas.simpleI">'[19]Cabañas simple Tipo I'!$G$106</definedName>
    <definedName name="cabañas.simpleII">'[19]Cabañas simple Tipo 2'!$G$106</definedName>
    <definedName name="cabañas.simpleIII">'[19]Cabañas simple Tipo 3'!$G$107</definedName>
    <definedName name="Cabañas.Vice.Presidenciales">'[19]Cabañas Vice Presidenciales'!$G$157</definedName>
    <definedName name="cal">#REF!</definedName>
    <definedName name="Cal.Hidratada">[19]Insumos!$E$21</definedName>
    <definedName name="CALICHEB">[7]insumo!$D$12</definedName>
    <definedName name="Calles.Acera.ycontenes">'[19]Calles, aceras y contenes'!$G$77</definedName>
    <definedName name="Cant_3">"$#REF!.$D$1:$D$65534"</definedName>
    <definedName name="CANT1_3">"$#REF!.$D$1:$D$65534"</definedName>
    <definedName name="cant5">[4]Sheet5!$C:$C</definedName>
    <definedName name="CANT6_3">"$#REF!.$C$1:$C$65534"</definedName>
    <definedName name="canta_3">"$#REF!.$H$1:$H$65534"</definedName>
    <definedName name="CANTIDADPRESUPUESTO_3">"$#REF!.$C$1:$C$65534"</definedName>
    <definedName name="Cantos">[31]Análisis!$N$957</definedName>
    <definedName name="cantp_3">"$#REF!.$J$1:$J$65534"</definedName>
    <definedName name="cantpre_3">"$#REF!.$D$1:$D$65534"</definedName>
    <definedName name="cantt_3">"$#REF!.$L$1:$L$65534"</definedName>
    <definedName name="CAR.SOC">'[32]Cargas Sociales'!$G$23</definedName>
    <definedName name="Careteo">[31]Análisis!$N$890</definedName>
    <definedName name="Caro.viga.25x50">[24]Insumos!$E$225</definedName>
    <definedName name="Carp.Col.25x25">[24]Insumos!$E$199</definedName>
    <definedName name="Carp.Col.30x30">[24]Insumos!$E$200</definedName>
    <definedName name="Carp.Col.35x35">[24]Insumos!$E$201</definedName>
    <definedName name="Carp.Col.45x45">[24]Insumos!$E$203</definedName>
    <definedName name="Carp.Col.50x50">[24]Insumos!$E$204</definedName>
    <definedName name="Carp.Col.55x55">[24]Insumos!$E$205</definedName>
    <definedName name="Carp.Col.60x60">[24]Insumos!$E$206</definedName>
    <definedName name="Carp.Col.Ø25cm">[24]Insumos!$E$208</definedName>
    <definedName name="Carp.Col.Ø30">[24]Insumos!$E$209</definedName>
    <definedName name="Carp.Col.Ø40">[24]Insumos!$E$211</definedName>
    <definedName name="Carp.Col.Ø45">[24]Insumos!$E$212</definedName>
    <definedName name="Carp.Col.Ø90">[24]Insumos!$E$217</definedName>
    <definedName name="Carp.col.tapaytapa">[24]Insumos!$E$198</definedName>
    <definedName name="carp.Col40x40">[24]Insumos!$E$202</definedName>
    <definedName name="Carp.ColØ60">[24]Insumos!$E$213</definedName>
    <definedName name="Carp.ColØ70">[24]Insumos!$E$215</definedName>
    <definedName name="Carp.ColØ80">[24]Insumos!$E$216</definedName>
    <definedName name="Carp.Dintel">[24]Insumos!$E$235</definedName>
    <definedName name="Carp.Losa.Aligeradas.atc">[19]Insumos!$E$164</definedName>
    <definedName name="Carp.losa.Horm.Visto">[19]Insumos!$E$162</definedName>
    <definedName name="Carp.Muros.atc">[19]Insumos!$E$167</definedName>
    <definedName name="Carp.Platea.Zap.atc">[19]Insumos!$E$168</definedName>
    <definedName name="Carp.Viga.20x30">[24]Insumos!$E$218</definedName>
    <definedName name="Carp.Viga.20x40">[24]Insumos!$E$219</definedName>
    <definedName name="Carp.Viga.25x35">[24]Insumos!$E$222</definedName>
    <definedName name="Carp.Viga.25x40">[24]Insumos!$E$223</definedName>
    <definedName name="CArp.Viga.25x60">[24]Insumos!$E$226</definedName>
    <definedName name="Carp.Viga.25x65">[24]Insumos!$E$227</definedName>
    <definedName name="Carp.Viga.25x70">[24]Insumos!$E$230</definedName>
    <definedName name="Carp.Viga.25x80">[24]Insumos!$E$231</definedName>
    <definedName name="Carp.Viga.30x80">[24]Insumos!$E$229</definedName>
    <definedName name="Carp.Viga.Curva.20x50">[24]Insumos!$E$232</definedName>
    <definedName name="Carp.Vigas.Curvas.30x70">[24]Insumos!$E$233</definedName>
    <definedName name="Carpintería.vigas.20x32">[19]Insumos!$E$172</definedName>
    <definedName name="Carpintería__Puntales_y_M.O.">'[16]LISTA DE PRECIO'!$C$16</definedName>
    <definedName name="Carpintería_de_Vigas_15x30">[19]Insumos!$E$170</definedName>
    <definedName name="Carpintería_de_Vigas_15x40">[19]Insumos!$E$171</definedName>
    <definedName name="Carpintería_de_Vigas_20x130">[19]Insumos!$E$177</definedName>
    <definedName name="Carpintería_de_Vigas_20x20">[19]Insumos!$E$173</definedName>
    <definedName name="Carpintería_de_Vigas_20x30">[19]Insumos!$E$175</definedName>
    <definedName name="Carpintería_de_Vigas_20x40">[19]Insumos!$E$174</definedName>
    <definedName name="Carpintería_de_Vigas_20x60">[19]Insumos!$E$176</definedName>
    <definedName name="Carpintería_de_Vigas_40x40">[19]Insumos!$E$178</definedName>
    <definedName name="Carpintería_de_Vigas_40x50">[19]Insumos!$E$179</definedName>
    <definedName name="Carpintería_de_Vigas_40x70">[19]Insumos!$E$180</definedName>
    <definedName name="caseta.planta.electrica">[19]Resumen!$D$26</definedName>
    <definedName name="CASETA_DE_PLANTA_ELECTRICA">'[19]Caseta de planta'!$H$71</definedName>
    <definedName name="CAT214BFT">[33]EQUIPOS!$I$15</definedName>
    <definedName name="Cat950B">[33]EQUIPOS!$I$14</definedName>
    <definedName name="CC">[34]Personalizar!$G$22:$G$25</definedName>
    <definedName name="cell" localSheetId="3">'[35]LISTADO INSUMOS DEL 2000'!$I$29</definedName>
    <definedName name="cell">'[36]LISTADO INSUMOS DEL 2000'!$I$29</definedName>
    <definedName name="cem">[11]Precio!$F$9</definedName>
    <definedName name="Cem.Bco.Rigas.88lb">[19]Insumos!$E$25</definedName>
    <definedName name="cemento_bco">#REF!</definedName>
    <definedName name="cemento_obra" localSheetId="9">'[17]ANALISIS PLANTA'!$E$14</definedName>
    <definedName name="cemento_obra">#REF!</definedName>
    <definedName name="CEMENTOP" localSheetId="3">[2]insumo!$D$13</definedName>
    <definedName name="CEMENTOP">[7]insumo!$D$13</definedName>
    <definedName name="Ceram.criolla.pared15x15">[19]Insumos!$E$66</definedName>
    <definedName name="Ceram.Etrusco.30x30">[19]Insumos!$E$63</definedName>
    <definedName name="Ceram.Gres.piso">[24]Insumos!$E$78</definedName>
    <definedName name="Ceram.Imperial.45x45">[19]Insumos!$E$60</definedName>
    <definedName name="Ceram.Ines.Gris30x30">[19]Insumos!$E$61</definedName>
    <definedName name="Ceram.Nevada.33x33">[19]Insumos!$E$64</definedName>
    <definedName name="Ceram.Ultra.Blanco.33x33">[19]Insumos!$E$62</definedName>
    <definedName name="Cerámica.para.Piso">[24]Insumos!$E$79</definedName>
    <definedName name="CERAMICAPAREDP" localSheetId="3">[2]insumo!$D$16</definedName>
    <definedName name="CERAMICAPAREDP">[7]insumo!$D$16</definedName>
    <definedName name="CERAMICAPAREDS" localSheetId="3">[2]insumo!$D$17</definedName>
    <definedName name="CERAMICAPAREDS">[7]insumo!$D$17</definedName>
    <definedName name="CERAMICAPISOP" localSheetId="3">[2]insumo!$D$14</definedName>
    <definedName name="CERAMICAPISOP">[7]insumo!$D$14</definedName>
    <definedName name="CERAMICAPISOS" localSheetId="3">[2]insumo!$D$15</definedName>
    <definedName name="CERAMICAPISOS">[7]insumo!$D$15</definedName>
    <definedName name="CHAZO" localSheetId="3">[25]INSU!$B$104</definedName>
    <definedName name="CHAZO">[26]INSU!$B$104</definedName>
    <definedName name="cinta.sheetrock">[37]Insumos!$L$41</definedName>
    <definedName name="CLAVO_ACERO" localSheetId="3">[18]INSU!$D$130</definedName>
    <definedName name="CLAVO_CORRIENTE" localSheetId="3">[18]INSU!$D$131</definedName>
    <definedName name="clavos.con.fulminantes">[37]Insumos!$L$36</definedName>
    <definedName name="clavos_dulce">#REF!</definedName>
    <definedName name="CLAVOSACERO">[7]insumo!$D$18</definedName>
    <definedName name="CLAVOSCORRIENTES" localSheetId="3">[2]insumo!$D$19</definedName>
    <definedName name="CLAVOSCORRIENTES">[7]insumo!$D$19</definedName>
    <definedName name="CLAVOZINC" localSheetId="3">[38]INS!$D$767</definedName>
    <definedName name="CLAVOZINC">[39]INS!$D$767</definedName>
    <definedName name="Clear">[19]Insumos!$E$70</definedName>
    <definedName name="CODIGO_6">NA()</definedName>
    <definedName name="Col.20.20.2nivel">[40]Análisis!$D$261</definedName>
    <definedName name="col.25cm.diam.">[41]Análisis!$D$324</definedName>
    <definedName name="col.50cm">[41]Análisis!$D$345</definedName>
    <definedName name="Col.C11.edif.Oficinas">[19]Análisis!$D$775</definedName>
    <definedName name="Col.C5.triangular">[19]Análisis!$D$765</definedName>
    <definedName name="col.GFRC.red.25">[41]Insumos!$C$65</definedName>
    <definedName name="Colc.Bloque.10cm">[19]Insumos!$E$84</definedName>
    <definedName name="Colc.Hormigón.Grua">[19]Análisis!$D$49</definedName>
    <definedName name="Coloc.Ceramica.Pisos">'[42]Costos Mano de Obra'!$O$46</definedName>
    <definedName name="Colorante">[19]Insumos!$E$69</definedName>
    <definedName name="Colum.60cm.Espectaculos">[19]Análisis!$D$1004</definedName>
    <definedName name="Colum.Cuad.Edif.Oficinas">[19]Análisis!$D$755</definedName>
    <definedName name="Colum.Horm.Convenc.Espectaculos">[19]Análisis!$D$1018</definedName>
    <definedName name="Colum.Ø45.Edif.Oficina">[19]Análisis!$D$785</definedName>
    <definedName name="Columna.C1.15x20">[19]Análisis!$D$148</definedName>
    <definedName name="Columna.Cc.20x20">[19]Análisis!$D$156</definedName>
    <definedName name="Columna.Cr">[19]Análisis!$D$182</definedName>
    <definedName name="Columna.Lavanderia">[19]Análisis!$D$933</definedName>
    <definedName name="columna.pergolado">[43]Análisis!$D$1625</definedName>
    <definedName name="Columnas.C1s.C2s">[19]Análisis!$D$164</definedName>
    <definedName name="Columnas.Redonda.30cm">[19]Análisis!$D$173</definedName>
    <definedName name="concreto.nivelacion">[41]Análisis!$D$207</definedName>
    <definedName name="control_3">"$#REF!.$#REF!$#REF!:#REF!#REF!"</definedName>
    <definedName name="corniza.2.62pies">'[44]Cornisa de 2.62 pie'!$E$60</definedName>
    <definedName name="corniza.2pies">'[44]Cornisa de 2 pie'!$E$60</definedName>
    <definedName name="costocapataz">'[32]Analisis Unit. '!$G$3</definedName>
    <definedName name="costoobrero">'[32]Analisis Unit. '!$G$5</definedName>
    <definedName name="costotecesp">'[32]Analisis Unit. '!$G$4</definedName>
    <definedName name="Cristalizado.marmol">[19]Insumos!$E$136</definedName>
    <definedName name="CUBIC._ANTERIOR_6">NA()</definedName>
    <definedName name="CUBICACION_6">NA()</definedName>
    <definedName name="CUBICADO_6">NA()</definedName>
    <definedName name="Curado.Resane.Horm.Visto">[19]Insumos!$E$137</definedName>
    <definedName name="D7H">[33]EQUIPOS!$I$9</definedName>
    <definedName name="D8K">[33]EQUIPOS!$I$8</definedName>
    <definedName name="deducciones_3">"$#REF!.$M$62"</definedName>
    <definedName name="DERRETIDOBLANCO">[7]insumo!$D$20</definedName>
    <definedName name="DESCRIPCION_6">NA()</definedName>
    <definedName name="DESENCOFRADO_COLS" localSheetId="3">[18]MO!$B$256</definedName>
    <definedName name="Dintel20x20.ml">[41]Análisis!$D$557</definedName>
    <definedName name="Dintel20x40">[19]Análisis!$D$230</definedName>
    <definedName name="Edificio.Administracion">'[19]Edificio Administracion'!$G$112</definedName>
    <definedName name="Edificio.de.Entrada">'[19]Edificio de Entrada'!$G$77</definedName>
    <definedName name="ENCOF_COLS_1" localSheetId="3">[18]MO!$B$247</definedName>
    <definedName name="escalon.de1.0">[43]Análisis!$D$1354</definedName>
    <definedName name="escalon.de1.2">[43]Análisis!$D$1344</definedName>
    <definedName name="escalon.de1.6">[43]Análisis!$D$1334</definedName>
    <definedName name="escalon.de1.8">[43]Análisis!$D$1324</definedName>
    <definedName name="escalon.de2.0">[43]Análisis!$D$1314</definedName>
    <definedName name="escalon.de30">[43]Análisis!$D$1293</definedName>
    <definedName name="escalon.de60">[43]Análisis!$D$1304</definedName>
    <definedName name="escalones.ant.60cm">[43]Análisis!$D$1278</definedName>
    <definedName name="escalones.ceramica">[41]Análisis!$D$1340</definedName>
    <definedName name="esquineros">[37]Insumos!$L$43</definedName>
    <definedName name="Excel_BuiltIn_Print_Titles">NA()</definedName>
    <definedName name="expansiones.3.8">[37]Insumos!$L$35</definedName>
    <definedName name="Exteriores">[19]Resumen!$F$32</definedName>
    <definedName name="Extracción_IM" localSheetId="3">[1]CUB02!$S$13:$AN$415</definedName>
    <definedName name="Fac.optimi.obras.arte">'[45]ANALISIS A USAR'!$J$17</definedName>
    <definedName name="FE">'[46]med.mov.de tierras2'!$D$12</definedName>
    <definedName name="fino">[19]Insumos!$E$108</definedName>
    <definedName name="Fino.Techo.bermuda">[19]Análisis!$D$1202</definedName>
    <definedName name="fraguache">[41]Análisis!$D$1042</definedName>
    <definedName name="FREGRADERODOBLE">[7]insumo!$D$21</definedName>
    <definedName name="fuente.entrada">[19]Resumen!$D$21</definedName>
    <definedName name="FUNCION">[47]FUNCION!$C$16</definedName>
    <definedName name="gabinetesandiroba">[48]INSUMOS!$F$303</definedName>
    <definedName name="gasoil_reg">#REF!</definedName>
    <definedName name="GASOLINA" localSheetId="3">[49]INS!$D$561</definedName>
    <definedName name="gasolina_reg">#REF!</definedName>
    <definedName name="GASTOSGENERALES_3">"$#REF!.$#REF!$#REF!"</definedName>
    <definedName name="GASTOSGENERALESA_3">"$#REF!.$#REF!$#REF!"</definedName>
    <definedName name="GLP">#REF!</definedName>
    <definedName name="glpintura">'[32]Analisis Unit. '!$F$49</definedName>
    <definedName name="GRADER12G">[33]EQUIPOS!$I$11</definedName>
    <definedName name="grava" localSheetId="9">'[17]ANALISIS PLANTA'!$E$18</definedName>
    <definedName name="grava">#REF!</definedName>
    <definedName name="GRAVAL">[7]insumo!$D$22</definedName>
    <definedName name="HGON100">[50]Mezcla!$G$81</definedName>
    <definedName name="HGON140">[50]Mezcla!$G$106</definedName>
    <definedName name="HGON180">[50]Mezcla!$G$131</definedName>
    <definedName name="HGON210">[50]Mezcla!$G$156</definedName>
    <definedName name="HINCA_3">"$#REF!.$#REF!$#REF!"</definedName>
    <definedName name="HINDUSTRIAL100">[7]insumo!$D$33</definedName>
    <definedName name="HINDUSTRIAL210" localSheetId="3">[2]insumo!$D$36</definedName>
    <definedName name="HINDUSTRIAL210">[7]insumo!$D$36</definedName>
    <definedName name="HORACIO_3">"$#REF!.$L$66:$W$66"</definedName>
    <definedName name="horm.1.3">'[32]Analisis Unit. '!$F$74</definedName>
    <definedName name="horm.1.3.5">'[32]Analisis Unit. '!$F$64</definedName>
    <definedName name="Horm.Ind.140.Sin.Bomba">[19]Insumos!$E$35</definedName>
    <definedName name="Horm.Ind.180.Sin.Bomba">[19]Insumos!$E$37</definedName>
    <definedName name="Horm.Ind.210.Sin.Bomba">[19]Insumos!$E$39</definedName>
    <definedName name="HORM135_MANUAL" localSheetId="3">'[38]HORM. Y MORTEROS.'!$H$212</definedName>
    <definedName name="HORM135_MANUAL">'[39]HORM. Y MORTEROS.'!$H$212</definedName>
    <definedName name="Hormigón_210_kg_cm2_con_aditivos">'[16]LISTA DE PRECIO'!$C$10</definedName>
    <definedName name="Hormigón_Industrial_210_Kg_cm2">[51]Insumos!$B$71:$D$71</definedName>
    <definedName name="Hormigón_Industrial_210_Kg_cm2_1">[51]Insumos!$B$71:$D$71</definedName>
    <definedName name="Hormigón_Industrial_210_Kg_cm2_2">[51]Insumos!$B$71:$D$71</definedName>
    <definedName name="Hormigón_Industrial_210_Kg_cm2_3">[51]Insumos!$B$71:$D$71</definedName>
    <definedName name="HS210_Manual" localSheetId="9">'[17]ANALISIS PLANTA'!$F$111</definedName>
    <definedName name="HS210_Manual">#REF!</definedName>
    <definedName name="Hs280_Manual" localSheetId="9">'[17]ANALISIS PLANTA'!$F$1519</definedName>
    <definedName name="Hs280_Manual">#REF!</definedName>
    <definedName name="imocolocjuntas">[48]INSUMOS!$F$261</definedName>
    <definedName name="Impermeabilizante">[19]Insumos!$E$48</definedName>
    <definedName name="Imprimir_área_IM">[21]PRESUPUESTO!$A$1763:$L$1796</definedName>
    <definedName name="ingeniera" localSheetId="3">'[52]M.O.'!$C$10</definedName>
    <definedName name="ingeniera">'[53]M.O.'!$C$10</definedName>
    <definedName name="INS_HORMIGON_124">[54]HORM_MOR!$A$7:$D$7</definedName>
    <definedName name="instalacion.electrica.principal">[19]Resumen!$D$23</definedName>
    <definedName name="INSUMO_1">'[55]AC. LOS LIMONES ACERO '!$D$2</definedName>
    <definedName name="ITBIS">[56]Insumos!$G$2</definedName>
    <definedName name="IZAJE_3">"$#REF!.$#REF!$#REF!"</definedName>
    <definedName name="junta.water.stop">[43]Análisis!$D$1570</definedName>
    <definedName name="Ladrillos.2x4x8pulg.">[19]Insumos!$E$112</definedName>
    <definedName name="LAMPARAS_DE_1500W_220V" localSheetId="3">[25]INSU!$B$41</definedName>
    <definedName name="LAMPARAS_DE_1500W_220V">[26]INSU!$B$41</definedName>
    <definedName name="ligado_vaciado" localSheetId="9">'[17]ANALISIS PLANTA'!$F$92</definedName>
    <definedName name="ligado_vaciado">#REF!</definedName>
    <definedName name="Ligado_y_Vaciado_a_Mano">[15]Insumos!$B$136:$D$136</definedName>
    <definedName name="linea.impulsion.drenaje.sanitario">[19]Resumen!$D$29</definedName>
    <definedName name="LINEA_DE_CONDUC_6">NA()</definedName>
    <definedName name="losa.de.piso.10cm.m2">[41]Análisis!$D$242</definedName>
    <definedName name="Losa.Fondo">[19]Análisis!$D$241</definedName>
    <definedName name="losa.fundacion.20cm">[41]Análisis!$D$503</definedName>
    <definedName name="Losa.Piso.0.08">[19]Análisis!$D$274</definedName>
    <definedName name="Losa.piso.8cm">[31]Análisis!$N$439</definedName>
    <definedName name="Losa.techo.Inclinada">[19]Análisis!$D$256</definedName>
    <definedName name="M.O._acero">'[16]LISTA DE PRECIO'!$C$12</definedName>
    <definedName name="M.O._acero_malla">'[16]LISTA DE PRECIO'!$C$13</definedName>
    <definedName name="M.O.Colocacion_de_Panel_Plastbau">'[16]LISTA DE PRECIO'!$C$14</definedName>
    <definedName name="M.o.granito.en.piso">[19]Insumos!$E$91</definedName>
    <definedName name="M.O.Pintura.Int.">'[42]Costos Mano de Obra'!$O$52</definedName>
    <definedName name="M_O_Armadura_Columna">[15]Insumos!$B$78:$D$78</definedName>
    <definedName name="M_O_Armadura_Dintel_y_Viga">[15]Insumos!$B$79:$D$79</definedName>
    <definedName name="M_O_Cantos">[15]Insumos!$B$99:$D$99</definedName>
    <definedName name="M_O_Carpintero_2da._Categoría">[15]Insumos!$B$96:$D$96</definedName>
    <definedName name="M_O_Cerámica_Italiana_en_Pared">[15]Insumos!$B$102:$D$102</definedName>
    <definedName name="M_O_Colocación_Adoquines">[15]Insumos!$B$104:$D$104</definedName>
    <definedName name="M_O_Colocación_de_Bloques_de_4">[15]Insumos!$B$105:$D$105</definedName>
    <definedName name="M_O_Colocación_de_Bloques_de_6">[15]Insumos!$B$106:$D$106</definedName>
    <definedName name="M_O_Colocación_de_Bloques_de_8">[15]Insumos!$B$107:$D$107</definedName>
    <definedName name="M_O_Colocación_Listelos">[15]Insumos!$B$114:$D$114</definedName>
    <definedName name="M_O_Colocación_Piso_Cerámica_Criolla">[15]Insumos!$B$108:$D$108</definedName>
    <definedName name="M_O_Colocación_Piso_de_Granito_40_X_40">[15]Insumos!$B$111:$D$111</definedName>
    <definedName name="M_O_Colocación_Zócalos_de_Cerámica">[15]Insumos!$B$113:$D$113</definedName>
    <definedName name="M_O_Confección_de_Andamios">[15]Insumos!$B$115:$D$115</definedName>
    <definedName name="M_O_Construcción_Acera_Frotada_y_Violinada">[15]Insumos!$B$116:$D$116</definedName>
    <definedName name="M_O_Corte_y_Amarre_de_Varilla">[15]Insumos!$B$119:$D$119</definedName>
    <definedName name="M_O_Elaboración_Trampa_de_Grasa">[15]Insumos!$B$121:$D$121</definedName>
    <definedName name="M_O_Fino_de_Techo_Inclinado">[15]Insumos!$B$83:$D$83</definedName>
    <definedName name="M_O_Fino_de_Techo_Plano">[15]Insumos!$B$84:$D$84</definedName>
    <definedName name="M_O_Llenado_de_huecos">[15]Insumos!$B$86:$D$86</definedName>
    <definedName name="M_O_Maestro">[15]Insumos!$B$87:$D$87</definedName>
    <definedName name="M_O_Pañete_Maestreado_Exterior">[15]Insumos!$B$91:$D$91</definedName>
    <definedName name="M_O_Pañete_Maestreado_Interior">[15]Insumos!$B$92:$D$92</definedName>
    <definedName name="M_O_Preparación_del_Terreno">[15]Insumos!$B$94:$D$94</definedName>
    <definedName name="M_O_Quintal_Trabajado">[15]Insumos!$B$77:$D$77</definedName>
    <definedName name="M_O_Regado__Compactación__Mojado__Trasl.Mat.__A_M">[15]Insumos!$B$132:$D$132</definedName>
    <definedName name="M_O_Subida_de_Materiales">[15]Insumos!$B$95:$D$95</definedName>
    <definedName name="M_O_Técnico_Calificado">[15]Insumos!$B$149:$D$149</definedName>
    <definedName name="M_O_Zabaletas">[15]Insumos!$B$98:$D$98</definedName>
    <definedName name="m2ceramica">'[32]Analisis Unit. '!$F$47</definedName>
    <definedName name="m3arena">'[32]Analisis Unit. '!$F$41</definedName>
    <definedName name="m3arepanete">'[32]Analisis Unit. '!$F$44</definedName>
    <definedName name="m3grava">'[32]Analisis Unit. '!$F$42</definedName>
    <definedName name="MA">'[20]M.O.'!$C$10</definedName>
    <definedName name="Madera_P2" localSheetId="3">[18]INSU!$D$132</definedName>
    <definedName name="madera_p2_bruta_01">#REF!</definedName>
    <definedName name="MADERAC">[7]insumo!$D$28</definedName>
    <definedName name="Malla_electrosoldada_15x15___W2.9x2.9">'[16]LISTA DE PRECIO'!$C$8</definedName>
    <definedName name="masilla.sheetrock">[37]Insumos!$L$40</definedName>
    <definedName name="Mez.Antillana.bloques">[24]Insumos!$E$30</definedName>
    <definedName name="Mez.Antillana.Pañete">[24]Insumos!$E$31</definedName>
    <definedName name="Mez.Antillana.Pisos">[24]Insumos!$E$32</definedName>
    <definedName name="MEZCLA125">[7]Mezcla!$G$45</definedName>
    <definedName name="MEZCLA13" localSheetId="3">[2]Mezcla!$F$10</definedName>
    <definedName name="MEZCLA13">[7]Mezcla!$G$10</definedName>
    <definedName name="MEZCLA14" localSheetId="3">[2]Mezcla!$F$17</definedName>
    <definedName name="MEZCLA14">[7]Mezcla!$G$17</definedName>
    <definedName name="MEZCLANATILLA">[7]Mezcla!$G$29</definedName>
    <definedName name="mo_acer_me_qq">#REF!</definedName>
    <definedName name="mo_acero_qq">#REF!</definedName>
    <definedName name="MO_ColAcero_QQ" localSheetId="3">[18]MO!$B$612</definedName>
    <definedName name="mo_maestro_dia">#REF!</definedName>
    <definedName name="mo_oper_pes_dia">#REF!</definedName>
    <definedName name="mo_oper2_dia">#REF!</definedName>
    <definedName name="morpanete">'[32]Analisis Unit. '!$F$85</definedName>
    <definedName name="mortero.1.4.pañete">'[42]Ana. Horm mexc mort'!$D$85</definedName>
    <definedName name="Muro.Bloque.4cm.SNP">[31]Análisis!$N$845</definedName>
    <definedName name="Muro.Bloque.6cm.BNP">[31]Análisis!$N$821</definedName>
    <definedName name="Muro.Bloque.6cm.SNPT">[31]Análisis!$N$808</definedName>
    <definedName name="muro.h.a.20cm">[43]Análisis!$D$729</definedName>
    <definedName name="Muro.Hormigon.Armado.de20">[19]Análisis!$D$286</definedName>
    <definedName name="muro.shee.ambas.caras">'[44]Muros Interiores h=2.8 m '!$E$64</definedName>
    <definedName name="muros.plycem.ambas.caras">'[44]MurosInt.h=2.8 m Plycem 2 lados'!$E$64</definedName>
    <definedName name="muros.una.cshee.plycem">'[44]MurosInt.h=2.8 m U C con plycem'!$E$64</definedName>
    <definedName name="operadorpala">[33]OBRAMANO!$F$72</definedName>
    <definedName name="operadorretro">[33]OBRAMANO!$F$77</definedName>
    <definedName name="operadorrodillo">[33]OBRAMANO!$F$75</definedName>
    <definedName name="operadortractor">[33]OBRAMANO!$F$76</definedName>
    <definedName name="OPERARIOPRIMERA" localSheetId="3">[38]SALARIOS!$C$10</definedName>
    <definedName name="OPERARIOPRIMERA">[39]SALARIOS!$C$10</definedName>
    <definedName name="P.U.Dimecote9">[57]Insumos!$E$13</definedName>
    <definedName name="P.U.Thinner1000">[57]Insumos!$E$12</definedName>
    <definedName name="P.U.Urethane_Acrilico">[57]Insumos!$E$17</definedName>
    <definedName name="P_CAL">[8]Ins!$E$337</definedName>
    <definedName name="P_CLAVO">[8]Ins!$E$909</definedName>
    <definedName name="P_HILO">[8]Herram!$E$24</definedName>
    <definedName name="P_PINO1x4x12BR">[8]Ins!$E$917</definedName>
    <definedName name="Panel_Plastbau">'[16]LISTA DE PRECIO'!$C$9</definedName>
    <definedName name="Pañete.Paredes">[31]Análisis!$N$906</definedName>
    <definedName name="Peon_1" localSheetId="3">[18]MO!$B$11</definedName>
    <definedName name="Peon_Colchas" localSheetId="3">[25]MO!$B$11</definedName>
    <definedName name="Peon_Colchas">[26]MO!$B$11</definedName>
    <definedName name="peon_dia">#REF!</definedName>
    <definedName name="PERFIL_CUADRADO_34" localSheetId="3">[25]INSU!$B$91</definedName>
    <definedName name="PERFIL_CUADRADO_34">[26]INSU!$B$91</definedName>
    <definedName name="pergolado.area.piscina">[43]Análisis!$D$1633</definedName>
    <definedName name="Pernos_3">"$#REF!.$B$68"</definedName>
    <definedName name="PINO" localSheetId="3">[38]INS!$D$770</definedName>
    <definedName name="PINO">[39]INS!$D$770</definedName>
    <definedName name="pino.tratado">[58]Insumos!$C$35</definedName>
    <definedName name="Pintura.epoxica.piscina">[43]Análisis!$D$1562</definedName>
    <definedName name="pintura.man.puertas">[41]Análisis!$D$1549</definedName>
    <definedName name="pintura.mant.puertas">[40]Análisis!$D$1164</definedName>
    <definedName name="pintura.sobre.clavot">[41]Análisis!$D$1556</definedName>
    <definedName name="Piso.Ceram.Serv.">[19]Análisis!$D$580</definedName>
    <definedName name="Piso.Ceramica.A">[19]Análisis!$D$522</definedName>
    <definedName name="Piso.Ceramica.B">[19]Análisis!$D$541</definedName>
    <definedName name="Piso.Ceramica.C">[19]Análisis!$D$560</definedName>
    <definedName name="piso.granito.ext.crema">[19]Análisis!$D$415</definedName>
    <definedName name="piso.granito.ext.rosado">[19]Análisis!$D$427</definedName>
    <definedName name="piso.granito.ext.rozado">[19]Análisis!$D$427</definedName>
    <definedName name="Piso.granito.fondo.blanco">[19]Análisis!$D$449</definedName>
    <definedName name="Piso.granito.fondo.gris">[19]Análisis!$D$460</definedName>
    <definedName name="piso.granito.p.exterior.rojo">[19]Análisis!$D$438</definedName>
    <definedName name="piso.granito.p.exterior.rosado">[19]Análisis!$D$438</definedName>
    <definedName name="piso.mosaico.25x25">[41]Análisis!$D$1256</definedName>
    <definedName name="piso.porcelanato.40x40">[19]Análisis!$D$491</definedName>
    <definedName name="PISO_GRANITO_FONDO_BCO" localSheetId="3">[25]INSU!$B$103</definedName>
    <definedName name="PISO_GRANITO_FONDO_BCO">[26]INSU!$B$103</definedName>
    <definedName name="plafond.sheetrock">'[44]Plafond Sheetrock'!$E$54</definedName>
    <definedName name="planta.electrica500w">[19]Resumen!$D$25</definedName>
    <definedName name="PLASTICO" localSheetId="3">[25]INSU!$B$90</definedName>
    <definedName name="PLASTICO">[26]INSU!$B$90</definedName>
    <definedName name="platea.piscina">[43]Análisis!$D$200</definedName>
    <definedName name="PLIGADORA2" localSheetId="3">[49]INS!$D$563</definedName>
    <definedName name="PLIGADORA2">[59]INS!$D$563</definedName>
    <definedName name="PLYWOOD_34_2CARAS" localSheetId="3">[18]INSU!$D$133</definedName>
    <definedName name="po">[60]PRESUPUESTO!$O$9:$O$236</definedName>
    <definedName name="Porcelanato30x60">[19]Análisis!$D$512</definedName>
    <definedName name="porcentaje_3">"$#REF!.$J$12"</definedName>
    <definedName name="PPD">'[61]med.mov.de tierras'!$D$6</definedName>
    <definedName name="PREC._UNITARIO_6">NA()</definedName>
    <definedName name="precios" localSheetId="3">[62]Precios!$A$4:$F$1576</definedName>
    <definedName name="precios">[63]Precios!$A$4:$F$1576</definedName>
    <definedName name="PRESUPUESTO_6">NA()</definedName>
    <definedName name="PRIMA_3">"$#REF!.$M$38"</definedName>
    <definedName name="PU_3">"$#REF!.$E$1:$E$65534"</definedName>
    <definedName name="pu1_2">"$#REF!.$E$1:$E$65534"</definedName>
    <definedName name="pu1_3">"$#REF!.$E$1:$E$65534"</definedName>
    <definedName name="PU6_2">"$#REF!.$E$1:$E$65534"</definedName>
    <definedName name="PU6_3">"$#REF!.$E$1:$E$65534"</definedName>
    <definedName name="puerta.enrollable.p.moteles">[19]Insumos!$E$42</definedName>
    <definedName name="PUZAPATAMURORAMPA">'[15]Análisis de Precios'!$F$201</definedName>
    <definedName name="PWINCHE2000K" localSheetId="3">[49]INS!$D$568</definedName>
    <definedName name="PWINCHE2000K">[59]INS!$D$568</definedName>
    <definedName name="Q" localSheetId="3">[1]CUB02!$W$1:$W$8</definedName>
    <definedName name="qw">[60]PRESUPUESTO!$M$10:$AH$731</definedName>
    <definedName name="qwe" localSheetId="3">[18]INSU!$D$133</definedName>
    <definedName name="qwe">[21]PRESUPUESTO!$D$133</definedName>
    <definedName name="Recreación">'[19]Hoja de presupuesto'!$G$173</definedName>
    <definedName name="REFERENCIA" localSheetId="3">[64]COF!$G$733</definedName>
    <definedName name="REFERENCIA">[65]COF!$G$733</definedName>
    <definedName name="REPORTE_01_6">NA()</definedName>
    <definedName name="REPORTE_02_6">NA()</definedName>
    <definedName name="REPORTE_03_6">NA()</definedName>
    <definedName name="REPORTE_04_6">NA()</definedName>
    <definedName name="REPORTE_05_6">NA()</definedName>
    <definedName name="REPORTE_06_6">NA()</definedName>
    <definedName name="REPORTE_07_6">NA()</definedName>
    <definedName name="REPORTE_08_6">NA()</definedName>
    <definedName name="REPORTE_09_6">NA()</definedName>
    <definedName name="REPORTE_6">NA()</definedName>
    <definedName name="Rev.ceram.15x15.serv.">[19]Análisis!$D$620</definedName>
    <definedName name="Rev.ceram.cocina.bano">[19]Análisis!$D$601</definedName>
    <definedName name="Reves.de.ladrillo.2x4x8">[19]Análisis!$D$629</definedName>
    <definedName name="Reves.Piedra.caliza">[19]Análisis!$D$645</definedName>
    <definedName name="Revest.en.piedra.coralina">[19]Análisis!$D$638</definedName>
    <definedName name="Revest.marmol">[19]Análisis!$D$591</definedName>
    <definedName name="Revest.Porcelanato30x60">[19]Análisis!$D$610</definedName>
    <definedName name="SALIDA_6">NA()</definedName>
    <definedName name="sheetrock.media">[37]Insumos!$L$38</definedName>
    <definedName name="sistema.aire.acondicionado">[19]Resumen!$D$24</definedName>
    <definedName name="SS" localSheetId="3">'[30]M.O.'!$C$12</definedName>
    <definedName name="SS">'[20]M.O.'!$C$12</definedName>
    <definedName name="stud2.5.s22">[37]Insumos!$L$30</definedName>
    <definedName name="SUB_TOTAL_EN_RD">'[66]Laurel(OBINSA)'!$H$107</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TASA">[56]Insumos!$H$2</definedName>
    <definedName name="Techo.Madera.Shingle">[31]Análisis!$N$1024</definedName>
    <definedName name="Tejas.en.techo">[19]Análisis!$D$365</definedName>
    <definedName name="_xlnm.Print_Titles" localSheetId="1">ACUEDUCTO!$2:$12</definedName>
    <definedName name="_xlnm.Print_Titles" localSheetId="6">'Pre Villar Pando Limpio (2)'!$1:$11</definedName>
    <definedName name="_xlnm.Print_Titles" localSheetId="7">'Pre Villar Pando Limpio (3)'!$1:$11</definedName>
    <definedName name="_xlnm.Print_Titles" localSheetId="8">'Pre Villarpando 2022'!$1:$11</definedName>
    <definedName name="Tolas_3">"$#REF!.$B$13"</definedName>
    <definedName name="tope.marmol.p2">[41]Insumos!$C$207</definedName>
    <definedName name="TORNILLOS_3">"$#REF!.$B$#REF!"</definedName>
    <definedName name="totalgeneral_3">"$#REF!.$M$56"</definedName>
    <definedName name="trac2.5.t.22">[37]Insumos!$L$31</definedName>
    <definedName name="transp_asf_0a5">#REF!</definedName>
    <definedName name="transp_asf_10a20">#REF!</definedName>
    <definedName name="transp_asf_5.1a10">#REF!</definedName>
    <definedName name="transp_asf_mayor_20">#REF!</definedName>
    <definedName name="transp_gral">#REF!</definedName>
    <definedName name="transp_mat_0a5">#REF!</definedName>
    <definedName name="transp_mat_10a20">#REF!</definedName>
    <definedName name="transp_mat_5.1a10">#REF!</definedName>
    <definedName name="transp_mat_mayor_20">#REF!</definedName>
    <definedName name="TRATARMADERA" localSheetId="3">'[67]Ins 2'!$E$51</definedName>
    <definedName name="tub8x12">[9]analisis!$G$2313</definedName>
    <definedName name="tub8x516">[9]analisis!$G$2322</definedName>
    <definedName name="ud">[7]exteriores!$D$66</definedName>
    <definedName name="UND_6">NA()</definedName>
    <definedName name="uso.vibrador">'[42]Costos Mano de Obra'!$O$42</definedName>
    <definedName name="v.c.n1y2.villa1">[68]Cubicación!$P$2150</definedName>
    <definedName name="v.c.n1y2.villa10">[68]Cubicación!$P$1690</definedName>
    <definedName name="v.c.n1y2.villa11">[68]Cubicación!$P$998</definedName>
    <definedName name="v.c.n1y2.villa12">[68]Cubicación!$P$401</definedName>
    <definedName name="v.c.n1y2.villa13">[68]Cubicación!$P$535</definedName>
    <definedName name="v.c.n1y2.villa14">[68]Cubicación!$P$1461</definedName>
    <definedName name="v.c.n1y2.villa15">[68]Cubicación!$P$1576</definedName>
    <definedName name="v.c.n1y2.villa16">[68]Cubicación!$P$1805</definedName>
    <definedName name="v.c.n1y2.villa17">[68]Cubicación!$P$1920</definedName>
    <definedName name="v.c.n1y2.villa18">[68]Cubicación!$P$1113</definedName>
    <definedName name="v.c.n1y2.villa2">[68]Cubicación!$P$2037</definedName>
    <definedName name="v.c.n1y2.villa3">[68]Cubicación!$P$883</definedName>
    <definedName name="v.c.n1y2.villa4">[68]Cubicación!$P$768</definedName>
    <definedName name="v.c.n1y2.villa5">[68]Cubicación!$P$653</definedName>
    <definedName name="v.c.n1y2.villa6">[68]Cubicación!$P$138</definedName>
    <definedName name="v.c.n1y2.villa7">[68]Cubicación!$P$269</definedName>
    <definedName name="v.c.n1y2.villa8">[68]Cubicación!$P$1231</definedName>
    <definedName name="v.c.n1y2.villa9">[68]Cubicación!$P$1346</definedName>
    <definedName name="VACC">[11]Precio!$F$31</definedName>
    <definedName name="valora_3">"$#REF!.$I$1:$I$65534"</definedName>
    <definedName name="valorp_3">"$#REF!.$K$1:$K$65534"</definedName>
    <definedName name="VALORPRESUPUESTO_3">"$#REF!.$F$1:$F$65534"</definedName>
    <definedName name="viga.30x40">[41]Análisis!$D$624</definedName>
    <definedName name="Viga.Amarre.20x.20">[40]Análisis!$D$525</definedName>
    <definedName name="Viga.amarre.2do.N">[41]Análisis!$D$653</definedName>
    <definedName name="Viga.Amarre.Piso.20x20">[19]Análisis!$D$138</definedName>
    <definedName name="Viga.V1">[19]Análisis!$D$200</definedName>
    <definedName name="VIGASHP_3">"$#REF!.$B$109"</definedName>
    <definedName name="VigaV1.3.4.6.Presidenciales">[19]Análisis!$D$209</definedName>
    <definedName name="VigaV2.5.7.Presidenciales">[19]Análisis!$D$218</definedName>
    <definedName name="W14X22">[9]analisis!$G$1637</definedName>
    <definedName name="W16X26">[9]analisis!$G$1814</definedName>
    <definedName name="W18X40">[9]analisis!$G$1872</definedName>
    <definedName name="W27X84">[9]analisis!$G$1977</definedName>
    <definedName name="w6x9">[9]analisis!$G$1453</definedName>
    <definedName name="WWW" localSheetId="3">[69]INS!$D$561</definedName>
    <definedName name="WWW">[70]INS!$D$561</definedName>
    <definedName name="Z_43BC9397_3E8C_478C_B548_E4A845A7F82B_.wvu.FilterData" localSheetId="1" hidden="1">ACUEDUCTO!$A$12:$F$1110</definedName>
    <definedName name="Z_43BC9397_3E8C_478C_B548_E4A845A7F82B_.wvu.FilterData" localSheetId="6" hidden="1">'Pre Villar Pando Limpio (2)'!$A$11:$F$1003</definedName>
    <definedName name="Z_43BC9397_3E8C_478C_B548_E4A845A7F82B_.wvu.FilterData" localSheetId="7" hidden="1">'Pre Villar Pando Limpio (3)'!$A$11:$F$1026</definedName>
    <definedName name="Z_43BC9397_3E8C_478C_B548_E4A845A7F82B_.wvu.FilterData" localSheetId="8" hidden="1">'Pre Villarpando 2022'!$A$11:$H$1660</definedName>
    <definedName name="Z_43BC9397_3E8C_478C_B548_E4A845A7F82B_.wvu.PrintArea" localSheetId="1" hidden="1">ACUEDUCTO!$A$1:$F$1134</definedName>
    <definedName name="Z_43BC9397_3E8C_478C_B548_E4A845A7F82B_.wvu.PrintArea" localSheetId="5" hidden="1">'Especificaciones Técnicas'!$A$1:$G$139</definedName>
    <definedName name="Z_43BC9397_3E8C_478C_B548_E4A845A7F82B_.wvu.PrintArea" localSheetId="44" hidden="1">'PARA PREGUNTAR'!$A$1:$E$33</definedName>
    <definedName name="Z_43BC9397_3E8C_478C_B548_E4A845A7F82B_.wvu.PrintArea" localSheetId="6" hidden="1">'Pre Villar Pando Limpio (2)'!$A$1:$F$1021</definedName>
    <definedName name="Z_43BC9397_3E8C_478C_B548_E4A845A7F82B_.wvu.PrintArea" localSheetId="7" hidden="1">'Pre Villar Pando Limpio (3)'!$A$1:$F$1044</definedName>
    <definedName name="Z_43BC9397_3E8C_478C_B548_E4A845A7F82B_.wvu.PrintArea" localSheetId="8" hidden="1">'Pre Villarpando 2022'!$A$1:$F$1676</definedName>
    <definedName name="Z_43BC9397_3E8C_478C_B548_E4A845A7F82B_.wvu.PrintTitles" localSheetId="1" hidden="1">ACUEDUCTO!$2:$12</definedName>
    <definedName name="Z_43BC9397_3E8C_478C_B548_E4A845A7F82B_.wvu.PrintTitles" localSheetId="6" hidden="1">'Pre Villar Pando Limpio (2)'!$1:$11</definedName>
    <definedName name="Z_43BC9397_3E8C_478C_B548_E4A845A7F82B_.wvu.PrintTitles" localSheetId="7" hidden="1">'Pre Villar Pando Limpio (3)'!$1:$11</definedName>
    <definedName name="Z_43BC9397_3E8C_478C_B548_E4A845A7F82B_.wvu.PrintTitles" localSheetId="8" hidden="1">'Pre Villarpando 2022'!$1:$11</definedName>
    <definedName name="Z_43BC9397_3E8C_478C_B548_E4A845A7F82B_.wvu.Rows" localSheetId="17" hidden="1">'Analisis Definitivo'!$199:$208,'Analisis Definitivo'!$255:$260,'Analisis Definitivo'!$286:$288,'Analisis Definitivo'!$302:$318,'Analisis Definitivo'!$344:$345,'Analisis Definitivo'!$372:$402,'Analisis Definitivo'!$1421:$1508</definedName>
    <definedName name="Z_43BC9397_3E8C_478C_B548_E4A845A7F82B_.wvu.Rows" localSheetId="19" hidden="1">'ANALISIS General'!$463:$476</definedName>
    <definedName name="Z_43BC9397_3E8C_478C_B548_E4A845A7F82B_.wvu.Rows" localSheetId="18" hidden="1">'ANALISIS PTAP'!$306:$514,'ANALISIS PTAP'!$772:$785</definedName>
    <definedName name="Z_43BC9397_3E8C_478C_B548_E4A845A7F82B_.wvu.Rows" localSheetId="13" hidden="1">'ANALISIS PTAP VP'!$306:$519,'ANALISIS PTAP VP'!$772:$785</definedName>
    <definedName name="Z_43BC9397_3E8C_478C_B548_E4A845A7F82B_.wvu.Rows" localSheetId="5" hidden="1">'Especificaciones Técnicas'!$51:$54</definedName>
    <definedName name="Zabaleta">[31]Análisis!$N$988</definedName>
    <definedName name="Zap.Edif.Parqueo">[19]Análisis!$D$105</definedName>
    <definedName name="zap.M.ha.40cm.esp">[43]Análisis!$D$192</definedName>
    <definedName name="Zap.mur.H.A.">[41]Análisis!$D$163</definedName>
    <definedName name="zapata">'[4]caseta de planta'!$C:$C</definedName>
    <definedName name="Zapata.Z1s.Z2s">[19]Análisis!$D$120</definedName>
    <definedName name="Zoc.baldosin">[24]Insumos!$E$91</definedName>
    <definedName name="Zócalo.Ceramica">[71]Insumos!$E$80</definedName>
    <definedName name="Zocalo.de.ceramica.A">[19]Análisis!$D$532</definedName>
    <definedName name="Zocalo.de.ceramica.B">[19]Análisis!$D$551</definedName>
    <definedName name="Zocalo.de.ceramica.C">[19]Análisis!$D$570</definedName>
    <definedName name="zocalo.de.mosaico">[41]Análisis!$D$1266</definedName>
    <definedName name="zocalo.porcelanato.40x40">[19]Análisis!$D$501</definedName>
  </definedNames>
  <calcPr calcId="191029" fullPrecision="0"/>
  <customWorkbookViews>
    <customWorkbookView name="Miguel Carlos Taveras Genao - Vista personalizada" guid="{43BC9397-3E8C-478C-B548-E4A845A7F82B}" mergeInterval="0" personalView="1" maximized="1" xWindow="-8" yWindow="-8" windowWidth="1936" windowHeight="1056" tabRatio="100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28" i="51" l="1"/>
  <c r="F1629" i="51"/>
  <c r="F1630" i="51"/>
  <c r="F804" i="51" l="1"/>
  <c r="F737" i="51"/>
  <c r="F719" i="51"/>
  <c r="F543" i="51"/>
  <c r="F425" i="51"/>
  <c r="F311" i="51"/>
  <c r="F77" i="51"/>
  <c r="F19" i="51"/>
  <c r="F885" i="51" l="1"/>
  <c r="F878" i="51"/>
  <c r="F877" i="51"/>
  <c r="F620" i="51"/>
  <c r="F608" i="51"/>
  <c r="F609" i="51"/>
  <c r="F610" i="51"/>
  <c r="F611" i="51"/>
  <c r="F612" i="51"/>
  <c r="F613" i="51"/>
  <c r="F882" i="51"/>
  <c r="A629" i="51"/>
  <c r="A620" i="51"/>
  <c r="A621" i="51" s="1"/>
  <c r="A622" i="51" s="1"/>
  <c r="A623" i="51" s="1"/>
  <c r="A624" i="51" s="1"/>
  <c r="A625" i="51" s="1"/>
  <c r="A626" i="51" s="1"/>
  <c r="A627" i="51" s="1"/>
  <c r="F1654" i="51" l="1"/>
  <c r="F1653" i="51"/>
  <c r="F1652" i="51"/>
  <c r="F1651" i="51"/>
  <c r="F1650" i="51"/>
  <c r="F1636" i="51"/>
  <c r="F1632" i="51"/>
  <c r="F1631" i="51"/>
  <c r="F1627" i="51"/>
  <c r="B1624" i="51"/>
  <c r="F1622" i="51"/>
  <c r="F1621" i="51"/>
  <c r="F1620" i="51"/>
  <c r="F1618" i="51"/>
  <c r="F1617" i="51"/>
  <c r="F1616" i="51"/>
  <c r="F1615" i="51"/>
  <c r="F1614" i="51"/>
  <c r="F1613" i="51"/>
  <c r="F1612" i="51"/>
  <c r="F1611" i="51"/>
  <c r="F1610" i="51"/>
  <c r="F1607" i="51"/>
  <c r="F1606" i="51"/>
  <c r="F1603" i="51"/>
  <c r="F1602" i="51"/>
  <c r="F1599" i="51"/>
  <c r="F1598" i="51"/>
  <c r="F1597" i="51"/>
  <c r="F1594" i="51"/>
  <c r="F1593" i="51"/>
  <c r="F1592" i="51"/>
  <c r="F1591" i="51"/>
  <c r="F1590" i="51"/>
  <c r="F1589" i="51"/>
  <c r="F1588" i="51"/>
  <c r="F1587" i="51"/>
  <c r="F1586" i="51"/>
  <c r="F1585" i="51"/>
  <c r="F1584" i="51"/>
  <c r="F1583" i="51"/>
  <c r="F1582" i="51"/>
  <c r="F1581" i="51"/>
  <c r="F1580" i="51"/>
  <c r="F1579" i="51"/>
  <c r="F1578" i="51"/>
  <c r="F1577" i="51"/>
  <c r="F1576" i="51"/>
  <c r="F1573" i="51"/>
  <c r="F1572" i="51"/>
  <c r="F1569" i="51"/>
  <c r="F1568" i="51"/>
  <c r="F1565" i="51"/>
  <c r="F1564" i="51"/>
  <c r="F1563" i="51"/>
  <c r="F1562" i="51"/>
  <c r="F1559" i="51"/>
  <c r="B1554" i="51"/>
  <c r="F1553" i="51"/>
  <c r="F1552" i="51"/>
  <c r="F1551" i="51"/>
  <c r="F1549" i="51"/>
  <c r="F1548" i="51"/>
  <c r="F1547" i="51"/>
  <c r="F1546" i="51"/>
  <c r="F1545" i="51"/>
  <c r="F1544" i="51"/>
  <c r="F1543" i="51"/>
  <c r="F1542" i="51"/>
  <c r="F1541" i="51"/>
  <c r="B1537" i="51"/>
  <c r="F1535" i="51"/>
  <c r="F1532" i="51"/>
  <c r="F1531" i="51"/>
  <c r="F1530" i="51"/>
  <c r="F1529" i="51"/>
  <c r="F1528" i="51"/>
  <c r="F1527" i="51"/>
  <c r="F1526" i="51"/>
  <c r="F1525" i="51"/>
  <c r="F1524" i="51"/>
  <c r="F1523" i="51"/>
  <c r="F1522" i="51"/>
  <c r="F1521" i="51"/>
  <c r="F1520" i="51"/>
  <c r="F1519" i="51"/>
  <c r="F1518" i="51"/>
  <c r="F1515" i="51"/>
  <c r="F1514" i="51"/>
  <c r="F1511" i="51"/>
  <c r="F1510" i="51"/>
  <c r="F1509" i="51"/>
  <c r="F1508" i="51"/>
  <c r="F1507" i="51"/>
  <c r="F1506" i="51"/>
  <c r="F1505" i="51"/>
  <c r="F1502" i="51"/>
  <c r="F1501" i="51"/>
  <c r="F1500" i="51"/>
  <c r="F1497" i="51"/>
  <c r="F1496" i="51"/>
  <c r="F1495" i="51"/>
  <c r="F1492" i="51"/>
  <c r="F1488" i="51"/>
  <c r="F1487" i="51"/>
  <c r="F1484" i="51"/>
  <c r="F1483" i="51"/>
  <c r="F1482" i="51"/>
  <c r="F1481" i="51"/>
  <c r="F1480" i="51"/>
  <c r="F1479" i="51"/>
  <c r="F1478" i="51"/>
  <c r="F1477" i="51"/>
  <c r="F1476" i="51"/>
  <c r="F1475" i="51"/>
  <c r="F1474" i="51"/>
  <c r="F1473" i="51"/>
  <c r="F1472" i="51"/>
  <c r="F1471" i="51"/>
  <c r="F1470" i="51"/>
  <c r="F1467" i="51"/>
  <c r="F1464" i="51"/>
  <c r="F1461" i="51"/>
  <c r="F1460" i="51"/>
  <c r="F1459" i="51"/>
  <c r="F1458" i="51"/>
  <c r="F1455" i="51"/>
  <c r="B1451" i="51"/>
  <c r="F1449" i="51"/>
  <c r="F1446" i="51"/>
  <c r="F1443" i="51"/>
  <c r="F1442" i="51"/>
  <c r="F1441" i="51"/>
  <c r="F1438" i="51"/>
  <c r="B1434" i="51"/>
  <c r="F1432" i="51"/>
  <c r="F1429" i="51"/>
  <c r="F1427" i="51"/>
  <c r="F1426" i="51"/>
  <c r="F1425" i="51"/>
  <c r="F1424" i="51"/>
  <c r="F1423" i="51"/>
  <c r="F1422" i="51"/>
  <c r="F1421" i="51"/>
  <c r="F1420" i="51"/>
  <c r="F1419" i="51"/>
  <c r="F1418" i="51"/>
  <c r="F1417" i="51"/>
  <c r="F1416" i="51"/>
  <c r="F1415" i="51"/>
  <c r="F1411" i="51"/>
  <c r="F1410" i="51"/>
  <c r="F1409" i="51"/>
  <c r="F1408" i="51"/>
  <c r="F1407" i="51"/>
  <c r="F1406" i="51"/>
  <c r="F1405" i="51"/>
  <c r="F1404" i="51"/>
  <c r="F1403" i="51"/>
  <c r="F1402" i="51"/>
  <c r="F1401" i="51"/>
  <c r="F1400" i="51"/>
  <c r="F1397" i="51"/>
  <c r="F1394" i="51"/>
  <c r="F1391" i="51"/>
  <c r="F1390" i="51"/>
  <c r="F1389" i="51"/>
  <c r="F1388" i="51"/>
  <c r="F1385" i="51"/>
  <c r="B1381" i="51"/>
  <c r="F1379" i="51"/>
  <c r="F1378" i="51"/>
  <c r="F1375" i="51"/>
  <c r="F1374" i="51"/>
  <c r="F1373" i="51"/>
  <c r="F1372" i="51"/>
  <c r="F1371" i="51"/>
  <c r="F1370" i="51"/>
  <c r="F1369" i="51"/>
  <c r="F1368" i="51"/>
  <c r="F1367" i="51"/>
  <c r="F1366" i="51"/>
  <c r="F1363" i="51"/>
  <c r="F1360" i="51"/>
  <c r="F1357" i="51"/>
  <c r="F1356" i="51"/>
  <c r="F1355" i="51"/>
  <c r="F1352" i="51"/>
  <c r="B1348" i="51"/>
  <c r="F1346" i="51"/>
  <c r="F1345" i="51"/>
  <c r="F1342" i="51"/>
  <c r="F1341" i="51"/>
  <c r="F1340" i="51"/>
  <c r="F1339" i="51"/>
  <c r="F1338" i="51"/>
  <c r="F1337" i="51"/>
  <c r="F1336" i="51"/>
  <c r="F1335" i="51"/>
  <c r="F1334" i="51"/>
  <c r="F1331" i="51"/>
  <c r="F1328" i="51"/>
  <c r="F1325" i="51"/>
  <c r="F1324" i="51"/>
  <c r="F1323" i="51"/>
  <c r="F1320" i="51"/>
  <c r="F1313" i="51"/>
  <c r="F1312" i="51"/>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F1255" i="51"/>
  <c r="F1254" i="51"/>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1217" i="51"/>
  <c r="F1216" i="51"/>
  <c r="F1215" i="51"/>
  <c r="F1214" i="51"/>
  <c r="F1213" i="51"/>
  <c r="F1212" i="51"/>
  <c r="F1211" i="51"/>
  <c r="F1210" i="51"/>
  <c r="F1208" i="51"/>
  <c r="F1207" i="51"/>
  <c r="F1206" i="51"/>
  <c r="F1205" i="51"/>
  <c r="F1204" i="51"/>
  <c r="F1203" i="51"/>
  <c r="F1202" i="51"/>
  <c r="F1201" i="51"/>
  <c r="F1200" i="51"/>
  <c r="F1199" i="51"/>
  <c r="F1198" i="51"/>
  <c r="F1197" i="51"/>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0" i="51"/>
  <c r="F1149" i="51"/>
  <c r="F1148" i="51"/>
  <c r="F1147" i="51"/>
  <c r="F1146" i="51"/>
  <c r="F1145" i="51"/>
  <c r="F1143" i="51"/>
  <c r="F1142" i="51"/>
  <c r="F1141" i="51"/>
  <c r="F1140" i="51"/>
  <c r="F1139" i="51"/>
  <c r="F1138" i="51"/>
  <c r="F1137"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2" i="51"/>
  <c r="F1081" i="51"/>
  <c r="F1080" i="51"/>
  <c r="F1077" i="51"/>
  <c r="F1076" i="51"/>
  <c r="F1075" i="51"/>
  <c r="F1074" i="51"/>
  <c r="F1071" i="51"/>
  <c r="F1070" i="51"/>
  <c r="F1069" i="51"/>
  <c r="F1068" i="51"/>
  <c r="F1067" i="51"/>
  <c r="F1064" i="51"/>
  <c r="F1063" i="51"/>
  <c r="F1062" i="51"/>
  <c r="F1058" i="51"/>
  <c r="F1057" i="51"/>
  <c r="F1056" i="51"/>
  <c r="F1055" i="51"/>
  <c r="F1052" i="51"/>
  <c r="F1051" i="51"/>
  <c r="F1050" i="51"/>
  <c r="F1049" i="51"/>
  <c r="F1046" i="51"/>
  <c r="F1045" i="51"/>
  <c r="F1044" i="51"/>
  <c r="F1042" i="51"/>
  <c r="F1041" i="51"/>
  <c r="F1040"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2" i="51"/>
  <c r="F970" i="51"/>
  <c r="F968" i="51"/>
  <c r="F967"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1"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0" i="51"/>
  <c r="F899" i="51"/>
  <c r="F898" i="51"/>
  <c r="F897" i="51"/>
  <c r="F896" i="51"/>
  <c r="F895" i="51"/>
  <c r="F894" i="51"/>
  <c r="F893" i="51"/>
  <c r="F892" i="51"/>
  <c r="F891" i="51"/>
  <c r="F890" i="51"/>
  <c r="F889" i="51"/>
  <c r="F888" i="51"/>
  <c r="F886" i="51"/>
  <c r="F884" i="51"/>
  <c r="F883" i="51"/>
  <c r="F881" i="51"/>
  <c r="F880"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7" i="51"/>
  <c r="F836" i="51"/>
  <c r="F834" i="51"/>
  <c r="F833" i="51"/>
  <c r="F832" i="51"/>
  <c r="F831" i="51"/>
  <c r="F830"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3" i="51"/>
  <c r="F802" i="51"/>
  <c r="F801" i="51"/>
  <c r="F800" i="51"/>
  <c r="F799" i="51"/>
  <c r="F798" i="51"/>
  <c r="F797" i="51"/>
  <c r="F796" i="51"/>
  <c r="F795" i="51"/>
  <c r="F794" i="51"/>
  <c r="F793" i="51"/>
  <c r="F792" i="51"/>
  <c r="F791" i="51"/>
  <c r="F790"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6" i="51"/>
  <c r="F735" i="51"/>
  <c r="F734" i="51"/>
  <c r="F733" i="51"/>
  <c r="F731" i="51"/>
  <c r="F730" i="51"/>
  <c r="F729" i="51"/>
  <c r="F728" i="51"/>
  <c r="F727" i="51"/>
  <c r="F726" i="51"/>
  <c r="F725" i="51"/>
  <c r="F724" i="51"/>
  <c r="F723" i="51"/>
  <c r="F722" i="51"/>
  <c r="F721" i="51"/>
  <c r="F720" i="51"/>
  <c r="F718" i="51"/>
  <c r="F715" i="51"/>
  <c r="F714" i="51"/>
  <c r="F713" i="51"/>
  <c r="F712" i="51"/>
  <c r="F709"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7" i="51"/>
  <c r="F656" i="51"/>
  <c r="F655" i="51"/>
  <c r="F654" i="51"/>
  <c r="F653" i="51"/>
  <c r="F652" i="51"/>
  <c r="F651" i="51"/>
  <c r="F650" i="51"/>
  <c r="F649" i="51"/>
  <c r="F648" i="51"/>
  <c r="F647" i="51"/>
  <c r="F646" i="51"/>
  <c r="F645" i="51"/>
  <c r="F644" i="51"/>
  <c r="F643" i="51"/>
  <c r="F642" i="51"/>
  <c r="F641" i="51"/>
  <c r="F640" i="51"/>
  <c r="F639" i="51"/>
  <c r="F638" i="51"/>
  <c r="F637" i="51"/>
  <c r="F635" i="51"/>
  <c r="F634" i="51"/>
  <c r="F633" i="51"/>
  <c r="F632" i="51"/>
  <c r="F631" i="51"/>
  <c r="F630" i="51"/>
  <c r="F629" i="51"/>
  <c r="F628" i="51"/>
  <c r="F627" i="51"/>
  <c r="F626" i="51"/>
  <c r="F625" i="51"/>
  <c r="F624" i="51"/>
  <c r="F623" i="51"/>
  <c r="F622" i="51"/>
  <c r="F621" i="51"/>
  <c r="F619" i="51"/>
  <c r="F618" i="51"/>
  <c r="F617" i="51"/>
  <c r="F616" i="51"/>
  <c r="F615" i="51"/>
  <c r="F614"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2" i="51"/>
  <c r="F541" i="51"/>
  <c r="F540" i="51"/>
  <c r="F539" i="51"/>
  <c r="F537" i="51"/>
  <c r="F536" i="51"/>
  <c r="F535" i="51"/>
  <c r="F534" i="51"/>
  <c r="F533" i="51"/>
  <c r="F532" i="51"/>
  <c r="F531" i="51"/>
  <c r="F530" i="51"/>
  <c r="F529" i="51"/>
  <c r="F528" i="51"/>
  <c r="F527" i="51"/>
  <c r="F526" i="51"/>
  <c r="F525" i="51"/>
  <c r="F524" i="51"/>
  <c r="F523" i="51"/>
  <c r="F522" i="51"/>
  <c r="F521" i="51"/>
  <c r="F520" i="51"/>
  <c r="F519" i="51"/>
  <c r="F517" i="51"/>
  <c r="F516" i="51"/>
  <c r="F515" i="51"/>
  <c r="F514" i="51"/>
  <c r="F513" i="51"/>
  <c r="F512" i="51"/>
  <c r="F511" i="51"/>
  <c r="F510" i="51"/>
  <c r="F509" i="51"/>
  <c r="F508" i="51"/>
  <c r="F507" i="51"/>
  <c r="F506" i="51"/>
  <c r="F505" i="51"/>
  <c r="F504" i="51"/>
  <c r="F503" i="51"/>
  <c r="F502" i="51"/>
  <c r="F501" i="51"/>
  <c r="F500" i="51"/>
  <c r="F499" i="51"/>
  <c r="F498" i="51"/>
  <c r="F496" i="51"/>
  <c r="F495" i="51"/>
  <c r="F494" i="51"/>
  <c r="F493" i="51"/>
  <c r="F492" i="51"/>
  <c r="F491" i="51"/>
  <c r="F490" i="51"/>
  <c r="F489" i="51"/>
  <c r="F488" i="51"/>
  <c r="F487" i="51"/>
  <c r="F486" i="51"/>
  <c r="F485" i="51"/>
  <c r="F484" i="51"/>
  <c r="F483" i="51"/>
  <c r="F481" i="51"/>
  <c r="F479" i="51"/>
  <c r="F477" i="51"/>
  <c r="F476" i="51"/>
  <c r="F475" i="51"/>
  <c r="F474" i="51"/>
  <c r="F473" i="51"/>
  <c r="F472" i="51"/>
  <c r="F471" i="51"/>
  <c r="F470" i="51"/>
  <c r="F469" i="51"/>
  <c r="F468" i="51"/>
  <c r="F467" i="51"/>
  <c r="F465"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4" i="51"/>
  <c r="F365" i="51"/>
  <c r="F364" i="51"/>
  <c r="F363" i="51"/>
  <c r="F360" i="51"/>
  <c r="F359" i="51"/>
  <c r="F358" i="51"/>
  <c r="F357" i="51"/>
  <c r="F356" i="51"/>
  <c r="F353" i="51"/>
  <c r="F350" i="51"/>
  <c r="F349" i="51"/>
  <c r="F348" i="51"/>
  <c r="F347" i="51"/>
  <c r="F344" i="51"/>
  <c r="F343" i="51"/>
  <c r="F342" i="51"/>
  <c r="F339" i="51"/>
  <c r="F338" i="51"/>
  <c r="F334" i="51"/>
  <c r="F333" i="51"/>
  <c r="F331" i="51"/>
  <c r="F328" i="51"/>
  <c r="F327" i="51"/>
  <c r="F324" i="51"/>
  <c r="F323" i="51"/>
  <c r="F322" i="51"/>
  <c r="F321" i="51"/>
  <c r="F318" i="51"/>
  <c r="F317" i="51"/>
  <c r="F314" i="51"/>
  <c r="F313" i="51"/>
  <c r="F312" i="51"/>
  <c r="F310" i="51"/>
  <c r="F309" i="51"/>
  <c r="F308" i="51"/>
  <c r="F307" i="51"/>
  <c r="F306" i="51"/>
  <c r="F305" i="51"/>
  <c r="F301" i="51"/>
  <c r="F300" i="51"/>
  <c r="F299" i="51"/>
  <c r="F298" i="51"/>
  <c r="F297" i="51"/>
  <c r="F296" i="51"/>
  <c r="F295" i="51"/>
  <c r="F294" i="51"/>
  <c r="F293" i="51"/>
  <c r="F290" i="51"/>
  <c r="F289" i="51"/>
  <c r="F288" i="51"/>
  <c r="F287" i="51"/>
  <c r="F286" i="51"/>
  <c r="F285" i="51"/>
  <c r="F282" i="51"/>
  <c r="F281" i="51"/>
  <c r="F280" i="51"/>
  <c r="F279" i="51"/>
  <c r="F278" i="51"/>
  <c r="F277" i="51"/>
  <c r="F274" i="51"/>
  <c r="F273" i="51"/>
  <c r="F272" i="51"/>
  <c r="F271" i="51"/>
  <c r="F270" i="51"/>
  <c r="F269" i="51"/>
  <c r="F266" i="51"/>
  <c r="F265" i="51"/>
  <c r="F264" i="51"/>
  <c r="F263" i="51"/>
  <c r="F262" i="51"/>
  <c r="F261" i="51"/>
  <c r="F260" i="51"/>
  <c r="F257" i="51"/>
  <c r="F256" i="51"/>
  <c r="F255" i="51"/>
  <c r="F254" i="51"/>
  <c r="F253" i="51"/>
  <c r="F252" i="51"/>
  <c r="F248" i="51"/>
  <c r="F247" i="51"/>
  <c r="F246" i="51"/>
  <c r="F245" i="51"/>
  <c r="F244" i="51"/>
  <c r="F243" i="51"/>
  <c r="F242" i="51"/>
  <c r="F241" i="51"/>
  <c r="F236" i="51"/>
  <c r="F234" i="51"/>
  <c r="F233" i="51"/>
  <c r="F232" i="51"/>
  <c r="F231" i="51"/>
  <c r="F228" i="51"/>
  <c r="F227" i="51"/>
  <c r="F226" i="51"/>
  <c r="F225" i="51"/>
  <c r="F222" i="51"/>
  <c r="F219" i="51"/>
  <c r="F216" i="51"/>
  <c r="F215" i="51"/>
  <c r="F214" i="51"/>
  <c r="F211" i="51"/>
  <c r="F206" i="51"/>
  <c r="F204" i="51"/>
  <c r="F203" i="51"/>
  <c r="F202" i="51"/>
  <c r="F201" i="51"/>
  <c r="F198" i="51"/>
  <c r="F197" i="51"/>
  <c r="F196" i="51"/>
  <c r="F195" i="51"/>
  <c r="F194" i="51"/>
  <c r="F193" i="51"/>
  <c r="F192" i="51"/>
  <c r="F191" i="51"/>
  <c r="F190" i="51"/>
  <c r="F187" i="51"/>
  <c r="F185" i="51"/>
  <c r="F183" i="51"/>
  <c r="F181" i="51"/>
  <c r="F179" i="51"/>
  <c r="F178" i="51"/>
  <c r="F177" i="51"/>
  <c r="F176" i="51"/>
  <c r="F175" i="51"/>
  <c r="F174" i="51"/>
  <c r="F173" i="51"/>
  <c r="F172" i="51"/>
  <c r="F169" i="51"/>
  <c r="F168" i="51"/>
  <c r="F167" i="51"/>
  <c r="F164" i="51"/>
  <c r="F163" i="51"/>
  <c r="F162" i="51"/>
  <c r="F161" i="51"/>
  <c r="F160" i="51"/>
  <c r="F159" i="51"/>
  <c r="F158" i="51"/>
  <c r="F155" i="51"/>
  <c r="F153" i="51"/>
  <c r="F148" i="51"/>
  <c r="F147" i="51"/>
  <c r="F146" i="51"/>
  <c r="F143" i="51"/>
  <c r="F142" i="51"/>
  <c r="F141" i="51"/>
  <c r="F140" i="51"/>
  <c r="F139" i="51"/>
  <c r="F138" i="51"/>
  <c r="F137" i="51"/>
  <c r="F136" i="51"/>
  <c r="F135" i="51"/>
  <c r="F134" i="51"/>
  <c r="F133" i="51"/>
  <c r="F132" i="51"/>
  <c r="F131" i="51"/>
  <c r="F130" i="51"/>
  <c r="F129" i="51"/>
  <c r="F128" i="51"/>
  <c r="F127" i="51"/>
  <c r="F126" i="51"/>
  <c r="F125" i="51"/>
  <c r="F124" i="51"/>
  <c r="F121" i="51"/>
  <c r="F120" i="51"/>
  <c r="F119" i="51"/>
  <c r="F118" i="51"/>
  <c r="F117" i="51"/>
  <c r="F116" i="51"/>
  <c r="F115" i="51"/>
  <c r="F114" i="51"/>
  <c r="F113" i="51"/>
  <c r="F112" i="51"/>
  <c r="F111" i="51"/>
  <c r="F108" i="51"/>
  <c r="F107" i="51"/>
  <c r="F106" i="51"/>
  <c r="F105" i="51"/>
  <c r="F104" i="51"/>
  <c r="F103" i="51"/>
  <c r="F102" i="51"/>
  <c r="F101" i="51"/>
  <c r="F100" i="51"/>
  <c r="F99" i="51"/>
  <c r="F98" i="51"/>
  <c r="F97" i="51"/>
  <c r="F96" i="51"/>
  <c r="F95" i="51"/>
  <c r="F94" i="51"/>
  <c r="F93" i="51"/>
  <c r="F92" i="51"/>
  <c r="F91" i="51"/>
  <c r="F90" i="51"/>
  <c r="F89" i="51"/>
  <c r="F88" i="51"/>
  <c r="F87" i="51"/>
  <c r="F81" i="51"/>
  <c r="F80" i="51"/>
  <c r="F76" i="51"/>
  <c r="F73" i="51"/>
  <c r="F71" i="51"/>
  <c r="F68" i="51"/>
  <c r="F66" i="51"/>
  <c r="F65" i="51"/>
  <c r="F64" i="51"/>
  <c r="F63" i="51"/>
  <c r="F62" i="51"/>
  <c r="F61" i="51"/>
  <c r="F58" i="51"/>
  <c r="F55" i="51"/>
  <c r="F54" i="51"/>
  <c r="F53" i="51"/>
  <c r="F52" i="51"/>
  <c r="F51" i="51"/>
  <c r="F50" i="51"/>
  <c r="F49" i="51"/>
  <c r="F48" i="51"/>
  <c r="F47" i="51"/>
  <c r="F44" i="51"/>
  <c r="F43" i="51"/>
  <c r="F42" i="51"/>
  <c r="F39" i="51"/>
  <c r="F33" i="51"/>
  <c r="F32" i="51"/>
  <c r="F31" i="51"/>
  <c r="F29" i="51"/>
  <c r="F28" i="51"/>
  <c r="F25" i="51"/>
  <c r="F24" i="51"/>
  <c r="F23" i="51"/>
  <c r="F22" i="51"/>
  <c r="F16" i="51"/>
  <c r="F367" i="51" l="1"/>
  <c r="F82" i="51"/>
  <c r="F237" i="51"/>
  <c r="F973" i="51"/>
  <c r="F149" i="51"/>
  <c r="F34" i="51"/>
  <c r="F335" i="51"/>
  <c r="F538" i="51"/>
  <c r="F207" i="51"/>
  <c r="F710" i="51"/>
  <c r="F788" i="51"/>
  <c r="F835" i="51"/>
  <c r="F1633" i="51"/>
  <c r="F1624" i="51"/>
  <c r="F1277" i="51"/>
  <c r="F1451" i="51"/>
  <c r="F1078" i="51"/>
  <c r="F1152" i="51"/>
  <c r="F1348" i="51"/>
  <c r="F1434" i="51"/>
  <c r="F1537" i="51"/>
  <c r="F1554" i="51"/>
  <c r="F1038" i="51"/>
  <c r="F1134" i="51"/>
  <c r="F1209" i="51"/>
  <c r="F1314" i="51"/>
  <c r="F1381" i="51"/>
  <c r="F368" i="51" l="1"/>
  <c r="F1555" i="51"/>
  <c r="F1315" i="51"/>
  <c r="F1634" i="51" l="1"/>
  <c r="F1643" i="51" l="1"/>
  <c r="F1648" i="51"/>
  <c r="F1639" i="51"/>
  <c r="F1647" i="51"/>
  <c r="F1645" i="51"/>
  <c r="F1640" i="51"/>
  <c r="F1638" i="51"/>
  <c r="F1644" i="51" s="1"/>
  <c r="F1641" i="51"/>
  <c r="F1635" i="51"/>
  <c r="F1649" i="51"/>
  <c r="F1642" i="51"/>
  <c r="F1646" i="51"/>
  <c r="F1655" i="51" l="1"/>
  <c r="F1656" i="51" s="1"/>
  <c r="F1658" i="51" s="1"/>
  <c r="F994" i="49" l="1"/>
  <c r="F993" i="49"/>
  <c r="F992" i="49"/>
  <c r="F991" i="49"/>
  <c r="F977" i="49"/>
  <c r="F973" i="49"/>
  <c r="F972" i="49"/>
  <c r="F971" i="49"/>
  <c r="F970" i="49"/>
  <c r="F966" i="49"/>
  <c r="F965" i="49"/>
  <c r="F964" i="49"/>
  <c r="F963" i="49"/>
  <c r="F962" i="49"/>
  <c r="F961" i="49"/>
  <c r="F960" i="49"/>
  <c r="F959" i="49"/>
  <c r="F958" i="49"/>
  <c r="F957" i="49"/>
  <c r="F956" i="49"/>
  <c r="F955" i="49"/>
  <c r="F954" i="49"/>
  <c r="F953" i="49"/>
  <c r="F952" i="49"/>
  <c r="F951" i="49"/>
  <c r="F950" i="49"/>
  <c r="F949" i="49"/>
  <c r="F948" i="49"/>
  <c r="F947" i="49"/>
  <c r="F946" i="49"/>
  <c r="F945" i="49"/>
  <c r="F944" i="49"/>
  <c r="F943" i="49"/>
  <c r="F942" i="49"/>
  <c r="F941" i="49"/>
  <c r="F940" i="49"/>
  <c r="F939" i="49"/>
  <c r="F938" i="49"/>
  <c r="F937" i="49"/>
  <c r="F936" i="49"/>
  <c r="F935" i="49"/>
  <c r="F934" i="49"/>
  <c r="F933" i="49"/>
  <c r="F932" i="49"/>
  <c r="F931" i="49"/>
  <c r="F930" i="49"/>
  <c r="F928" i="49"/>
  <c r="F927" i="49"/>
  <c r="F926" i="49"/>
  <c r="F925" i="49"/>
  <c r="F924" i="49"/>
  <c r="F923" i="49"/>
  <c r="F922" i="49"/>
  <c r="F921" i="49"/>
  <c r="F920" i="49"/>
  <c r="F919" i="49"/>
  <c r="F918" i="49"/>
  <c r="F917" i="49"/>
  <c r="F916" i="49"/>
  <c r="F915" i="49"/>
  <c r="F914" i="49"/>
  <c r="F913" i="49"/>
  <c r="F912" i="49"/>
  <c r="F911" i="49"/>
  <c r="F910" i="49"/>
  <c r="F909" i="49"/>
  <c r="F908" i="49"/>
  <c r="F907" i="49"/>
  <c r="F906" i="49"/>
  <c r="F905" i="49"/>
  <c r="F904" i="49"/>
  <c r="F903" i="49"/>
  <c r="F902" i="49"/>
  <c r="F901" i="49"/>
  <c r="F900" i="49"/>
  <c r="F899" i="49"/>
  <c r="F898" i="49"/>
  <c r="F897" i="49"/>
  <c r="F896" i="49"/>
  <c r="F895" i="49"/>
  <c r="F894" i="49"/>
  <c r="F893" i="49"/>
  <c r="F892" i="49"/>
  <c r="F891" i="49"/>
  <c r="F890" i="49"/>
  <c r="F889" i="49"/>
  <c r="F888" i="49"/>
  <c r="F887" i="49"/>
  <c r="F886" i="49"/>
  <c r="F885" i="49"/>
  <c r="F884" i="49"/>
  <c r="F883" i="49"/>
  <c r="F882" i="49"/>
  <c r="F881" i="49"/>
  <c r="F880" i="49"/>
  <c r="F879" i="49"/>
  <c r="F878" i="49"/>
  <c r="F877" i="49"/>
  <c r="F876" i="49"/>
  <c r="F875" i="49"/>
  <c r="F874" i="49"/>
  <c r="F873" i="49"/>
  <c r="F872" i="49"/>
  <c r="F871" i="49"/>
  <c r="F870" i="49"/>
  <c r="F869" i="49"/>
  <c r="F868" i="49"/>
  <c r="F867" i="49"/>
  <c r="F866" i="49"/>
  <c r="F865" i="49"/>
  <c r="F864" i="49"/>
  <c r="F863" i="49"/>
  <c r="F862" i="49"/>
  <c r="F861" i="49"/>
  <c r="F859" i="49"/>
  <c r="F858" i="49"/>
  <c r="F857" i="49"/>
  <c r="F856" i="49"/>
  <c r="F855" i="49"/>
  <c r="F854" i="49"/>
  <c r="F853" i="49"/>
  <c r="F852" i="49"/>
  <c r="F851" i="49"/>
  <c r="F850" i="49"/>
  <c r="F849" i="49"/>
  <c r="F848" i="49"/>
  <c r="F847" i="49"/>
  <c r="F846" i="49"/>
  <c r="F845" i="49"/>
  <c r="F844" i="49"/>
  <c r="F843" i="49"/>
  <c r="F842" i="49"/>
  <c r="F841" i="49"/>
  <c r="F840" i="49"/>
  <c r="F839" i="49"/>
  <c r="F838" i="49"/>
  <c r="F837" i="49"/>
  <c r="F836" i="49"/>
  <c r="F835" i="49"/>
  <c r="F834" i="49"/>
  <c r="F833" i="49"/>
  <c r="F832" i="49"/>
  <c r="F831" i="49"/>
  <c r="F830" i="49"/>
  <c r="F829" i="49"/>
  <c r="F828" i="49"/>
  <c r="F827" i="49"/>
  <c r="F826" i="49"/>
  <c r="F825" i="49"/>
  <c r="F824" i="49"/>
  <c r="F823" i="49"/>
  <c r="F822" i="49"/>
  <c r="F821" i="49"/>
  <c r="F820" i="49"/>
  <c r="F819" i="49"/>
  <c r="F818" i="49"/>
  <c r="F817" i="49"/>
  <c r="F816" i="49"/>
  <c r="F815" i="49"/>
  <c r="F814" i="49"/>
  <c r="F813" i="49"/>
  <c r="F812" i="49"/>
  <c r="F811" i="49"/>
  <c r="F810" i="49"/>
  <c r="F809" i="49"/>
  <c r="F808" i="49"/>
  <c r="F807" i="49"/>
  <c r="F806" i="49"/>
  <c r="F805" i="49"/>
  <c r="F804" i="49"/>
  <c r="F801" i="49"/>
  <c r="F800" i="49"/>
  <c r="F799" i="49"/>
  <c r="F798" i="49"/>
  <c r="F797" i="49"/>
  <c r="F796" i="49"/>
  <c r="F794" i="49"/>
  <c r="F793" i="49"/>
  <c r="F792" i="49"/>
  <c r="F791" i="49"/>
  <c r="F790" i="49"/>
  <c r="F789" i="49"/>
  <c r="F788" i="49"/>
  <c r="F784" i="49"/>
  <c r="F783" i="49"/>
  <c r="F782" i="49"/>
  <c r="F781" i="49"/>
  <c r="F780" i="49"/>
  <c r="F779" i="49"/>
  <c r="F778" i="49"/>
  <c r="F777" i="49"/>
  <c r="F776" i="49"/>
  <c r="F775" i="49"/>
  <c r="F774" i="49"/>
  <c r="F773" i="49"/>
  <c r="F772" i="49"/>
  <c r="F771" i="49"/>
  <c r="F770" i="49"/>
  <c r="F769" i="49"/>
  <c r="F768" i="49"/>
  <c r="F767" i="49"/>
  <c r="F766" i="49"/>
  <c r="F765" i="49"/>
  <c r="F764" i="49"/>
  <c r="F763" i="49"/>
  <c r="F762" i="49"/>
  <c r="F761" i="49"/>
  <c r="F760" i="49"/>
  <c r="F759" i="49"/>
  <c r="F758" i="49"/>
  <c r="F757" i="49"/>
  <c r="F756" i="49"/>
  <c r="F755" i="49"/>
  <c r="F754" i="49"/>
  <c r="F753" i="49"/>
  <c r="F752" i="49"/>
  <c r="F751" i="49"/>
  <c r="F750" i="49"/>
  <c r="F749" i="49"/>
  <c r="F748" i="49"/>
  <c r="F747" i="49"/>
  <c r="F746" i="49"/>
  <c r="F745" i="49"/>
  <c r="F744" i="49"/>
  <c r="F743" i="49"/>
  <c r="F742" i="49"/>
  <c r="F741" i="49"/>
  <c r="F740" i="49"/>
  <c r="F739" i="49"/>
  <c r="F738" i="49"/>
  <c r="F737" i="49"/>
  <c r="F736" i="49"/>
  <c r="F735" i="49"/>
  <c r="F733" i="49"/>
  <c r="F732" i="49"/>
  <c r="F731" i="49"/>
  <c r="F728" i="49"/>
  <c r="F727" i="49"/>
  <c r="F726" i="49"/>
  <c r="F725" i="49"/>
  <c r="F722" i="49"/>
  <c r="F721" i="49"/>
  <c r="F720" i="49"/>
  <c r="F719" i="49"/>
  <c r="F718" i="49"/>
  <c r="F715" i="49"/>
  <c r="F714" i="49"/>
  <c r="F713" i="49"/>
  <c r="F709" i="49"/>
  <c r="F708" i="49"/>
  <c r="F707" i="49"/>
  <c r="F706" i="49"/>
  <c r="F703" i="49"/>
  <c r="F702" i="49"/>
  <c r="F701" i="49"/>
  <c r="F700" i="49"/>
  <c r="F697" i="49"/>
  <c r="F696" i="49"/>
  <c r="F695" i="49"/>
  <c r="F693" i="49"/>
  <c r="F692" i="49"/>
  <c r="F691" i="49"/>
  <c r="F688" i="49"/>
  <c r="F687" i="49"/>
  <c r="F686" i="49"/>
  <c r="F685" i="49"/>
  <c r="F684" i="49"/>
  <c r="F683" i="49"/>
  <c r="F682" i="49"/>
  <c r="F681" i="49"/>
  <c r="F680" i="49"/>
  <c r="F679" i="49"/>
  <c r="F678" i="49"/>
  <c r="F677" i="49"/>
  <c r="F676" i="49"/>
  <c r="F675" i="49"/>
  <c r="F674" i="49"/>
  <c r="F673" i="49"/>
  <c r="F672" i="49"/>
  <c r="F671" i="49"/>
  <c r="F670" i="49"/>
  <c r="F669" i="49"/>
  <c r="F668" i="49"/>
  <c r="F667" i="49"/>
  <c r="F666" i="49"/>
  <c r="F665" i="49"/>
  <c r="F664" i="49"/>
  <c r="F663" i="49"/>
  <c r="F662" i="49"/>
  <c r="F661" i="49"/>
  <c r="F660" i="49"/>
  <c r="F659" i="49"/>
  <c r="F658" i="49"/>
  <c r="F657" i="49"/>
  <c r="F656" i="49"/>
  <c r="F655" i="49"/>
  <c r="F654" i="49"/>
  <c r="F653" i="49"/>
  <c r="F652" i="49"/>
  <c r="F651" i="49"/>
  <c r="F650" i="49"/>
  <c r="F649" i="49"/>
  <c r="F648" i="49"/>
  <c r="F647" i="49"/>
  <c r="F646" i="49"/>
  <c r="F645" i="49"/>
  <c r="F644" i="49"/>
  <c r="F643" i="49"/>
  <c r="F642" i="49"/>
  <c r="F641" i="49"/>
  <c r="F640" i="49"/>
  <c r="F639" i="49"/>
  <c r="F638" i="49"/>
  <c r="F637" i="49"/>
  <c r="F636" i="49"/>
  <c r="F635" i="49"/>
  <c r="F634" i="49"/>
  <c r="F633" i="49"/>
  <c r="F632" i="49"/>
  <c r="F631" i="49"/>
  <c r="F630" i="49"/>
  <c r="F629" i="49"/>
  <c r="F628" i="49"/>
  <c r="F627" i="49"/>
  <c r="F626" i="49"/>
  <c r="F625" i="49"/>
  <c r="F623" i="49"/>
  <c r="F621" i="49"/>
  <c r="F619" i="49"/>
  <c r="F618" i="49"/>
  <c r="F616" i="49"/>
  <c r="F615" i="49"/>
  <c r="F614" i="49"/>
  <c r="F613" i="49"/>
  <c r="F612" i="49"/>
  <c r="F611" i="49"/>
  <c r="F610" i="49"/>
  <c r="F609" i="49"/>
  <c r="F608" i="49"/>
  <c r="F607" i="49"/>
  <c r="F606" i="49"/>
  <c r="F605" i="49"/>
  <c r="F604" i="49"/>
  <c r="F603" i="49"/>
  <c r="F602" i="49"/>
  <c r="F601" i="49"/>
  <c r="F600" i="49"/>
  <c r="F599" i="49"/>
  <c r="F598" i="49"/>
  <c r="F597" i="49"/>
  <c r="F596" i="49"/>
  <c r="F595" i="49"/>
  <c r="F594" i="49"/>
  <c r="F592" i="49"/>
  <c r="F590" i="49"/>
  <c r="F589" i="49"/>
  <c r="F588" i="49"/>
  <c r="F587" i="49"/>
  <c r="F586" i="49"/>
  <c r="F585" i="49"/>
  <c r="F584" i="49"/>
  <c r="F583" i="49"/>
  <c r="F582" i="49"/>
  <c r="F581" i="49"/>
  <c r="F580" i="49"/>
  <c r="F579" i="49"/>
  <c r="F578" i="49"/>
  <c r="F577" i="49"/>
  <c r="F576" i="49"/>
  <c r="F575" i="49"/>
  <c r="F574" i="49"/>
  <c r="F573" i="49"/>
  <c r="F572" i="49"/>
  <c r="F571" i="49"/>
  <c r="F570" i="49"/>
  <c r="F569" i="49"/>
  <c r="F568" i="49"/>
  <c r="F567" i="49"/>
  <c r="F566" i="49"/>
  <c r="F565" i="49"/>
  <c r="F564" i="49"/>
  <c r="F563" i="49"/>
  <c r="F562" i="49"/>
  <c r="F561" i="49"/>
  <c r="F560" i="49"/>
  <c r="F559" i="49"/>
  <c r="F558" i="49"/>
  <c r="F557" i="49"/>
  <c r="F556" i="49"/>
  <c r="F555" i="49"/>
  <c r="F554" i="49"/>
  <c r="F553" i="49"/>
  <c r="F551" i="49"/>
  <c r="F550" i="49"/>
  <c r="F549" i="49"/>
  <c r="F548" i="49"/>
  <c r="F547" i="49"/>
  <c r="F546" i="49"/>
  <c r="F545" i="49"/>
  <c r="F544" i="49"/>
  <c r="F543" i="49"/>
  <c r="F542" i="49"/>
  <c r="F541" i="49"/>
  <c r="F540" i="49"/>
  <c r="F539" i="49"/>
  <c r="F537" i="49"/>
  <c r="F536" i="49"/>
  <c r="F535" i="49"/>
  <c r="F534" i="49"/>
  <c r="F533" i="49"/>
  <c r="F532" i="49"/>
  <c r="F531" i="49"/>
  <c r="F530" i="49"/>
  <c r="F529" i="49"/>
  <c r="F528" i="49"/>
  <c r="F527" i="49"/>
  <c r="F526" i="49"/>
  <c r="F525" i="49"/>
  <c r="F524" i="49"/>
  <c r="F523" i="49"/>
  <c r="F522" i="49"/>
  <c r="F521" i="49"/>
  <c r="F520" i="49"/>
  <c r="F519" i="49"/>
  <c r="F518" i="49"/>
  <c r="F517" i="49"/>
  <c r="F516" i="49"/>
  <c r="F515" i="49"/>
  <c r="F514" i="49"/>
  <c r="F513" i="49"/>
  <c r="F512" i="49"/>
  <c r="F511" i="49"/>
  <c r="F510" i="49"/>
  <c r="F509" i="49"/>
  <c r="F508" i="49"/>
  <c r="F507" i="49"/>
  <c r="F506" i="49"/>
  <c r="F505" i="49"/>
  <c r="F504" i="49"/>
  <c r="F503" i="49"/>
  <c r="F502" i="49"/>
  <c r="F501" i="49"/>
  <c r="F500" i="49"/>
  <c r="F499" i="49"/>
  <c r="F498" i="49"/>
  <c r="F497" i="49"/>
  <c r="F496" i="49"/>
  <c r="F494" i="49"/>
  <c r="F493" i="49"/>
  <c r="F491" i="49"/>
  <c r="F490" i="49"/>
  <c r="F489" i="49"/>
  <c r="F488" i="49"/>
  <c r="F487" i="49"/>
  <c r="F485" i="49"/>
  <c r="F484" i="49"/>
  <c r="F483" i="49"/>
  <c r="F482" i="49"/>
  <c r="F481" i="49"/>
  <c r="F480" i="49"/>
  <c r="F479" i="49"/>
  <c r="F478" i="49"/>
  <c r="F477" i="49"/>
  <c r="F476" i="49"/>
  <c r="F475" i="49"/>
  <c r="F474" i="49"/>
  <c r="F473" i="49"/>
  <c r="F472" i="49"/>
  <c r="F471" i="49"/>
  <c r="F470" i="49"/>
  <c r="F469" i="49"/>
  <c r="F468" i="49"/>
  <c r="F467" i="49"/>
  <c r="F466" i="49"/>
  <c r="F465" i="49"/>
  <c r="F464" i="49"/>
  <c r="F463" i="49"/>
  <c r="F462" i="49"/>
  <c r="F461" i="49"/>
  <c r="F460" i="49"/>
  <c r="F459" i="49"/>
  <c r="F458" i="49"/>
  <c r="F457" i="49"/>
  <c r="F456" i="49"/>
  <c r="F455" i="49"/>
  <c r="F454" i="49"/>
  <c r="F453" i="49"/>
  <c r="F452" i="49"/>
  <c r="F451" i="49"/>
  <c r="F450" i="49"/>
  <c r="F449" i="49"/>
  <c r="F448" i="49"/>
  <c r="F447" i="49"/>
  <c r="F444" i="49"/>
  <c r="F443" i="49"/>
  <c r="F442" i="49"/>
  <c r="F441" i="49"/>
  <c r="F440" i="49"/>
  <c r="F439" i="49"/>
  <c r="F438" i="49"/>
  <c r="F437" i="49"/>
  <c r="F436" i="49"/>
  <c r="F435" i="49"/>
  <c r="F434" i="49"/>
  <c r="F433" i="49"/>
  <c r="F432" i="49"/>
  <c r="F431" i="49"/>
  <c r="F430" i="49"/>
  <c r="F429" i="49"/>
  <c r="F428" i="49"/>
  <c r="F427" i="49"/>
  <c r="F426" i="49"/>
  <c r="F425" i="49"/>
  <c r="F424" i="49"/>
  <c r="F423" i="49"/>
  <c r="F422" i="49"/>
  <c r="F421" i="49"/>
  <c r="F420" i="49"/>
  <c r="F419" i="49"/>
  <c r="F418" i="49"/>
  <c r="F417" i="49"/>
  <c r="F416" i="49"/>
  <c r="F415" i="49"/>
  <c r="F414" i="49"/>
  <c r="F413" i="49"/>
  <c r="F412" i="49"/>
  <c r="F411" i="49"/>
  <c r="F410" i="49"/>
  <c r="F409" i="49"/>
  <c r="F408" i="49"/>
  <c r="F407" i="49"/>
  <c r="F406" i="49"/>
  <c r="F405" i="49"/>
  <c r="F404" i="49"/>
  <c r="F403" i="49"/>
  <c r="F402" i="49"/>
  <c r="F401" i="49"/>
  <c r="F400" i="49"/>
  <c r="F399" i="49"/>
  <c r="F398" i="49"/>
  <c r="F397" i="49"/>
  <c r="F396" i="49"/>
  <c r="F395" i="49"/>
  <c r="F394" i="49"/>
  <c r="F393" i="49"/>
  <c r="F392" i="49"/>
  <c r="F391" i="49"/>
  <c r="F390" i="49"/>
  <c r="F388" i="49"/>
  <c r="F387" i="49"/>
  <c r="F386" i="49"/>
  <c r="F385" i="49"/>
  <c r="F384" i="49"/>
  <c r="F383" i="49"/>
  <c r="F382" i="49"/>
  <c r="F381" i="49"/>
  <c r="F380" i="49"/>
  <c r="F379" i="49"/>
  <c r="F378" i="49"/>
  <c r="F377" i="49"/>
  <c r="F376" i="49"/>
  <c r="F375" i="49"/>
  <c r="F372" i="49"/>
  <c r="F371" i="49"/>
  <c r="F370" i="49"/>
  <c r="F369" i="49"/>
  <c r="F366" i="49"/>
  <c r="F364" i="49"/>
  <c r="F363" i="49"/>
  <c r="F362" i="49"/>
  <c r="F361" i="49"/>
  <c r="F360" i="49"/>
  <c r="F359" i="49"/>
  <c r="F358" i="49"/>
  <c r="F357" i="49"/>
  <c r="F356" i="49"/>
  <c r="F355" i="49"/>
  <c r="F354" i="49"/>
  <c r="F353" i="49"/>
  <c r="F352" i="49"/>
  <c r="F351" i="49"/>
  <c r="F350" i="49"/>
  <c r="F349" i="49"/>
  <c r="F348" i="49"/>
  <c r="F347" i="49"/>
  <c r="F346" i="49"/>
  <c r="F345" i="49"/>
  <c r="F344" i="49"/>
  <c r="F343" i="49"/>
  <c r="F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F317" i="49"/>
  <c r="F316" i="49"/>
  <c r="F314" i="49"/>
  <c r="F313" i="49"/>
  <c r="F312" i="49"/>
  <c r="F311" i="49"/>
  <c r="F310" i="49"/>
  <c r="F309" i="49"/>
  <c r="F308" i="49"/>
  <c r="F307" i="49"/>
  <c r="F306" i="49"/>
  <c r="F305" i="49"/>
  <c r="F304" i="49"/>
  <c r="F303" i="49"/>
  <c r="F302" i="49"/>
  <c r="F301" i="49"/>
  <c r="F300" i="49"/>
  <c r="F299" i="49"/>
  <c r="F298" i="49"/>
  <c r="F297" i="49"/>
  <c r="F296" i="49"/>
  <c r="F295" i="49"/>
  <c r="F294" i="49"/>
  <c r="F292" i="49"/>
  <c r="F291" i="49"/>
  <c r="F290" i="49"/>
  <c r="F289" i="49"/>
  <c r="F288" i="49"/>
  <c r="F287" i="49"/>
  <c r="F286" i="49"/>
  <c r="F285" i="49"/>
  <c r="F284" i="49"/>
  <c r="F283" i="49"/>
  <c r="F282" i="49"/>
  <c r="F281"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1" i="49"/>
  <c r="F250" i="49"/>
  <c r="F249" i="49"/>
  <c r="F248" i="49"/>
  <c r="F247" i="49"/>
  <c r="F246" i="49"/>
  <c r="F245" i="49"/>
  <c r="F244" i="49"/>
  <c r="F243" i="49"/>
  <c r="F242" i="49"/>
  <c r="F241" i="49"/>
  <c r="F240" i="49"/>
  <c r="F239" i="49"/>
  <c r="F238" i="49"/>
  <c r="F237" i="49"/>
  <c r="F236" i="49"/>
  <c r="F235" i="49"/>
  <c r="F234" i="49"/>
  <c r="F233" i="49"/>
  <c r="F232" i="49"/>
  <c r="F231" i="49"/>
  <c r="F230" i="49"/>
  <c r="F229" i="49"/>
  <c r="F228" i="49"/>
  <c r="F227" i="49"/>
  <c r="F226" i="49"/>
  <c r="F225" i="49"/>
  <c r="F224" i="49"/>
  <c r="F223" i="49"/>
  <c r="F222" i="49"/>
  <c r="F221" i="49"/>
  <c r="F220" i="49"/>
  <c r="F219" i="49"/>
  <c r="F218" i="49"/>
  <c r="F217" i="49"/>
  <c r="F216" i="49"/>
  <c r="F214" i="49"/>
  <c r="F213" i="49"/>
  <c r="F212" i="49"/>
  <c r="F211" i="49"/>
  <c r="F210" i="49"/>
  <c r="F209" i="49"/>
  <c r="F208" i="49"/>
  <c r="F207" i="49"/>
  <c r="F206" i="49"/>
  <c r="F205" i="49"/>
  <c r="F204" i="49"/>
  <c r="F203" i="49"/>
  <c r="F202" i="49"/>
  <c r="F201" i="49"/>
  <c r="F200" i="49"/>
  <c r="F199" i="49"/>
  <c r="F198" i="49"/>
  <c r="F197" i="49"/>
  <c r="F196" i="49"/>
  <c r="F195" i="49"/>
  <c r="F194" i="49"/>
  <c r="F193" i="49"/>
  <c r="F192" i="49"/>
  <c r="F191" i="49"/>
  <c r="F190" i="49"/>
  <c r="F189" i="49"/>
  <c r="F188" i="49"/>
  <c r="F187" i="49"/>
  <c r="F185" i="49"/>
  <c r="F184" i="49"/>
  <c r="F183" i="49"/>
  <c r="F182" i="49"/>
  <c r="F181" i="49"/>
  <c r="F179" i="49"/>
  <c r="F178" i="49"/>
  <c r="F177" i="49"/>
  <c r="F176" i="49"/>
  <c r="F175" i="49"/>
  <c r="F174" i="49"/>
  <c r="F173" i="49"/>
  <c r="F172" i="49"/>
  <c r="F171" i="49"/>
  <c r="F170" i="49"/>
  <c r="F169" i="49"/>
  <c r="F168" i="49"/>
  <c r="F167" i="49"/>
  <c r="F166" i="49"/>
  <c r="F165" i="49"/>
  <c r="F164" i="49"/>
  <c r="F163" i="49"/>
  <c r="F162" i="49"/>
  <c r="F161" i="49"/>
  <c r="F159" i="49"/>
  <c r="F158" i="49"/>
  <c r="F157" i="49"/>
  <c r="F156" i="49"/>
  <c r="F155" i="49"/>
  <c r="F154" i="49"/>
  <c r="F153" i="49"/>
  <c r="F152" i="49"/>
  <c r="F151" i="49"/>
  <c r="F150" i="49"/>
  <c r="F149" i="49"/>
  <c r="F148" i="49"/>
  <c r="F147" i="49"/>
  <c r="F146" i="49"/>
  <c r="F145" i="49"/>
  <c r="F144" i="49"/>
  <c r="F143" i="49"/>
  <c r="F142" i="49"/>
  <c r="F141" i="49"/>
  <c r="F140" i="49"/>
  <c r="F138" i="49"/>
  <c r="F137" i="49"/>
  <c r="F136" i="49"/>
  <c r="F135" i="49"/>
  <c r="F134" i="49"/>
  <c r="F133" i="49"/>
  <c r="F132" i="49"/>
  <c r="F131" i="49"/>
  <c r="F130" i="49"/>
  <c r="F129" i="49"/>
  <c r="F128" i="49"/>
  <c r="F127" i="49"/>
  <c r="F126" i="49"/>
  <c r="F125" i="49"/>
  <c r="F123" i="49"/>
  <c r="F121" i="49"/>
  <c r="F119" i="49"/>
  <c r="F118" i="49"/>
  <c r="F117" i="49"/>
  <c r="F116" i="49"/>
  <c r="F115" i="49"/>
  <c r="F114" i="49"/>
  <c r="F113" i="49"/>
  <c r="F112" i="49"/>
  <c r="F111" i="49"/>
  <c r="F110" i="49"/>
  <c r="F109" i="49"/>
  <c r="F107" i="49"/>
  <c r="F105" i="49"/>
  <c r="F104" i="49"/>
  <c r="F103" i="49"/>
  <c r="F102" i="49"/>
  <c r="F101" i="49"/>
  <c r="F100" i="49"/>
  <c r="F99" i="49"/>
  <c r="F98" i="49"/>
  <c r="F97" i="49"/>
  <c r="F96" i="49"/>
  <c r="F95" i="49"/>
  <c r="F94" i="49"/>
  <c r="F93" i="49"/>
  <c r="F92" i="49"/>
  <c r="F91" i="49"/>
  <c r="F90" i="49"/>
  <c r="F89" i="49"/>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F689" i="49" l="1"/>
  <c r="F974" i="49"/>
  <c r="F367" i="49"/>
  <c r="F860" i="49"/>
  <c r="F729" i="49"/>
  <c r="F967" i="49"/>
  <c r="F492" i="49"/>
  <c r="F929" i="49"/>
  <c r="F180" i="49"/>
  <c r="F445" i="49"/>
  <c r="F624" i="49"/>
  <c r="F803" i="49"/>
  <c r="F785" i="49"/>
  <c r="F925" i="48"/>
  <c r="F926" i="48"/>
  <c r="F927" i="48"/>
  <c r="F976" i="49" l="1"/>
  <c r="F981" i="49" s="1"/>
  <c r="F989" i="49"/>
  <c r="F988" i="49"/>
  <c r="F984" i="49"/>
  <c r="F980" i="49"/>
  <c r="F975" i="49"/>
  <c r="F987" i="49"/>
  <c r="F983" i="49"/>
  <c r="F979" i="49"/>
  <c r="F986" i="49"/>
  <c r="F990" i="49"/>
  <c r="F982" i="49"/>
  <c r="F994" i="48"/>
  <c r="F993" i="48"/>
  <c r="F992" i="48"/>
  <c r="F991" i="48"/>
  <c r="F977" i="48"/>
  <c r="F973" i="48"/>
  <c r="F972" i="48"/>
  <c r="F971" i="48"/>
  <c r="F970" i="48"/>
  <c r="F966" i="48"/>
  <c r="F965" i="48"/>
  <c r="F964" i="48"/>
  <c r="F963" i="48"/>
  <c r="F962" i="48"/>
  <c r="F961" i="48"/>
  <c r="F960" i="48"/>
  <c r="F959" i="48"/>
  <c r="F958" i="48"/>
  <c r="F957" i="48"/>
  <c r="F956" i="48"/>
  <c r="F955" i="48"/>
  <c r="F954" i="48"/>
  <c r="F953" i="48"/>
  <c r="F952" i="48"/>
  <c r="F951" i="48"/>
  <c r="F950" i="48"/>
  <c r="F949" i="48"/>
  <c r="F948" i="48"/>
  <c r="F947" i="48"/>
  <c r="F946" i="48"/>
  <c r="F945" i="48"/>
  <c r="F944" i="48"/>
  <c r="F943" i="48"/>
  <c r="F942" i="48"/>
  <c r="F941" i="48"/>
  <c r="F940" i="48"/>
  <c r="F939" i="48"/>
  <c r="F938" i="48"/>
  <c r="F937" i="48"/>
  <c r="F936" i="48"/>
  <c r="F935" i="48"/>
  <c r="F934" i="48"/>
  <c r="F933" i="48"/>
  <c r="F932" i="48"/>
  <c r="F931" i="48"/>
  <c r="F930" i="48"/>
  <c r="F928" i="48"/>
  <c r="F924" i="48"/>
  <c r="F923" i="48"/>
  <c r="F922" i="48"/>
  <c r="F921" i="48"/>
  <c r="F920" i="48"/>
  <c r="F919" i="48"/>
  <c r="F918" i="48"/>
  <c r="F917" i="48"/>
  <c r="F916" i="48"/>
  <c r="F915" i="48"/>
  <c r="F914" i="48"/>
  <c r="F913" i="48"/>
  <c r="F912" i="48"/>
  <c r="F911" i="48"/>
  <c r="F910" i="48"/>
  <c r="F909" i="48"/>
  <c r="F908" i="48"/>
  <c r="F907" i="48"/>
  <c r="F906" i="48"/>
  <c r="F905" i="48"/>
  <c r="F904" i="48"/>
  <c r="F903" i="48"/>
  <c r="F902" i="48"/>
  <c r="F901" i="48"/>
  <c r="F900" i="48"/>
  <c r="F899" i="48"/>
  <c r="F898" i="48"/>
  <c r="F897" i="48"/>
  <c r="F896" i="48"/>
  <c r="F895" i="48"/>
  <c r="F894" i="48"/>
  <c r="F893" i="48"/>
  <c r="F892" i="48"/>
  <c r="F891" i="48"/>
  <c r="F890" i="48"/>
  <c r="F889" i="48"/>
  <c r="F888" i="48"/>
  <c r="F887" i="48"/>
  <c r="F886" i="48"/>
  <c r="F885" i="48"/>
  <c r="F884" i="48"/>
  <c r="F883" i="48"/>
  <c r="F882" i="48"/>
  <c r="F881" i="48"/>
  <c r="F880" i="48"/>
  <c r="F879" i="48"/>
  <c r="F878" i="48"/>
  <c r="F877" i="48"/>
  <c r="F876" i="48"/>
  <c r="F875" i="48"/>
  <c r="F874" i="48"/>
  <c r="F873" i="48"/>
  <c r="F872" i="48"/>
  <c r="F871" i="48"/>
  <c r="F870" i="48"/>
  <c r="F869" i="48"/>
  <c r="F868" i="48"/>
  <c r="F867" i="48"/>
  <c r="F866" i="48"/>
  <c r="F865" i="48"/>
  <c r="F864" i="48"/>
  <c r="F863" i="48"/>
  <c r="F862" i="48"/>
  <c r="F861" i="48"/>
  <c r="F859" i="48"/>
  <c r="F858" i="48"/>
  <c r="F857" i="48"/>
  <c r="F856" i="48"/>
  <c r="F855" i="48"/>
  <c r="F854" i="48"/>
  <c r="F853" i="48"/>
  <c r="F852" i="48"/>
  <c r="F851" i="48"/>
  <c r="F850" i="48"/>
  <c r="F849" i="48"/>
  <c r="F848" i="48"/>
  <c r="F847" i="48"/>
  <c r="F846" i="48"/>
  <c r="F845" i="48"/>
  <c r="F844" i="48"/>
  <c r="F843" i="48"/>
  <c r="F842" i="48"/>
  <c r="F841" i="48"/>
  <c r="F840" i="48"/>
  <c r="F839" i="48"/>
  <c r="F838" i="48"/>
  <c r="F837" i="48"/>
  <c r="F836" i="48"/>
  <c r="F835" i="48"/>
  <c r="F834" i="48"/>
  <c r="F833" i="48"/>
  <c r="F832" i="48"/>
  <c r="F831" i="48"/>
  <c r="F830" i="48"/>
  <c r="F829" i="48"/>
  <c r="F828" i="48"/>
  <c r="F827" i="48"/>
  <c r="F826" i="48"/>
  <c r="F825" i="48"/>
  <c r="F824" i="48"/>
  <c r="F823" i="48"/>
  <c r="F822" i="48"/>
  <c r="F821" i="48"/>
  <c r="F820" i="48"/>
  <c r="F819" i="48"/>
  <c r="F818" i="48"/>
  <c r="F817" i="48"/>
  <c r="F816" i="48"/>
  <c r="F815" i="48"/>
  <c r="F814" i="48"/>
  <c r="F813" i="48"/>
  <c r="F812" i="48"/>
  <c r="F811" i="48"/>
  <c r="F810" i="48"/>
  <c r="F809" i="48"/>
  <c r="F808" i="48"/>
  <c r="F807" i="48"/>
  <c r="F806" i="48"/>
  <c r="F805" i="48"/>
  <c r="F804" i="48"/>
  <c r="F801" i="48"/>
  <c r="F800" i="48"/>
  <c r="F799" i="48"/>
  <c r="F798" i="48"/>
  <c r="F797" i="48"/>
  <c r="F796" i="48"/>
  <c r="F794" i="48"/>
  <c r="F793" i="48"/>
  <c r="F792" i="48"/>
  <c r="F791" i="48"/>
  <c r="F790" i="48"/>
  <c r="F789" i="48"/>
  <c r="F788" i="48"/>
  <c r="F784" i="48"/>
  <c r="F783" i="48"/>
  <c r="F782" i="48"/>
  <c r="F781" i="48"/>
  <c r="F780" i="48"/>
  <c r="F779" i="48"/>
  <c r="F778" i="48"/>
  <c r="F777" i="48"/>
  <c r="F776" i="48"/>
  <c r="F775" i="48"/>
  <c r="F774" i="48"/>
  <c r="F773" i="48"/>
  <c r="F772" i="48"/>
  <c r="F771" i="48"/>
  <c r="F770" i="48"/>
  <c r="F769" i="48"/>
  <c r="F768" i="48"/>
  <c r="F767" i="48"/>
  <c r="F766" i="48"/>
  <c r="F765" i="48"/>
  <c r="F764" i="48"/>
  <c r="F763" i="48"/>
  <c r="F762" i="48"/>
  <c r="F761" i="48"/>
  <c r="F760" i="48"/>
  <c r="F759" i="48"/>
  <c r="F758" i="48"/>
  <c r="F757" i="48"/>
  <c r="F756" i="48"/>
  <c r="F755" i="48"/>
  <c r="F754" i="48"/>
  <c r="F753" i="48"/>
  <c r="F752" i="48"/>
  <c r="F751" i="48"/>
  <c r="F750" i="48"/>
  <c r="F749" i="48"/>
  <c r="F748" i="48"/>
  <c r="F747" i="48"/>
  <c r="F746" i="48"/>
  <c r="F745" i="48"/>
  <c r="F744" i="48"/>
  <c r="F743" i="48"/>
  <c r="F742" i="48"/>
  <c r="F741" i="48"/>
  <c r="F740" i="48"/>
  <c r="F739" i="48"/>
  <c r="F738" i="48"/>
  <c r="F737" i="48"/>
  <c r="F736" i="48"/>
  <c r="F735" i="48"/>
  <c r="F733" i="48"/>
  <c r="F732" i="48"/>
  <c r="F731" i="48"/>
  <c r="F728" i="48"/>
  <c r="F727" i="48"/>
  <c r="F726" i="48"/>
  <c r="F725" i="48"/>
  <c r="F722" i="48"/>
  <c r="F721" i="48"/>
  <c r="F720" i="48"/>
  <c r="F719" i="48"/>
  <c r="F718" i="48"/>
  <c r="F715" i="48"/>
  <c r="F714" i="48"/>
  <c r="F713" i="48"/>
  <c r="F709" i="48"/>
  <c r="F708" i="48"/>
  <c r="F707" i="48"/>
  <c r="F706" i="48"/>
  <c r="F703" i="48"/>
  <c r="F702" i="48"/>
  <c r="F701" i="48"/>
  <c r="F700" i="48"/>
  <c r="F697" i="48"/>
  <c r="F696" i="48"/>
  <c r="F695" i="48"/>
  <c r="F693" i="48"/>
  <c r="F692" i="48"/>
  <c r="F691" i="48"/>
  <c r="F688" i="48"/>
  <c r="F687" i="48"/>
  <c r="F686" i="48"/>
  <c r="F685" i="48"/>
  <c r="F684" i="48"/>
  <c r="F683" i="48"/>
  <c r="F682" i="48"/>
  <c r="F681" i="48"/>
  <c r="F680" i="48"/>
  <c r="F679" i="48"/>
  <c r="F678" i="48"/>
  <c r="F677" i="48"/>
  <c r="F676" i="48"/>
  <c r="F675" i="48"/>
  <c r="F674" i="48"/>
  <c r="F673" i="48"/>
  <c r="F672" i="48"/>
  <c r="F671" i="48"/>
  <c r="F670" i="48"/>
  <c r="F669" i="48"/>
  <c r="F668" i="48"/>
  <c r="F667" i="48"/>
  <c r="F666" i="48"/>
  <c r="F665" i="48"/>
  <c r="F664" i="48"/>
  <c r="F663" i="48"/>
  <c r="F662" i="48"/>
  <c r="F661" i="48"/>
  <c r="F660" i="48"/>
  <c r="F659" i="48"/>
  <c r="F658" i="48"/>
  <c r="F657" i="48"/>
  <c r="F656" i="48"/>
  <c r="F655" i="48"/>
  <c r="F654" i="48"/>
  <c r="F653" i="48"/>
  <c r="F652" i="48"/>
  <c r="F651" i="48"/>
  <c r="F650" i="48"/>
  <c r="F649" i="48"/>
  <c r="F648" i="48"/>
  <c r="F647" i="48"/>
  <c r="F646" i="48"/>
  <c r="F645" i="48"/>
  <c r="F644" i="48"/>
  <c r="F643" i="48"/>
  <c r="F642" i="48"/>
  <c r="F641" i="48"/>
  <c r="F640" i="48"/>
  <c r="F639" i="48"/>
  <c r="F638" i="48"/>
  <c r="F637" i="48"/>
  <c r="F636" i="48"/>
  <c r="F635" i="48"/>
  <c r="F634" i="48"/>
  <c r="F633" i="48"/>
  <c r="F632" i="48"/>
  <c r="F631" i="48"/>
  <c r="F630" i="48"/>
  <c r="F629" i="48"/>
  <c r="F628" i="48"/>
  <c r="F627" i="48"/>
  <c r="F626" i="48"/>
  <c r="F625" i="48"/>
  <c r="F623" i="48"/>
  <c r="F621" i="48"/>
  <c r="F619" i="48"/>
  <c r="F618" i="48"/>
  <c r="F616" i="48"/>
  <c r="F615" i="48"/>
  <c r="F614" i="48"/>
  <c r="F613" i="48"/>
  <c r="F612" i="48"/>
  <c r="F611" i="48"/>
  <c r="F610" i="48"/>
  <c r="F609" i="48"/>
  <c r="F608" i="48"/>
  <c r="F607" i="48"/>
  <c r="F606" i="48"/>
  <c r="F605" i="48"/>
  <c r="F604" i="48"/>
  <c r="F603" i="48"/>
  <c r="F602" i="48"/>
  <c r="F601" i="48"/>
  <c r="F600" i="48"/>
  <c r="F599" i="48"/>
  <c r="F598" i="48"/>
  <c r="F597" i="48"/>
  <c r="F596" i="48"/>
  <c r="F595" i="48"/>
  <c r="F594" i="48"/>
  <c r="F592" i="48"/>
  <c r="F590" i="48"/>
  <c r="F589" i="48"/>
  <c r="F588" i="48"/>
  <c r="F587" i="48"/>
  <c r="F586" i="48"/>
  <c r="F585" i="48"/>
  <c r="F584" i="48"/>
  <c r="F583" i="48"/>
  <c r="F582" i="48"/>
  <c r="F581" i="48"/>
  <c r="F580" i="48"/>
  <c r="F579" i="48"/>
  <c r="F578" i="48"/>
  <c r="F577" i="48"/>
  <c r="F576" i="48"/>
  <c r="F575" i="48"/>
  <c r="F574" i="48"/>
  <c r="F573" i="48"/>
  <c r="F572" i="48"/>
  <c r="F571" i="48"/>
  <c r="F570" i="48"/>
  <c r="F569" i="48"/>
  <c r="F568" i="48"/>
  <c r="F567" i="48"/>
  <c r="F566" i="48"/>
  <c r="F565" i="48"/>
  <c r="F564" i="48"/>
  <c r="F563" i="48"/>
  <c r="F562" i="48"/>
  <c r="F561" i="48"/>
  <c r="F560" i="48"/>
  <c r="F559" i="48"/>
  <c r="F558" i="48"/>
  <c r="F557" i="48"/>
  <c r="F556" i="48"/>
  <c r="F555" i="48"/>
  <c r="F554" i="48"/>
  <c r="F553" i="48"/>
  <c r="F551" i="48"/>
  <c r="F550" i="48"/>
  <c r="F549" i="48"/>
  <c r="F548" i="48"/>
  <c r="F547" i="48"/>
  <c r="F546" i="48"/>
  <c r="F545" i="48"/>
  <c r="F544" i="48"/>
  <c r="F543" i="48"/>
  <c r="F542" i="48"/>
  <c r="F541" i="48"/>
  <c r="F540" i="48"/>
  <c r="F539" i="48"/>
  <c r="F537" i="48"/>
  <c r="F536" i="48"/>
  <c r="F535" i="48"/>
  <c r="F534" i="48"/>
  <c r="F533" i="48"/>
  <c r="F532" i="48"/>
  <c r="F531" i="48"/>
  <c r="F530" i="48"/>
  <c r="F529" i="48"/>
  <c r="F528" i="48"/>
  <c r="F527" i="48"/>
  <c r="F526" i="48"/>
  <c r="F525" i="48"/>
  <c r="F524" i="48"/>
  <c r="F523" i="48"/>
  <c r="F522" i="48"/>
  <c r="F521" i="48"/>
  <c r="F520" i="48"/>
  <c r="F519" i="48"/>
  <c r="F518" i="48"/>
  <c r="F517" i="48"/>
  <c r="F516" i="48"/>
  <c r="F515" i="48"/>
  <c r="F514" i="48"/>
  <c r="F513" i="48"/>
  <c r="F512" i="48"/>
  <c r="F511" i="48"/>
  <c r="F510" i="48"/>
  <c r="F509" i="48"/>
  <c r="F508" i="48"/>
  <c r="F507" i="48"/>
  <c r="F506" i="48"/>
  <c r="F505" i="48"/>
  <c r="F504" i="48"/>
  <c r="F503" i="48"/>
  <c r="F502" i="48"/>
  <c r="F501" i="48"/>
  <c r="F500" i="48"/>
  <c r="F499" i="48"/>
  <c r="F498" i="48"/>
  <c r="F497" i="48"/>
  <c r="F496" i="48"/>
  <c r="F494" i="48"/>
  <c r="F493" i="48"/>
  <c r="F491" i="48"/>
  <c r="F490" i="48"/>
  <c r="F489" i="48"/>
  <c r="F488" i="48"/>
  <c r="F487" i="48"/>
  <c r="F485" i="48"/>
  <c r="F484" i="48"/>
  <c r="F483" i="48"/>
  <c r="F482" i="48"/>
  <c r="F481" i="48"/>
  <c r="F480" i="48"/>
  <c r="F479" i="48"/>
  <c r="F478" i="48"/>
  <c r="F477" i="48"/>
  <c r="F476" i="48"/>
  <c r="F475" i="48"/>
  <c r="F474" i="48"/>
  <c r="F473" i="48"/>
  <c r="F472" i="48"/>
  <c r="F471" i="48"/>
  <c r="F470" i="48"/>
  <c r="F469" i="48"/>
  <c r="F468" i="48"/>
  <c r="F467" i="48"/>
  <c r="F466" i="48"/>
  <c r="F465" i="48"/>
  <c r="F464" i="48"/>
  <c r="F463" i="48"/>
  <c r="F462" i="48"/>
  <c r="F461" i="48"/>
  <c r="F460" i="48"/>
  <c r="F459" i="48"/>
  <c r="F458" i="48"/>
  <c r="F457" i="48"/>
  <c r="F456" i="48"/>
  <c r="F455" i="48"/>
  <c r="F454" i="48"/>
  <c r="F453" i="48"/>
  <c r="F452" i="48"/>
  <c r="F451" i="48"/>
  <c r="F450" i="48"/>
  <c r="F449" i="48"/>
  <c r="F448" i="48"/>
  <c r="F447" i="48"/>
  <c r="F444" i="48"/>
  <c r="F443" i="48"/>
  <c r="F442" i="48"/>
  <c r="F441" i="48"/>
  <c r="F440" i="48"/>
  <c r="F439" i="48"/>
  <c r="F438" i="48"/>
  <c r="F437" i="48"/>
  <c r="F436" i="48"/>
  <c r="F435" i="48"/>
  <c r="F434" i="48"/>
  <c r="F433" i="48"/>
  <c r="F432" i="48"/>
  <c r="F431" i="48"/>
  <c r="F430" i="48"/>
  <c r="F429" i="48"/>
  <c r="F428" i="48"/>
  <c r="F427" i="48"/>
  <c r="F426" i="48"/>
  <c r="F425" i="48"/>
  <c r="F424" i="48"/>
  <c r="F423" i="48"/>
  <c r="F422" i="48"/>
  <c r="F421" i="48"/>
  <c r="F420" i="48"/>
  <c r="F419" i="48"/>
  <c r="F418" i="48"/>
  <c r="F417" i="48"/>
  <c r="F416" i="48"/>
  <c r="F415" i="48"/>
  <c r="F414" i="48"/>
  <c r="F413" i="48"/>
  <c r="F412" i="48"/>
  <c r="F411" i="48"/>
  <c r="F410" i="48"/>
  <c r="F409" i="48"/>
  <c r="F408" i="48"/>
  <c r="F407" i="48"/>
  <c r="F406" i="48"/>
  <c r="F405" i="48"/>
  <c r="F404" i="48"/>
  <c r="F403" i="48"/>
  <c r="F402" i="48"/>
  <c r="F401" i="48"/>
  <c r="F400" i="48"/>
  <c r="F399" i="48"/>
  <c r="F398" i="48"/>
  <c r="F397" i="48"/>
  <c r="F396" i="48"/>
  <c r="F395" i="48"/>
  <c r="F394" i="48"/>
  <c r="F393" i="48"/>
  <c r="F392" i="48"/>
  <c r="F391" i="48"/>
  <c r="F390" i="48"/>
  <c r="F388" i="48"/>
  <c r="F387" i="48"/>
  <c r="F386" i="48"/>
  <c r="F385" i="48"/>
  <c r="F384" i="48"/>
  <c r="F383" i="48"/>
  <c r="F382" i="48"/>
  <c r="F381" i="48"/>
  <c r="F380" i="48"/>
  <c r="F379" i="48"/>
  <c r="F378" i="48"/>
  <c r="F377" i="48"/>
  <c r="F376" i="48"/>
  <c r="F375" i="48"/>
  <c r="F372" i="48"/>
  <c r="F371" i="48"/>
  <c r="F370" i="48"/>
  <c r="F369" i="48"/>
  <c r="F366" i="48"/>
  <c r="F364" i="48"/>
  <c r="F363" i="48"/>
  <c r="F362" i="48"/>
  <c r="F361" i="48"/>
  <c r="F360" i="48"/>
  <c r="F359" i="48"/>
  <c r="F358" i="48"/>
  <c r="F357" i="48"/>
  <c r="F356" i="48"/>
  <c r="F355" i="48"/>
  <c r="F354" i="48"/>
  <c r="F353" i="48"/>
  <c r="F352" i="48"/>
  <c r="F351" i="48"/>
  <c r="F350" i="48"/>
  <c r="F349" i="48"/>
  <c r="F348" i="48"/>
  <c r="F347" i="48"/>
  <c r="F346" i="48"/>
  <c r="F345" i="48"/>
  <c r="F344" i="48"/>
  <c r="F343" i="48"/>
  <c r="F342" i="48"/>
  <c r="F341" i="48"/>
  <c r="F340" i="48"/>
  <c r="F339" i="48"/>
  <c r="F338" i="48"/>
  <c r="F337" i="48"/>
  <c r="F336" i="48"/>
  <c r="F335" i="48"/>
  <c r="F334" i="48"/>
  <c r="F333" i="48"/>
  <c r="F332" i="48"/>
  <c r="F331" i="48"/>
  <c r="F330" i="48"/>
  <c r="F329" i="48"/>
  <c r="F328" i="48"/>
  <c r="F327" i="48"/>
  <c r="F326" i="48"/>
  <c r="F325" i="48"/>
  <c r="F324" i="48"/>
  <c r="F323" i="48"/>
  <c r="F322" i="48"/>
  <c r="F321" i="48"/>
  <c r="F320" i="48"/>
  <c r="F319" i="48"/>
  <c r="F318" i="48"/>
  <c r="F317" i="48"/>
  <c r="F316" i="48"/>
  <c r="F314" i="48"/>
  <c r="F313" i="48"/>
  <c r="F312" i="48"/>
  <c r="F311" i="48"/>
  <c r="F310" i="48"/>
  <c r="F309" i="48"/>
  <c r="F308" i="48"/>
  <c r="F307" i="48"/>
  <c r="F306" i="48"/>
  <c r="F305" i="48"/>
  <c r="F304" i="48"/>
  <c r="F303" i="48"/>
  <c r="F302" i="48"/>
  <c r="F301" i="48"/>
  <c r="F300" i="48"/>
  <c r="F299" i="48"/>
  <c r="F298" i="48"/>
  <c r="F297" i="48"/>
  <c r="F296" i="48"/>
  <c r="F295" i="48"/>
  <c r="F294" i="48"/>
  <c r="F292" i="48"/>
  <c r="F291" i="48"/>
  <c r="F290" i="48"/>
  <c r="F289" i="48"/>
  <c r="F288" i="48"/>
  <c r="F287" i="48"/>
  <c r="F286" i="48"/>
  <c r="F285" i="48"/>
  <c r="F284" i="48"/>
  <c r="F283" i="48"/>
  <c r="F282" i="48"/>
  <c r="F281" i="48"/>
  <c r="F280" i="48"/>
  <c r="F279" i="48"/>
  <c r="F278" i="48"/>
  <c r="F277" i="48"/>
  <c r="F276" i="48"/>
  <c r="F275" i="48"/>
  <c r="F274" i="48"/>
  <c r="F273" i="48"/>
  <c r="F272" i="48"/>
  <c r="F271" i="48"/>
  <c r="F270" i="48"/>
  <c r="F269" i="48"/>
  <c r="F268" i="48"/>
  <c r="F267" i="48"/>
  <c r="F266" i="48"/>
  <c r="F265" i="48"/>
  <c r="F264" i="48"/>
  <c r="F263" i="48"/>
  <c r="F262" i="48"/>
  <c r="F261" i="48"/>
  <c r="F260" i="48"/>
  <c r="F259" i="48"/>
  <c r="F258" i="48"/>
  <c r="F257" i="48"/>
  <c r="F256" i="48"/>
  <c r="F255" i="48"/>
  <c r="F254" i="48"/>
  <c r="F253" i="48"/>
  <c r="F251" i="48"/>
  <c r="F250" i="48"/>
  <c r="F249" i="48"/>
  <c r="F248" i="48"/>
  <c r="F247" i="48"/>
  <c r="F246" i="48"/>
  <c r="F245" i="48"/>
  <c r="F244" i="48"/>
  <c r="F243" i="48"/>
  <c r="F242" i="48"/>
  <c r="F241" i="48"/>
  <c r="F240" i="48"/>
  <c r="F239" i="48"/>
  <c r="F238" i="48"/>
  <c r="F237" i="48"/>
  <c r="F236" i="48"/>
  <c r="F235" i="48"/>
  <c r="F234" i="48"/>
  <c r="F233" i="48"/>
  <c r="F232" i="48"/>
  <c r="F231" i="48"/>
  <c r="F230" i="48"/>
  <c r="F229" i="48"/>
  <c r="F228" i="48"/>
  <c r="F227" i="48"/>
  <c r="F226" i="48"/>
  <c r="F225" i="48"/>
  <c r="F224" i="48"/>
  <c r="F223" i="48"/>
  <c r="F222" i="48"/>
  <c r="F221" i="48"/>
  <c r="F220" i="48"/>
  <c r="F219" i="48"/>
  <c r="F218" i="48"/>
  <c r="F217" i="48"/>
  <c r="F216" i="48"/>
  <c r="F214" i="48"/>
  <c r="F213" i="48"/>
  <c r="F212" i="48"/>
  <c r="F211" i="48"/>
  <c r="F210" i="48"/>
  <c r="F209" i="48"/>
  <c r="F208" i="48"/>
  <c r="F207" i="48"/>
  <c r="F206" i="48"/>
  <c r="F205" i="48"/>
  <c r="F204" i="48"/>
  <c r="F203" i="48"/>
  <c r="F202" i="48"/>
  <c r="F201" i="48"/>
  <c r="F200" i="48"/>
  <c r="F199" i="48"/>
  <c r="F198" i="48"/>
  <c r="F197" i="48"/>
  <c r="F196" i="48"/>
  <c r="F195" i="48"/>
  <c r="F194" i="48"/>
  <c r="F193" i="48"/>
  <c r="F192" i="48"/>
  <c r="F191" i="48"/>
  <c r="F190" i="48"/>
  <c r="F189" i="48"/>
  <c r="F188" i="48"/>
  <c r="F187" i="48"/>
  <c r="F185" i="48"/>
  <c r="F184" i="48"/>
  <c r="F183" i="48"/>
  <c r="F182" i="48"/>
  <c r="F181" i="48"/>
  <c r="F179" i="48"/>
  <c r="F178" i="48"/>
  <c r="F177" i="48"/>
  <c r="F176" i="48"/>
  <c r="F175" i="48"/>
  <c r="F174" i="48"/>
  <c r="F173" i="48"/>
  <c r="F172" i="48"/>
  <c r="F171" i="48"/>
  <c r="F170" i="48"/>
  <c r="F169" i="48"/>
  <c r="F168" i="48"/>
  <c r="F167" i="48"/>
  <c r="F166" i="48"/>
  <c r="F165" i="48"/>
  <c r="F164" i="48"/>
  <c r="F163" i="48"/>
  <c r="F162" i="48"/>
  <c r="F161" i="48"/>
  <c r="F159" i="48"/>
  <c r="F158" i="48"/>
  <c r="F157" i="48"/>
  <c r="F156" i="48"/>
  <c r="F155" i="48"/>
  <c r="F154" i="48"/>
  <c r="F153" i="48"/>
  <c r="F152" i="48"/>
  <c r="F151" i="48"/>
  <c r="F150" i="48"/>
  <c r="F149" i="48"/>
  <c r="F148" i="48"/>
  <c r="F147" i="48"/>
  <c r="F146" i="48"/>
  <c r="F145" i="48"/>
  <c r="F144" i="48"/>
  <c r="F143" i="48"/>
  <c r="F142" i="48"/>
  <c r="F141" i="48"/>
  <c r="F140" i="48"/>
  <c r="F138" i="48"/>
  <c r="F137" i="48"/>
  <c r="F136" i="48"/>
  <c r="F135" i="48"/>
  <c r="F134" i="48"/>
  <c r="F133" i="48"/>
  <c r="F132" i="48"/>
  <c r="F131" i="48"/>
  <c r="F130" i="48"/>
  <c r="F129" i="48"/>
  <c r="F128" i="48"/>
  <c r="F127" i="48"/>
  <c r="F126" i="48"/>
  <c r="F125" i="48"/>
  <c r="F123" i="48"/>
  <c r="F121" i="48"/>
  <c r="F119" i="48"/>
  <c r="F118" i="48"/>
  <c r="F117" i="48"/>
  <c r="F116" i="48"/>
  <c r="F115" i="48"/>
  <c r="F114" i="48"/>
  <c r="F113" i="48"/>
  <c r="F112" i="48"/>
  <c r="F111" i="48"/>
  <c r="F110" i="48"/>
  <c r="F109" i="48"/>
  <c r="F107"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6" i="48"/>
  <c r="F985" i="49" l="1"/>
  <c r="F995" i="49"/>
  <c r="F996" i="49" s="1"/>
  <c r="F998" i="49" s="1"/>
  <c r="F729" i="48"/>
  <c r="F785" i="48"/>
  <c r="F367" i="48"/>
  <c r="F689" i="48"/>
  <c r="F860" i="48"/>
  <c r="F929" i="48"/>
  <c r="F180" i="48"/>
  <c r="F624" i="48"/>
  <c r="F803" i="48"/>
  <c r="F445" i="48"/>
  <c r="F492" i="48"/>
  <c r="F967" i="48"/>
  <c r="F974" i="48"/>
  <c r="F976" i="48" l="1"/>
  <c r="F989" i="48" s="1"/>
  <c r="F982" i="48"/>
  <c r="F975" i="48" l="1"/>
  <c r="F986" i="48"/>
  <c r="F979" i="48"/>
  <c r="F980" i="48"/>
  <c r="F990" i="48"/>
  <c r="F983" i="48"/>
  <c r="F984" i="48"/>
  <c r="F981" i="48"/>
  <c r="F987" i="48"/>
  <c r="F988" i="48"/>
  <c r="F985" i="48"/>
  <c r="F995" i="48"/>
  <c r="F996" i="48" s="1"/>
  <c r="F998" i="48" s="1"/>
  <c r="M145" i="7" l="1"/>
  <c r="H148" i="7" l="1"/>
  <c r="H149" i="7" s="1"/>
  <c r="I149" i="7"/>
  <c r="K144" i="7"/>
  <c r="K150" i="7" s="1"/>
  <c r="L144" i="7"/>
  <c r="L150" i="7" s="1"/>
  <c r="L143" i="7"/>
  <c r="L149" i="7" s="1"/>
  <c r="K143" i="7"/>
  <c r="K149" i="7" s="1"/>
  <c r="N95" i="46"/>
  <c r="K18" i="46"/>
  <c r="K17" i="46"/>
  <c r="K16" i="46"/>
  <c r="K15" i="46"/>
  <c r="K34" i="46"/>
  <c r="K33" i="46"/>
  <c r="K32" i="46"/>
  <c r="K31" i="46"/>
  <c r="K50" i="46"/>
  <c r="K49" i="46"/>
  <c r="K48" i="46"/>
  <c r="K47" i="46"/>
  <c r="K66" i="46"/>
  <c r="K65" i="46"/>
  <c r="K64" i="46"/>
  <c r="K63" i="46"/>
  <c r="L95" i="46"/>
  <c r="C82" i="46"/>
  <c r="C81" i="46"/>
  <c r="C80" i="46"/>
  <c r="C79" i="46"/>
  <c r="C66" i="46"/>
  <c r="C65" i="46"/>
  <c r="C64" i="46"/>
  <c r="C63" i="46"/>
  <c r="C50" i="46"/>
  <c r="C49" i="46"/>
  <c r="C48" i="46"/>
  <c r="C47" i="46"/>
  <c r="C34" i="46"/>
  <c r="C33" i="46"/>
  <c r="C32" i="46"/>
  <c r="C31" i="46"/>
  <c r="C18" i="46"/>
  <c r="C17" i="46"/>
  <c r="C16" i="46"/>
  <c r="C15" i="46"/>
  <c r="J90" i="46"/>
  <c r="J63" i="46"/>
  <c r="K95" i="46" l="1"/>
  <c r="L96" i="46" s="1"/>
  <c r="K88" i="46"/>
  <c r="J88" i="46"/>
  <c r="O87" i="46"/>
  <c r="K87" i="46"/>
  <c r="J87" i="46"/>
  <c r="O86" i="46"/>
  <c r="O85" i="46"/>
  <c r="J66" i="46"/>
  <c r="J65" i="46"/>
  <c r="J64" i="46"/>
  <c r="L64" i="46" s="1"/>
  <c r="L63" i="46"/>
  <c r="J50" i="46"/>
  <c r="L50" i="46" s="1"/>
  <c r="J49" i="46"/>
  <c r="J48" i="46"/>
  <c r="L48" i="46" s="1"/>
  <c r="J47" i="46"/>
  <c r="J34" i="46"/>
  <c r="J33" i="46"/>
  <c r="J32" i="46"/>
  <c r="L32" i="46" s="1"/>
  <c r="J31" i="46"/>
  <c r="L31" i="46" s="1"/>
  <c r="J18" i="46"/>
  <c r="L18" i="46" s="1"/>
  <c r="J17" i="46"/>
  <c r="L17" i="46" s="1"/>
  <c r="L16" i="46"/>
  <c r="G87" i="46"/>
  <c r="G86" i="46"/>
  <c r="G85" i="46"/>
  <c r="G88" i="46" s="1"/>
  <c r="C90" i="46" s="1"/>
  <c r="D90" i="46" s="1"/>
  <c r="D95" i="46"/>
  <c r="C95" i="46"/>
  <c r="C88" i="46"/>
  <c r="B88" i="46"/>
  <c r="C87" i="46"/>
  <c r="B87" i="46"/>
  <c r="B82" i="46"/>
  <c r="D82" i="46" s="1"/>
  <c r="B81" i="46"/>
  <c r="D81" i="46" s="1"/>
  <c r="B80" i="46"/>
  <c r="D80" i="46" s="1"/>
  <c r="B79" i="46"/>
  <c r="D79" i="46" s="1"/>
  <c r="B66" i="46"/>
  <c r="D66" i="46" s="1"/>
  <c r="B65" i="46"/>
  <c r="D65" i="46" s="1"/>
  <c r="B64" i="46"/>
  <c r="D64" i="46" s="1"/>
  <c r="B63" i="46"/>
  <c r="D63" i="46" s="1"/>
  <c r="B50" i="46"/>
  <c r="D50" i="46" s="1"/>
  <c r="B49" i="46"/>
  <c r="D49" i="46" s="1"/>
  <c r="B48" i="46"/>
  <c r="D48" i="46" s="1"/>
  <c r="B47" i="46"/>
  <c r="D47" i="46" s="1"/>
  <c r="B34" i="46"/>
  <c r="D34" i="46" s="1"/>
  <c r="B33" i="46"/>
  <c r="D33" i="46" s="1"/>
  <c r="B32" i="46"/>
  <c r="D32" i="46" s="1"/>
  <c r="B31" i="46"/>
  <c r="D31" i="46" s="1"/>
  <c r="B18" i="46"/>
  <c r="D18" i="46" s="1"/>
  <c r="B17" i="46"/>
  <c r="D17" i="46" s="1"/>
  <c r="B16" i="46"/>
  <c r="D16" i="46" s="1"/>
  <c r="B15" i="46"/>
  <c r="D15" i="46" s="1"/>
  <c r="O88" i="46" l="1"/>
  <c r="K90" i="46" s="1"/>
  <c r="L90" i="46" s="1"/>
  <c r="D96" i="46"/>
  <c r="D88" i="46"/>
  <c r="D83" i="46"/>
  <c r="D35" i="46"/>
  <c r="D87" i="46"/>
  <c r="L66" i="46"/>
  <c r="L65" i="46"/>
  <c r="L67" i="46" s="1"/>
  <c r="L49" i="46"/>
  <c r="L51" i="46" s="1"/>
  <c r="L47" i="46"/>
  <c r="L33" i="46"/>
  <c r="L34" i="46"/>
  <c r="L35" i="46" s="1"/>
  <c r="L15" i="46"/>
  <c r="L19" i="46" s="1"/>
  <c r="D19" i="46"/>
  <c r="D51" i="46"/>
  <c r="D67" i="46"/>
  <c r="D127" i="7"/>
  <c r="D92" i="46" l="1"/>
  <c r="D98" i="46" s="1"/>
  <c r="D99" i="46" s="1"/>
  <c r="L92" i="46"/>
  <c r="L98" i="46" s="1"/>
  <c r="L99" i="46" s="1"/>
  <c r="F121" i="7"/>
  <c r="I125" i="7"/>
  <c r="D126" i="7"/>
  <c r="I126" i="7" s="1"/>
  <c r="D117" i="7"/>
  <c r="G117" i="7" s="1"/>
  <c r="G116" i="7"/>
  <c r="J123" i="7" l="1"/>
  <c r="C225" i="3" l="1"/>
  <c r="C221" i="3"/>
  <c r="C214" i="3"/>
  <c r="C213" i="3"/>
  <c r="C208" i="3"/>
  <c r="C163" i="3"/>
  <c r="C157" i="3"/>
  <c r="B156" i="3"/>
  <c r="C153" i="3"/>
  <c r="B145" i="3"/>
  <c r="C120" i="3"/>
  <c r="C112" i="3"/>
  <c r="C106" i="3"/>
  <c r="C96" i="3"/>
  <c r="C71" i="3"/>
  <c r="C70" i="3"/>
  <c r="C59" i="3"/>
  <c r="C20" i="3"/>
  <c r="H237" i="7" l="1"/>
  <c r="E240" i="7"/>
  <c r="D230" i="7"/>
  <c r="D239" i="7" s="1"/>
  <c r="H239" i="7" s="1"/>
  <c r="D240" i="7" l="1"/>
  <c r="H240" i="7" s="1"/>
  <c r="D145" i="10" l="1"/>
  <c r="B140" i="10"/>
  <c r="C140" i="10"/>
  <c r="B97" i="10"/>
  <c r="B96" i="10"/>
  <c r="C139" i="10"/>
  <c r="B139" i="10"/>
  <c r="B137" i="10"/>
  <c r="C137" i="10"/>
  <c r="B136" i="10"/>
  <c r="C136" i="10"/>
  <c r="B135" i="10"/>
  <c r="C135" i="10"/>
  <c r="B83" i="10"/>
  <c r="B82" i="10"/>
  <c r="B81" i="10"/>
  <c r="B80" i="10"/>
  <c r="B67" i="10"/>
  <c r="B66" i="10"/>
  <c r="B65" i="10"/>
  <c r="B64" i="10"/>
  <c r="B51" i="10"/>
  <c r="B50" i="10"/>
  <c r="B49" i="10"/>
  <c r="B48" i="10"/>
  <c r="B35" i="10"/>
  <c r="B34" i="10"/>
  <c r="B33" i="10"/>
  <c r="B32" i="10"/>
  <c r="C131" i="10"/>
  <c r="B131" i="10"/>
  <c r="C130" i="10"/>
  <c r="B130" i="10"/>
  <c r="C129" i="10"/>
  <c r="B129" i="10"/>
  <c r="C128" i="10"/>
  <c r="B128" i="10"/>
  <c r="C115" i="10"/>
  <c r="B115" i="10"/>
  <c r="C114" i="10"/>
  <c r="B114" i="10"/>
  <c r="C113" i="10"/>
  <c r="B113" i="10"/>
  <c r="C112" i="10"/>
  <c r="B112" i="10"/>
  <c r="C99" i="10"/>
  <c r="B99" i="10"/>
  <c r="C98" i="10"/>
  <c r="B98" i="10"/>
  <c r="C97" i="10"/>
  <c r="C96" i="10"/>
  <c r="M53" i="10"/>
  <c r="C83" i="10"/>
  <c r="C82" i="10"/>
  <c r="C81" i="10"/>
  <c r="C80" i="10"/>
  <c r="C67" i="10"/>
  <c r="C66" i="10"/>
  <c r="D66" i="10" s="1"/>
  <c r="C65" i="10"/>
  <c r="D65" i="10" s="1"/>
  <c r="C64" i="10"/>
  <c r="C51" i="10"/>
  <c r="C50" i="10"/>
  <c r="C49" i="10"/>
  <c r="C48" i="10"/>
  <c r="C35" i="10"/>
  <c r="C34" i="10"/>
  <c r="C33" i="10"/>
  <c r="C32" i="10"/>
  <c r="C19" i="10"/>
  <c r="C18" i="10"/>
  <c r="C17" i="10"/>
  <c r="C16" i="10"/>
  <c r="B19" i="10"/>
  <c r="B17" i="10"/>
  <c r="B18" i="10"/>
  <c r="B16" i="10"/>
  <c r="D139" i="10" l="1"/>
  <c r="D51" i="10"/>
  <c r="D17" i="10"/>
  <c r="D67" i="10"/>
  <c r="D83" i="10"/>
  <c r="D135" i="10"/>
  <c r="D136" i="10"/>
  <c r="D137" i="10"/>
  <c r="D140" i="10"/>
  <c r="D64" i="10"/>
  <c r="D19" i="10"/>
  <c r="D16" i="10"/>
  <c r="D18" i="10"/>
  <c r="D98" i="10"/>
  <c r="D130" i="10"/>
  <c r="D131" i="10"/>
  <c r="D112" i="10"/>
  <c r="D114" i="10"/>
  <c r="D115" i="10"/>
  <c r="D129" i="10"/>
  <c r="D128" i="10"/>
  <c r="D113" i="10"/>
  <c r="D96" i="10"/>
  <c r="D97" i="10"/>
  <c r="D99" i="10"/>
  <c r="D82" i="10"/>
  <c r="D80" i="10"/>
  <c r="D81" i="10"/>
  <c r="D49" i="10"/>
  <c r="D48" i="10"/>
  <c r="D50" i="10"/>
  <c r="D32" i="10"/>
  <c r="D35" i="10"/>
  <c r="D34" i="10"/>
  <c r="D33" i="10"/>
  <c r="D142" i="10" l="1"/>
  <c r="D144" i="10" s="1"/>
  <c r="D146" i="10" s="1"/>
  <c r="H114" i="4" l="1"/>
  <c r="G114" i="4"/>
  <c r="H167" i="4"/>
  <c r="H165" i="4"/>
  <c r="J149" i="4"/>
  <c r="M148" i="4"/>
  <c r="B146" i="4"/>
  <c r="C141" i="4"/>
  <c r="D141" i="4" s="1"/>
  <c r="C140" i="4"/>
  <c r="D140" i="4" s="1"/>
  <c r="C139" i="4"/>
  <c r="B145" i="4" s="1"/>
  <c r="B147" i="4" s="1"/>
  <c r="C134" i="4"/>
  <c r="J137" i="4" s="1"/>
  <c r="U133" i="4"/>
  <c r="K133" i="4"/>
  <c r="J133" i="4"/>
  <c r="I133" i="4"/>
  <c r="L133" i="4" s="1"/>
  <c r="U132" i="4"/>
  <c r="J132" i="4"/>
  <c r="I132" i="4"/>
  <c r="F132" i="4"/>
  <c r="K132" i="4" s="1"/>
  <c r="U131" i="4"/>
  <c r="I131" i="4"/>
  <c r="F131" i="4"/>
  <c r="K131" i="4" s="1"/>
  <c r="U130" i="4"/>
  <c r="J130" i="4"/>
  <c r="I130" i="4"/>
  <c r="F130" i="4"/>
  <c r="K130" i="4" s="1"/>
  <c r="U129" i="4"/>
  <c r="K129" i="4"/>
  <c r="J129" i="4"/>
  <c r="I129" i="4"/>
  <c r="U128" i="4"/>
  <c r="K128" i="4"/>
  <c r="J128" i="4"/>
  <c r="I128" i="4"/>
  <c r="L128" i="4" s="1"/>
  <c r="U127" i="4"/>
  <c r="K127" i="4"/>
  <c r="J127" i="4"/>
  <c r="I127" i="4"/>
  <c r="U126" i="4"/>
  <c r="K126" i="4"/>
  <c r="J126" i="4"/>
  <c r="I126" i="4"/>
  <c r="U125" i="4"/>
  <c r="J125" i="4"/>
  <c r="I125" i="4"/>
  <c r="F125" i="4"/>
  <c r="K125" i="4" s="1"/>
  <c r="U124" i="4"/>
  <c r="S124" i="4"/>
  <c r="K124" i="4"/>
  <c r="I124" i="4"/>
  <c r="L124" i="4" s="1"/>
  <c r="U123" i="4"/>
  <c r="J123" i="4"/>
  <c r="I123" i="4"/>
  <c r="F123" i="4"/>
  <c r="K123" i="4" s="1"/>
  <c r="E122" i="4"/>
  <c r="E121" i="4"/>
  <c r="U121" i="4" s="1"/>
  <c r="E120" i="4"/>
  <c r="F120" i="4" s="1"/>
  <c r="K120" i="4" s="1"/>
  <c r="E119" i="4"/>
  <c r="U119" i="4" s="1"/>
  <c r="E118" i="4"/>
  <c r="E117" i="4"/>
  <c r="U117" i="4" s="1"/>
  <c r="E116" i="4"/>
  <c r="F116" i="4" s="1"/>
  <c r="K116" i="4" s="1"/>
  <c r="E115" i="4"/>
  <c r="U115" i="4" s="1"/>
  <c r="L113" i="4"/>
  <c r="L112" i="4"/>
  <c r="S112" i="4" s="1"/>
  <c r="L111" i="4"/>
  <c r="S111" i="4" s="1"/>
  <c r="T111" i="4" s="1"/>
  <c r="J111" i="4"/>
  <c r="J110" i="4"/>
  <c r="H110" i="4"/>
  <c r="G110" i="4"/>
  <c r="E110" i="4"/>
  <c r="F110" i="4" s="1"/>
  <c r="J109" i="4"/>
  <c r="H109" i="4"/>
  <c r="G109" i="4"/>
  <c r="F109" i="4"/>
  <c r="K109" i="4" s="1"/>
  <c r="E109" i="4"/>
  <c r="J108" i="4"/>
  <c r="G108" i="4"/>
  <c r="E108" i="4"/>
  <c r="F108" i="4" s="1"/>
  <c r="J107" i="4"/>
  <c r="C107" i="4"/>
  <c r="H107" i="4" s="1"/>
  <c r="J106" i="4"/>
  <c r="H106" i="4"/>
  <c r="G106" i="4"/>
  <c r="E106" i="4"/>
  <c r="F106" i="4" s="1"/>
  <c r="J105" i="4"/>
  <c r="C105" i="4"/>
  <c r="C106" i="4" s="1"/>
  <c r="J104" i="4"/>
  <c r="H104" i="4"/>
  <c r="G104" i="4"/>
  <c r="E104" i="4"/>
  <c r="F104" i="4" s="1"/>
  <c r="K104" i="4" s="1"/>
  <c r="J103" i="4"/>
  <c r="H103" i="4"/>
  <c r="G103" i="4"/>
  <c r="E103" i="4"/>
  <c r="F103" i="4" s="1"/>
  <c r="C103" i="4"/>
  <c r="J102" i="4"/>
  <c r="H102" i="4"/>
  <c r="G102" i="4"/>
  <c r="E102" i="4"/>
  <c r="F102" i="4" s="1"/>
  <c r="K102" i="4" s="1"/>
  <c r="H101" i="4"/>
  <c r="G101" i="4"/>
  <c r="E101" i="4"/>
  <c r="H100" i="4"/>
  <c r="G100" i="4"/>
  <c r="E100" i="4"/>
  <c r="F100" i="4" s="1"/>
  <c r="K100" i="4" s="1"/>
  <c r="H99" i="4"/>
  <c r="G99" i="4"/>
  <c r="E99" i="4"/>
  <c r="F99" i="4" s="1"/>
  <c r="K99" i="4" s="1"/>
  <c r="H98" i="4"/>
  <c r="G98" i="4"/>
  <c r="E98" i="4"/>
  <c r="F98" i="4" s="1"/>
  <c r="K98" i="4" s="1"/>
  <c r="H97" i="4"/>
  <c r="G97" i="4"/>
  <c r="E97" i="4"/>
  <c r="H96" i="4"/>
  <c r="G96" i="4"/>
  <c r="E96" i="4"/>
  <c r="F96" i="4" s="1"/>
  <c r="K96" i="4" s="1"/>
  <c r="H95" i="4"/>
  <c r="G95" i="4"/>
  <c r="E95" i="4"/>
  <c r="F95" i="4" s="1"/>
  <c r="K95" i="4" s="1"/>
  <c r="H94" i="4"/>
  <c r="G94" i="4"/>
  <c r="E94" i="4"/>
  <c r="F94" i="4" s="1"/>
  <c r="K94" i="4" s="1"/>
  <c r="K93" i="4"/>
  <c r="J93" i="4"/>
  <c r="H93" i="4"/>
  <c r="I93" i="4" s="1"/>
  <c r="J92" i="4"/>
  <c r="H92" i="4"/>
  <c r="G92" i="4"/>
  <c r="E92" i="4"/>
  <c r="F92" i="4" s="1"/>
  <c r="K92" i="4" s="1"/>
  <c r="Z91" i="4"/>
  <c r="J91" i="4"/>
  <c r="H91" i="4"/>
  <c r="G91" i="4"/>
  <c r="E91" i="4"/>
  <c r="Z90" i="4"/>
  <c r="J90" i="4"/>
  <c r="H90" i="4"/>
  <c r="G90" i="4"/>
  <c r="E90" i="4"/>
  <c r="F90" i="4" s="1"/>
  <c r="K90" i="4" s="1"/>
  <c r="Z89" i="4"/>
  <c r="T89" i="4"/>
  <c r="Z88" i="4"/>
  <c r="J88" i="4"/>
  <c r="H88" i="4"/>
  <c r="G88" i="4"/>
  <c r="E88" i="4"/>
  <c r="F88" i="4" s="1"/>
  <c r="K88" i="4" s="1"/>
  <c r="Z87" i="4"/>
  <c r="J87" i="4"/>
  <c r="H87" i="4"/>
  <c r="G87" i="4"/>
  <c r="E87" i="4"/>
  <c r="F87" i="4" s="1"/>
  <c r="C87" i="4"/>
  <c r="C89" i="4" s="1"/>
  <c r="Z86" i="4"/>
  <c r="J86" i="4"/>
  <c r="H86" i="4"/>
  <c r="G86" i="4"/>
  <c r="E86" i="4"/>
  <c r="Z85" i="4"/>
  <c r="H85" i="4"/>
  <c r="G85" i="4"/>
  <c r="E85" i="4"/>
  <c r="F85" i="4" s="1"/>
  <c r="K85" i="4" s="1"/>
  <c r="Z84" i="4"/>
  <c r="J72" i="4"/>
  <c r="M71" i="4"/>
  <c r="C64" i="4"/>
  <c r="D64" i="4" s="1"/>
  <c r="C63" i="4"/>
  <c r="D63" i="4" s="1"/>
  <c r="C62" i="4"/>
  <c r="D62" i="4" s="1"/>
  <c r="C57" i="4"/>
  <c r="J66" i="4" s="1"/>
  <c r="J67" i="4" s="1"/>
  <c r="M67" i="4" s="1"/>
  <c r="E56" i="4"/>
  <c r="S56" i="4" s="1"/>
  <c r="E55" i="4"/>
  <c r="S55" i="4" s="1"/>
  <c r="E54" i="4"/>
  <c r="S54" i="4" s="1"/>
  <c r="E53" i="4"/>
  <c r="F53" i="4" s="1"/>
  <c r="K53" i="4" s="1"/>
  <c r="E52" i="4"/>
  <c r="S52" i="4" s="1"/>
  <c r="E51" i="4"/>
  <c r="U51" i="4" s="1"/>
  <c r="E50" i="4"/>
  <c r="E49" i="4"/>
  <c r="F49" i="4" s="1"/>
  <c r="K49" i="4" s="1"/>
  <c r="E48" i="4"/>
  <c r="I48" i="4" s="1"/>
  <c r="E47" i="4"/>
  <c r="E46" i="4"/>
  <c r="E45" i="4"/>
  <c r="F45" i="4" s="1"/>
  <c r="K45" i="4" s="1"/>
  <c r="E44" i="4"/>
  <c r="I44" i="4" s="1"/>
  <c r="E43" i="4"/>
  <c r="E42" i="4"/>
  <c r="I42" i="4" s="1"/>
  <c r="E41" i="4"/>
  <c r="E40" i="4"/>
  <c r="U40" i="4" s="1"/>
  <c r="E39" i="4"/>
  <c r="I39" i="4" s="1"/>
  <c r="E38" i="4"/>
  <c r="U38" i="4" s="1"/>
  <c r="E37" i="4"/>
  <c r="L36" i="4"/>
  <c r="S36" i="4" s="1"/>
  <c r="T36" i="4" s="1"/>
  <c r="L35" i="4"/>
  <c r="S35" i="4" s="1"/>
  <c r="L34" i="4"/>
  <c r="S34" i="4" s="1"/>
  <c r="J34" i="4"/>
  <c r="J33" i="4"/>
  <c r="H33" i="4"/>
  <c r="G33" i="4"/>
  <c r="E33" i="4"/>
  <c r="J32" i="4"/>
  <c r="H32" i="4"/>
  <c r="G32" i="4"/>
  <c r="E32" i="4"/>
  <c r="F32" i="4" s="1"/>
  <c r="K32" i="4" s="1"/>
  <c r="J31" i="4"/>
  <c r="G31" i="4"/>
  <c r="E31" i="4"/>
  <c r="F31" i="4" s="1"/>
  <c r="J30" i="4"/>
  <c r="C30" i="4"/>
  <c r="C31" i="4" s="1"/>
  <c r="J29" i="4"/>
  <c r="H29" i="4"/>
  <c r="G29" i="4"/>
  <c r="E29" i="4"/>
  <c r="F29" i="4" s="1"/>
  <c r="J28" i="4"/>
  <c r="C28" i="4"/>
  <c r="H28" i="4" s="1"/>
  <c r="J27" i="4"/>
  <c r="H27" i="4"/>
  <c r="G27" i="4"/>
  <c r="E27" i="4"/>
  <c r="F27" i="4" s="1"/>
  <c r="K27" i="4" s="1"/>
  <c r="J26" i="4"/>
  <c r="H26" i="4"/>
  <c r="G26" i="4"/>
  <c r="E26" i="4"/>
  <c r="F26" i="4" s="1"/>
  <c r="C26" i="4"/>
  <c r="J25" i="4"/>
  <c r="H25" i="4"/>
  <c r="G25" i="4"/>
  <c r="E25" i="4"/>
  <c r="F25" i="4" s="1"/>
  <c r="K25" i="4" s="1"/>
  <c r="H24" i="4"/>
  <c r="G24" i="4"/>
  <c r="E24" i="4"/>
  <c r="F24" i="4" s="1"/>
  <c r="K24" i="4" s="1"/>
  <c r="H23" i="4"/>
  <c r="G23" i="4"/>
  <c r="E23" i="4"/>
  <c r="F23" i="4" s="1"/>
  <c r="K23" i="4" s="1"/>
  <c r="H22" i="4"/>
  <c r="G22" i="4"/>
  <c r="E22" i="4"/>
  <c r="F22" i="4" s="1"/>
  <c r="K22" i="4" s="1"/>
  <c r="H21" i="4"/>
  <c r="G21" i="4"/>
  <c r="E21" i="4"/>
  <c r="F21" i="4" s="1"/>
  <c r="K21" i="4" s="1"/>
  <c r="H20" i="4"/>
  <c r="G20" i="4"/>
  <c r="E20" i="4"/>
  <c r="F20" i="4" s="1"/>
  <c r="K20" i="4" s="1"/>
  <c r="H19" i="4"/>
  <c r="G19" i="4"/>
  <c r="E19" i="4"/>
  <c r="F19" i="4" s="1"/>
  <c r="K19" i="4" s="1"/>
  <c r="H18" i="4"/>
  <c r="G18" i="4"/>
  <c r="E18" i="4"/>
  <c r="F18" i="4" s="1"/>
  <c r="K18" i="4" s="1"/>
  <c r="H17" i="4"/>
  <c r="G17" i="4"/>
  <c r="E17" i="4"/>
  <c r="F17" i="4" s="1"/>
  <c r="K17" i="4" s="1"/>
  <c r="K16" i="4"/>
  <c r="J16" i="4"/>
  <c r="H16" i="4"/>
  <c r="I16" i="4" s="1"/>
  <c r="J15" i="4"/>
  <c r="H15" i="4"/>
  <c r="G15" i="4"/>
  <c r="E15" i="4"/>
  <c r="Z14" i="4"/>
  <c r="J14" i="4"/>
  <c r="H14" i="4"/>
  <c r="G14" i="4"/>
  <c r="E14" i="4"/>
  <c r="F14" i="4" s="1"/>
  <c r="K14" i="4" s="1"/>
  <c r="Z13" i="4"/>
  <c r="J13" i="4"/>
  <c r="H13" i="4"/>
  <c r="G13" i="4"/>
  <c r="E13" i="4"/>
  <c r="F13" i="4" s="1"/>
  <c r="K13" i="4" s="1"/>
  <c r="Z12" i="4"/>
  <c r="J124" i="4" s="1"/>
  <c r="T12" i="4"/>
  <c r="Z11" i="4"/>
  <c r="J11" i="4"/>
  <c r="H11" i="4"/>
  <c r="G11" i="4"/>
  <c r="E11" i="4"/>
  <c r="F11" i="4" s="1"/>
  <c r="K11" i="4" s="1"/>
  <c r="Z10" i="4"/>
  <c r="J24" i="4" s="1"/>
  <c r="J10" i="4"/>
  <c r="H10" i="4"/>
  <c r="G10" i="4"/>
  <c r="E10" i="4"/>
  <c r="C10" i="4"/>
  <c r="H12" i="4" s="1"/>
  <c r="Z9" i="4"/>
  <c r="J46" i="4" s="1"/>
  <c r="J9" i="4"/>
  <c r="H9" i="4"/>
  <c r="G9" i="4"/>
  <c r="E9" i="4"/>
  <c r="F9" i="4" s="1"/>
  <c r="K9" i="4" s="1"/>
  <c r="Z8" i="4"/>
  <c r="H8" i="4"/>
  <c r="G8" i="4"/>
  <c r="E8" i="4"/>
  <c r="F8" i="4" s="1"/>
  <c r="K8" i="4" s="1"/>
  <c r="Z7" i="4"/>
  <c r="I106" i="4" l="1"/>
  <c r="L126" i="4"/>
  <c r="L129" i="4"/>
  <c r="H105" i="4"/>
  <c r="H108" i="4" s="1"/>
  <c r="L127" i="4"/>
  <c r="K10" i="4"/>
  <c r="I15" i="4"/>
  <c r="L16" i="4"/>
  <c r="M16" i="4" s="1"/>
  <c r="K105" i="4"/>
  <c r="L105" i="4" s="1"/>
  <c r="F48" i="4"/>
  <c r="K48" i="4" s="1"/>
  <c r="F51" i="4"/>
  <c r="K51" i="4" s="1"/>
  <c r="F52" i="4"/>
  <c r="K52" i="4" s="1"/>
  <c r="I86" i="4"/>
  <c r="F39" i="4"/>
  <c r="K39" i="4" s="1"/>
  <c r="F44" i="4"/>
  <c r="K44" i="4" s="1"/>
  <c r="I96" i="4"/>
  <c r="L96" i="4" s="1"/>
  <c r="I100" i="4"/>
  <c r="I102" i="4"/>
  <c r="L102" i="4" s="1"/>
  <c r="S102" i="4" s="1"/>
  <c r="T102" i="4" s="1"/>
  <c r="I10" i="4"/>
  <c r="U39" i="4"/>
  <c r="U45" i="4"/>
  <c r="I99" i="4"/>
  <c r="F117" i="4"/>
  <c r="K117" i="4" s="1"/>
  <c r="M126" i="4"/>
  <c r="N126" i="4" s="1"/>
  <c r="L130" i="4"/>
  <c r="M130" i="4" s="1"/>
  <c r="N130" i="4" s="1"/>
  <c r="L131" i="4"/>
  <c r="I20" i="4"/>
  <c r="L20" i="4" s="1"/>
  <c r="S20" i="4" s="1"/>
  <c r="T20" i="4" s="1"/>
  <c r="I24" i="4"/>
  <c r="L24" i="4" s="1"/>
  <c r="M24" i="4" s="1"/>
  <c r="H30" i="4"/>
  <c r="H31" i="4" s="1"/>
  <c r="K30" i="4"/>
  <c r="L30" i="4" s="1"/>
  <c r="M30" i="4" s="1"/>
  <c r="N30" i="4" s="1"/>
  <c r="I33" i="4"/>
  <c r="L33" i="4" s="1"/>
  <c r="F38" i="4"/>
  <c r="K38" i="4" s="1"/>
  <c r="U44" i="4"/>
  <c r="I45" i="4"/>
  <c r="L45" i="4" s="1"/>
  <c r="U48" i="4"/>
  <c r="I49" i="4"/>
  <c r="L49" i="4" s="1"/>
  <c r="U52" i="4"/>
  <c r="I53" i="4"/>
  <c r="F121" i="4"/>
  <c r="K121" i="4" s="1"/>
  <c r="M72" i="4"/>
  <c r="M149" i="4"/>
  <c r="I8" i="4"/>
  <c r="L8" i="4" s="1"/>
  <c r="K28" i="4"/>
  <c r="L28" i="4" s="1"/>
  <c r="T28" i="4" s="1"/>
  <c r="T35" i="4"/>
  <c r="J40" i="4"/>
  <c r="I56" i="4"/>
  <c r="J70" i="4"/>
  <c r="M70" i="4" s="1"/>
  <c r="I88" i="4"/>
  <c r="I92" i="4"/>
  <c r="L92" i="4" s="1"/>
  <c r="I110" i="4"/>
  <c r="L110" i="4" s="1"/>
  <c r="I115" i="4"/>
  <c r="U116" i="4"/>
  <c r="I119" i="4"/>
  <c r="U120" i="4"/>
  <c r="M129" i="4"/>
  <c r="N129" i="4" s="1"/>
  <c r="S8" i="4"/>
  <c r="F10" i="4"/>
  <c r="I11" i="4"/>
  <c r="L11" i="4" s="1"/>
  <c r="M11" i="4" s="1"/>
  <c r="N11" i="4" s="1"/>
  <c r="C12" i="4"/>
  <c r="I14" i="4"/>
  <c r="L14" i="4" s="1"/>
  <c r="S14" i="4" s="1"/>
  <c r="F15" i="4"/>
  <c r="K15" i="4" s="1"/>
  <c r="L15" i="4" s="1"/>
  <c r="K31" i="4"/>
  <c r="I32" i="4"/>
  <c r="L32" i="4" s="1"/>
  <c r="S32" i="4" s="1"/>
  <c r="F33" i="4"/>
  <c r="J45" i="4"/>
  <c r="U49" i="4"/>
  <c r="I52" i="4"/>
  <c r="U53" i="4"/>
  <c r="F55" i="4"/>
  <c r="K55" i="4" s="1"/>
  <c r="F56" i="4"/>
  <c r="K56" i="4" s="1"/>
  <c r="U56" i="4"/>
  <c r="F86" i="4"/>
  <c r="K86" i="4" s="1"/>
  <c r="I90" i="4"/>
  <c r="L90" i="4" s="1"/>
  <c r="S90" i="4" s="1"/>
  <c r="I95" i="4"/>
  <c r="I104" i="4"/>
  <c r="L104" i="4" s="1"/>
  <c r="K106" i="4"/>
  <c r="L106" i="4" s="1"/>
  <c r="I109" i="4"/>
  <c r="L109" i="4" s="1"/>
  <c r="M109" i="4" s="1"/>
  <c r="N109" i="4" s="1"/>
  <c r="T112" i="4"/>
  <c r="S113" i="4"/>
  <c r="T113" i="4" s="1"/>
  <c r="F115" i="4"/>
  <c r="K115" i="4" s="1"/>
  <c r="I116" i="4"/>
  <c r="L116" i="4" s="1"/>
  <c r="F119" i="4"/>
  <c r="K119" i="4" s="1"/>
  <c r="I120" i="4"/>
  <c r="L120" i="4" s="1"/>
  <c r="L123" i="4"/>
  <c r="M123" i="4" s="1"/>
  <c r="L125" i="4"/>
  <c r="S125" i="4" s="1"/>
  <c r="T125" i="4" s="1"/>
  <c r="L132" i="4"/>
  <c r="D139" i="4"/>
  <c r="J143" i="4" s="1"/>
  <c r="H161" i="4" s="1"/>
  <c r="H162" i="4" s="1"/>
  <c r="U37" i="4"/>
  <c r="I37" i="4"/>
  <c r="F37" i="4"/>
  <c r="K37" i="4" s="1"/>
  <c r="S16" i="4"/>
  <c r="T16" i="4" s="1"/>
  <c r="I17" i="4"/>
  <c r="L17" i="4" s="1"/>
  <c r="I21" i="4"/>
  <c r="L21" i="4" s="1"/>
  <c r="I25" i="4"/>
  <c r="L25" i="4" s="1"/>
  <c r="S25" i="4" s="1"/>
  <c r="L39" i="4"/>
  <c r="L44" i="4"/>
  <c r="H89" i="4"/>
  <c r="I9" i="4"/>
  <c r="L9" i="4" s="1"/>
  <c r="U46" i="4"/>
  <c r="I46" i="4"/>
  <c r="F46" i="4"/>
  <c r="K46" i="4" s="1"/>
  <c r="F101" i="4"/>
  <c r="K101" i="4" s="1"/>
  <c r="I101" i="4"/>
  <c r="N16" i="4"/>
  <c r="K26" i="4"/>
  <c r="I18" i="4"/>
  <c r="L18" i="4" s="1"/>
  <c r="I22" i="4"/>
  <c r="L22" i="4" s="1"/>
  <c r="S22" i="4" s="1"/>
  <c r="I26" i="4"/>
  <c r="T34" i="4"/>
  <c r="I85" i="4"/>
  <c r="L85" i="4" s="1"/>
  <c r="S85" i="4"/>
  <c r="J98" i="4"/>
  <c r="J97" i="4"/>
  <c r="J96" i="4"/>
  <c r="J95" i="4"/>
  <c r="J85" i="4"/>
  <c r="J94" i="4"/>
  <c r="J8" i="4"/>
  <c r="J21" i="4"/>
  <c r="J20" i="4"/>
  <c r="M20" i="4" s="1"/>
  <c r="N20" i="4" s="1"/>
  <c r="J19" i="4"/>
  <c r="J18" i="4"/>
  <c r="J17" i="4"/>
  <c r="S17" i="4"/>
  <c r="I19" i="4"/>
  <c r="L19" i="4" s="1"/>
  <c r="S19" i="4" s="1"/>
  <c r="S21" i="4"/>
  <c r="I23" i="4"/>
  <c r="L23" i="4" s="1"/>
  <c r="S23" i="4" s="1"/>
  <c r="M28" i="4"/>
  <c r="N28" i="4" s="1"/>
  <c r="U41" i="4"/>
  <c r="I41" i="4"/>
  <c r="F41" i="4"/>
  <c r="K41" i="4" s="1"/>
  <c r="F97" i="4"/>
  <c r="K97" i="4" s="1"/>
  <c r="K103" i="4" s="1"/>
  <c r="I97" i="4"/>
  <c r="I13" i="4"/>
  <c r="L13" i="4" s="1"/>
  <c r="S13" i="4" s="1"/>
  <c r="J22" i="4"/>
  <c r="J23" i="4"/>
  <c r="I27" i="4"/>
  <c r="L27" i="4" s="1"/>
  <c r="C29" i="4"/>
  <c r="K29" i="4" s="1"/>
  <c r="I38" i="4"/>
  <c r="L38" i="4" s="1"/>
  <c r="J39" i="4"/>
  <c r="J42" i="4"/>
  <c r="U43" i="4"/>
  <c r="I43" i="4"/>
  <c r="U47" i="4"/>
  <c r="I47" i="4"/>
  <c r="L48" i="4"/>
  <c r="U50" i="4"/>
  <c r="I50" i="4"/>
  <c r="F50" i="4"/>
  <c r="K50" i="4" s="1"/>
  <c r="L95" i="4"/>
  <c r="I98" i="4"/>
  <c r="L98" i="4" s="1"/>
  <c r="S98" i="4" s="1"/>
  <c r="L99" i="4"/>
  <c r="U118" i="4"/>
  <c r="I118" i="4"/>
  <c r="F118" i="4"/>
  <c r="K118" i="4" s="1"/>
  <c r="M124" i="4"/>
  <c r="N124" i="4" s="1"/>
  <c r="T124" i="4"/>
  <c r="J122" i="4"/>
  <c r="J118" i="4"/>
  <c r="J114" i="4"/>
  <c r="J119" i="4"/>
  <c r="J115" i="4"/>
  <c r="J120" i="4"/>
  <c r="J116" i="4"/>
  <c r="J131" i="4"/>
  <c r="M131" i="4" s="1"/>
  <c r="N131" i="4" s="1"/>
  <c r="J121" i="4"/>
  <c r="J54" i="4"/>
  <c r="J50" i="4"/>
  <c r="J117" i="4"/>
  <c r="J55" i="4"/>
  <c r="J51" i="4"/>
  <c r="J47" i="4"/>
  <c r="J43" i="4"/>
  <c r="J56" i="4"/>
  <c r="J52" i="4"/>
  <c r="J48" i="4"/>
  <c r="J44" i="4"/>
  <c r="J38" i="4"/>
  <c r="F40" i="4"/>
  <c r="K40" i="4" s="1"/>
  <c r="F43" i="4"/>
  <c r="K43" i="4" s="1"/>
  <c r="F47" i="4"/>
  <c r="K47" i="4" s="1"/>
  <c r="J49" i="4"/>
  <c r="L53" i="4"/>
  <c r="U54" i="4"/>
  <c r="I54" i="4"/>
  <c r="F54" i="4"/>
  <c r="K54" i="4" s="1"/>
  <c r="M66" i="4"/>
  <c r="I87" i="4"/>
  <c r="L88" i="4"/>
  <c r="S88" i="4" s="1"/>
  <c r="F91" i="4"/>
  <c r="K91" i="4" s="1"/>
  <c r="I91" i="4"/>
  <c r="I94" i="4"/>
  <c r="L94" i="4" s="1"/>
  <c r="M128" i="4"/>
  <c r="N128" i="4" s="1"/>
  <c r="S128" i="4"/>
  <c r="T128" i="4" s="1"/>
  <c r="J101" i="4"/>
  <c r="J100" i="4"/>
  <c r="J99" i="4"/>
  <c r="J37" i="4"/>
  <c r="I40" i="4"/>
  <c r="J41" i="4"/>
  <c r="U42" i="4"/>
  <c r="F42" i="4"/>
  <c r="K42" i="4" s="1"/>
  <c r="L42" i="4" s="1"/>
  <c r="S45" i="4"/>
  <c r="T45" i="4" s="1"/>
  <c r="J53" i="4"/>
  <c r="L100" i="4"/>
  <c r="M102" i="4"/>
  <c r="N102" i="4" s="1"/>
  <c r="S132" i="4"/>
  <c r="T132" i="4" s="1"/>
  <c r="M132" i="4"/>
  <c r="N132" i="4" s="1"/>
  <c r="M133" i="4"/>
  <c r="N133" i="4" s="1"/>
  <c r="S133" i="4"/>
  <c r="T133" i="4" s="1"/>
  <c r="I51" i="4"/>
  <c r="L51" i="4" s="1"/>
  <c r="S53" i="4"/>
  <c r="I55" i="4"/>
  <c r="L55" i="4" s="1"/>
  <c r="U55" i="4"/>
  <c r="J60" i="4"/>
  <c r="M105" i="4"/>
  <c r="N105" i="4" s="1"/>
  <c r="U122" i="4"/>
  <c r="I122" i="4"/>
  <c r="F122" i="4"/>
  <c r="K122" i="4" s="1"/>
  <c r="S126" i="4"/>
  <c r="T126" i="4" s="1"/>
  <c r="S127" i="4"/>
  <c r="T127" i="4" s="1"/>
  <c r="M127" i="4"/>
  <c r="N127" i="4" s="1"/>
  <c r="S131" i="4"/>
  <c r="T131" i="4" s="1"/>
  <c r="M137" i="4"/>
  <c r="L93" i="4"/>
  <c r="T105" i="4"/>
  <c r="I103" i="4"/>
  <c r="U114" i="4"/>
  <c r="I114" i="4"/>
  <c r="F114" i="4"/>
  <c r="K114" i="4" s="1"/>
  <c r="K107" i="4"/>
  <c r="L107" i="4" s="1"/>
  <c r="S109" i="4"/>
  <c r="T109" i="4" s="1"/>
  <c r="S129" i="4"/>
  <c r="T129" i="4" s="1"/>
  <c r="J147" i="4"/>
  <c r="M147" i="4" s="1"/>
  <c r="C108" i="4"/>
  <c r="K108" i="4" s="1"/>
  <c r="I117" i="4"/>
  <c r="L117" i="4" s="1"/>
  <c r="I121" i="4"/>
  <c r="M8" i="4" l="1"/>
  <c r="T8" i="4"/>
  <c r="K134" i="4"/>
  <c r="J140" i="4" s="1"/>
  <c r="M140" i="4" s="1"/>
  <c r="N24" i="4"/>
  <c r="L52" i="4"/>
  <c r="L37" i="4"/>
  <c r="N123" i="4"/>
  <c r="L40" i="4"/>
  <c r="S123" i="4"/>
  <c r="T123" i="4" s="1"/>
  <c r="T30" i="4"/>
  <c r="S24" i="4"/>
  <c r="T24" i="4" s="1"/>
  <c r="M45" i="4"/>
  <c r="N45" i="4" s="1"/>
  <c r="U134" i="4"/>
  <c r="J139" i="4" s="1"/>
  <c r="M139" i="4" s="1"/>
  <c r="S130" i="4"/>
  <c r="T130" i="4" s="1"/>
  <c r="M125" i="4"/>
  <c r="N125" i="4" s="1"/>
  <c r="L121" i="4"/>
  <c r="L119" i="4"/>
  <c r="L115" i="4"/>
  <c r="S115" i="4" s="1"/>
  <c r="T115" i="4" s="1"/>
  <c r="L86" i="4"/>
  <c r="M86" i="4" s="1"/>
  <c r="N86" i="4" s="1"/>
  <c r="S11" i="4"/>
  <c r="T11" i="4" s="1"/>
  <c r="S31" i="4"/>
  <c r="I31" i="4"/>
  <c r="L31" i="4" s="1"/>
  <c r="T31" i="4" s="1"/>
  <c r="L54" i="4"/>
  <c r="M54" i="4" s="1"/>
  <c r="N54" i="4" s="1"/>
  <c r="L101" i="4"/>
  <c r="M101" i="4" s="1"/>
  <c r="N101" i="4" s="1"/>
  <c r="K87" i="4"/>
  <c r="M104" i="4"/>
  <c r="N104" i="4" s="1"/>
  <c r="S104" i="4"/>
  <c r="T104" i="4" s="1"/>
  <c r="J144" i="4"/>
  <c r="M144" i="4" s="1"/>
  <c r="L50" i="4"/>
  <c r="M50" i="4" s="1"/>
  <c r="N50" i="4" s="1"/>
  <c r="L47" i="4"/>
  <c r="M47" i="4" s="1"/>
  <c r="N47" i="4" s="1"/>
  <c r="L56" i="4"/>
  <c r="T56" i="4" s="1"/>
  <c r="M143" i="4"/>
  <c r="N8" i="4"/>
  <c r="M42" i="4"/>
  <c r="N42" i="4" s="1"/>
  <c r="S42" i="4"/>
  <c r="T42" i="4" s="1"/>
  <c r="S51" i="4"/>
  <c r="T51" i="4" s="1"/>
  <c r="M51" i="4"/>
  <c r="N51" i="4" s="1"/>
  <c r="M18" i="4"/>
  <c r="N18" i="4" s="1"/>
  <c r="L114" i="4"/>
  <c r="L122" i="4"/>
  <c r="M94" i="4"/>
  <c r="N94" i="4" s="1"/>
  <c r="S94" i="4"/>
  <c r="T94" i="4" s="1"/>
  <c r="L118" i="4"/>
  <c r="T98" i="4"/>
  <c r="M98" i="4"/>
  <c r="N98" i="4" s="1"/>
  <c r="M27" i="4"/>
  <c r="N27" i="4" s="1"/>
  <c r="L97" i="4"/>
  <c r="L41" i="4"/>
  <c r="T19" i="4"/>
  <c r="M19" i="4"/>
  <c r="N19" i="4" s="1"/>
  <c r="M85" i="4"/>
  <c r="T85" i="4"/>
  <c r="L87" i="4"/>
  <c r="S27" i="4"/>
  <c r="T27" i="4" s="1"/>
  <c r="T25" i="4"/>
  <c r="M25" i="4"/>
  <c r="N25" i="4" s="1"/>
  <c r="T17" i="4"/>
  <c r="M17" i="4"/>
  <c r="L26" i="4"/>
  <c r="M14" i="4"/>
  <c r="N14" i="4" s="1"/>
  <c r="T14" i="4"/>
  <c r="K57" i="4"/>
  <c r="J63" i="4" s="1"/>
  <c r="H155" i="4"/>
  <c r="M60" i="4"/>
  <c r="S96" i="4"/>
  <c r="T96" i="4" s="1"/>
  <c r="M96" i="4"/>
  <c r="N96" i="4" s="1"/>
  <c r="M106" i="4"/>
  <c r="N106" i="4" s="1"/>
  <c r="S106" i="4"/>
  <c r="T106" i="4" s="1"/>
  <c r="S47" i="4"/>
  <c r="T47" i="4" s="1"/>
  <c r="S108" i="4"/>
  <c r="S120" i="4"/>
  <c r="T120" i="4" s="1"/>
  <c r="M120" i="4"/>
  <c r="N120" i="4" s="1"/>
  <c r="S93" i="4"/>
  <c r="T93" i="4" s="1"/>
  <c r="M93" i="4"/>
  <c r="N93" i="4" s="1"/>
  <c r="M55" i="4"/>
  <c r="N55" i="4" s="1"/>
  <c r="T55" i="4"/>
  <c r="M90" i="4"/>
  <c r="N90" i="4" s="1"/>
  <c r="T90" i="4"/>
  <c r="M92" i="4"/>
  <c r="N92" i="4" s="1"/>
  <c r="S92" i="4"/>
  <c r="T92" i="4" s="1"/>
  <c r="M88" i="4"/>
  <c r="N88" i="4" s="1"/>
  <c r="T88" i="4"/>
  <c r="M53" i="4"/>
  <c r="N53" i="4" s="1"/>
  <c r="T53" i="4"/>
  <c r="M49" i="4"/>
  <c r="N49" i="4" s="1"/>
  <c r="S49" i="4"/>
  <c r="T49" i="4" s="1"/>
  <c r="T22" i="4"/>
  <c r="M22" i="4"/>
  <c r="N22" i="4" s="1"/>
  <c r="M9" i="4"/>
  <c r="M10" i="4" s="1"/>
  <c r="S44" i="4"/>
  <c r="T44" i="4" s="1"/>
  <c r="M44" i="4"/>
  <c r="N44" i="4" s="1"/>
  <c r="M37" i="4"/>
  <c r="N37" i="4" s="1"/>
  <c r="S37" i="4"/>
  <c r="T37" i="4" s="1"/>
  <c r="S18" i="4"/>
  <c r="S26" i="4" s="1"/>
  <c r="M117" i="4"/>
  <c r="N117" i="4" s="1"/>
  <c r="S117" i="4"/>
  <c r="T117" i="4" s="1"/>
  <c r="M13" i="4"/>
  <c r="N13" i="4" s="1"/>
  <c r="T13" i="4"/>
  <c r="M121" i="4"/>
  <c r="N121" i="4" s="1"/>
  <c r="S121" i="4"/>
  <c r="T121" i="4" s="1"/>
  <c r="M107" i="4"/>
  <c r="N107" i="4" s="1"/>
  <c r="T107" i="4"/>
  <c r="I108" i="4"/>
  <c r="L108" i="4" s="1"/>
  <c r="S116" i="4"/>
  <c r="T116" i="4" s="1"/>
  <c r="M116" i="4"/>
  <c r="N116" i="4" s="1"/>
  <c r="S100" i="4"/>
  <c r="T100" i="4" s="1"/>
  <c r="M100" i="4"/>
  <c r="N100" i="4" s="1"/>
  <c r="M40" i="4"/>
  <c r="N40" i="4" s="1"/>
  <c r="S40" i="4"/>
  <c r="T40" i="4" s="1"/>
  <c r="L91" i="4"/>
  <c r="T52" i="4"/>
  <c r="M52" i="4"/>
  <c r="N52" i="4" s="1"/>
  <c r="M99" i="4"/>
  <c r="N99" i="4" s="1"/>
  <c r="S99" i="4"/>
  <c r="T99" i="4" s="1"/>
  <c r="M95" i="4"/>
  <c r="N95" i="4" s="1"/>
  <c r="S95" i="4"/>
  <c r="T95" i="4" s="1"/>
  <c r="S48" i="4"/>
  <c r="T48" i="4" s="1"/>
  <c r="M48" i="4"/>
  <c r="N48" i="4" s="1"/>
  <c r="L43" i="4"/>
  <c r="S38" i="4"/>
  <c r="T38" i="4" s="1"/>
  <c r="M38" i="4"/>
  <c r="N38" i="4" s="1"/>
  <c r="I29" i="4"/>
  <c r="L29" i="4" s="1"/>
  <c r="T23" i="4"/>
  <c r="M23" i="4"/>
  <c r="N23" i="4" s="1"/>
  <c r="M15" i="4"/>
  <c r="N15" i="4" s="1"/>
  <c r="M32" i="4"/>
  <c r="N32" i="4" s="1"/>
  <c r="T32" i="4"/>
  <c r="L46" i="4"/>
  <c r="S9" i="4"/>
  <c r="S10" i="4" s="1"/>
  <c r="S39" i="4"/>
  <c r="T39" i="4" s="1"/>
  <c r="M39" i="4"/>
  <c r="N39" i="4" s="1"/>
  <c r="T21" i="4"/>
  <c r="M21" i="4"/>
  <c r="N21" i="4" s="1"/>
  <c r="S15" i="4"/>
  <c r="T15" i="4" s="1"/>
  <c r="U57" i="4"/>
  <c r="J62" i="4" s="1"/>
  <c r="L10" i="4"/>
  <c r="M31" i="4" l="1"/>
  <c r="N31" i="4" s="1"/>
  <c r="S86" i="4"/>
  <c r="T86" i="4" s="1"/>
  <c r="S50" i="4"/>
  <c r="T50" i="4" s="1"/>
  <c r="T54" i="4"/>
  <c r="M115" i="4"/>
  <c r="N115" i="4" s="1"/>
  <c r="N9" i="4"/>
  <c r="M119" i="4"/>
  <c r="N119" i="4" s="1"/>
  <c r="S119" i="4"/>
  <c r="T119" i="4" s="1"/>
  <c r="M56" i="4"/>
  <c r="N56" i="4" s="1"/>
  <c r="S101" i="4"/>
  <c r="T101" i="4" s="1"/>
  <c r="M87" i="4"/>
  <c r="T87" i="4"/>
  <c r="N85" i="4"/>
  <c r="N87" i="4" s="1"/>
  <c r="S87" i="4"/>
  <c r="M118" i="4"/>
  <c r="N118" i="4" s="1"/>
  <c r="S118" i="4"/>
  <c r="T118" i="4" s="1"/>
  <c r="M46" i="4"/>
  <c r="N46" i="4" s="1"/>
  <c r="S46" i="4"/>
  <c r="T46" i="4" s="1"/>
  <c r="H158" i="4"/>
  <c r="M63" i="4"/>
  <c r="T26" i="4"/>
  <c r="M97" i="4"/>
  <c r="N97" i="4" s="1"/>
  <c r="N103" i="4" s="1"/>
  <c r="S97" i="4"/>
  <c r="T97" i="4" s="1"/>
  <c r="T18" i="4"/>
  <c r="M91" i="4"/>
  <c r="N91" i="4" s="1"/>
  <c r="S91" i="4"/>
  <c r="T91" i="4" s="1"/>
  <c r="M26" i="4"/>
  <c r="M122" i="4"/>
  <c r="N122" i="4" s="1"/>
  <c r="S122" i="4"/>
  <c r="T122" i="4" s="1"/>
  <c r="N10" i="4"/>
  <c r="M43" i="4"/>
  <c r="N43" i="4" s="1"/>
  <c r="S43" i="4"/>
  <c r="T43" i="4" s="1"/>
  <c r="T9" i="4"/>
  <c r="T10" i="4" s="1"/>
  <c r="M41" i="4"/>
  <c r="N41" i="4" s="1"/>
  <c r="S41" i="4"/>
  <c r="T41" i="4" s="1"/>
  <c r="M62" i="4"/>
  <c r="H157" i="4"/>
  <c r="M29" i="4"/>
  <c r="N29" i="4" s="1"/>
  <c r="S29" i="4"/>
  <c r="T29" i="4" s="1"/>
  <c r="M108" i="4"/>
  <c r="N108" i="4" s="1"/>
  <c r="T108" i="4"/>
  <c r="L57" i="4"/>
  <c r="J61" i="4" s="1"/>
  <c r="N17" i="4"/>
  <c r="N26" i="4" s="1"/>
  <c r="L103" i="4"/>
  <c r="M114" i="4"/>
  <c r="N114" i="4" s="1"/>
  <c r="L134" i="4"/>
  <c r="J138" i="4" s="1"/>
  <c r="M138" i="4" s="1"/>
  <c r="S114" i="4"/>
  <c r="S134" i="4" s="1"/>
  <c r="S57" i="4" l="1"/>
  <c r="N57" i="4"/>
  <c r="J65" i="4" s="1"/>
  <c r="T57" i="4"/>
  <c r="M57" i="4"/>
  <c r="J64" i="4" s="1"/>
  <c r="M64" i="4" s="1"/>
  <c r="S103" i="4"/>
  <c r="T103" i="4" s="1"/>
  <c r="M65" i="4"/>
  <c r="T114" i="4"/>
  <c r="T134" i="4" s="1"/>
  <c r="M103" i="4"/>
  <c r="N134" i="4"/>
  <c r="J142" i="4" s="1"/>
  <c r="M142" i="4" s="1"/>
  <c r="H156" i="4"/>
  <c r="M61" i="4"/>
  <c r="M134" i="4"/>
  <c r="J141" i="4" s="1"/>
  <c r="M141" i="4" s="1"/>
  <c r="M145" i="4" l="1"/>
  <c r="M150" i="4" s="1"/>
  <c r="H159" i="4"/>
  <c r="M68" i="4"/>
  <c r="M73" i="4" s="1"/>
  <c r="H160" i="4"/>
  <c r="F251" i="7" l="1"/>
  <c r="F250" i="7"/>
  <c r="F254" i="7"/>
  <c r="F248" i="7"/>
  <c r="F249" i="7"/>
  <c r="F246" i="7"/>
  <c r="F255" i="7"/>
  <c r="F256" i="7"/>
  <c r="F247" i="7"/>
  <c r="M49" i="7" l="1"/>
  <c r="M48" i="7"/>
  <c r="M47" i="7"/>
  <c r="M46" i="7"/>
  <c r="L56" i="7"/>
  <c r="M56" i="7" s="1"/>
  <c r="M55" i="7"/>
  <c r="L54" i="7"/>
  <c r="M53" i="7"/>
  <c r="L53" i="7"/>
  <c r="M54" i="7"/>
  <c r="K54" i="7"/>
  <c r="K55" i="7"/>
  <c r="K56" i="7"/>
  <c r="K53" i="7"/>
  <c r="H54" i="7"/>
  <c r="H55" i="7"/>
  <c r="H56" i="7"/>
  <c r="I56" i="7" s="1"/>
  <c r="H53" i="7"/>
  <c r="M51" i="7" l="1"/>
  <c r="L51" i="7"/>
  <c r="I53" i="7"/>
  <c r="M43" i="7"/>
  <c r="I49" i="7" l="1"/>
  <c r="H48" i="7"/>
  <c r="H47" i="7"/>
  <c r="H46" i="7"/>
  <c r="F44" i="7"/>
  <c r="E44" i="7"/>
  <c r="H44" i="7" l="1"/>
  <c r="I46" i="7"/>
  <c r="H41" i="7"/>
  <c r="H34" i="7"/>
  <c r="D236" i="7" l="1"/>
  <c r="H236" i="7" s="1"/>
  <c r="H231" i="7"/>
  <c r="H230" i="7"/>
  <c r="I23" i="11"/>
  <c r="I25" i="11"/>
  <c r="I26" i="11"/>
  <c r="I27" i="11"/>
  <c r="C24" i="11"/>
  <c r="I24" i="11" s="1"/>
  <c r="F71" i="11"/>
  <c r="C62" i="11"/>
  <c r="F62" i="11" s="1"/>
  <c r="C61" i="11"/>
  <c r="F61" i="11" s="1"/>
  <c r="C60" i="11"/>
  <c r="F60" i="11" s="1"/>
  <c r="C59" i="11"/>
  <c r="F59" i="11" s="1"/>
  <c r="C58" i="11"/>
  <c r="F58" i="11" s="1"/>
  <c r="C57" i="11"/>
  <c r="F57" i="11" s="1"/>
  <c r="C56" i="11"/>
  <c r="F56" i="11" s="1"/>
  <c r="C55" i="11"/>
  <c r="F55" i="11" s="1"/>
  <c r="C54" i="11"/>
  <c r="F54" i="11" s="1"/>
  <c r="C53" i="11"/>
  <c r="F53" i="11" s="1"/>
  <c r="C51" i="11"/>
  <c r="F51" i="11" s="1"/>
  <c r="C50" i="11"/>
  <c r="F50" i="11" s="1"/>
  <c r="C49" i="11"/>
  <c r="F49" i="11" s="1"/>
  <c r="C48" i="11"/>
  <c r="F48" i="11" s="1"/>
  <c r="C47" i="11"/>
  <c r="F47" i="11" s="1"/>
  <c r="C46" i="11"/>
  <c r="F46" i="11" s="1"/>
  <c r="O34" i="11"/>
  <c r="L34" i="11"/>
  <c r="I34" i="11"/>
  <c r="F34" i="11"/>
  <c r="O33" i="11"/>
  <c r="L33" i="11"/>
  <c r="I33" i="11"/>
  <c r="F33" i="11"/>
  <c r="O32" i="11"/>
  <c r="L32" i="11"/>
  <c r="I32" i="11"/>
  <c r="F32" i="11"/>
  <c r="O31" i="11"/>
  <c r="L31" i="11"/>
  <c r="I31" i="11"/>
  <c r="F31" i="11"/>
  <c r="O30" i="11"/>
  <c r="L30" i="11"/>
  <c r="I30" i="11"/>
  <c r="F30" i="11"/>
  <c r="O29" i="11"/>
  <c r="L29" i="11"/>
  <c r="I29" i="11"/>
  <c r="F29" i="11"/>
  <c r="O28" i="11"/>
  <c r="L28" i="11"/>
  <c r="I28" i="11"/>
  <c r="F28" i="11"/>
  <c r="O27" i="11"/>
  <c r="L27" i="11"/>
  <c r="F27" i="11"/>
  <c r="O26" i="11"/>
  <c r="L26" i="11"/>
  <c r="F26" i="11"/>
  <c r="O25" i="11"/>
  <c r="L25" i="11"/>
  <c r="F25" i="11"/>
  <c r="L24" i="11"/>
  <c r="O23" i="11"/>
  <c r="L23" i="11"/>
  <c r="F23" i="11"/>
  <c r="O22" i="11"/>
  <c r="L22" i="11"/>
  <c r="I22" i="11"/>
  <c r="E22" i="11"/>
  <c r="F22" i="11" s="1"/>
  <c r="O21" i="11"/>
  <c r="L21" i="11"/>
  <c r="I21" i="11"/>
  <c r="E21" i="11"/>
  <c r="F21" i="11" s="1"/>
  <c r="O20" i="11"/>
  <c r="L20" i="11"/>
  <c r="I20" i="11"/>
  <c r="E20" i="11"/>
  <c r="F20" i="11" s="1"/>
  <c r="O19" i="11"/>
  <c r="L19" i="11"/>
  <c r="I19" i="11"/>
  <c r="E19" i="11"/>
  <c r="F19" i="11" s="1"/>
  <c r="O18" i="11"/>
  <c r="L18" i="11"/>
  <c r="I18" i="11"/>
  <c r="F18" i="11"/>
  <c r="G61" i="7"/>
  <c r="H61" i="7" s="1"/>
  <c r="G60" i="7"/>
  <c r="H60" i="7" s="1"/>
  <c r="I37" i="11" l="1"/>
  <c r="C52" i="11"/>
  <c r="F52" i="11" s="1"/>
  <c r="I235" i="7"/>
  <c r="F24" i="11"/>
  <c r="O24" i="11"/>
  <c r="O37" i="11" s="1"/>
  <c r="C35" i="11"/>
  <c r="L37" i="11"/>
  <c r="I59" i="7"/>
  <c r="I229" i="7"/>
  <c r="F37" i="11"/>
  <c r="F233" i="7" l="1"/>
  <c r="I70" i="11"/>
  <c r="I39" i="11"/>
  <c r="I69" i="11"/>
  <c r="I68" i="11"/>
  <c r="I67" i="11"/>
  <c r="I41" i="11" l="1"/>
  <c r="I71" i="11"/>
  <c r="I150" i="7" l="1"/>
  <c r="J150" i="7" s="1"/>
  <c r="J148" i="7" l="1"/>
  <c r="M148" i="7" s="1"/>
  <c r="J149" i="7"/>
  <c r="M149" i="7" s="1"/>
  <c r="M150" i="7"/>
  <c r="J146" i="7"/>
  <c r="K146" i="7"/>
  <c r="I144" i="7"/>
  <c r="J144" i="7" s="1"/>
  <c r="J143" i="7"/>
  <c r="F143" i="7"/>
  <c r="L146" i="7" l="1"/>
  <c r="M146" i="7" s="1"/>
  <c r="M143" i="7"/>
  <c r="M144" i="7"/>
  <c r="N151" i="7"/>
  <c r="D173" i="7"/>
  <c r="G174" i="7" s="1"/>
  <c r="F169" i="7"/>
  <c r="F168" i="7"/>
  <c r="N147" i="7" l="1"/>
  <c r="N142" i="7"/>
  <c r="G167" i="7"/>
  <c r="D172" i="7" s="1"/>
  <c r="G172" i="7" s="1"/>
  <c r="D161" i="7" l="1"/>
  <c r="C1392" i="13" l="1"/>
  <c r="F1392" i="13" s="1"/>
  <c r="C1386" i="13"/>
  <c r="F1386" i="13" s="1"/>
  <c r="F1376" i="13"/>
  <c r="F1375" i="13"/>
  <c r="F1374" i="13"/>
  <c r="F1373" i="13"/>
  <c r="F1372" i="13"/>
  <c r="F1371" i="13"/>
  <c r="F1370" i="13"/>
  <c r="F1369" i="13"/>
  <c r="F1363" i="13"/>
  <c r="C1357" i="13"/>
  <c r="F1357" i="13" s="1"/>
  <c r="F1356" i="13"/>
  <c r="E1355" i="13"/>
  <c r="F1355" i="13" s="1"/>
  <c r="C1352" i="13"/>
  <c r="C1346" i="13"/>
  <c r="F1344" i="13"/>
  <c r="E1337" i="13"/>
  <c r="F1337" i="13" s="1"/>
  <c r="F1336" i="13"/>
  <c r="C1334" i="13"/>
  <c r="C1332" i="13"/>
  <c r="F1332" i="13" s="1"/>
  <c r="F1319" i="13"/>
  <c r="F1314" i="13"/>
  <c r="D1314" i="13"/>
  <c r="D1321" i="13" s="1"/>
  <c r="G1321" i="13" s="1"/>
  <c r="F1313" i="13"/>
  <c r="D1313" i="13"/>
  <c r="D1320" i="13" s="1"/>
  <c r="G1320" i="13" s="1"/>
  <c r="D1312" i="13"/>
  <c r="D1319" i="13" s="1"/>
  <c r="F1311" i="13"/>
  <c r="F1312" i="13" s="1"/>
  <c r="D1311" i="13"/>
  <c r="D1318" i="13" s="1"/>
  <c r="G1318" i="13" s="1"/>
  <c r="D1305" i="13"/>
  <c r="G1305" i="13" s="1"/>
  <c r="G1299" i="13"/>
  <c r="G1298" i="13"/>
  <c r="G1297" i="13"/>
  <c r="F1292" i="13"/>
  <c r="G1292" i="13" s="1"/>
  <c r="F1280" i="13"/>
  <c r="F1281" i="13" s="1"/>
  <c r="F1274" i="13"/>
  <c r="F1273" i="13"/>
  <c r="F1272" i="13"/>
  <c r="F1271" i="13"/>
  <c r="C1267" i="13"/>
  <c r="E1266" i="13"/>
  <c r="F1266" i="13" s="1"/>
  <c r="F1268" i="13" s="1"/>
  <c r="F1269" i="13" s="1"/>
  <c r="F1255" i="13"/>
  <c r="F1254" i="13"/>
  <c r="F1253" i="13"/>
  <c r="F1252" i="13"/>
  <c r="F1251" i="13"/>
  <c r="F1250" i="13"/>
  <c r="F1248" i="13"/>
  <c r="F1249" i="13" s="1"/>
  <c r="F1247" i="13"/>
  <c r="F1240" i="13"/>
  <c r="F1239" i="13"/>
  <c r="C1235" i="13"/>
  <c r="F1224" i="13"/>
  <c r="F1223" i="13"/>
  <c r="E1219" i="13"/>
  <c r="C1219" i="13"/>
  <c r="E1218" i="13"/>
  <c r="E1234" i="13" s="1"/>
  <c r="F1234" i="13" s="1"/>
  <c r="F1211" i="13"/>
  <c r="F1210" i="13"/>
  <c r="E1209" i="13"/>
  <c r="F1209" i="13" s="1"/>
  <c r="E1207" i="13"/>
  <c r="F1207" i="13" s="1"/>
  <c r="J1202" i="13"/>
  <c r="J1203" i="13" s="1"/>
  <c r="C1201" i="13"/>
  <c r="F1201" i="13" s="1"/>
  <c r="H1200" i="13"/>
  <c r="C1199" i="13"/>
  <c r="F1195" i="13"/>
  <c r="F1194" i="13"/>
  <c r="F1193" i="13"/>
  <c r="F1192" i="13"/>
  <c r="F1188" i="13"/>
  <c r="C1184" i="13"/>
  <c r="F1183" i="13"/>
  <c r="F1182" i="13"/>
  <c r="H1173" i="13"/>
  <c r="C1172" i="13"/>
  <c r="C1173" i="13" s="1"/>
  <c r="F1173" i="13" s="1"/>
  <c r="F1162" i="13"/>
  <c r="F1161" i="13"/>
  <c r="F1160" i="13"/>
  <c r="F1156" i="13"/>
  <c r="F1155" i="13"/>
  <c r="F1146" i="13"/>
  <c r="F1145" i="13"/>
  <c r="F1144" i="13"/>
  <c r="F1140" i="13"/>
  <c r="E1139" i="13"/>
  <c r="F1139" i="13" s="1"/>
  <c r="F1138" i="13"/>
  <c r="I1132" i="13"/>
  <c r="F1130" i="13"/>
  <c r="F1129" i="13"/>
  <c r="F1128" i="13"/>
  <c r="F1124" i="13"/>
  <c r="F1123" i="13"/>
  <c r="I1118" i="13"/>
  <c r="F1116" i="13"/>
  <c r="F1115" i="13"/>
  <c r="F1114" i="13"/>
  <c r="F1110" i="13"/>
  <c r="F1109" i="13"/>
  <c r="F1104" i="13"/>
  <c r="C1091" i="13"/>
  <c r="F1091" i="13" s="1"/>
  <c r="C1080" i="13"/>
  <c r="F1080" i="13" s="1"/>
  <c r="C1074" i="13"/>
  <c r="F1074" i="13" s="1"/>
  <c r="C1068" i="13"/>
  <c r="F1068" i="13" s="1"/>
  <c r="F1055" i="13"/>
  <c r="F1054" i="13"/>
  <c r="F1053" i="13"/>
  <c r="E1050" i="13"/>
  <c r="E1049" i="13"/>
  <c r="F1049" i="13" s="1"/>
  <c r="F1045" i="13"/>
  <c r="F1044" i="13"/>
  <c r="F1043" i="13"/>
  <c r="F1042" i="13"/>
  <c r="E1040" i="13"/>
  <c r="F1040" i="13" s="1"/>
  <c r="E1039" i="13"/>
  <c r="F1039" i="13" s="1"/>
  <c r="E1037" i="13"/>
  <c r="E1038" i="13" s="1"/>
  <c r="F1038" i="13" s="1"/>
  <c r="F1033" i="13"/>
  <c r="F1032" i="13"/>
  <c r="F1031" i="13"/>
  <c r="E1030" i="13"/>
  <c r="E1041" i="13" s="1"/>
  <c r="F1041" i="13" s="1"/>
  <c r="E1029" i="13"/>
  <c r="F1029" i="13" s="1"/>
  <c r="E1028" i="13"/>
  <c r="F1028" i="13" s="1"/>
  <c r="E1027" i="13"/>
  <c r="F1027" i="13" s="1"/>
  <c r="F1023" i="13"/>
  <c r="F1022" i="13"/>
  <c r="E1021" i="13"/>
  <c r="F1021" i="13" s="1"/>
  <c r="F1017" i="13"/>
  <c r="F1016" i="13"/>
  <c r="F1015" i="13"/>
  <c r="F1014" i="13"/>
  <c r="F1013" i="13"/>
  <c r="F1012" i="13"/>
  <c r="F1011" i="13"/>
  <c r="F1010" i="13"/>
  <c r="F1009" i="13"/>
  <c r="F1008" i="13"/>
  <c r="F1007" i="13"/>
  <c r="F1006" i="13"/>
  <c r="F1005" i="13"/>
  <c r="F1001" i="13"/>
  <c r="F1000" i="13"/>
  <c r="F999" i="13"/>
  <c r="F998" i="13"/>
  <c r="F994" i="13"/>
  <c r="F993" i="13"/>
  <c r="F992" i="13"/>
  <c r="F991" i="13"/>
  <c r="F990" i="13"/>
  <c r="F989" i="13"/>
  <c r="F988" i="13"/>
  <c r="F987" i="13"/>
  <c r="F986" i="13"/>
  <c r="F985" i="13"/>
  <c r="F984" i="13"/>
  <c r="F980" i="13"/>
  <c r="F979" i="13"/>
  <c r="F978" i="13"/>
  <c r="F977" i="13"/>
  <c r="F976" i="13"/>
  <c r="F972" i="13"/>
  <c r="F971" i="13"/>
  <c r="F970" i="13"/>
  <c r="F969" i="13"/>
  <c r="F968" i="13"/>
  <c r="F967" i="13"/>
  <c r="F966" i="13"/>
  <c r="F965" i="13"/>
  <c r="F964" i="13"/>
  <c r="F963" i="13"/>
  <c r="F962" i="13"/>
  <c r="C955" i="13"/>
  <c r="F955" i="13" s="1"/>
  <c r="F954" i="13"/>
  <c r="F953" i="13"/>
  <c r="F952" i="13"/>
  <c r="C947" i="13"/>
  <c r="F947" i="13" s="1"/>
  <c r="F946" i="13"/>
  <c r="F945" i="13"/>
  <c r="F944" i="13"/>
  <c r="C939" i="13"/>
  <c r="F939" i="13" s="1"/>
  <c r="F938" i="13"/>
  <c r="F937" i="13"/>
  <c r="F936" i="13"/>
  <c r="F931" i="13"/>
  <c r="F930" i="13"/>
  <c r="F929" i="13"/>
  <c r="F928" i="13"/>
  <c r="F923" i="13"/>
  <c r="F920" i="13"/>
  <c r="F919" i="13"/>
  <c r="F917" i="13"/>
  <c r="F915" i="13"/>
  <c r="F910" i="13"/>
  <c r="F907" i="13"/>
  <c r="F906" i="13"/>
  <c r="F898" i="13"/>
  <c r="F895" i="13"/>
  <c r="F894" i="13"/>
  <c r="E892" i="13"/>
  <c r="E904" i="13" s="1"/>
  <c r="E891" i="13"/>
  <c r="F891" i="13" s="1"/>
  <c r="E887" i="13"/>
  <c r="E886" i="13"/>
  <c r="F886" i="13" s="1"/>
  <c r="E885" i="13"/>
  <c r="E897" i="13" s="1"/>
  <c r="E909" i="13" s="1"/>
  <c r="F909" i="13" s="1"/>
  <c r="E884" i="13"/>
  <c r="F883" i="13"/>
  <c r="F882" i="13"/>
  <c r="E881" i="13"/>
  <c r="F880" i="13"/>
  <c r="E879" i="13"/>
  <c r="F879" i="13" s="1"/>
  <c r="F874" i="13"/>
  <c r="F873" i="13"/>
  <c r="I872" i="13"/>
  <c r="F872" i="13"/>
  <c r="F871" i="13"/>
  <c r="F870" i="13"/>
  <c r="F869" i="13"/>
  <c r="F868" i="13"/>
  <c r="F863" i="13"/>
  <c r="C857" i="13"/>
  <c r="F857" i="13" s="1"/>
  <c r="F851" i="13"/>
  <c r="C845" i="13"/>
  <c r="F845" i="13" s="1"/>
  <c r="D830" i="13"/>
  <c r="F829" i="13"/>
  <c r="F828" i="13"/>
  <c r="F826" i="13"/>
  <c r="F821" i="13"/>
  <c r="F819" i="13"/>
  <c r="F818" i="13"/>
  <c r="C814" i="13"/>
  <c r="F814" i="13" s="1"/>
  <c r="C808" i="13"/>
  <c r="F808" i="13" s="1"/>
  <c r="E1174" i="13" s="1"/>
  <c r="C802" i="13"/>
  <c r="F802" i="13" s="1"/>
  <c r="F784" i="13"/>
  <c r="E782" i="13"/>
  <c r="F782" i="13" s="1"/>
  <c r="F778" i="13"/>
  <c r="F777" i="13"/>
  <c r="F775" i="13"/>
  <c r="C754" i="13"/>
  <c r="F754" i="13" s="1"/>
  <c r="C744" i="13"/>
  <c r="F744" i="13" s="1"/>
  <c r="E742" i="13"/>
  <c r="E752" i="13" s="1"/>
  <c r="E735" i="13"/>
  <c r="E734" i="13"/>
  <c r="F734" i="13" s="1"/>
  <c r="F733" i="13"/>
  <c r="F732" i="13"/>
  <c r="F731" i="13"/>
  <c r="F730" i="13"/>
  <c r="F729" i="13"/>
  <c r="F728" i="13"/>
  <c r="F727" i="13"/>
  <c r="F726" i="13"/>
  <c r="E725" i="13"/>
  <c r="F725" i="13" s="1"/>
  <c r="E724" i="13"/>
  <c r="F724" i="13" s="1"/>
  <c r="E723" i="13"/>
  <c r="F723" i="13" s="1"/>
  <c r="E722" i="13"/>
  <c r="F722" i="13" s="1"/>
  <c r="E721" i="13"/>
  <c r="F721" i="13" s="1"/>
  <c r="E720" i="13"/>
  <c r="F720" i="13" s="1"/>
  <c r="F712" i="13"/>
  <c r="F711" i="13"/>
  <c r="F710" i="13"/>
  <c r="F709" i="13"/>
  <c r="F708" i="13"/>
  <c r="F706" i="13"/>
  <c r="G705" i="13"/>
  <c r="H705" i="13" s="1"/>
  <c r="F705" i="13"/>
  <c r="F704" i="13"/>
  <c r="F703" i="13"/>
  <c r="G702" i="13"/>
  <c r="F702" i="13"/>
  <c r="G701" i="13"/>
  <c r="F701" i="13"/>
  <c r="E700" i="13"/>
  <c r="F700" i="13" s="1"/>
  <c r="E699" i="13"/>
  <c r="E718" i="13" s="1"/>
  <c r="F718" i="13" s="1"/>
  <c r="F698" i="13"/>
  <c r="F695" i="13"/>
  <c r="F694" i="13"/>
  <c r="F693" i="13"/>
  <c r="F692" i="13"/>
  <c r="F688" i="13"/>
  <c r="C682" i="13"/>
  <c r="C676" i="13"/>
  <c r="F676" i="13" s="1"/>
  <c r="C670" i="13"/>
  <c r="F670" i="13" s="1"/>
  <c r="C663" i="13"/>
  <c r="F663" i="13" s="1"/>
  <c r="C656" i="13"/>
  <c r="C636" i="13"/>
  <c r="F636" i="13" s="1"/>
  <c r="C629" i="13"/>
  <c r="F629" i="13" s="1"/>
  <c r="C622" i="13"/>
  <c r="F622" i="13" s="1"/>
  <c r="F603" i="13"/>
  <c r="F602" i="13"/>
  <c r="G596" i="13"/>
  <c r="F596" i="13"/>
  <c r="E595" i="13"/>
  <c r="F595" i="13" s="1"/>
  <c r="F590" i="13"/>
  <c r="F589" i="13"/>
  <c r="F588" i="13"/>
  <c r="F584" i="13"/>
  <c r="F583" i="13"/>
  <c r="F576" i="13"/>
  <c r="F575" i="13"/>
  <c r="F569" i="13"/>
  <c r="F567" i="13"/>
  <c r="F566" i="13"/>
  <c r="F562" i="13"/>
  <c r="F561" i="13"/>
  <c r="F560" i="13"/>
  <c r="F556" i="13"/>
  <c r="F555" i="13"/>
  <c r="F550" i="13"/>
  <c r="F549" i="13"/>
  <c r="F548" i="13"/>
  <c r="F544" i="13"/>
  <c r="F543" i="13"/>
  <c r="F538" i="13"/>
  <c r="F529" i="13"/>
  <c r="E528" i="13"/>
  <c r="F528" i="13" s="1"/>
  <c r="F523" i="13"/>
  <c r="F522" i="13"/>
  <c r="C518" i="13"/>
  <c r="F518" i="13" s="1"/>
  <c r="C512" i="13"/>
  <c r="F512" i="13" s="1"/>
  <c r="C505" i="13"/>
  <c r="F505" i="13" s="1"/>
  <c r="C499" i="13"/>
  <c r="F499" i="13" s="1"/>
  <c r="C480" i="13"/>
  <c r="F480" i="13" s="1"/>
  <c r="C460" i="13"/>
  <c r="F460" i="13" s="1"/>
  <c r="C425" i="13"/>
  <c r="F425" i="13" s="1"/>
  <c r="C412" i="13"/>
  <c r="F412" i="13" s="1"/>
  <c r="C406" i="13"/>
  <c r="F406" i="13" s="1"/>
  <c r="C400" i="13"/>
  <c r="F400" i="13" s="1"/>
  <c r="C373" i="13"/>
  <c r="F373" i="13" s="1"/>
  <c r="C355" i="13"/>
  <c r="F355" i="13" s="1"/>
  <c r="C349" i="13"/>
  <c r="F349" i="13" s="1"/>
  <c r="C322" i="13"/>
  <c r="F322" i="13" s="1"/>
  <c r="C316" i="13"/>
  <c r="F316" i="13" s="1"/>
  <c r="F302" i="13"/>
  <c r="F303" i="13" s="1"/>
  <c r="E849" i="13" s="1"/>
  <c r="F849" i="13" s="1"/>
  <c r="C298" i="13"/>
  <c r="F298" i="13" s="1"/>
  <c r="E291" i="13"/>
  <c r="E296" i="13" s="1"/>
  <c r="C287" i="13"/>
  <c r="F287" i="13" s="1"/>
  <c r="D280" i="13"/>
  <c r="F279" i="13"/>
  <c r="F278" i="13"/>
  <c r="F276" i="13"/>
  <c r="F266" i="13"/>
  <c r="F265" i="13"/>
  <c r="F260" i="13"/>
  <c r="F259" i="13"/>
  <c r="F258" i="13"/>
  <c r="F252" i="13"/>
  <c r="F250" i="13"/>
  <c r="F249" i="13"/>
  <c r="F244" i="13"/>
  <c r="F243" i="13"/>
  <c r="F242" i="13"/>
  <c r="F236" i="13"/>
  <c r="F235" i="13"/>
  <c r="F234" i="13"/>
  <c r="F233" i="13"/>
  <c r="E228" i="13"/>
  <c r="C228" i="13"/>
  <c r="C222" i="13"/>
  <c r="F222" i="13" s="1"/>
  <c r="C216" i="13"/>
  <c r="F216" i="13" s="1"/>
  <c r="C210" i="13"/>
  <c r="F210" i="13" s="1"/>
  <c r="C162" i="13"/>
  <c r="F162" i="13" s="1"/>
  <c r="C156" i="13"/>
  <c r="F156" i="13" s="1"/>
  <c r="C150" i="13"/>
  <c r="F150" i="13" s="1"/>
  <c r="C144" i="13"/>
  <c r="F144" i="13" s="1"/>
  <c r="C138" i="13"/>
  <c r="F138" i="13" s="1"/>
  <c r="C132" i="13"/>
  <c r="F132" i="13" s="1"/>
  <c r="C126" i="13"/>
  <c r="F126" i="13" s="1"/>
  <c r="C120" i="13"/>
  <c r="F120" i="13" s="1"/>
  <c r="C114" i="13"/>
  <c r="F114" i="13" s="1"/>
  <c r="C108" i="13"/>
  <c r="F108" i="13" s="1"/>
  <c r="C102" i="13"/>
  <c r="F102" i="13" s="1"/>
  <c r="C95" i="13"/>
  <c r="F95" i="13" s="1"/>
  <c r="F89" i="13"/>
  <c r="F82" i="13"/>
  <c r="F74" i="13"/>
  <c r="F66" i="13"/>
  <c r="F61" i="13"/>
  <c r="F60" i="13"/>
  <c r="F59" i="13"/>
  <c r="F54" i="13"/>
  <c r="F46" i="13"/>
  <c r="F47" i="13" s="1"/>
  <c r="F41" i="13"/>
  <c r="F32" i="13"/>
  <c r="F24" i="13"/>
  <c r="F25" i="13" s="1"/>
  <c r="E142" i="13" s="1"/>
  <c r="F142" i="13" s="1"/>
  <c r="F20" i="13"/>
  <c r="F15" i="13"/>
  <c r="F11" i="13"/>
  <c r="F10" i="13"/>
  <c r="F9" i="13"/>
  <c r="F8" i="13"/>
  <c r="E65" i="13" s="1"/>
  <c r="F65" i="13" s="1"/>
  <c r="F7" i="13"/>
  <c r="E19" i="13" s="1"/>
  <c r="F19" i="13" s="1"/>
  <c r="F6" i="13"/>
  <c r="E14" i="13" s="1"/>
  <c r="F14" i="13" s="1"/>
  <c r="F16" i="13" s="1"/>
  <c r="F5" i="13"/>
  <c r="E73" i="13" s="1"/>
  <c r="F73" i="13" s="1"/>
  <c r="F4" i="13"/>
  <c r="E81" i="13" s="1"/>
  <c r="F81" i="13" s="1"/>
  <c r="F3" i="13"/>
  <c r="E536" i="13" s="1"/>
  <c r="F536" i="13" s="1"/>
  <c r="F151" i="14"/>
  <c r="F150" i="14"/>
  <c r="F149" i="14"/>
  <c r="H149" i="14" s="1"/>
  <c r="F148" i="14"/>
  <c r="H148" i="14" s="1"/>
  <c r="F147" i="14"/>
  <c r="H147" i="14" s="1"/>
  <c r="F143" i="14"/>
  <c r="F142" i="14"/>
  <c r="F141" i="14"/>
  <c r="H141" i="14" s="1"/>
  <c r="F140" i="14"/>
  <c r="H140" i="14" s="1"/>
  <c r="F139" i="14"/>
  <c r="H139" i="14" s="1"/>
  <c r="F135" i="14"/>
  <c r="F134" i="14"/>
  <c r="F133" i="14"/>
  <c r="H133" i="14" s="1"/>
  <c r="F132" i="14"/>
  <c r="H132" i="14" s="1"/>
  <c r="F131" i="14"/>
  <c r="H131" i="14" s="1"/>
  <c r="F127" i="14"/>
  <c r="F126" i="14"/>
  <c r="F125" i="14"/>
  <c r="H125" i="14" s="1"/>
  <c r="F124" i="14"/>
  <c r="H124" i="14" s="1"/>
  <c r="F123" i="14"/>
  <c r="H123" i="14" s="1"/>
  <c r="F119" i="14"/>
  <c r="F118" i="14"/>
  <c r="H117" i="14"/>
  <c r="H116" i="14"/>
  <c r="F115" i="14"/>
  <c r="H115" i="14" s="1"/>
  <c r="F114" i="14"/>
  <c r="H114" i="14" s="1"/>
  <c r="F113" i="14"/>
  <c r="H113" i="14" s="1"/>
  <c r="F109" i="14"/>
  <c r="F108" i="14"/>
  <c r="H107" i="14"/>
  <c r="H106" i="14"/>
  <c r="F105" i="14"/>
  <c r="H105" i="14" s="1"/>
  <c r="F104" i="14"/>
  <c r="H104" i="14" s="1"/>
  <c r="F103" i="14"/>
  <c r="H103" i="14" s="1"/>
  <c r="F96" i="14"/>
  <c r="F95" i="14"/>
  <c r="H94" i="14"/>
  <c r="F93" i="14"/>
  <c r="H93" i="14" s="1"/>
  <c r="F92" i="14"/>
  <c r="H92" i="14" s="1"/>
  <c r="F85" i="14"/>
  <c r="F84" i="14"/>
  <c r="F83" i="14"/>
  <c r="H83" i="14" s="1"/>
  <c r="F82" i="14"/>
  <c r="H82" i="14" s="1"/>
  <c r="F81" i="14"/>
  <c r="H81" i="14" s="1"/>
  <c r="F77" i="14"/>
  <c r="F76" i="14"/>
  <c r="F75" i="14"/>
  <c r="H75" i="14" s="1"/>
  <c r="F74" i="14"/>
  <c r="H74" i="14" s="1"/>
  <c r="F73" i="14"/>
  <c r="H73" i="14" s="1"/>
  <c r="F69" i="14"/>
  <c r="F68" i="14"/>
  <c r="F67" i="14"/>
  <c r="H67" i="14" s="1"/>
  <c r="F66" i="14"/>
  <c r="H66" i="14" s="1"/>
  <c r="F65" i="14"/>
  <c r="H65" i="14" s="1"/>
  <c r="F61" i="14"/>
  <c r="F60" i="14"/>
  <c r="F59" i="14"/>
  <c r="H59" i="14" s="1"/>
  <c r="F58" i="14"/>
  <c r="H58" i="14" s="1"/>
  <c r="F54" i="14"/>
  <c r="F53" i="14"/>
  <c r="F52" i="14"/>
  <c r="H52" i="14" s="1"/>
  <c r="F51" i="14"/>
  <c r="H51" i="14" s="1"/>
  <c r="F50" i="14"/>
  <c r="H50" i="14" s="1"/>
  <c r="F46" i="14"/>
  <c r="F45" i="14"/>
  <c r="F44" i="14"/>
  <c r="H44" i="14" s="1"/>
  <c r="F43" i="14"/>
  <c r="H43" i="14" s="1"/>
  <c r="F42" i="14"/>
  <c r="H42" i="14" s="1"/>
  <c r="F38" i="14"/>
  <c r="F37" i="14"/>
  <c r="H36" i="14"/>
  <c r="F35" i="14"/>
  <c r="H35" i="14" s="1"/>
  <c r="F34" i="14"/>
  <c r="H34" i="14" s="1"/>
  <c r="F33" i="14"/>
  <c r="H33" i="14" s="1"/>
  <c r="F29" i="14"/>
  <c r="F28" i="14"/>
  <c r="H27" i="14"/>
  <c r="F26" i="14"/>
  <c r="H26" i="14" s="1"/>
  <c r="F25" i="14"/>
  <c r="H25" i="14" s="1"/>
  <c r="F24" i="14"/>
  <c r="H24" i="14" s="1"/>
  <c r="F20" i="14"/>
  <c r="F19" i="14"/>
  <c r="H18" i="14"/>
  <c r="H17" i="14"/>
  <c r="F16" i="14"/>
  <c r="H16" i="14" s="1"/>
  <c r="F15" i="14"/>
  <c r="H15" i="14" s="1"/>
  <c r="F14" i="14"/>
  <c r="H14" i="14" s="1"/>
  <c r="F8" i="14"/>
  <c r="F7" i="14"/>
  <c r="F6" i="14"/>
  <c r="H6" i="14" s="1"/>
  <c r="E288" i="15"/>
  <c r="E287" i="15"/>
  <c r="E286" i="15"/>
  <c r="E281" i="15"/>
  <c r="E280" i="15"/>
  <c r="E279" i="15"/>
  <c r="E278" i="15"/>
  <c r="E277" i="15"/>
  <c r="E272" i="15"/>
  <c r="E271" i="15"/>
  <c r="E270" i="15"/>
  <c r="E269" i="15"/>
  <c r="E268" i="15"/>
  <c r="E267" i="15"/>
  <c r="E262" i="15"/>
  <c r="E261" i="15"/>
  <c r="E260" i="15"/>
  <c r="E259" i="15"/>
  <c r="E258" i="15"/>
  <c r="E253" i="15"/>
  <c r="E252" i="15"/>
  <c r="E251" i="15"/>
  <c r="E250" i="15"/>
  <c r="E249" i="15"/>
  <c r="E248" i="15"/>
  <c r="E243" i="15"/>
  <c r="E238" i="15"/>
  <c r="E233" i="15"/>
  <c r="E232" i="15"/>
  <c r="E231" i="15"/>
  <c r="E230" i="15"/>
  <c r="E229" i="15"/>
  <c r="E228" i="15"/>
  <c r="E227" i="15"/>
  <c r="E226" i="15"/>
  <c r="E225" i="15"/>
  <c r="E220" i="15"/>
  <c r="E219" i="15"/>
  <c r="E218" i="15"/>
  <c r="E217" i="15"/>
  <c r="E216" i="15"/>
  <c r="E215" i="15"/>
  <c r="E214" i="15"/>
  <c r="E213" i="15"/>
  <c r="E212" i="15"/>
  <c r="E211" i="15"/>
  <c r="E210" i="15"/>
  <c r="E209" i="15"/>
  <c r="E208" i="15"/>
  <c r="E207" i="15"/>
  <c r="E202" i="15"/>
  <c r="E201" i="15"/>
  <c r="E200" i="15"/>
  <c r="E199" i="15"/>
  <c r="E198" i="15"/>
  <c r="E197" i="15"/>
  <c r="E196" i="15"/>
  <c r="E195" i="15"/>
  <c r="E194" i="15"/>
  <c r="E193" i="15"/>
  <c r="E188" i="15"/>
  <c r="E187" i="15"/>
  <c r="E186" i="15"/>
  <c r="E185" i="15"/>
  <c r="E184" i="15"/>
  <c r="E183" i="15"/>
  <c r="E178" i="15"/>
  <c r="E177" i="15"/>
  <c r="E176" i="15"/>
  <c r="E175" i="15"/>
  <c r="E174" i="15"/>
  <c r="E173" i="15"/>
  <c r="E172" i="15"/>
  <c r="E171" i="15"/>
  <c r="E170" i="15"/>
  <c r="E169" i="15"/>
  <c r="E164" i="15"/>
  <c r="E163" i="15"/>
  <c r="E162" i="15"/>
  <c r="E161" i="15"/>
  <c r="E160" i="15"/>
  <c r="E159" i="15"/>
  <c r="E158" i="15"/>
  <c r="E157" i="15"/>
  <c r="E156" i="15"/>
  <c r="E155" i="15"/>
  <c r="E150" i="15"/>
  <c r="E149" i="15"/>
  <c r="E148" i="15"/>
  <c r="E147" i="15"/>
  <c r="E146" i="15"/>
  <c r="E145" i="15"/>
  <c r="E144" i="15"/>
  <c r="E143" i="15"/>
  <c r="E142" i="15"/>
  <c r="E141" i="15"/>
  <c r="E140" i="15"/>
  <c r="E139" i="15"/>
  <c r="E138" i="15"/>
  <c r="E137" i="15"/>
  <c r="E136" i="15"/>
  <c r="E135" i="15"/>
  <c r="E134" i="15"/>
  <c r="E133" i="15"/>
  <c r="E132" i="15"/>
  <c r="E131" i="15"/>
  <c r="E130" i="15"/>
  <c r="E125" i="15"/>
  <c r="E124" i="15"/>
  <c r="E123" i="15"/>
  <c r="E122" i="15"/>
  <c r="E121" i="15"/>
  <c r="E120" i="15"/>
  <c r="E119" i="15"/>
  <c r="E118" i="15"/>
  <c r="E117" i="15"/>
  <c r="E116" i="15"/>
  <c r="E115" i="15"/>
  <c r="E114" i="15"/>
  <c r="E113" i="15"/>
  <c r="E108" i="15"/>
  <c r="E107" i="15"/>
  <c r="E106" i="15"/>
  <c r="E105" i="15"/>
  <c r="E104" i="15"/>
  <c r="E103" i="15"/>
  <c r="E102" i="15"/>
  <c r="E101" i="15"/>
  <c r="E100" i="15"/>
  <c r="E99" i="15"/>
  <c r="E94" i="15"/>
  <c r="E93" i="15"/>
  <c r="E92" i="15"/>
  <c r="E91" i="15"/>
  <c r="E90" i="15"/>
  <c r="E89" i="15"/>
  <c r="E88" i="15"/>
  <c r="E87" i="15"/>
  <c r="E86" i="15"/>
  <c r="E85" i="15"/>
  <c r="E84" i="15"/>
  <c r="E83" i="15"/>
  <c r="E78" i="15"/>
  <c r="E77" i="15"/>
  <c r="E76" i="15"/>
  <c r="E75" i="15"/>
  <c r="E74" i="15"/>
  <c r="E73" i="15"/>
  <c r="E72" i="15"/>
  <c r="E71" i="15"/>
  <c r="E70" i="15"/>
  <c r="E69" i="15"/>
  <c r="E68" i="15"/>
  <c r="E67" i="15"/>
  <c r="E62" i="15"/>
  <c r="E61" i="15"/>
  <c r="E60" i="15"/>
  <c r="E59" i="15"/>
  <c r="E58" i="15"/>
  <c r="E57" i="15"/>
  <c r="E56" i="15"/>
  <c r="E55" i="15"/>
  <c r="E54" i="15"/>
  <c r="E53" i="15"/>
  <c r="E48" i="15"/>
  <c r="E47" i="15"/>
  <c r="E46" i="15"/>
  <c r="E45" i="15"/>
  <c r="E44" i="15"/>
  <c r="E43" i="15"/>
  <c r="E42" i="15"/>
  <c r="E41" i="15"/>
  <c r="E36" i="15"/>
  <c r="E35" i="15"/>
  <c r="E34" i="15"/>
  <c r="E33" i="15"/>
  <c r="E32" i="15"/>
  <c r="E31" i="15"/>
  <c r="E30" i="15"/>
  <c r="E29" i="15"/>
  <c r="E24" i="15"/>
  <c r="E23" i="15"/>
  <c r="E22" i="15"/>
  <c r="E21" i="15"/>
  <c r="E20" i="15"/>
  <c r="E19" i="15"/>
  <c r="E18" i="15"/>
  <c r="E17" i="15"/>
  <c r="E16" i="15"/>
  <c r="E11" i="15"/>
  <c r="E10" i="15"/>
  <c r="E9" i="15"/>
  <c r="E8" i="15"/>
  <c r="E7" i="15"/>
  <c r="E6" i="15"/>
  <c r="E5" i="15"/>
  <c r="E4" i="15"/>
  <c r="D95" i="15" l="1"/>
  <c r="E95" i="15" s="1"/>
  <c r="D189" i="15"/>
  <c r="E189" i="15" s="1"/>
  <c r="D273" i="15"/>
  <c r="E273" i="15" s="1"/>
  <c r="D179" i="15"/>
  <c r="E179" i="15" s="1"/>
  <c r="D282" i="15"/>
  <c r="E282" i="15" s="1"/>
  <c r="F875" i="13"/>
  <c r="F876" i="13" s="1"/>
  <c r="F892" i="13"/>
  <c r="E1241" i="13"/>
  <c r="F1241" i="13" s="1"/>
  <c r="E226" i="13"/>
  <c r="F226" i="13" s="1"/>
  <c r="F699" i="13"/>
  <c r="E31" i="13"/>
  <c r="F31" i="13" s="1"/>
  <c r="G108" i="14"/>
  <c r="H108" i="14" s="1"/>
  <c r="F67" i="13"/>
  <c r="E70" i="13" s="1"/>
  <c r="F70" i="13" s="1"/>
  <c r="F524" i="13"/>
  <c r="F530" i="13"/>
  <c r="E719" i="13"/>
  <c r="F719" i="13" s="1"/>
  <c r="F742" i="13"/>
  <c r="F948" i="13"/>
  <c r="F973" i="13"/>
  <c r="F1024" i="13"/>
  <c r="F1037" i="13"/>
  <c r="F1046" i="13" s="1"/>
  <c r="F1219" i="13"/>
  <c r="E1225" i="13"/>
  <c r="F1225" i="13" s="1"/>
  <c r="G1312" i="13"/>
  <c r="F904" i="13"/>
  <c r="E916" i="13"/>
  <c r="F916" i="13" s="1"/>
  <c r="D109" i="15"/>
  <c r="E109" i="15" s="1"/>
  <c r="D203" i="15"/>
  <c r="E203" i="15" s="1"/>
  <c r="E204" i="15" s="1"/>
  <c r="G95" i="14"/>
  <c r="H95" i="14" s="1"/>
  <c r="E40" i="13"/>
  <c r="F40" i="13" s="1"/>
  <c r="C623" i="13"/>
  <c r="F623" i="13" s="1"/>
  <c r="C630" i="13"/>
  <c r="F630" i="13" s="1"/>
  <c r="E903" i="13"/>
  <c r="F903" i="13" s="1"/>
  <c r="F949" i="13"/>
  <c r="D12" i="15"/>
  <c r="E12" i="15" s="1"/>
  <c r="E13" i="15" s="1"/>
  <c r="D25" i="15"/>
  <c r="E25" i="15" s="1"/>
  <c r="E26" i="15" s="1"/>
  <c r="D63" i="15"/>
  <c r="E63" i="15" s="1"/>
  <c r="E64" i="15" s="1"/>
  <c r="D126" i="15"/>
  <c r="E126" i="15" s="1"/>
  <c r="D165" i="15"/>
  <c r="E165" i="15" s="1"/>
  <c r="E166" i="15" s="1"/>
  <c r="D221" i="15"/>
  <c r="E221" i="15" s="1"/>
  <c r="D263" i="15"/>
  <c r="E263" i="15" s="1"/>
  <c r="E264" i="15" s="1"/>
  <c r="D289" i="15"/>
  <c r="E289" i="15" s="1"/>
  <c r="E290" i="15" s="1"/>
  <c r="F21" i="13"/>
  <c r="E1101" i="13" s="1"/>
  <c r="F1101" i="13" s="1"/>
  <c r="E53" i="13"/>
  <c r="F53" i="13" s="1"/>
  <c r="F62" i="13"/>
  <c r="E125" i="13" s="1"/>
  <c r="F125" i="13" s="1"/>
  <c r="E71" i="13"/>
  <c r="F71" i="13" s="1"/>
  <c r="E93" i="13"/>
  <c r="F93" i="13" s="1"/>
  <c r="E112" i="13"/>
  <c r="F112" i="13" s="1"/>
  <c r="E591" i="13"/>
  <c r="F591" i="13" s="1"/>
  <c r="F592" i="13" s="1"/>
  <c r="C664" i="13"/>
  <c r="F664" i="13" s="1"/>
  <c r="F940" i="13"/>
  <c r="F981" i="13"/>
  <c r="F995" i="13"/>
  <c r="F1018" i="13"/>
  <c r="F1196" i="13"/>
  <c r="F1218" i="13"/>
  <c r="G1311" i="13"/>
  <c r="G1314" i="13"/>
  <c r="E1184" i="13"/>
  <c r="E535" i="13"/>
  <c r="F535" i="13" s="1"/>
  <c r="E29" i="13"/>
  <c r="E1100" i="13"/>
  <c r="F1100" i="13" s="1"/>
  <c r="E50" i="13"/>
  <c r="F50" i="13" s="1"/>
  <c r="E28" i="13"/>
  <c r="E534" i="13"/>
  <c r="F534" i="13" s="1"/>
  <c r="E79" i="13"/>
  <c r="F79" i="13" s="1"/>
  <c r="E208" i="13"/>
  <c r="F208" i="13" s="1"/>
  <c r="E184" i="13"/>
  <c r="F184" i="13" s="1"/>
  <c r="E148" i="13"/>
  <c r="F148" i="13" s="1"/>
  <c r="E124" i="13"/>
  <c r="F124" i="13" s="1"/>
  <c r="E100" i="13"/>
  <c r="F100" i="13" s="1"/>
  <c r="E214" i="13"/>
  <c r="F214" i="13" s="1"/>
  <c r="E202" i="13"/>
  <c r="F202" i="13" s="1"/>
  <c r="E178" i="13"/>
  <c r="F178" i="13" s="1"/>
  <c r="E154" i="13"/>
  <c r="F154" i="13" s="1"/>
  <c r="E130" i="13"/>
  <c r="F130" i="13" s="1"/>
  <c r="E106" i="13"/>
  <c r="F106" i="13" s="1"/>
  <c r="E87" i="13"/>
  <c r="E610" i="13"/>
  <c r="E196" i="13"/>
  <c r="F196" i="13" s="1"/>
  <c r="E160" i="13"/>
  <c r="F160" i="13" s="1"/>
  <c r="E118" i="13"/>
  <c r="F118" i="13" s="1"/>
  <c r="E136" i="13"/>
  <c r="F136" i="13" s="1"/>
  <c r="E190" i="13"/>
  <c r="F190" i="13" s="1"/>
  <c r="E220" i="13"/>
  <c r="F220" i="13" s="1"/>
  <c r="E627" i="13"/>
  <c r="E620" i="13"/>
  <c r="F620" i="13" s="1"/>
  <c r="F624" i="13" s="1"/>
  <c r="E309" i="13"/>
  <c r="F296" i="13"/>
  <c r="F299" i="13" s="1"/>
  <c r="E616" i="13"/>
  <c r="F616" i="13" s="1"/>
  <c r="E621" i="13"/>
  <c r="E628" i="13"/>
  <c r="E292" i="13"/>
  <c r="F292" i="13" s="1"/>
  <c r="C683" i="13"/>
  <c r="F683" i="13" s="1"/>
  <c r="F682" i="13"/>
  <c r="E131" i="13"/>
  <c r="F131" i="13" s="1"/>
  <c r="E166" i="13"/>
  <c r="F166" i="13" s="1"/>
  <c r="F291" i="13"/>
  <c r="F293" i="13" s="1"/>
  <c r="E1396" i="13"/>
  <c r="F1396" i="13" s="1"/>
  <c r="E1390" i="13"/>
  <c r="F1390" i="13" s="1"/>
  <c r="E1384" i="13"/>
  <c r="F1384" i="13" s="1"/>
  <c r="E1199" i="13"/>
  <c r="F1199" i="13" s="1"/>
  <c r="E855" i="13"/>
  <c r="F855" i="13" s="1"/>
  <c r="E1206" i="13"/>
  <c r="F1206" i="13" s="1"/>
  <c r="E861" i="13"/>
  <c r="F861" i="13" s="1"/>
  <c r="E843" i="13"/>
  <c r="F843" i="13" s="1"/>
  <c r="E597" i="13"/>
  <c r="F597" i="13" s="1"/>
  <c r="F598" i="13" s="1"/>
  <c r="E896" i="13"/>
  <c r="F884" i="13"/>
  <c r="E1102" i="13"/>
  <c r="F1102" i="13" s="1"/>
  <c r="E578" i="13"/>
  <c r="F578" i="13" s="1"/>
  <c r="E251" i="13"/>
  <c r="E52" i="13"/>
  <c r="F52" i="13" s="1"/>
  <c r="E30" i="13"/>
  <c r="E537" i="13"/>
  <c r="F537" i="13" s="1"/>
  <c r="E1361" i="13"/>
  <c r="F1361" i="13" s="1"/>
  <c r="E1349" i="13"/>
  <c r="F1349" i="13" s="1"/>
  <c r="E1342" i="13"/>
  <c r="F1342" i="13" s="1"/>
  <c r="E1066" i="13"/>
  <c r="E1061" i="13"/>
  <c r="F1061" i="13" s="1"/>
  <c r="E1330" i="13"/>
  <c r="F1330" i="13" s="1"/>
  <c r="E806" i="13"/>
  <c r="F806" i="13" s="1"/>
  <c r="E1142" i="13"/>
  <c r="F1142" i="13" s="1"/>
  <c r="E812" i="13"/>
  <c r="F812" i="13" s="1"/>
  <c r="E838" i="13"/>
  <c r="F838" i="13" s="1"/>
  <c r="E1331" i="13"/>
  <c r="F1331" i="13" s="1"/>
  <c r="E1267" i="13"/>
  <c r="E1113" i="13"/>
  <c r="F1113" i="13" s="1"/>
  <c r="E850" i="13"/>
  <c r="F850" i="13" s="1"/>
  <c r="F852" i="13" s="1"/>
  <c r="E1391" i="13"/>
  <c r="F1391" i="13" s="1"/>
  <c r="E1362" i="13"/>
  <c r="F1362" i="13" s="1"/>
  <c r="E1343" i="13"/>
  <c r="F1343" i="13" s="1"/>
  <c r="E1062" i="13"/>
  <c r="E611" i="13"/>
  <c r="E1208" i="13"/>
  <c r="F1208" i="13" s="1"/>
  <c r="E173" i="13"/>
  <c r="F173" i="13" s="1"/>
  <c r="E137" i="13"/>
  <c r="F137" i="13" s="1"/>
  <c r="E1200" i="13"/>
  <c r="E791" i="13"/>
  <c r="F791" i="13" s="1"/>
  <c r="E1175" i="13" s="1"/>
  <c r="F1175" i="13" s="1"/>
  <c r="E807" i="13"/>
  <c r="F807" i="13" s="1"/>
  <c r="E191" i="13"/>
  <c r="F191" i="13" s="1"/>
  <c r="E143" i="13"/>
  <c r="F143" i="13" s="1"/>
  <c r="F145" i="13" s="1"/>
  <c r="E94" i="13"/>
  <c r="F94" i="13" s="1"/>
  <c r="F96" i="13" s="1"/>
  <c r="E796" i="13"/>
  <c r="F796" i="13" s="1"/>
  <c r="E101" i="13"/>
  <c r="F101" i="13" s="1"/>
  <c r="E149" i="13"/>
  <c r="F149" i="13" s="1"/>
  <c r="E172" i="13"/>
  <c r="F172" i="13" s="1"/>
  <c r="E209" i="13"/>
  <c r="C657" i="13"/>
  <c r="F657" i="13" s="1"/>
  <c r="F656" i="13"/>
  <c r="E893" i="13"/>
  <c r="F881" i="13"/>
  <c r="E1103" i="13"/>
  <c r="F1103" i="13" s="1"/>
  <c r="E80" i="13"/>
  <c r="F80" i="13" s="1"/>
  <c r="E72" i="13"/>
  <c r="F72" i="13" s="1"/>
  <c r="F228" i="13"/>
  <c r="F1174" i="13"/>
  <c r="E1185" i="13"/>
  <c r="F752" i="13"/>
  <c r="E760" i="13"/>
  <c r="F760" i="13" s="1"/>
  <c r="F1300" i="13"/>
  <c r="G1300" i="13" s="1"/>
  <c r="G1301" i="13" s="1"/>
  <c r="F1377" i="13"/>
  <c r="F1378" i="13" s="1"/>
  <c r="E768" i="13"/>
  <c r="F768" i="13" s="1"/>
  <c r="F735" i="13"/>
  <c r="F1267" i="13"/>
  <c r="H702" i="13"/>
  <c r="F1002" i="13"/>
  <c r="F897" i="13"/>
  <c r="F1256" i="13"/>
  <c r="E922" i="13"/>
  <c r="F922" i="13" s="1"/>
  <c r="F941" i="13"/>
  <c r="F956" i="13"/>
  <c r="F957" i="13" s="1"/>
  <c r="F1275" i="13"/>
  <c r="F1277" i="13" s="1"/>
  <c r="F1284" i="13" s="1"/>
  <c r="G1313" i="13"/>
  <c r="G1319" i="13"/>
  <c r="F1226" i="13"/>
  <c r="F1242" i="13"/>
  <c r="F1244" i="13" s="1"/>
  <c r="F1304" i="13"/>
  <c r="G1304" i="13" s="1"/>
  <c r="G1306" i="13" s="1"/>
  <c r="F932" i="13"/>
  <c r="F933" i="13" s="1"/>
  <c r="F1030" i="13"/>
  <c r="F1034" i="13" s="1"/>
  <c r="F1172" i="13"/>
  <c r="F885" i="13"/>
  <c r="G37" i="14"/>
  <c r="G134" i="14"/>
  <c r="H134" i="14" s="1"/>
  <c r="G60" i="14"/>
  <c r="H60" i="14" s="1"/>
  <c r="G76" i="14"/>
  <c r="H76" i="14" s="1"/>
  <c r="G77" i="14" s="1"/>
  <c r="H77" i="14" s="1"/>
  <c r="H78" i="14" s="1"/>
  <c r="G118" i="14"/>
  <c r="H118" i="14" s="1"/>
  <c r="G126" i="14"/>
  <c r="H126" i="14" s="1"/>
  <c r="G127" i="14" s="1"/>
  <c r="H127" i="14" s="1"/>
  <c r="H37" i="14"/>
  <c r="G38" i="14" s="1"/>
  <c r="H38" i="14" s="1"/>
  <c r="G7" i="14"/>
  <c r="H7" i="14" s="1"/>
  <c r="G8" i="14" s="1"/>
  <c r="H8" i="14" s="1"/>
  <c r="H9" i="14" s="1"/>
  <c r="G45" i="14"/>
  <c r="H45" i="14" s="1"/>
  <c r="G142" i="14"/>
  <c r="H142" i="14" s="1"/>
  <c r="G143" i="14" s="1"/>
  <c r="H143" i="14" s="1"/>
  <c r="G19" i="14"/>
  <c r="H19" i="14" s="1"/>
  <c r="G20" i="14" s="1"/>
  <c r="H20" i="14" s="1"/>
  <c r="G84" i="14"/>
  <c r="H84" i="14" s="1"/>
  <c r="G28" i="14"/>
  <c r="H28" i="14" s="1"/>
  <c r="G53" i="14"/>
  <c r="H53" i="14" s="1"/>
  <c r="G68" i="14"/>
  <c r="H68" i="14" s="1"/>
  <c r="G109" i="14"/>
  <c r="H109" i="14" s="1"/>
  <c r="H110" i="14" s="1"/>
  <c r="G150" i="14"/>
  <c r="H150" i="14" s="1"/>
  <c r="G151" i="14" s="1"/>
  <c r="H151" i="14" s="1"/>
  <c r="E110" i="15"/>
  <c r="E222" i="15"/>
  <c r="E283" i="15"/>
  <c r="E96" i="15"/>
  <c r="D49" i="15"/>
  <c r="E49" i="15" s="1"/>
  <c r="E50" i="15" s="1"/>
  <c r="D79" i="15"/>
  <c r="E79" i="15" s="1"/>
  <c r="E80" i="15" s="1"/>
  <c r="D151" i="15"/>
  <c r="E151" i="15" s="1"/>
  <c r="E152" i="15" s="1"/>
  <c r="E180" i="15"/>
  <c r="D37" i="15"/>
  <c r="E37" i="15" s="1"/>
  <c r="E38" i="15" s="1"/>
  <c r="D234" i="15"/>
  <c r="E234" i="15" s="1"/>
  <c r="E235" i="15" s="1"/>
  <c r="D244" i="15"/>
  <c r="E244" i="15" s="1"/>
  <c r="E245" i="15" s="1"/>
  <c r="E127" i="15"/>
  <c r="D254" i="15"/>
  <c r="E254" i="15" s="1"/>
  <c r="E255" i="15" s="1"/>
  <c r="E190" i="15"/>
  <c r="D239" i="15"/>
  <c r="E239" i="15" s="1"/>
  <c r="E240" i="15" s="1"/>
  <c r="E274" i="15"/>
  <c r="E179" i="13" l="1"/>
  <c r="F179" i="13" s="1"/>
  <c r="F738" i="13"/>
  <c r="E155" i="13"/>
  <c r="F155" i="13" s="1"/>
  <c r="E107" i="13"/>
  <c r="F107" i="13" s="1"/>
  <c r="E185" i="13"/>
  <c r="F185" i="13" s="1"/>
  <c r="E856" i="13"/>
  <c r="F856" i="13" s="1"/>
  <c r="E119" i="13"/>
  <c r="F119" i="13" s="1"/>
  <c r="E167" i="13"/>
  <c r="F167" i="13" s="1"/>
  <c r="E227" i="13"/>
  <c r="F227" i="13" s="1"/>
  <c r="F229" i="13" s="1"/>
  <c r="E813" i="13"/>
  <c r="F813" i="13" s="1"/>
  <c r="F815" i="13" s="1"/>
  <c r="E844" i="13"/>
  <c r="F844" i="13" s="1"/>
  <c r="F846" i="13" s="1"/>
  <c r="E113" i="13"/>
  <c r="F113" i="13" s="1"/>
  <c r="F115" i="13" s="1"/>
  <c r="E161" i="13"/>
  <c r="F161" i="13" s="1"/>
  <c r="E197" i="13"/>
  <c r="F197" i="13" s="1"/>
  <c r="F199" i="13" s="1"/>
  <c r="E559" i="13"/>
  <c r="F559" i="13" s="1"/>
  <c r="E801" i="13"/>
  <c r="F801" i="13" s="1"/>
  <c r="E839" i="13"/>
  <c r="F839" i="13" s="1"/>
  <c r="E1350" i="13"/>
  <c r="F1350" i="13" s="1"/>
  <c r="F1351" i="13" s="1"/>
  <c r="C1353" i="13" s="1"/>
  <c r="E1385" i="13"/>
  <c r="F1385" i="13" s="1"/>
  <c r="E1397" i="13"/>
  <c r="F1397" i="13" s="1"/>
  <c r="F1398" i="13" s="1"/>
  <c r="E1051" i="13"/>
  <c r="F1051" i="13" s="1"/>
  <c r="E1143" i="13"/>
  <c r="F1143" i="13" s="1"/>
  <c r="E862" i="13"/>
  <c r="F862" i="13" s="1"/>
  <c r="F864" i="13" s="1"/>
  <c r="E203" i="13"/>
  <c r="E221" i="13" s="1"/>
  <c r="F221" i="13" s="1"/>
  <c r="F223" i="13" s="1"/>
  <c r="E51" i="13"/>
  <c r="F51" i="13" s="1"/>
  <c r="F1220" i="13"/>
  <c r="G96" i="14"/>
  <c r="H96" i="14" s="1"/>
  <c r="H97" i="14" s="1"/>
  <c r="G29" i="14"/>
  <c r="H29" i="14" s="1"/>
  <c r="H30" i="14" s="1"/>
  <c r="F163" i="13"/>
  <c r="G1322" i="13"/>
  <c r="F887" i="13"/>
  <c r="F888" i="13" s="1"/>
  <c r="F840" i="13"/>
  <c r="F1387" i="13"/>
  <c r="F1388" i="13" s="1"/>
  <c r="F121" i="13"/>
  <c r="F181" i="13"/>
  <c r="F127" i="13"/>
  <c r="E547" i="13"/>
  <c r="F547" i="13" s="1"/>
  <c r="E88" i="13"/>
  <c r="F88" i="13" s="1"/>
  <c r="F1260" i="13"/>
  <c r="F1258" i="13"/>
  <c r="F1345" i="13"/>
  <c r="C1347" i="13" s="1"/>
  <c r="E634" i="13"/>
  <c r="F634" i="13" s="1"/>
  <c r="F637" i="13" s="1"/>
  <c r="F627" i="13"/>
  <c r="F631" i="13" s="1"/>
  <c r="F893" i="13"/>
  <c r="E905" i="13"/>
  <c r="E1235" i="13"/>
  <c r="F1235" i="13" s="1"/>
  <c r="F1236" i="13" s="1"/>
  <c r="F1200" i="13"/>
  <c r="F1202" i="13" s="1"/>
  <c r="E1187" i="13" s="1"/>
  <c r="F1187" i="13" s="1"/>
  <c r="F611" i="13"/>
  <c r="E635" i="13"/>
  <c r="E643" i="13"/>
  <c r="E297" i="13"/>
  <c r="E39" i="13"/>
  <c r="F39" i="13" s="1"/>
  <c r="F30" i="13"/>
  <c r="E654" i="13"/>
  <c r="F87" i="13"/>
  <c r="F83" i="13"/>
  <c r="F84" i="13" s="1"/>
  <c r="F1105" i="13"/>
  <c r="F1106" i="13" s="1"/>
  <c r="F209" i="13"/>
  <c r="F211" i="13" s="1"/>
  <c r="E215" i="13"/>
  <c r="F215" i="13" s="1"/>
  <c r="F217" i="13" s="1"/>
  <c r="F1333" i="13"/>
  <c r="E1335" i="13" s="1"/>
  <c r="F1335" i="13" s="1"/>
  <c r="F1338" i="13" s="1"/>
  <c r="F109" i="13"/>
  <c r="F151" i="13"/>
  <c r="F75" i="13"/>
  <c r="F76" i="13" s="1"/>
  <c r="F539" i="13"/>
  <c r="F540" i="13" s="1"/>
  <c r="F175" i="13"/>
  <c r="E1067" i="13"/>
  <c r="F1062" i="13"/>
  <c r="F1063" i="13" s="1"/>
  <c r="F1364" i="13"/>
  <c r="E237" i="13"/>
  <c r="F237" i="13" s="1"/>
  <c r="F251" i="13"/>
  <c r="F896" i="13"/>
  <c r="E908" i="13"/>
  <c r="F1212" i="13"/>
  <c r="F1393" i="13"/>
  <c r="F1394" i="13" s="1"/>
  <c r="E776" i="13"/>
  <c r="F776" i="13" s="1"/>
  <c r="F779" i="13" s="1"/>
  <c r="E681" i="13"/>
  <c r="F681" i="13" s="1"/>
  <c r="F628" i="13"/>
  <c r="E314" i="13"/>
  <c r="F309" i="13"/>
  <c r="F311" i="13" s="1"/>
  <c r="F193" i="13"/>
  <c r="F133" i="13"/>
  <c r="F187" i="13"/>
  <c r="E37" i="13"/>
  <c r="F37" i="13" s="1"/>
  <c r="F28" i="13"/>
  <c r="F809" i="13"/>
  <c r="F1291" i="13"/>
  <c r="G1291" i="13" s="1"/>
  <c r="F1228" i="13"/>
  <c r="F1293" i="13" s="1"/>
  <c r="G1293" i="13" s="1"/>
  <c r="E1186" i="13"/>
  <c r="F1186" i="13" s="1"/>
  <c r="F1185" i="13"/>
  <c r="E1072" i="13"/>
  <c r="F1066" i="13"/>
  <c r="F858" i="13"/>
  <c r="F169" i="13"/>
  <c r="E655" i="13"/>
  <c r="F621" i="13"/>
  <c r="F139" i="13"/>
  <c r="E642" i="13"/>
  <c r="F610" i="13"/>
  <c r="E615" i="13"/>
  <c r="F615" i="13" s="1"/>
  <c r="F617" i="13" s="1"/>
  <c r="F157" i="13"/>
  <c r="F103" i="13"/>
  <c r="F55" i="13"/>
  <c r="F56" i="13" s="1"/>
  <c r="E582" i="13" s="1"/>
  <c r="F582" i="13" s="1"/>
  <c r="F585" i="13" s="1"/>
  <c r="F29" i="13"/>
  <c r="E38" i="13"/>
  <c r="F38" i="13" s="1"/>
  <c r="G61" i="14"/>
  <c r="H61" i="14" s="1"/>
  <c r="H62" i="14" s="1"/>
  <c r="G135" i="14"/>
  <c r="H135" i="14" s="1"/>
  <c r="H136" i="14" s="1"/>
  <c r="G85" i="14"/>
  <c r="H85" i="14" s="1"/>
  <c r="H86" i="14" s="1"/>
  <c r="G46" i="14"/>
  <c r="H46" i="14" s="1"/>
  <c r="H47" i="14" s="1"/>
  <c r="G69" i="14"/>
  <c r="H69" i="14" s="1"/>
  <c r="H70" i="14" s="1"/>
  <c r="H21" i="14"/>
  <c r="H144" i="14"/>
  <c r="H152" i="14"/>
  <c r="G119" i="14"/>
  <c r="H119" i="14" s="1"/>
  <c r="H120" i="14" s="1"/>
  <c r="H39" i="14"/>
  <c r="G54" i="14"/>
  <c r="H54" i="14" s="1"/>
  <c r="H55" i="14" s="1"/>
  <c r="H128" i="14"/>
  <c r="F203" i="13" l="1"/>
  <c r="F205" i="13" s="1"/>
  <c r="F612" i="13"/>
  <c r="F90" i="13"/>
  <c r="G1294" i="13"/>
  <c r="G1295" i="13" s="1"/>
  <c r="G1324" i="13" s="1"/>
  <c r="E820" i="13"/>
  <c r="F820" i="13" s="1"/>
  <c r="F822" i="13" s="1"/>
  <c r="E601" i="13"/>
  <c r="F601" i="13" s="1"/>
  <c r="F604" i="13" s="1"/>
  <c r="E568" i="13"/>
  <c r="F568" i="13" s="1"/>
  <c r="F570" i="13" s="1"/>
  <c r="E264" i="13"/>
  <c r="F264" i="13" s="1"/>
  <c r="F267" i="13" s="1"/>
  <c r="E248" i="13"/>
  <c r="F248" i="13" s="1"/>
  <c r="F253" i="13" s="1"/>
  <c r="E574" i="13"/>
  <c r="F574" i="13" s="1"/>
  <c r="E257" i="13"/>
  <c r="F257" i="13" s="1"/>
  <c r="F261" i="13" s="1"/>
  <c r="E1111" i="13"/>
  <c r="F1111" i="13" s="1"/>
  <c r="E557" i="13"/>
  <c r="F557" i="13" s="1"/>
  <c r="E545" i="13"/>
  <c r="F545" i="13" s="1"/>
  <c r="E241" i="13"/>
  <c r="F241" i="13" s="1"/>
  <c r="F245" i="13" s="1"/>
  <c r="E232" i="13"/>
  <c r="F232" i="13" s="1"/>
  <c r="F238" i="13" s="1"/>
  <c r="E1126" i="13"/>
  <c r="F1126" i="13" s="1"/>
  <c r="E1158" i="13"/>
  <c r="F1158" i="13" s="1"/>
  <c r="E1112" i="13"/>
  <c r="F1112" i="13" s="1"/>
  <c r="E661" i="13"/>
  <c r="F654" i="13"/>
  <c r="E649" i="13"/>
  <c r="F649" i="13" s="1"/>
  <c r="F643" i="13"/>
  <c r="F655" i="13"/>
  <c r="E662" i="13"/>
  <c r="F662" i="13" s="1"/>
  <c r="F33" i="13"/>
  <c r="F34" i="13" s="1"/>
  <c r="F635" i="13"/>
  <c r="E783" i="13"/>
  <c r="F783" i="13" s="1"/>
  <c r="F785" i="13" s="1"/>
  <c r="E675" i="13"/>
  <c r="E918" i="13"/>
  <c r="F918" i="13" s="1"/>
  <c r="F905" i="13"/>
  <c r="F642" i="13"/>
  <c r="E648" i="13"/>
  <c r="F648" i="13" s="1"/>
  <c r="F1072" i="13"/>
  <c r="E1078" i="13"/>
  <c r="F42" i="13"/>
  <c r="F43" i="13" s="1"/>
  <c r="F899" i="13"/>
  <c r="F900" i="13" s="1"/>
  <c r="E320" i="13"/>
  <c r="F314" i="13"/>
  <c r="F317" i="13" s="1"/>
  <c r="E921" i="13"/>
  <c r="F921" i="13" s="1"/>
  <c r="F908" i="13"/>
  <c r="F1067" i="13"/>
  <c r="F1069" i="13" s="1"/>
  <c r="E1073" i="13"/>
  <c r="E573" i="13"/>
  <c r="F573" i="13" s="1"/>
  <c r="E546" i="13"/>
  <c r="F546" i="13" s="1"/>
  <c r="E558" i="13"/>
  <c r="F558" i="13" s="1"/>
  <c r="E1354" i="13"/>
  <c r="F1354" i="13" s="1"/>
  <c r="F1358" i="13" s="1"/>
  <c r="F1359" i="13" s="1"/>
  <c r="E669" i="13"/>
  <c r="F669" i="13" s="1"/>
  <c r="E315" i="13"/>
  <c r="F297" i="13"/>
  <c r="E310" i="13"/>
  <c r="F310" i="13" s="1"/>
  <c r="F650" i="13" l="1"/>
  <c r="F1117" i="13"/>
  <c r="F1118" i="13" s="1"/>
  <c r="F1119" i="13" s="1"/>
  <c r="F911" i="13"/>
  <c r="F912" i="13" s="1"/>
  <c r="F924" i="13"/>
  <c r="F925" i="13" s="1"/>
  <c r="E707" i="13"/>
  <c r="E271" i="13"/>
  <c r="F271" i="13" s="1"/>
  <c r="E689" i="13"/>
  <c r="F675" i="13"/>
  <c r="F551" i="13"/>
  <c r="F1078" i="13"/>
  <c r="E1084" i="13"/>
  <c r="E668" i="13"/>
  <c r="F661" i="13"/>
  <c r="F665" i="13" s="1"/>
  <c r="E767" i="13"/>
  <c r="F767" i="13" s="1"/>
  <c r="E577" i="13"/>
  <c r="F577" i="13" s="1"/>
  <c r="F579" i="13" s="1"/>
  <c r="E280" i="13"/>
  <c r="F280" i="13" s="1"/>
  <c r="E272" i="13"/>
  <c r="F272" i="13" s="1"/>
  <c r="E830" i="13"/>
  <c r="F830" i="13" s="1"/>
  <c r="E1079" i="13"/>
  <c r="F1073" i="13"/>
  <c r="F1075" i="13" s="1"/>
  <c r="F320" i="13"/>
  <c r="F323" i="13" s="1"/>
  <c r="E328" i="13"/>
  <c r="E790" i="13"/>
  <c r="E827" i="13"/>
  <c r="F827" i="13" s="1"/>
  <c r="E277" i="13"/>
  <c r="F277" i="13" s="1"/>
  <c r="F315" i="13"/>
  <c r="E321" i="13"/>
  <c r="F644" i="13"/>
  <c r="F658" i="13"/>
  <c r="F563" i="13"/>
  <c r="D254" i="13"/>
  <c r="E1052" i="13" s="1"/>
  <c r="F1052" i="13" s="1"/>
  <c r="F254" i="13"/>
  <c r="F281" i="13" l="1"/>
  <c r="F282" i="13" s="1"/>
  <c r="F831" i="13"/>
  <c r="F832" i="13" s="1"/>
  <c r="E335" i="13"/>
  <c r="F328" i="13"/>
  <c r="F330" i="13" s="1"/>
  <c r="E743" i="13"/>
  <c r="F689" i="13"/>
  <c r="F690" i="13" s="1"/>
  <c r="E696" i="13" s="1"/>
  <c r="F696" i="13" s="1"/>
  <c r="E1085" i="13"/>
  <c r="F1079" i="13"/>
  <c r="F1081" i="13" s="1"/>
  <c r="E1089" i="13"/>
  <c r="F1089" i="13" s="1"/>
  <c r="F1084" i="13"/>
  <c r="E329" i="13"/>
  <c r="F321" i="13"/>
  <c r="E795" i="13"/>
  <c r="F790" i="13"/>
  <c r="F792" i="13" s="1"/>
  <c r="E674" i="13"/>
  <c r="F668" i="13"/>
  <c r="F671" i="13" s="1"/>
  <c r="F552" i="13"/>
  <c r="E697" i="13"/>
  <c r="F697" i="13" s="1"/>
  <c r="F707" i="13"/>
  <c r="E766" i="13"/>
  <c r="F766" i="13" s="1"/>
  <c r="F1050" i="13" l="1"/>
  <c r="F1056" i="13" s="1"/>
  <c r="E270" i="13"/>
  <c r="F270" i="13" s="1"/>
  <c r="F273" i="13" s="1"/>
  <c r="F795" i="13"/>
  <c r="F797" i="13" s="1"/>
  <c r="E800" i="13"/>
  <c r="F800" i="13" s="1"/>
  <c r="F803" i="13" s="1"/>
  <c r="F743" i="13"/>
  <c r="F745" i="13" s="1"/>
  <c r="E747" i="13" s="1"/>
  <c r="F747" i="13" s="1"/>
  <c r="F748" i="13" s="1"/>
  <c r="E753" i="13"/>
  <c r="E1159" i="13"/>
  <c r="F1159" i="13" s="1"/>
  <c r="E1127" i="13"/>
  <c r="F1127" i="13" s="1"/>
  <c r="F674" i="13"/>
  <c r="F677" i="13" s="1"/>
  <c r="E680" i="13"/>
  <c r="F680" i="13" s="1"/>
  <c r="F684" i="13" s="1"/>
  <c r="F329" i="13"/>
  <c r="E336" i="13"/>
  <c r="E1090" i="13"/>
  <c r="F1090" i="13" s="1"/>
  <c r="F1092" i="13" s="1"/>
  <c r="F1093" i="13" s="1"/>
  <c r="F1085" i="13"/>
  <c r="F1086" i="13" s="1"/>
  <c r="F713" i="13"/>
  <c r="E342" i="13"/>
  <c r="F335" i="13"/>
  <c r="F337" i="13" s="1"/>
  <c r="E359" i="13"/>
  <c r="F359" i="13" s="1"/>
  <c r="F361" i="13" s="1"/>
  <c r="E360" i="13" l="1"/>
  <c r="F360" i="13" s="1"/>
  <c r="F336" i="13"/>
  <c r="E343" i="13"/>
  <c r="E366" i="13"/>
  <c r="F342" i="13"/>
  <c r="F344" i="13" s="1"/>
  <c r="E347" i="13"/>
  <c r="E761" i="13"/>
  <c r="F761" i="13" s="1"/>
  <c r="F762" i="13" s="1"/>
  <c r="C764" i="13" s="1"/>
  <c r="F753" i="13"/>
  <c r="F755" i="13" s="1"/>
  <c r="C757" i="13" s="1"/>
  <c r="E1157" i="13"/>
  <c r="F1157" i="13" s="1"/>
  <c r="F1163" i="13" s="1"/>
  <c r="E1125" i="13"/>
  <c r="F714" i="13"/>
  <c r="E765" i="13" l="1"/>
  <c r="F765" i="13" s="1"/>
  <c r="F769" i="13" s="1"/>
  <c r="E770" i="13" s="1"/>
  <c r="E348" i="13"/>
  <c r="F343" i="13"/>
  <c r="E367" i="13"/>
  <c r="E1141" i="13"/>
  <c r="F1141" i="13" s="1"/>
  <c r="F1147" i="13" s="1"/>
  <c r="F1125" i="13"/>
  <c r="F1131" i="13" s="1"/>
  <c r="F1132" i="13" s="1"/>
  <c r="E353" i="13"/>
  <c r="F353" i="13" s="1"/>
  <c r="F356" i="13" s="1"/>
  <c r="F347" i="13"/>
  <c r="F350" i="13" s="1"/>
  <c r="E379" i="13"/>
  <c r="E371" i="13"/>
  <c r="F371" i="13" s="1"/>
  <c r="F374" i="13" s="1"/>
  <c r="F366" i="13"/>
  <c r="F368" i="13" s="1"/>
  <c r="E372" i="13" l="1"/>
  <c r="F372" i="13" s="1"/>
  <c r="F367" i="13"/>
  <c r="E380" i="13"/>
  <c r="E1180" i="13"/>
  <c r="F1180" i="13" s="1"/>
  <c r="E1178" i="13"/>
  <c r="F1178" i="13" s="1"/>
  <c r="F1133" i="13"/>
  <c r="E1179" i="13"/>
  <c r="F1179" i="13" s="1"/>
  <c r="F348" i="13"/>
  <c r="E354" i="13"/>
  <c r="F354" i="13" s="1"/>
  <c r="F379" i="13"/>
  <c r="F381" i="13" s="1"/>
  <c r="E386" i="13"/>
  <c r="F1151" i="13"/>
  <c r="F1152" i="13" s="1"/>
  <c r="F1149" i="13"/>
  <c r="F1150" i="13" s="1"/>
  <c r="F1148" i="13"/>
  <c r="F1189" i="13" l="1"/>
  <c r="F386" i="13"/>
  <c r="F388" i="13" s="1"/>
  <c r="E393" i="13"/>
  <c r="E387" i="13"/>
  <c r="F380" i="13"/>
  <c r="E394" i="13" l="1"/>
  <c r="F387" i="13"/>
  <c r="E398" i="13"/>
  <c r="F393" i="13"/>
  <c r="F395" i="13" s="1"/>
  <c r="F398" i="13" l="1"/>
  <c r="F401" i="13" s="1"/>
  <c r="E404" i="13"/>
  <c r="E399" i="13"/>
  <c r="F394" i="13"/>
  <c r="E405" i="13" l="1"/>
  <c r="F399" i="13"/>
  <c r="F404" i="13"/>
  <c r="F407" i="13" s="1"/>
  <c r="E410" i="13"/>
  <c r="E418" i="13" l="1"/>
  <c r="F410" i="13"/>
  <c r="F413" i="13" s="1"/>
  <c r="E411" i="13"/>
  <c r="F405" i="13"/>
  <c r="F411" i="13" l="1"/>
  <c r="E419" i="13"/>
  <c r="F418" i="13"/>
  <c r="F420" i="13" s="1"/>
  <c r="E423" i="13"/>
  <c r="E431" i="13" l="1"/>
  <c r="F423" i="13"/>
  <c r="F426" i="13" s="1"/>
  <c r="E424" i="13"/>
  <c r="F419" i="13"/>
  <c r="F424" i="13" l="1"/>
  <c r="E432" i="13"/>
  <c r="E438" i="13"/>
  <c r="F431" i="13"/>
  <c r="F433" i="13" s="1"/>
  <c r="F438" i="13" l="1"/>
  <c r="F440" i="13" s="1"/>
  <c r="E446" i="13"/>
  <c r="E439" i="13"/>
  <c r="F432" i="13"/>
  <c r="E447" i="13" l="1"/>
  <c r="F439" i="13"/>
  <c r="E453" i="13"/>
  <c r="F446" i="13"/>
  <c r="F448" i="13" s="1"/>
  <c r="E458" i="13" l="1"/>
  <c r="F453" i="13"/>
  <c r="F455" i="13" s="1"/>
  <c r="F447" i="13"/>
  <c r="E454" i="13"/>
  <c r="E459" i="13" l="1"/>
  <c r="F454" i="13"/>
  <c r="E466" i="13"/>
  <c r="F458" i="13"/>
  <c r="F461" i="13" s="1"/>
  <c r="E473" i="13" l="1"/>
  <c r="F466" i="13"/>
  <c r="F468" i="13" s="1"/>
  <c r="F459" i="13"/>
  <c r="E467" i="13"/>
  <c r="E474" i="13" l="1"/>
  <c r="F467" i="13"/>
  <c r="E478" i="13"/>
  <c r="F473" i="13"/>
  <c r="F475" i="13" s="1"/>
  <c r="E486" i="13" l="1"/>
  <c r="F478" i="13"/>
  <c r="F481" i="13" s="1"/>
  <c r="E479" i="13"/>
  <c r="F479" i="13" s="1"/>
  <c r="F474" i="13"/>
  <c r="E487" i="13"/>
  <c r="E498" i="13" l="1"/>
  <c r="E492" i="13"/>
  <c r="F492" i="13" s="1"/>
  <c r="F487" i="13"/>
  <c r="E497" i="13"/>
  <c r="F486" i="13"/>
  <c r="F488" i="13" s="1"/>
  <c r="E491" i="13"/>
  <c r="F491" i="13" s="1"/>
  <c r="F493" i="13" s="1"/>
  <c r="F497" i="13" l="1"/>
  <c r="F500" i="13" s="1"/>
  <c r="E503" i="13"/>
  <c r="E504" i="13"/>
  <c r="F498" i="13"/>
  <c r="F504" i="13" l="1"/>
  <c r="E286" i="13"/>
  <c r="F503" i="13"/>
  <c r="F506" i="13" s="1"/>
  <c r="E285" i="13"/>
  <c r="E510" i="13" l="1"/>
  <c r="F285" i="13"/>
  <c r="F288" i="13" s="1"/>
  <c r="E511" i="13"/>
  <c r="F286" i="13"/>
  <c r="F511" i="13" l="1"/>
  <c r="E517" i="13"/>
  <c r="F517" i="13" s="1"/>
  <c r="E516" i="13"/>
  <c r="F516" i="13" s="1"/>
  <c r="F519" i="13" s="1"/>
  <c r="F510" i="13"/>
  <c r="F513" i="13" s="1"/>
  <c r="E586" i="42" l="1"/>
  <c r="D585" i="42"/>
  <c r="E585" i="42" s="1"/>
  <c r="E584" i="42"/>
  <c r="E583" i="42"/>
  <c r="E582" i="42"/>
  <c r="E576" i="42"/>
  <c r="D575" i="42"/>
  <c r="E575" i="42" s="1"/>
  <c r="E574" i="42"/>
  <c r="E573" i="42"/>
  <c r="E572" i="42"/>
  <c r="E571" i="42"/>
  <c r="E566" i="42"/>
  <c r="E565" i="42"/>
  <c r="E563" i="42"/>
  <c r="E562" i="42"/>
  <c r="E551" i="42"/>
  <c r="E550" i="42"/>
  <c r="E549" i="42"/>
  <c r="E548" i="42"/>
  <c r="E547" i="42"/>
  <c r="E543" i="42"/>
  <c r="E544" i="42" s="1"/>
  <c r="E540" i="42"/>
  <c r="E539" i="42"/>
  <c r="E541" i="42" s="1"/>
  <c r="E529" i="42"/>
  <c r="E528" i="42"/>
  <c r="D527" i="42"/>
  <c r="E527" i="42" s="1"/>
  <c r="E526" i="42"/>
  <c r="E525" i="42"/>
  <c r="E514" i="42"/>
  <c r="D512" i="42"/>
  <c r="E512" i="42" s="1"/>
  <c r="D513" i="42" s="1"/>
  <c r="E513" i="42" s="1"/>
  <c r="E511" i="42"/>
  <c r="B498" i="42"/>
  <c r="B504" i="42" s="1"/>
  <c r="B506" i="42" s="1"/>
  <c r="E484" i="42"/>
  <c r="E483" i="42"/>
  <c r="D482" i="42"/>
  <c r="E482" i="42" s="1"/>
  <c r="E481" i="42"/>
  <c r="E480" i="42"/>
  <c r="E475" i="42"/>
  <c r="E460" i="42"/>
  <c r="E459" i="42"/>
  <c r="E458" i="42"/>
  <c r="E457" i="42"/>
  <c r="E448" i="42"/>
  <c r="E447" i="42"/>
  <c r="E442" i="42"/>
  <c r="E440" i="42"/>
  <c r="E437" i="42"/>
  <c r="E435" i="42"/>
  <c r="E434" i="42"/>
  <c r="E433" i="42"/>
  <c r="E432" i="42"/>
  <c r="D419" i="42"/>
  <c r="E419" i="42" s="1"/>
  <c r="D418" i="42"/>
  <c r="E418" i="42" s="1"/>
  <c r="E420" i="42" s="1"/>
  <c r="E412" i="42"/>
  <c r="D413" i="42" s="1"/>
  <c r="E413" i="42" s="1"/>
  <c r="D411" i="42"/>
  <c r="E411" i="42" s="1"/>
  <c r="E414" i="42" s="1"/>
  <c r="E415" i="42" s="1"/>
  <c r="E388" i="42"/>
  <c r="E387" i="42"/>
  <c r="E386" i="42"/>
  <c r="E385" i="42"/>
  <c r="E384" i="42"/>
  <c r="E383" i="42"/>
  <c r="E382" i="42"/>
  <c r="E375" i="42"/>
  <c r="E374" i="42"/>
  <c r="E372" i="42"/>
  <c r="E371" i="42"/>
  <c r="D373" i="42" s="1"/>
  <c r="E373" i="42" s="1"/>
  <c r="E370" i="42"/>
  <c r="E369" i="42"/>
  <c r="E368" i="42"/>
  <c r="E361" i="42"/>
  <c r="E360" i="42"/>
  <c r="E359" i="42"/>
  <c r="E358" i="42"/>
  <c r="E357" i="42"/>
  <c r="E356" i="42"/>
  <c r="E355" i="42"/>
  <c r="E354" i="42"/>
  <c r="E347" i="42"/>
  <c r="E346" i="42"/>
  <c r="E345" i="42"/>
  <c r="E337" i="42"/>
  <c r="E338" i="42" s="1"/>
  <c r="D331" i="42"/>
  <c r="E331" i="42" s="1"/>
  <c r="E324" i="42"/>
  <c r="E323" i="42"/>
  <c r="E322" i="42"/>
  <c r="E321" i="42"/>
  <c r="E317" i="42"/>
  <c r="E304" i="42"/>
  <c r="E302" i="42"/>
  <c r="D303" i="42" s="1"/>
  <c r="E303" i="42" s="1"/>
  <c r="E301" i="42"/>
  <c r="E292" i="42"/>
  <c r="E293" i="42" s="1"/>
  <c r="E285" i="42"/>
  <c r="E284" i="42"/>
  <c r="E283" i="42"/>
  <c r="E279" i="42"/>
  <c r="E270" i="42"/>
  <c r="E269" i="42"/>
  <c r="E268" i="42"/>
  <c r="E267" i="42"/>
  <c r="E265" i="42"/>
  <c r="E255" i="42"/>
  <c r="E254" i="42"/>
  <c r="E252" i="42"/>
  <c r="E247" i="42"/>
  <c r="E246" i="42"/>
  <c r="E243" i="42"/>
  <c r="B239" i="42"/>
  <c r="E239" i="42" s="1"/>
  <c r="E223" i="42"/>
  <c r="E221" i="42"/>
  <c r="E216" i="42"/>
  <c r="E215" i="42"/>
  <c r="E214" i="42"/>
  <c r="E213" i="42"/>
  <c r="E212" i="42"/>
  <c r="E204" i="42"/>
  <c r="D205" i="42" s="1"/>
  <c r="E205" i="42" s="1"/>
  <c r="D203" i="42"/>
  <c r="E203" i="42" s="1"/>
  <c r="E202" i="42"/>
  <c r="E201" i="42"/>
  <c r="E196" i="42"/>
  <c r="E195" i="42"/>
  <c r="E190" i="42"/>
  <c r="E189" i="42"/>
  <c r="E184" i="42"/>
  <c r="E183" i="42"/>
  <c r="E182" i="42"/>
  <c r="E177" i="42"/>
  <c r="E176" i="42"/>
  <c r="E172" i="42"/>
  <c r="E171" i="42"/>
  <c r="E170" i="42"/>
  <c r="E166" i="42"/>
  <c r="E165" i="42"/>
  <c r="E160" i="42"/>
  <c r="E151" i="42"/>
  <c r="E150" i="42"/>
  <c r="E145" i="42"/>
  <c r="E144" i="42"/>
  <c r="E139" i="42"/>
  <c r="E133" i="42"/>
  <c r="E132" i="42"/>
  <c r="E126" i="42"/>
  <c r="E125" i="42"/>
  <c r="E124" i="42"/>
  <c r="E123" i="42"/>
  <c r="E117" i="42"/>
  <c r="E116" i="42"/>
  <c r="E115" i="42"/>
  <c r="E109" i="42"/>
  <c r="E108" i="42"/>
  <c r="E106" i="42"/>
  <c r="D105" i="42"/>
  <c r="E105" i="42" s="1"/>
  <c r="E100" i="42"/>
  <c r="E98" i="42"/>
  <c r="D97" i="42"/>
  <c r="E97" i="42" s="1"/>
  <c r="E92" i="42"/>
  <c r="E91" i="42"/>
  <c r="D90" i="42"/>
  <c r="E90" i="42" s="1"/>
  <c r="E85" i="42"/>
  <c r="E84" i="42"/>
  <c r="E83" i="42"/>
  <c r="E77" i="42"/>
  <c r="E69" i="42"/>
  <c r="E61" i="42"/>
  <c r="E54" i="42"/>
  <c r="E52" i="42"/>
  <c r="E51" i="42"/>
  <c r="E50" i="42"/>
  <c r="E45" i="42"/>
  <c r="E36" i="42"/>
  <c r="E28" i="42"/>
  <c r="D27" i="42"/>
  <c r="E27" i="42" s="1"/>
  <c r="E22" i="42"/>
  <c r="D21" i="42"/>
  <c r="E21" i="42" s="1"/>
  <c r="E17" i="42"/>
  <c r="B60" i="42" s="1"/>
  <c r="E16" i="42"/>
  <c r="D60" i="42" s="1"/>
  <c r="E15" i="42"/>
  <c r="D143" i="42" s="1"/>
  <c r="E14" i="42"/>
  <c r="D26" i="42" s="1"/>
  <c r="E26" i="42" s="1"/>
  <c r="E13" i="42"/>
  <c r="D59" i="42" s="1"/>
  <c r="E59" i="42" s="1"/>
  <c r="E12" i="42"/>
  <c r="D20" i="42" s="1"/>
  <c r="E20" i="42" s="1"/>
  <c r="E11" i="42"/>
  <c r="D68" i="42" s="1"/>
  <c r="E68" i="42" s="1"/>
  <c r="E10" i="42"/>
  <c r="D66" i="42" s="1"/>
  <c r="E66" i="42" s="1"/>
  <c r="E9" i="42"/>
  <c r="D158" i="42" s="1"/>
  <c r="E158" i="42" s="1"/>
  <c r="B46" i="41"/>
  <c r="E46" i="41" s="1"/>
  <c r="G45" i="41"/>
  <c r="F45" i="41"/>
  <c r="D44" i="41"/>
  <c r="E44" i="41" s="1"/>
  <c r="B40" i="41"/>
  <c r="E40" i="41" s="1"/>
  <c r="G39" i="41"/>
  <c r="F39" i="41"/>
  <c r="B34" i="41"/>
  <c r="E34" i="41" s="1"/>
  <c r="G33" i="41"/>
  <c r="F33" i="41"/>
  <c r="D32" i="41"/>
  <c r="D39" i="41" s="1"/>
  <c r="E39" i="41" s="1"/>
  <c r="F27" i="41"/>
  <c r="E27" i="41"/>
  <c r="G26" i="41"/>
  <c r="F26" i="41"/>
  <c r="D26" i="41"/>
  <c r="D33" i="41" s="1"/>
  <c r="D25" i="41"/>
  <c r="E25" i="41" s="1"/>
  <c r="B21" i="41"/>
  <c r="E21" i="41" s="1"/>
  <c r="G20" i="41"/>
  <c r="F20" i="41"/>
  <c r="D20" i="41"/>
  <c r="E20" i="41" s="1"/>
  <c r="D19" i="41"/>
  <c r="E19" i="41" s="1"/>
  <c r="H15" i="41"/>
  <c r="F15" i="41"/>
  <c r="D15" i="41"/>
  <c r="E15" i="41" s="1"/>
  <c r="D14" i="41"/>
  <c r="E14" i="41" s="1"/>
  <c r="H10" i="41"/>
  <c r="F10" i="41"/>
  <c r="E10" i="41"/>
  <c r="E9" i="41"/>
  <c r="H6" i="41"/>
  <c r="F6" i="41"/>
  <c r="E6" i="41"/>
  <c r="E5" i="41"/>
  <c r="I12" i="40"/>
  <c r="G11" i="40"/>
  <c r="B45" i="39"/>
  <c r="E45" i="39" s="1"/>
  <c r="G44" i="39"/>
  <c r="F44" i="39"/>
  <c r="D43" i="39"/>
  <c r="E43" i="39" s="1"/>
  <c r="B39" i="39"/>
  <c r="E39" i="39" s="1"/>
  <c r="G38" i="39"/>
  <c r="F38" i="39"/>
  <c r="D37" i="39"/>
  <c r="E37" i="39" s="1"/>
  <c r="G33" i="39"/>
  <c r="B33" i="39"/>
  <c r="E33" i="39" s="1"/>
  <c r="D31" i="39"/>
  <c r="E31" i="39" s="1"/>
  <c r="B27" i="39"/>
  <c r="E27" i="39" s="1"/>
  <c r="G26" i="39"/>
  <c r="F26" i="39"/>
  <c r="D25" i="39"/>
  <c r="E25" i="39" s="1"/>
  <c r="G20" i="39"/>
  <c r="F20" i="39"/>
  <c r="D19" i="39"/>
  <c r="E19" i="39" s="1"/>
  <c r="F15" i="39"/>
  <c r="E15" i="39"/>
  <c r="G14" i="39"/>
  <c r="F14" i="39"/>
  <c r="D14" i="39"/>
  <c r="D20" i="39" s="1"/>
  <c r="D26" i="39" s="1"/>
  <c r="D13" i="39"/>
  <c r="E13" i="39" s="1"/>
  <c r="H9" i="39"/>
  <c r="F9" i="39"/>
  <c r="D9" i="39"/>
  <c r="E9" i="39" s="1"/>
  <c r="D8" i="39"/>
  <c r="E8" i="39" s="1"/>
  <c r="H4" i="39"/>
  <c r="F4" i="39"/>
  <c r="E4" i="39"/>
  <c r="E3" i="39"/>
  <c r="E5" i="39" s="1"/>
  <c r="D15" i="38"/>
  <c r="E32" i="37"/>
  <c r="E31" i="37"/>
  <c r="E30" i="37"/>
  <c r="C29" i="37"/>
  <c r="E29" i="37" s="1"/>
  <c r="E28" i="37"/>
  <c r="E27" i="37"/>
  <c r="E26" i="37"/>
  <c r="E25" i="37"/>
  <c r="C24" i="37"/>
  <c r="E24" i="37" s="1"/>
  <c r="C23" i="37"/>
  <c r="E23" i="37" s="1"/>
  <c r="E22" i="37"/>
  <c r="E21" i="37"/>
  <c r="C20" i="37"/>
  <c r="E20" i="37" s="1"/>
  <c r="I19" i="37"/>
  <c r="I20" i="37" s="1"/>
  <c r="G11" i="37"/>
  <c r="I11" i="37" s="1"/>
  <c r="J11" i="37" s="1"/>
  <c r="G10" i="37"/>
  <c r="I10" i="37" s="1"/>
  <c r="J10" i="37" s="1"/>
  <c r="F9" i="37"/>
  <c r="I9" i="37" s="1"/>
  <c r="C40" i="35"/>
  <c r="C44" i="35" s="1"/>
  <c r="C37" i="35"/>
  <c r="C32" i="35"/>
  <c r="C15" i="35"/>
  <c r="K12" i="35"/>
  <c r="I11" i="35"/>
  <c r="H11" i="35"/>
  <c r="J11" i="35" s="1"/>
  <c r="I10" i="35"/>
  <c r="H10" i="35"/>
  <c r="J10" i="35" s="1"/>
  <c r="C10" i="35"/>
  <c r="I9" i="35"/>
  <c r="J9" i="35" s="1"/>
  <c r="M8" i="35"/>
  <c r="J8" i="35"/>
  <c r="M7" i="35"/>
  <c r="C6" i="35"/>
  <c r="C17" i="35" s="1"/>
  <c r="D25" i="34"/>
  <c r="F54" i="33"/>
  <c r="F53" i="33"/>
  <c r="F52" i="33"/>
  <c r="F51" i="33"/>
  <c r="F50" i="33"/>
  <c r="F49" i="33"/>
  <c r="F48" i="33"/>
  <c r="F47" i="33"/>
  <c r="F46" i="33"/>
  <c r="F45" i="33"/>
  <c r="F44" i="33"/>
  <c r="F43" i="33"/>
  <c r="F40" i="33"/>
  <c r="F39" i="33"/>
  <c r="F38" i="33"/>
  <c r="F37" i="33"/>
  <c r="F36" i="33"/>
  <c r="F35" i="33"/>
  <c r="F32" i="33"/>
  <c r="F31" i="33"/>
  <c r="F30" i="33"/>
  <c r="F29" i="33"/>
  <c r="F28" i="33"/>
  <c r="F27" i="33"/>
  <c r="F26" i="33"/>
  <c r="F25" i="33"/>
  <c r="F24" i="33"/>
  <c r="F23" i="33"/>
  <c r="F22" i="33"/>
  <c r="F21" i="33"/>
  <c r="F18" i="33"/>
  <c r="F15" i="33"/>
  <c r="F14" i="33"/>
  <c r="F13" i="33"/>
  <c r="F12" i="33"/>
  <c r="F11" i="33"/>
  <c r="F8" i="33"/>
  <c r="F7" i="33"/>
  <c r="I6" i="33"/>
  <c r="H6" i="33"/>
  <c r="F6" i="33"/>
  <c r="A59" i="32"/>
  <c r="A56" i="32"/>
  <c r="D56" i="32" s="1"/>
  <c r="D52" i="32"/>
  <c r="D48" i="32"/>
  <c r="D44" i="32"/>
  <c r="L41" i="32"/>
  <c r="M41" i="32" s="1"/>
  <c r="A37" i="32"/>
  <c r="D37" i="32" s="1"/>
  <c r="L36" i="32"/>
  <c r="L35" i="32"/>
  <c r="L37" i="32" s="1"/>
  <c r="L34" i="32"/>
  <c r="A31" i="32"/>
  <c r="D31" i="32" s="1"/>
  <c r="A25" i="32"/>
  <c r="D25" i="32" s="1"/>
  <c r="A18" i="32"/>
  <c r="D18" i="32" s="1"/>
  <c r="D14" i="32"/>
  <c r="D10" i="32"/>
  <c r="D5" i="32"/>
  <c r="G23" i="31"/>
  <c r="G22" i="31"/>
  <c r="I19" i="31"/>
  <c r="H17" i="31"/>
  <c r="I17" i="31" s="1"/>
  <c r="H16" i="31"/>
  <c r="I16" i="31" s="1"/>
  <c r="H15" i="31"/>
  <c r="I15" i="31" s="1"/>
  <c r="H14" i="31"/>
  <c r="I14" i="31" s="1"/>
  <c r="H13" i="31"/>
  <c r="I13" i="31" s="1"/>
  <c r="I12" i="31"/>
  <c r="I11" i="31"/>
  <c r="D39" i="30"/>
  <c r="C39" i="30"/>
  <c r="C35" i="30"/>
  <c r="C34" i="30"/>
  <c r="D32" i="30"/>
  <c r="D20" i="30"/>
  <c r="E20" i="30" s="1"/>
  <c r="F20" i="30" s="1"/>
  <c r="D19" i="30"/>
  <c r="E19" i="30" s="1"/>
  <c r="F19" i="30" s="1"/>
  <c r="F16" i="30"/>
  <c r="E14" i="30"/>
  <c r="E13" i="30"/>
  <c r="F13" i="30" s="1"/>
  <c r="F9" i="30"/>
  <c r="C9" i="30"/>
  <c r="E8" i="30"/>
  <c r="F8" i="30" s="1"/>
  <c r="E6" i="30"/>
  <c r="F6" i="30" s="1"/>
  <c r="F60" i="29"/>
  <c r="C51" i="29"/>
  <c r="F51" i="29" s="1"/>
  <c r="C50" i="29"/>
  <c r="F50" i="29" s="1"/>
  <c r="C49" i="29"/>
  <c r="F49" i="29" s="1"/>
  <c r="C48" i="29"/>
  <c r="F48" i="29" s="1"/>
  <c r="C47" i="29"/>
  <c r="F47" i="29" s="1"/>
  <c r="C46" i="29"/>
  <c r="F46" i="29" s="1"/>
  <c r="C45" i="29"/>
  <c r="F45" i="29" s="1"/>
  <c r="C44" i="29"/>
  <c r="F44" i="29" s="1"/>
  <c r="C43" i="29"/>
  <c r="F43" i="29" s="1"/>
  <c r="C42" i="29"/>
  <c r="F42" i="29" s="1"/>
  <c r="C41" i="29"/>
  <c r="F41" i="29" s="1"/>
  <c r="C40" i="29"/>
  <c r="F40" i="29" s="1"/>
  <c r="C39" i="29"/>
  <c r="F39" i="29" s="1"/>
  <c r="C38" i="29"/>
  <c r="F38" i="29" s="1"/>
  <c r="C35" i="29"/>
  <c r="F35" i="29" s="1"/>
  <c r="O23" i="29"/>
  <c r="L23" i="29"/>
  <c r="I23" i="29"/>
  <c r="F23" i="29"/>
  <c r="O22" i="29"/>
  <c r="L22" i="29"/>
  <c r="I22" i="29"/>
  <c r="F22" i="29"/>
  <c r="O21" i="29"/>
  <c r="L21" i="29"/>
  <c r="I21" i="29"/>
  <c r="F21" i="29"/>
  <c r="O20" i="29"/>
  <c r="L20" i="29"/>
  <c r="I20" i="29"/>
  <c r="F20" i="29"/>
  <c r="O19" i="29"/>
  <c r="L19" i="29"/>
  <c r="I19" i="29"/>
  <c r="F19" i="29"/>
  <c r="O18" i="29"/>
  <c r="L18" i="29"/>
  <c r="I18" i="29"/>
  <c r="F18" i="29"/>
  <c r="O17" i="29"/>
  <c r="L17" i="29"/>
  <c r="I17" i="29"/>
  <c r="F17" i="29"/>
  <c r="O16" i="29"/>
  <c r="L16" i="29"/>
  <c r="I16" i="29"/>
  <c r="F16" i="29"/>
  <c r="O15" i="29"/>
  <c r="L15" i="29"/>
  <c r="I15" i="29"/>
  <c r="F15" i="29"/>
  <c r="O14" i="29"/>
  <c r="L14" i="29"/>
  <c r="I14" i="29"/>
  <c r="F14" i="29"/>
  <c r="O13" i="29"/>
  <c r="L13" i="29"/>
  <c r="I13" i="29"/>
  <c r="F13" i="29"/>
  <c r="O12" i="29"/>
  <c r="L12" i="29"/>
  <c r="I12" i="29"/>
  <c r="F12" i="29"/>
  <c r="O11" i="29"/>
  <c r="L11" i="29"/>
  <c r="I11" i="29"/>
  <c r="E11" i="29"/>
  <c r="F11" i="29" s="1"/>
  <c r="O10" i="29"/>
  <c r="L10" i="29"/>
  <c r="E10" i="29"/>
  <c r="F10" i="29" s="1"/>
  <c r="E9" i="29"/>
  <c r="C9" i="29"/>
  <c r="O9" i="29" s="1"/>
  <c r="E8" i="29"/>
  <c r="H8" i="29" s="1"/>
  <c r="C8" i="29"/>
  <c r="C24" i="29" s="1"/>
  <c r="O7" i="29"/>
  <c r="L7" i="29"/>
  <c r="I7" i="29"/>
  <c r="F7" i="29"/>
  <c r="F62" i="28"/>
  <c r="C53" i="28"/>
  <c r="F53" i="28" s="1"/>
  <c r="C52" i="28"/>
  <c r="F52" i="28" s="1"/>
  <c r="C51" i="28"/>
  <c r="F51" i="28" s="1"/>
  <c r="C50" i="28"/>
  <c r="F50" i="28" s="1"/>
  <c r="C49" i="28"/>
  <c r="F49" i="28" s="1"/>
  <c r="C48" i="28"/>
  <c r="F48" i="28" s="1"/>
  <c r="C47" i="28"/>
  <c r="F47" i="28" s="1"/>
  <c r="C46" i="28"/>
  <c r="F46" i="28" s="1"/>
  <c r="C45" i="28"/>
  <c r="F45" i="28" s="1"/>
  <c r="C44" i="28"/>
  <c r="F44" i="28" s="1"/>
  <c r="C43" i="28"/>
  <c r="F43" i="28" s="1"/>
  <c r="C42" i="28"/>
  <c r="F42" i="28" s="1"/>
  <c r="C41" i="28"/>
  <c r="F41" i="28" s="1"/>
  <c r="C40" i="28"/>
  <c r="F40" i="28" s="1"/>
  <c r="C39" i="28"/>
  <c r="F39" i="28" s="1"/>
  <c r="C38" i="28"/>
  <c r="F38" i="28" s="1"/>
  <c r="C37" i="28"/>
  <c r="F37" i="28" s="1"/>
  <c r="C26" i="28"/>
  <c r="O25" i="28"/>
  <c r="L25" i="28"/>
  <c r="I25" i="28"/>
  <c r="F25" i="28"/>
  <c r="O24" i="28"/>
  <c r="L24" i="28"/>
  <c r="I24" i="28"/>
  <c r="F24" i="28"/>
  <c r="O23" i="28"/>
  <c r="L23" i="28"/>
  <c r="I23" i="28"/>
  <c r="F23" i="28"/>
  <c r="O22" i="28"/>
  <c r="L22" i="28"/>
  <c r="I22" i="28"/>
  <c r="F22" i="28"/>
  <c r="O21" i="28"/>
  <c r="L21" i="28"/>
  <c r="I21" i="28"/>
  <c r="F21" i="28"/>
  <c r="O20" i="28"/>
  <c r="L20" i="28"/>
  <c r="I20" i="28"/>
  <c r="F20" i="28"/>
  <c r="O19" i="28"/>
  <c r="L19" i="28"/>
  <c r="I19" i="28"/>
  <c r="F19" i="28"/>
  <c r="O18" i="28"/>
  <c r="L18" i="28"/>
  <c r="I18" i="28"/>
  <c r="F18" i="28"/>
  <c r="O17" i="28"/>
  <c r="L17" i="28"/>
  <c r="I17" i="28"/>
  <c r="F17" i="28"/>
  <c r="O16" i="28"/>
  <c r="L16" i="28"/>
  <c r="I16" i="28"/>
  <c r="F16" i="28"/>
  <c r="O15" i="28"/>
  <c r="L15" i="28"/>
  <c r="I15" i="28"/>
  <c r="E15" i="28"/>
  <c r="F15" i="28" s="1"/>
  <c r="O14" i="28"/>
  <c r="L14" i="28"/>
  <c r="I14" i="28"/>
  <c r="E14" i="28"/>
  <c r="F14" i="28" s="1"/>
  <c r="O13" i="28"/>
  <c r="L13" i="28"/>
  <c r="I13" i="28"/>
  <c r="F13" i="28"/>
  <c r="O12" i="28"/>
  <c r="L12" i="28"/>
  <c r="I12" i="28"/>
  <c r="F12" i="28"/>
  <c r="O11" i="28"/>
  <c r="L11" i="28"/>
  <c r="I11" i="28"/>
  <c r="E11" i="28"/>
  <c r="F11" i="28" s="1"/>
  <c r="O10" i="28"/>
  <c r="L10" i="28"/>
  <c r="I10" i="28"/>
  <c r="E10" i="28"/>
  <c r="F10" i="28" s="1"/>
  <c r="O9" i="28"/>
  <c r="L9" i="28"/>
  <c r="I9" i="28"/>
  <c r="E9" i="28"/>
  <c r="F9" i="28" s="1"/>
  <c r="O8" i="28"/>
  <c r="L8" i="28"/>
  <c r="I8" i="28"/>
  <c r="E8" i="28"/>
  <c r="F8" i="28" s="1"/>
  <c r="O7" i="28"/>
  <c r="O28" i="28" s="1"/>
  <c r="L7" i="28"/>
  <c r="I7" i="28"/>
  <c r="F7" i="28"/>
  <c r="F60" i="27"/>
  <c r="C51" i="27"/>
  <c r="F51" i="27" s="1"/>
  <c r="C50" i="27"/>
  <c r="F50" i="27" s="1"/>
  <c r="C49" i="27"/>
  <c r="F49" i="27" s="1"/>
  <c r="C48" i="27"/>
  <c r="F48" i="27" s="1"/>
  <c r="C47" i="27"/>
  <c r="F47" i="27" s="1"/>
  <c r="C46" i="27"/>
  <c r="F46" i="27" s="1"/>
  <c r="C45" i="27"/>
  <c r="F45" i="27" s="1"/>
  <c r="C44" i="27"/>
  <c r="F44" i="27" s="1"/>
  <c r="C43" i="27"/>
  <c r="F43" i="27" s="1"/>
  <c r="C42" i="27"/>
  <c r="F42" i="27" s="1"/>
  <c r="C41" i="27"/>
  <c r="F41" i="27" s="1"/>
  <c r="C40" i="27"/>
  <c r="F40" i="27" s="1"/>
  <c r="C39" i="27"/>
  <c r="F39" i="27" s="1"/>
  <c r="C38" i="27"/>
  <c r="F38" i="27" s="1"/>
  <c r="C36" i="27"/>
  <c r="F36" i="27" s="1"/>
  <c r="C35" i="27"/>
  <c r="F35" i="27" s="1"/>
  <c r="O23" i="27"/>
  <c r="L23" i="27"/>
  <c r="I23" i="27"/>
  <c r="F23" i="27"/>
  <c r="O22" i="27"/>
  <c r="L22" i="27"/>
  <c r="I22" i="27"/>
  <c r="F22" i="27"/>
  <c r="O21" i="27"/>
  <c r="L21" i="27"/>
  <c r="I21" i="27"/>
  <c r="F21" i="27"/>
  <c r="O20" i="27"/>
  <c r="L20" i="27"/>
  <c r="I20" i="27"/>
  <c r="F20" i="27"/>
  <c r="O19" i="27"/>
  <c r="L19" i="27"/>
  <c r="I19" i="27"/>
  <c r="F19" i="27"/>
  <c r="O18" i="27"/>
  <c r="L18" i="27"/>
  <c r="I18" i="27"/>
  <c r="F18" i="27"/>
  <c r="O17" i="27"/>
  <c r="L17" i="27"/>
  <c r="I17" i="27"/>
  <c r="F17" i="27"/>
  <c r="O16" i="27"/>
  <c r="L16" i="27"/>
  <c r="I16" i="27"/>
  <c r="F16" i="27"/>
  <c r="O15" i="27"/>
  <c r="L15" i="27"/>
  <c r="I15" i="27"/>
  <c r="F15" i="27"/>
  <c r="O14" i="27"/>
  <c r="L14" i="27"/>
  <c r="I14" i="27"/>
  <c r="F14" i="27"/>
  <c r="O13" i="27"/>
  <c r="L13" i="27"/>
  <c r="I13" i="27"/>
  <c r="F13" i="27"/>
  <c r="O12" i="27"/>
  <c r="L12" i="27"/>
  <c r="I12" i="27"/>
  <c r="F12" i="27"/>
  <c r="O11" i="27"/>
  <c r="L11" i="27"/>
  <c r="I11" i="27"/>
  <c r="E11" i="27"/>
  <c r="F11" i="27" s="1"/>
  <c r="O10" i="27"/>
  <c r="L10" i="27"/>
  <c r="I10" i="27"/>
  <c r="E10" i="27"/>
  <c r="F10" i="27" s="1"/>
  <c r="E9" i="27"/>
  <c r="H9" i="27" s="1"/>
  <c r="D9" i="27"/>
  <c r="C9" i="27"/>
  <c r="C37" i="27" s="1"/>
  <c r="F37" i="27" s="1"/>
  <c r="O8" i="27"/>
  <c r="L8" i="27"/>
  <c r="I8" i="27"/>
  <c r="E8" i="27"/>
  <c r="F8" i="27" s="1"/>
  <c r="O7" i="27"/>
  <c r="L7" i="27"/>
  <c r="I7" i="27"/>
  <c r="F7" i="27"/>
  <c r="F62" i="26"/>
  <c r="C53" i="26"/>
  <c r="F53" i="26" s="1"/>
  <c r="C52" i="26"/>
  <c r="F52" i="26" s="1"/>
  <c r="C51" i="26"/>
  <c r="F51" i="26" s="1"/>
  <c r="C50" i="26"/>
  <c r="F50" i="26" s="1"/>
  <c r="C49" i="26"/>
  <c r="F49" i="26" s="1"/>
  <c r="C48" i="26"/>
  <c r="F48" i="26" s="1"/>
  <c r="C47" i="26"/>
  <c r="F47" i="26" s="1"/>
  <c r="C46" i="26"/>
  <c r="F46" i="26" s="1"/>
  <c r="C45" i="26"/>
  <c r="F45" i="26" s="1"/>
  <c r="C44" i="26"/>
  <c r="F44" i="26" s="1"/>
  <c r="C43" i="26"/>
  <c r="F43" i="26" s="1"/>
  <c r="C42" i="26"/>
  <c r="F42" i="26" s="1"/>
  <c r="C41" i="26"/>
  <c r="F41" i="26" s="1"/>
  <c r="C40" i="26"/>
  <c r="F40" i="26" s="1"/>
  <c r="C39" i="26"/>
  <c r="F39" i="26" s="1"/>
  <c r="C38" i="26"/>
  <c r="F38" i="26" s="1"/>
  <c r="C37" i="26"/>
  <c r="F37" i="26" s="1"/>
  <c r="C26" i="26"/>
  <c r="O25" i="26"/>
  <c r="L25" i="26"/>
  <c r="I25" i="26"/>
  <c r="F25" i="26"/>
  <c r="O24" i="26"/>
  <c r="L24" i="26"/>
  <c r="I24" i="26"/>
  <c r="F24" i="26"/>
  <c r="O23" i="26"/>
  <c r="L23" i="26"/>
  <c r="I23" i="26"/>
  <c r="F23" i="26"/>
  <c r="O22" i="26"/>
  <c r="L22" i="26"/>
  <c r="I22" i="26"/>
  <c r="F22" i="26"/>
  <c r="O21" i="26"/>
  <c r="L21" i="26"/>
  <c r="I21" i="26"/>
  <c r="F21" i="26"/>
  <c r="O20" i="26"/>
  <c r="L20" i="26"/>
  <c r="I20" i="26"/>
  <c r="F20" i="26"/>
  <c r="O19" i="26"/>
  <c r="L19" i="26"/>
  <c r="I19" i="26"/>
  <c r="F19" i="26"/>
  <c r="O18" i="26"/>
  <c r="L18" i="26"/>
  <c r="I18" i="26"/>
  <c r="F18" i="26"/>
  <c r="O17" i="26"/>
  <c r="L17" i="26"/>
  <c r="I17" i="26"/>
  <c r="F17" i="26"/>
  <c r="O16" i="26"/>
  <c r="L16" i="26"/>
  <c r="I16" i="26"/>
  <c r="F16" i="26"/>
  <c r="O15" i="26"/>
  <c r="L15" i="26"/>
  <c r="I15" i="26"/>
  <c r="E15" i="26"/>
  <c r="F15" i="26" s="1"/>
  <c r="O14" i="26"/>
  <c r="L14" i="26"/>
  <c r="I14" i="26"/>
  <c r="E14" i="26"/>
  <c r="F14" i="26" s="1"/>
  <c r="O13" i="26"/>
  <c r="L13" i="26"/>
  <c r="I13" i="26"/>
  <c r="F13" i="26"/>
  <c r="O12" i="26"/>
  <c r="L12" i="26"/>
  <c r="I12" i="26"/>
  <c r="F12" i="26"/>
  <c r="O11" i="26"/>
  <c r="L11" i="26"/>
  <c r="I11" i="26"/>
  <c r="E11" i="26"/>
  <c r="F11" i="26" s="1"/>
  <c r="O10" i="26"/>
  <c r="L10" i="26"/>
  <c r="I10" i="26"/>
  <c r="E10" i="26"/>
  <c r="F10" i="26" s="1"/>
  <c r="O9" i="26"/>
  <c r="L9" i="26"/>
  <c r="I9" i="26"/>
  <c r="E9" i="26"/>
  <c r="F9" i="26" s="1"/>
  <c r="O8" i="26"/>
  <c r="L8" i="26"/>
  <c r="I8" i="26"/>
  <c r="E8" i="26"/>
  <c r="F8" i="26" s="1"/>
  <c r="O7" i="26"/>
  <c r="L7" i="26"/>
  <c r="I7" i="26"/>
  <c r="F7" i="26"/>
  <c r="F60" i="25"/>
  <c r="C51" i="25"/>
  <c r="F51" i="25" s="1"/>
  <c r="C50" i="25"/>
  <c r="F50" i="25" s="1"/>
  <c r="C49" i="25"/>
  <c r="F49" i="25" s="1"/>
  <c r="C48" i="25"/>
  <c r="F48" i="25" s="1"/>
  <c r="C47" i="25"/>
  <c r="F47" i="25" s="1"/>
  <c r="C46" i="25"/>
  <c r="F46" i="25" s="1"/>
  <c r="C45" i="25"/>
  <c r="F45" i="25" s="1"/>
  <c r="C44" i="25"/>
  <c r="F44" i="25" s="1"/>
  <c r="C43" i="25"/>
  <c r="F43" i="25" s="1"/>
  <c r="C42" i="25"/>
  <c r="F42" i="25" s="1"/>
  <c r="C41" i="25"/>
  <c r="F41" i="25" s="1"/>
  <c r="C40" i="25"/>
  <c r="F40" i="25" s="1"/>
  <c r="C39" i="25"/>
  <c r="F39" i="25" s="1"/>
  <c r="C38" i="25"/>
  <c r="F38" i="25" s="1"/>
  <c r="C37" i="25"/>
  <c r="F37" i="25" s="1"/>
  <c r="C36" i="25"/>
  <c r="F36" i="25" s="1"/>
  <c r="C35" i="25"/>
  <c r="F35" i="25" s="1"/>
  <c r="C24" i="25"/>
  <c r="O23" i="25"/>
  <c r="L23" i="25"/>
  <c r="I23" i="25"/>
  <c r="F23" i="25"/>
  <c r="O22" i="25"/>
  <c r="L22" i="25"/>
  <c r="I22" i="25"/>
  <c r="F22" i="25"/>
  <c r="O21" i="25"/>
  <c r="L21" i="25"/>
  <c r="I21" i="25"/>
  <c r="F21" i="25"/>
  <c r="O20" i="25"/>
  <c r="L20" i="25"/>
  <c r="I20" i="25"/>
  <c r="F20" i="25"/>
  <c r="O19" i="25"/>
  <c r="L19" i="25"/>
  <c r="I19" i="25"/>
  <c r="F19" i="25"/>
  <c r="O18" i="25"/>
  <c r="L18" i="25"/>
  <c r="I18" i="25"/>
  <c r="F18" i="25"/>
  <c r="O17" i="25"/>
  <c r="L17" i="25"/>
  <c r="I17" i="25"/>
  <c r="F17" i="25"/>
  <c r="O16" i="25"/>
  <c r="L16" i="25"/>
  <c r="I16" i="25"/>
  <c r="F16" i="25"/>
  <c r="O15" i="25"/>
  <c r="L15" i="25"/>
  <c r="I15" i="25"/>
  <c r="F15" i="25"/>
  <c r="O14" i="25"/>
  <c r="L14" i="25"/>
  <c r="I14" i="25"/>
  <c r="F14" i="25"/>
  <c r="O13" i="25"/>
  <c r="L13" i="25"/>
  <c r="I13" i="25"/>
  <c r="F13" i="25"/>
  <c r="O12" i="25"/>
  <c r="L12" i="25"/>
  <c r="I12" i="25"/>
  <c r="F12" i="25"/>
  <c r="O11" i="25"/>
  <c r="L11" i="25"/>
  <c r="I11" i="25"/>
  <c r="E11" i="25"/>
  <c r="F11" i="25" s="1"/>
  <c r="O10" i="25"/>
  <c r="L10" i="25"/>
  <c r="I10" i="25"/>
  <c r="E10" i="25"/>
  <c r="F10" i="25" s="1"/>
  <c r="O9" i="25"/>
  <c r="L9" i="25"/>
  <c r="I9" i="25"/>
  <c r="E9" i="25"/>
  <c r="F9" i="25" s="1"/>
  <c r="O8" i="25"/>
  <c r="L8" i="25"/>
  <c r="I8" i="25"/>
  <c r="E8" i="25"/>
  <c r="F8" i="25" s="1"/>
  <c r="O7" i="25"/>
  <c r="O26" i="25" s="1"/>
  <c r="L7" i="25"/>
  <c r="I7" i="25"/>
  <c r="I26" i="25" s="1"/>
  <c r="F7" i="25"/>
  <c r="E249" i="24"/>
  <c r="C249" i="24"/>
  <c r="I248" i="24"/>
  <c r="I247" i="24"/>
  <c r="C243" i="24"/>
  <c r="F243" i="24" s="1"/>
  <c r="I242" i="24"/>
  <c r="I241" i="24"/>
  <c r="C233" i="24"/>
  <c r="F233" i="24" s="1"/>
  <c r="C227" i="24"/>
  <c r="F227" i="24" s="1"/>
  <c r="C221" i="24"/>
  <c r="F221" i="24" s="1"/>
  <c r="C215" i="24"/>
  <c r="F215" i="24" s="1"/>
  <c r="C209" i="24"/>
  <c r="F209" i="24" s="1"/>
  <c r="C203" i="24"/>
  <c r="F203" i="24" s="1"/>
  <c r="C197" i="24"/>
  <c r="F197" i="24" s="1"/>
  <c r="C191" i="24"/>
  <c r="F191" i="24" s="1"/>
  <c r="C185" i="24"/>
  <c r="F185" i="24" s="1"/>
  <c r="C179" i="24"/>
  <c r="F179" i="24" s="1"/>
  <c r="C173" i="24"/>
  <c r="F173" i="24" s="1"/>
  <c r="C166" i="24"/>
  <c r="F166" i="24" s="1"/>
  <c r="C160" i="24"/>
  <c r="F160" i="24" s="1"/>
  <c r="C154" i="24"/>
  <c r="F154" i="24" s="1"/>
  <c r="C148" i="24"/>
  <c r="F148" i="24" s="1"/>
  <c r="E147" i="24"/>
  <c r="F147" i="24" s="1"/>
  <c r="E142" i="24"/>
  <c r="F142" i="24" s="1"/>
  <c r="E141" i="24"/>
  <c r="E146" i="24" s="1"/>
  <c r="F146" i="24" s="1"/>
  <c r="F149" i="24" s="1"/>
  <c r="C137" i="24"/>
  <c r="F137" i="24" s="1"/>
  <c r="E136" i="24"/>
  <c r="F136" i="24" s="1"/>
  <c r="E135" i="24"/>
  <c r="F135" i="24" s="1"/>
  <c r="D130" i="24"/>
  <c r="F129" i="24"/>
  <c r="F128" i="24"/>
  <c r="E127" i="24"/>
  <c r="F127" i="24" s="1"/>
  <c r="F126" i="24"/>
  <c r="E120" i="24"/>
  <c r="F120" i="24" s="1"/>
  <c r="F116" i="24"/>
  <c r="F115" i="24"/>
  <c r="E114" i="24"/>
  <c r="F114" i="24" s="1"/>
  <c r="F117" i="24" s="1"/>
  <c r="F110" i="24"/>
  <c r="F109" i="24"/>
  <c r="F108" i="24"/>
  <c r="E107" i="24"/>
  <c r="F107" i="24" s="1"/>
  <c r="F111" i="24" s="1"/>
  <c r="E121" i="24" s="1"/>
  <c r="F121" i="24" s="1"/>
  <c r="F102" i="24"/>
  <c r="E101" i="24"/>
  <c r="F101" i="24" s="1"/>
  <c r="F100" i="24"/>
  <c r="F99" i="24"/>
  <c r="E98" i="24"/>
  <c r="F98" i="24" s="1"/>
  <c r="F103" i="24" s="1"/>
  <c r="F94" i="24"/>
  <c r="F93" i="24"/>
  <c r="F92" i="24"/>
  <c r="F86" i="24"/>
  <c r="F85" i="24"/>
  <c r="F84" i="24"/>
  <c r="F83" i="24"/>
  <c r="F77" i="24"/>
  <c r="E76" i="24"/>
  <c r="F76" i="24" s="1"/>
  <c r="E75" i="24"/>
  <c r="F75" i="24" s="1"/>
  <c r="E74" i="24"/>
  <c r="F69" i="24"/>
  <c r="E68" i="24"/>
  <c r="F68" i="24" s="1"/>
  <c r="E67" i="24"/>
  <c r="F67" i="24" s="1"/>
  <c r="E65" i="24"/>
  <c r="F61" i="24"/>
  <c r="F56" i="24"/>
  <c r="F55" i="24"/>
  <c r="F54" i="24"/>
  <c r="F49" i="24"/>
  <c r="F41" i="24"/>
  <c r="F42" i="24" s="1"/>
  <c r="F37" i="24"/>
  <c r="F38" i="24" s="1"/>
  <c r="F32" i="24"/>
  <c r="F24" i="24"/>
  <c r="F25" i="24" s="1"/>
  <c r="F20" i="24"/>
  <c r="F15" i="24"/>
  <c r="F11" i="24"/>
  <c r="F10" i="24"/>
  <c r="F9" i="24"/>
  <c r="F8" i="24"/>
  <c r="E60" i="24" s="1"/>
  <c r="F60" i="24" s="1"/>
  <c r="F62" i="24" s="1"/>
  <c r="F7" i="24"/>
  <c r="E19" i="24" s="1"/>
  <c r="F19" i="24" s="1"/>
  <c r="F21" i="24" s="1"/>
  <c r="F6" i="24"/>
  <c r="E14" i="24" s="1"/>
  <c r="F14" i="24" s="1"/>
  <c r="F16" i="24" s="1"/>
  <c r="F5" i="24"/>
  <c r="F4" i="24"/>
  <c r="E30" i="24" s="1"/>
  <c r="F30" i="24" s="1"/>
  <c r="F3" i="24"/>
  <c r="E31" i="24" s="1"/>
  <c r="F31" i="24" s="1"/>
  <c r="F154" i="22"/>
  <c r="F153" i="22"/>
  <c r="H152" i="22"/>
  <c r="F151" i="22"/>
  <c r="H151" i="22" s="1"/>
  <c r="F150" i="22"/>
  <c r="H150" i="22" s="1"/>
  <c r="F144" i="22"/>
  <c r="F143" i="22"/>
  <c r="F142" i="22"/>
  <c r="H142" i="22" s="1"/>
  <c r="F141" i="22"/>
  <c r="H141" i="22" s="1"/>
  <c r="F140" i="22"/>
  <c r="H140" i="22" s="1"/>
  <c r="F136" i="22"/>
  <c r="F135" i="22"/>
  <c r="F134" i="22"/>
  <c r="H134" i="22" s="1"/>
  <c r="F133" i="22"/>
  <c r="H133" i="22" s="1"/>
  <c r="F132" i="22"/>
  <c r="H132" i="22" s="1"/>
  <c r="F128" i="22"/>
  <c r="F127" i="22"/>
  <c r="F126" i="22"/>
  <c r="H126" i="22" s="1"/>
  <c r="F125" i="22"/>
  <c r="H125" i="22" s="1"/>
  <c r="F124" i="22"/>
  <c r="H124" i="22" s="1"/>
  <c r="F120" i="22"/>
  <c r="F119" i="22"/>
  <c r="F118" i="22"/>
  <c r="H118" i="22" s="1"/>
  <c r="F117" i="22"/>
  <c r="H117" i="22" s="1"/>
  <c r="F116" i="22"/>
  <c r="H116" i="22" s="1"/>
  <c r="F112" i="22"/>
  <c r="F111" i="22"/>
  <c r="F110" i="22"/>
  <c r="H110" i="22" s="1"/>
  <c r="F109" i="22"/>
  <c r="H109" i="22" s="1"/>
  <c r="F108" i="22"/>
  <c r="H108" i="22" s="1"/>
  <c r="F104" i="22"/>
  <c r="F103" i="22"/>
  <c r="F102" i="22"/>
  <c r="H102" i="22" s="1"/>
  <c r="F101" i="22"/>
  <c r="H101" i="22" s="1"/>
  <c r="F100" i="22"/>
  <c r="H100" i="22" s="1"/>
  <c r="F96" i="22"/>
  <c r="F95" i="22"/>
  <c r="F94" i="22"/>
  <c r="H94" i="22" s="1"/>
  <c r="F93" i="22"/>
  <c r="H93" i="22" s="1"/>
  <c r="F92" i="22"/>
  <c r="H92" i="22" s="1"/>
  <c r="F88" i="22"/>
  <c r="F87" i="22"/>
  <c r="F86" i="22"/>
  <c r="H86" i="22" s="1"/>
  <c r="F85" i="22"/>
  <c r="H85" i="22" s="1"/>
  <c r="F84" i="22"/>
  <c r="H84" i="22" s="1"/>
  <c r="F80" i="22"/>
  <c r="F79" i="22"/>
  <c r="F78" i="22"/>
  <c r="H78" i="22" s="1"/>
  <c r="F77" i="22"/>
  <c r="H77" i="22" s="1"/>
  <c r="F76" i="22"/>
  <c r="H76" i="22" s="1"/>
  <c r="F72" i="22"/>
  <c r="F71" i="22"/>
  <c r="F70" i="22"/>
  <c r="H70" i="22" s="1"/>
  <c r="F69" i="22"/>
  <c r="H69" i="22" s="1"/>
  <c r="F68" i="22"/>
  <c r="H68" i="22" s="1"/>
  <c r="F67" i="22"/>
  <c r="H67" i="22" s="1"/>
  <c r="F63" i="22"/>
  <c r="F62" i="22"/>
  <c r="F61" i="22"/>
  <c r="H61" i="22" s="1"/>
  <c r="F60" i="22"/>
  <c r="H60" i="22" s="1"/>
  <c r="F59" i="22"/>
  <c r="H59" i="22" s="1"/>
  <c r="F55" i="22"/>
  <c r="F54" i="22"/>
  <c r="F53" i="22"/>
  <c r="H53" i="22" s="1"/>
  <c r="F52" i="22"/>
  <c r="H52" i="22" s="1"/>
  <c r="F51" i="22"/>
  <c r="H51" i="22" s="1"/>
  <c r="F50" i="22"/>
  <c r="H50" i="22" s="1"/>
  <c r="F46" i="22"/>
  <c r="F45" i="22"/>
  <c r="F44" i="22"/>
  <c r="H44" i="22" s="1"/>
  <c r="F43" i="22"/>
  <c r="H43" i="22" s="1"/>
  <c r="F42" i="22"/>
  <c r="H42" i="22" s="1"/>
  <c r="F38" i="22"/>
  <c r="F37" i="22"/>
  <c r="H36" i="22"/>
  <c r="F35" i="22"/>
  <c r="H35" i="22" s="1"/>
  <c r="F34" i="22"/>
  <c r="H34" i="22" s="1"/>
  <c r="F33" i="22"/>
  <c r="H33" i="22" s="1"/>
  <c r="F29" i="22"/>
  <c r="F28" i="22"/>
  <c r="H27" i="22"/>
  <c r="F26" i="22"/>
  <c r="H26" i="22" s="1"/>
  <c r="F25" i="22"/>
  <c r="H25" i="22" s="1"/>
  <c r="F24" i="22"/>
  <c r="H24" i="22" s="1"/>
  <c r="F20" i="22"/>
  <c r="F19" i="22"/>
  <c r="H18" i="22"/>
  <c r="H17" i="22"/>
  <c r="F16" i="22"/>
  <c r="H16" i="22" s="1"/>
  <c r="F15" i="22"/>
  <c r="H15" i="22" s="1"/>
  <c r="F14" i="22"/>
  <c r="H14" i="22" s="1"/>
  <c r="F8" i="22"/>
  <c r="F7" i="22"/>
  <c r="F6" i="22"/>
  <c r="H6" i="22" s="1"/>
  <c r="E56" i="21"/>
  <c r="E55" i="21"/>
  <c r="E54" i="21"/>
  <c r="E53" i="21"/>
  <c r="E52" i="21"/>
  <c r="E51" i="21"/>
  <c r="E50" i="21"/>
  <c r="E45" i="21"/>
  <c r="E40" i="21"/>
  <c r="E35" i="21"/>
  <c r="E34" i="21"/>
  <c r="E33" i="21"/>
  <c r="E32" i="21"/>
  <c r="E31" i="21"/>
  <c r="E30" i="21"/>
  <c r="E25" i="21"/>
  <c r="E24" i="21"/>
  <c r="E23" i="21"/>
  <c r="E22" i="21"/>
  <c r="E21" i="21"/>
  <c r="E20" i="21"/>
  <c r="E19" i="21"/>
  <c r="E18" i="21"/>
  <c r="E17" i="21"/>
  <c r="E16" i="21"/>
  <c r="E11" i="21"/>
  <c r="E10" i="21"/>
  <c r="E9" i="21"/>
  <c r="E8" i="21"/>
  <c r="E7" i="21"/>
  <c r="E6" i="21"/>
  <c r="E5" i="21"/>
  <c r="E4" i="21"/>
  <c r="D580" i="20"/>
  <c r="E580" i="20" s="1"/>
  <c r="D579" i="20"/>
  <c r="E579" i="20" s="1"/>
  <c r="D578" i="20"/>
  <c r="E578" i="20" s="1"/>
  <c r="B577" i="20"/>
  <c r="B576" i="20"/>
  <c r="B575" i="20"/>
  <c r="B574" i="20"/>
  <c r="B573" i="20"/>
  <c r="B572" i="20"/>
  <c r="B571" i="20"/>
  <c r="B570" i="20"/>
  <c r="D569" i="20"/>
  <c r="D568" i="20"/>
  <c r="B568" i="20"/>
  <c r="B569" i="20" s="1"/>
  <c r="E569" i="20" s="1"/>
  <c r="D567" i="20"/>
  <c r="E567" i="20" s="1"/>
  <c r="E563" i="20"/>
  <c r="E562" i="20"/>
  <c r="E561" i="20"/>
  <c r="B560" i="20"/>
  <c r="B559" i="20"/>
  <c r="B558" i="20"/>
  <c r="B557" i="20"/>
  <c r="B556" i="20"/>
  <c r="B555" i="20"/>
  <c r="B554" i="20"/>
  <c r="B553" i="20"/>
  <c r="B551" i="20"/>
  <c r="E551" i="20" s="1"/>
  <c r="E550" i="20"/>
  <c r="D546" i="20"/>
  <c r="E546" i="20" s="1"/>
  <c r="D545" i="20"/>
  <c r="E545" i="20" s="1"/>
  <c r="B540" i="20"/>
  <c r="E539" i="20"/>
  <c r="E538" i="20"/>
  <c r="E536" i="20"/>
  <c r="B529" i="20"/>
  <c r="E529" i="20" s="1"/>
  <c r="D528" i="20"/>
  <c r="E528" i="20" s="1"/>
  <c r="B506" i="20"/>
  <c r="E506" i="20" s="1"/>
  <c r="B505" i="20"/>
  <c r="E505" i="20" s="1"/>
  <c r="E494" i="20"/>
  <c r="E493" i="20"/>
  <c r="E492" i="20"/>
  <c r="E491" i="20"/>
  <c r="E490" i="20"/>
  <c r="E489" i="20"/>
  <c r="E488" i="20"/>
  <c r="E486" i="20"/>
  <c r="E485" i="20"/>
  <c r="E484" i="20"/>
  <c r="E483" i="20"/>
  <c r="E482" i="20"/>
  <c r="E481" i="20"/>
  <c r="E480" i="20"/>
  <c r="D479" i="20"/>
  <c r="E479" i="20" s="1"/>
  <c r="E478" i="20"/>
  <c r="E470" i="20"/>
  <c r="E469" i="20"/>
  <c r="E468" i="20"/>
  <c r="E464" i="20"/>
  <c r="E463" i="20"/>
  <c r="E462" i="20"/>
  <c r="E461" i="20"/>
  <c r="E460" i="20"/>
  <c r="E459" i="20"/>
  <c r="E458" i="20"/>
  <c r="E457" i="20"/>
  <c r="E456" i="20"/>
  <c r="E453" i="20"/>
  <c r="E452" i="20"/>
  <c r="E451" i="20"/>
  <c r="E422" i="20"/>
  <c r="E421" i="20"/>
  <c r="E420" i="20"/>
  <c r="E416" i="20"/>
  <c r="E415" i="20"/>
  <c r="E410" i="20"/>
  <c r="E409" i="20"/>
  <c r="E408" i="20"/>
  <c r="E399" i="20"/>
  <c r="D398" i="20"/>
  <c r="E398" i="20" s="1"/>
  <c r="E393" i="20"/>
  <c r="E392" i="20"/>
  <c r="E388" i="20"/>
  <c r="E387" i="20"/>
  <c r="E382" i="20"/>
  <c r="E381" i="20"/>
  <c r="E380" i="20"/>
  <c r="E374" i="20"/>
  <c r="E373" i="20"/>
  <c r="E372" i="20"/>
  <c r="E371" i="20"/>
  <c r="E365" i="20"/>
  <c r="E364" i="20"/>
  <c r="E363" i="20"/>
  <c r="E362" i="20"/>
  <c r="E357" i="20"/>
  <c r="E356" i="20"/>
  <c r="E355" i="20"/>
  <c r="E349" i="20"/>
  <c r="E348" i="20"/>
  <c r="E347" i="20"/>
  <c r="E341" i="20"/>
  <c r="E340" i="20"/>
  <c r="E339" i="20"/>
  <c r="E338" i="20"/>
  <c r="B333" i="20"/>
  <c r="B327" i="20"/>
  <c r="B326" i="20" s="1"/>
  <c r="D325" i="20"/>
  <c r="D332" i="20" s="1"/>
  <c r="E332" i="20" s="1"/>
  <c r="B318" i="20"/>
  <c r="E318" i="20" s="1"/>
  <c r="D312" i="20"/>
  <c r="D327" i="20" s="1"/>
  <c r="B312" i="20"/>
  <c r="B311" i="20" s="1"/>
  <c r="D311" i="20"/>
  <c r="D326" i="20" s="1"/>
  <c r="D333" i="20" s="1"/>
  <c r="D310" i="20"/>
  <c r="E310" i="20" s="1"/>
  <c r="B305" i="20"/>
  <c r="E305" i="20" s="1"/>
  <c r="D303" i="20"/>
  <c r="E303" i="20" s="1"/>
  <c r="B298" i="20"/>
  <c r="E298" i="20" s="1"/>
  <c r="D292" i="20"/>
  <c r="B292" i="20"/>
  <c r="E292" i="20" s="1"/>
  <c r="B286" i="20"/>
  <c r="E286" i="20" s="1"/>
  <c r="D285" i="20"/>
  <c r="D297" i="20" s="1"/>
  <c r="D280" i="20"/>
  <c r="E280" i="20" s="1"/>
  <c r="B272" i="20"/>
  <c r="E272" i="20" s="1"/>
  <c r="D271" i="20"/>
  <c r="E271" i="20" s="1"/>
  <c r="B266" i="20"/>
  <c r="E266" i="20" s="1"/>
  <c r="D265" i="20"/>
  <c r="E265" i="20" s="1"/>
  <c r="B260" i="20"/>
  <c r="E260" i="20" s="1"/>
  <c r="D259" i="20"/>
  <c r="E259" i="20" s="1"/>
  <c r="B254" i="20"/>
  <c r="E254" i="20" s="1"/>
  <c r="B253" i="20"/>
  <c r="E253" i="20" s="1"/>
  <c r="D252" i="20"/>
  <c r="E252" i="20" s="1"/>
  <c r="B247" i="20"/>
  <c r="E247" i="20" s="1"/>
  <c r="B246" i="20"/>
  <c r="E246" i="20" s="1"/>
  <c r="D245" i="20"/>
  <c r="E245" i="20" s="1"/>
  <c r="B240" i="20"/>
  <c r="E240" i="20" s="1"/>
  <c r="D238" i="20"/>
  <c r="E238" i="20" s="1"/>
  <c r="B233" i="20"/>
  <c r="E233" i="20" s="1"/>
  <c r="D232" i="20"/>
  <c r="E232" i="20" s="1"/>
  <c r="D227" i="20"/>
  <c r="E227" i="20" s="1"/>
  <c r="B222" i="20"/>
  <c r="E222" i="20" s="1"/>
  <c r="D221" i="20"/>
  <c r="E221" i="20" s="1"/>
  <c r="B216" i="20"/>
  <c r="E216" i="20" s="1"/>
  <c r="D215" i="20"/>
  <c r="E215" i="20" s="1"/>
  <c r="E208" i="20"/>
  <c r="E207" i="20"/>
  <c r="D206" i="20"/>
  <c r="E206" i="20" s="1"/>
  <c r="E209" i="20" s="1"/>
  <c r="E202" i="20"/>
  <c r="E201" i="20"/>
  <c r="E184" i="20"/>
  <c r="D183" i="20"/>
  <c r="E183" i="20" s="1"/>
  <c r="D182" i="20"/>
  <c r="E182" i="20" s="1"/>
  <c r="D181" i="20"/>
  <c r="E181" i="20" s="1"/>
  <c r="D180" i="20"/>
  <c r="E180" i="20" s="1"/>
  <c r="D172" i="20"/>
  <c r="E172" i="20" s="1"/>
  <c r="D171" i="20"/>
  <c r="E171" i="20" s="1"/>
  <c r="D166" i="20"/>
  <c r="E166" i="20" s="1"/>
  <c r="D165" i="20"/>
  <c r="E165" i="20" s="1"/>
  <c r="D164" i="20"/>
  <c r="E164" i="20" s="1"/>
  <c r="D163" i="20"/>
  <c r="E163" i="20" s="1"/>
  <c r="D162" i="20"/>
  <c r="E162" i="20" s="1"/>
  <c r="E157" i="20"/>
  <c r="E156" i="20"/>
  <c r="E155" i="20"/>
  <c r="D154" i="20"/>
  <c r="E154" i="20" s="1"/>
  <c r="E149" i="20"/>
  <c r="E148" i="20"/>
  <c r="E150" i="20" s="1"/>
  <c r="D407" i="20" s="1"/>
  <c r="E407" i="20" s="1"/>
  <c r="E144" i="20"/>
  <c r="E143" i="20"/>
  <c r="E137" i="20"/>
  <c r="E136" i="20"/>
  <c r="E135" i="20"/>
  <c r="E132" i="20"/>
  <c r="E131" i="20"/>
  <c r="E130" i="20"/>
  <c r="E124" i="20"/>
  <c r="E122" i="20"/>
  <c r="E121" i="20"/>
  <c r="E112" i="20"/>
  <c r="D112" i="20"/>
  <c r="D110" i="20"/>
  <c r="E110" i="20" s="1"/>
  <c r="D111" i="20" s="1"/>
  <c r="E111" i="20" s="1"/>
  <c r="E109" i="20"/>
  <c r="E103" i="20"/>
  <c r="E102" i="20"/>
  <c r="E100" i="20"/>
  <c r="D101" i="20" s="1"/>
  <c r="E101" i="20" s="1"/>
  <c r="E94" i="20"/>
  <c r="C93" i="20"/>
  <c r="B91" i="20"/>
  <c r="E89" i="20"/>
  <c r="E87" i="20"/>
  <c r="D88" i="20" s="1"/>
  <c r="E88" i="20" s="1"/>
  <c r="E86" i="20"/>
  <c r="E81" i="20"/>
  <c r="E79" i="20"/>
  <c r="D80" i="20" s="1"/>
  <c r="E80" i="20" s="1"/>
  <c r="E78" i="20"/>
  <c r="D73" i="20"/>
  <c r="E73" i="20" s="1"/>
  <c r="D74" i="20" s="1"/>
  <c r="E74" i="20" s="1"/>
  <c r="E72" i="20"/>
  <c r="B68" i="20"/>
  <c r="E66" i="20"/>
  <c r="E65" i="20"/>
  <c r="E64" i="20"/>
  <c r="E63" i="20"/>
  <c r="E62" i="20"/>
  <c r="E61" i="20"/>
  <c r="E54" i="20"/>
  <c r="E46" i="20"/>
  <c r="E45" i="20"/>
  <c r="E44" i="20"/>
  <c r="E43" i="20"/>
  <c r="D47" i="20" s="1"/>
  <c r="E47" i="20" s="1"/>
  <c r="E42" i="20"/>
  <c r="E41" i="20"/>
  <c r="E40" i="20"/>
  <c r="E30" i="20"/>
  <c r="E20" i="20"/>
  <c r="E19" i="20"/>
  <c r="E15" i="20"/>
  <c r="E14" i="20"/>
  <c r="E13" i="20"/>
  <c r="E12" i="20"/>
  <c r="E11" i="20"/>
  <c r="E10" i="20"/>
  <c r="B6" i="20"/>
  <c r="E601" i="19"/>
  <c r="E596" i="19"/>
  <c r="C596" i="19"/>
  <c r="C603" i="19" s="1"/>
  <c r="F603" i="19" s="1"/>
  <c r="E595" i="19"/>
  <c r="C595" i="19"/>
  <c r="C602" i="19" s="1"/>
  <c r="F602" i="19" s="1"/>
  <c r="C594" i="19"/>
  <c r="C601" i="19" s="1"/>
  <c r="E593" i="19"/>
  <c r="C593" i="19"/>
  <c r="C600" i="19" s="1"/>
  <c r="F600" i="19" s="1"/>
  <c r="C587" i="19"/>
  <c r="F587" i="19" s="1"/>
  <c r="F581" i="19"/>
  <c r="F580" i="19"/>
  <c r="F579" i="19"/>
  <c r="E574" i="19"/>
  <c r="F574" i="19" s="1"/>
  <c r="C562" i="19"/>
  <c r="F562" i="19" s="1"/>
  <c r="F561" i="19"/>
  <c r="F555" i="19"/>
  <c r="F554" i="19"/>
  <c r="F553" i="19"/>
  <c r="F552" i="19"/>
  <c r="C548" i="19"/>
  <c r="F536" i="19"/>
  <c r="F535" i="19"/>
  <c r="E533" i="19"/>
  <c r="F533" i="19" s="1"/>
  <c r="E531" i="19"/>
  <c r="F531" i="19" s="1"/>
  <c r="F529" i="19"/>
  <c r="F530" i="19" s="1"/>
  <c r="F528" i="19"/>
  <c r="F521" i="19"/>
  <c r="F520" i="19"/>
  <c r="E586" i="19" s="1"/>
  <c r="F586" i="19" s="1"/>
  <c r="C516" i="19"/>
  <c r="F505" i="19"/>
  <c r="F504" i="19"/>
  <c r="C500" i="19"/>
  <c r="F488" i="19"/>
  <c r="F487" i="19"/>
  <c r="C483" i="19"/>
  <c r="F475" i="19"/>
  <c r="E473" i="19"/>
  <c r="F473" i="19" s="1"/>
  <c r="F469" i="19"/>
  <c r="F468" i="19"/>
  <c r="F466" i="19"/>
  <c r="C445" i="19"/>
  <c r="F445" i="19" s="1"/>
  <c r="C435" i="19"/>
  <c r="F435" i="19" s="1"/>
  <c r="E426" i="19"/>
  <c r="E459" i="19" s="1"/>
  <c r="F459" i="19" s="1"/>
  <c r="E425" i="19"/>
  <c r="F425" i="19" s="1"/>
  <c r="F424" i="19"/>
  <c r="F423" i="19"/>
  <c r="F422" i="19"/>
  <c r="F421" i="19"/>
  <c r="F420" i="19"/>
  <c r="F419" i="19"/>
  <c r="F418" i="19"/>
  <c r="F417" i="19"/>
  <c r="E416" i="19"/>
  <c r="F416" i="19" s="1"/>
  <c r="E415" i="19"/>
  <c r="F415" i="19" s="1"/>
  <c r="E414" i="19"/>
  <c r="F414" i="19" s="1"/>
  <c r="E413" i="19"/>
  <c r="F413" i="19" s="1"/>
  <c r="E412" i="19"/>
  <c r="F412" i="19" s="1"/>
  <c r="E411" i="19"/>
  <c r="F411" i="19" s="1"/>
  <c r="F403" i="19"/>
  <c r="F402" i="19"/>
  <c r="F401" i="19"/>
  <c r="F400" i="19"/>
  <c r="F399" i="19"/>
  <c r="F397" i="19"/>
  <c r="G396" i="19"/>
  <c r="H396" i="19" s="1"/>
  <c r="F396" i="19"/>
  <c r="F395" i="19"/>
  <c r="F394" i="19"/>
  <c r="G393" i="19"/>
  <c r="F393" i="19"/>
  <c r="G392" i="19"/>
  <c r="F392" i="19"/>
  <c r="E391" i="19"/>
  <c r="F391" i="19" s="1"/>
  <c r="E390" i="19"/>
  <c r="F390" i="19" s="1"/>
  <c r="F389" i="19"/>
  <c r="F386" i="19"/>
  <c r="F385" i="19"/>
  <c r="F384" i="19"/>
  <c r="F383" i="19"/>
  <c r="C353" i="19"/>
  <c r="F353" i="19" s="1"/>
  <c r="E342" i="19"/>
  <c r="C342" i="19"/>
  <c r="C334" i="19"/>
  <c r="F334" i="19" s="1"/>
  <c r="C327" i="19"/>
  <c r="C328" i="19" s="1"/>
  <c r="F328" i="19" s="1"/>
  <c r="C318" i="19"/>
  <c r="F318" i="19" s="1"/>
  <c r="C312" i="19"/>
  <c r="F312" i="19" s="1"/>
  <c r="C305" i="19"/>
  <c r="F305" i="19" s="1"/>
  <c r="C298" i="19"/>
  <c r="C299" i="19" s="1"/>
  <c r="F299" i="19" s="1"/>
  <c r="C292" i="19"/>
  <c r="F292" i="19" s="1"/>
  <c r="C268" i="19"/>
  <c r="F268" i="19" s="1"/>
  <c r="M264" i="19"/>
  <c r="E262" i="19"/>
  <c r="C261" i="19"/>
  <c r="F261" i="19" s="1"/>
  <c r="C254" i="19"/>
  <c r="F254" i="19" s="1"/>
  <c r="L249" i="19"/>
  <c r="M249" i="19" s="1"/>
  <c r="C248" i="19"/>
  <c r="F248" i="19" s="1"/>
  <c r="F229" i="19"/>
  <c r="F228" i="19"/>
  <c r="G222" i="19"/>
  <c r="F222" i="19"/>
  <c r="E221" i="19"/>
  <c r="F221" i="19" s="1"/>
  <c r="F216" i="19"/>
  <c r="F215" i="19"/>
  <c r="F214" i="19"/>
  <c r="F204" i="19"/>
  <c r="F203" i="19"/>
  <c r="F196" i="19"/>
  <c r="F195" i="19"/>
  <c r="D189" i="19"/>
  <c r="F188" i="19"/>
  <c r="F187" i="19"/>
  <c r="F185" i="19"/>
  <c r="F181" i="19"/>
  <c r="F179" i="19"/>
  <c r="F178" i="19"/>
  <c r="F174" i="19"/>
  <c r="F173" i="19"/>
  <c r="F172" i="19"/>
  <c r="F168" i="19"/>
  <c r="F167" i="19"/>
  <c r="F162" i="19"/>
  <c r="F161" i="19"/>
  <c r="F160" i="19"/>
  <c r="F156" i="19"/>
  <c r="F155" i="19"/>
  <c r="F150" i="19"/>
  <c r="F141" i="19"/>
  <c r="E140" i="19"/>
  <c r="F140" i="19" s="1"/>
  <c r="F136" i="19"/>
  <c r="F135" i="19"/>
  <c r="F134" i="19"/>
  <c r="F130" i="19"/>
  <c r="F129" i="19"/>
  <c r="F125" i="19"/>
  <c r="F124" i="19"/>
  <c r="F119" i="19"/>
  <c r="F118" i="19"/>
  <c r="F117" i="19"/>
  <c r="F111" i="19"/>
  <c r="F110" i="19"/>
  <c r="F109" i="19"/>
  <c r="F108" i="19"/>
  <c r="F102" i="19"/>
  <c r="F100" i="19"/>
  <c r="F99" i="19"/>
  <c r="F94" i="19"/>
  <c r="F93" i="19"/>
  <c r="F92" i="19"/>
  <c r="F86" i="19"/>
  <c r="F78" i="19"/>
  <c r="F70" i="19"/>
  <c r="F64" i="19"/>
  <c r="F55" i="19"/>
  <c r="F46" i="19"/>
  <c r="F37" i="19"/>
  <c r="F28" i="19"/>
  <c r="F20" i="19"/>
  <c r="F15" i="19"/>
  <c r="F11" i="19"/>
  <c r="F10" i="19"/>
  <c r="F9" i="19"/>
  <c r="F8" i="19"/>
  <c r="E69" i="19" s="1"/>
  <c r="F69" i="19" s="1"/>
  <c r="F7" i="19"/>
  <c r="E19" i="19" s="1"/>
  <c r="F19" i="19" s="1"/>
  <c r="F6" i="19"/>
  <c r="E14" i="19" s="1"/>
  <c r="F14" i="19" s="1"/>
  <c r="F5" i="19"/>
  <c r="E77" i="19" s="1"/>
  <c r="F77" i="19" s="1"/>
  <c r="F4" i="19"/>
  <c r="E198" i="19" s="1"/>
  <c r="F198" i="19" s="1"/>
  <c r="F3" i="19"/>
  <c r="E148" i="19" s="1"/>
  <c r="F148" i="19" s="1"/>
  <c r="C1407" i="18"/>
  <c r="F1407" i="18" s="1"/>
  <c r="C1406" i="18"/>
  <c r="F1406" i="18" s="1"/>
  <c r="F1405" i="18"/>
  <c r="F1400" i="18"/>
  <c r="C1399" i="18"/>
  <c r="F1399" i="18" s="1"/>
  <c r="F1398" i="18"/>
  <c r="C1393" i="18"/>
  <c r="F1393" i="18" s="1"/>
  <c r="C1387" i="18"/>
  <c r="F1387" i="18" s="1"/>
  <c r="C1367" i="18"/>
  <c r="F1367" i="18" s="1"/>
  <c r="C1361" i="18"/>
  <c r="F1361" i="18" s="1"/>
  <c r="F1351" i="18"/>
  <c r="F1350" i="18"/>
  <c r="F1349" i="18"/>
  <c r="F1348" i="18"/>
  <c r="F1347" i="18"/>
  <c r="F1346" i="18"/>
  <c r="F1345" i="18"/>
  <c r="F1344" i="18"/>
  <c r="F1338" i="18"/>
  <c r="C1332" i="18"/>
  <c r="F1332" i="18" s="1"/>
  <c r="F1331" i="18"/>
  <c r="E1330" i="18"/>
  <c r="F1330" i="18" s="1"/>
  <c r="C1327" i="18"/>
  <c r="C1321" i="18"/>
  <c r="F1319" i="18"/>
  <c r="E1312" i="18"/>
  <c r="F1312" i="18" s="1"/>
  <c r="F1311" i="18"/>
  <c r="C1309" i="18"/>
  <c r="C1307" i="18"/>
  <c r="F1307" i="18" s="1"/>
  <c r="F1294" i="18"/>
  <c r="F1289" i="18"/>
  <c r="D1289" i="18"/>
  <c r="D1296" i="18" s="1"/>
  <c r="G1296" i="18" s="1"/>
  <c r="F1288" i="18"/>
  <c r="D1288" i="18"/>
  <c r="D1295" i="18" s="1"/>
  <c r="G1295" i="18" s="1"/>
  <c r="D1287" i="18"/>
  <c r="D1294" i="18" s="1"/>
  <c r="F1286" i="18"/>
  <c r="F1287" i="18" s="1"/>
  <c r="D1286" i="18"/>
  <c r="D1293" i="18" s="1"/>
  <c r="G1293" i="18" s="1"/>
  <c r="D1280" i="18"/>
  <c r="G1280" i="18" s="1"/>
  <c r="G1274" i="18"/>
  <c r="G1273" i="18"/>
  <c r="G1272" i="18"/>
  <c r="F1267" i="18"/>
  <c r="G1267" i="18" s="1"/>
  <c r="F1255" i="18"/>
  <c r="F1256" i="18" s="1"/>
  <c r="F1249" i="18"/>
  <c r="F1248" i="18"/>
  <c r="F1247" i="18"/>
  <c r="F1246" i="18"/>
  <c r="C1242" i="18"/>
  <c r="E1241" i="18"/>
  <c r="F1241" i="18" s="1"/>
  <c r="F1243" i="18" s="1"/>
  <c r="F1244" i="18" s="1"/>
  <c r="F1230" i="18"/>
  <c r="F1229" i="18"/>
  <c r="F1228" i="18"/>
  <c r="F1227" i="18"/>
  <c r="F1226" i="18"/>
  <c r="F1225" i="18"/>
  <c r="F1223" i="18"/>
  <c r="F1224" i="18" s="1"/>
  <c r="F1222" i="18"/>
  <c r="F1215" i="18"/>
  <c r="F1214" i="18"/>
  <c r="F1279" i="18" s="1"/>
  <c r="G1279" i="18" s="1"/>
  <c r="G1281" i="18" s="1"/>
  <c r="C1210" i="18"/>
  <c r="F1199" i="18"/>
  <c r="F1198" i="18"/>
  <c r="E1194" i="18"/>
  <c r="C1194" i="18"/>
  <c r="E1193" i="18"/>
  <c r="F1193" i="18" s="1"/>
  <c r="F1186" i="18"/>
  <c r="F1185" i="18"/>
  <c r="E1184" i="18"/>
  <c r="F1184" i="18" s="1"/>
  <c r="E1182" i="18"/>
  <c r="F1182" i="18" s="1"/>
  <c r="J1177" i="18"/>
  <c r="J1178" i="18" s="1"/>
  <c r="C1176" i="18"/>
  <c r="F1176" i="18" s="1"/>
  <c r="H1175" i="18"/>
  <c r="C1174" i="18"/>
  <c r="F1170" i="18"/>
  <c r="F1169" i="18"/>
  <c r="F1168" i="18"/>
  <c r="F1167" i="18"/>
  <c r="F1163" i="18"/>
  <c r="C1159" i="18"/>
  <c r="F1158" i="18"/>
  <c r="F1157" i="18"/>
  <c r="H1148" i="18"/>
  <c r="C1147" i="18"/>
  <c r="C1148" i="18" s="1"/>
  <c r="F1148" i="18" s="1"/>
  <c r="F1137" i="18"/>
  <c r="F1136" i="18"/>
  <c r="F1135" i="18"/>
  <c r="F1131" i="18"/>
  <c r="F1130" i="18"/>
  <c r="F1121" i="18"/>
  <c r="F1120" i="18"/>
  <c r="F1119" i="18"/>
  <c r="F1115" i="18"/>
  <c r="E1114" i="18"/>
  <c r="F1114" i="18" s="1"/>
  <c r="F1113" i="18"/>
  <c r="I1107" i="18"/>
  <c r="F1105" i="18"/>
  <c r="F1104" i="18"/>
  <c r="F1103" i="18"/>
  <c r="F1099" i="18"/>
  <c r="F1098" i="18"/>
  <c r="I1093" i="18"/>
  <c r="F1091" i="18"/>
  <c r="F1090" i="18"/>
  <c r="F1089" i="18"/>
  <c r="F1085" i="18"/>
  <c r="F1084" i="18"/>
  <c r="F1079" i="18"/>
  <c r="C1066" i="18"/>
  <c r="F1066" i="18" s="1"/>
  <c r="C1055" i="18"/>
  <c r="F1055" i="18" s="1"/>
  <c r="C1049" i="18"/>
  <c r="F1049" i="18" s="1"/>
  <c r="C1043" i="18"/>
  <c r="F1043" i="18" s="1"/>
  <c r="F1030" i="18"/>
  <c r="F1029" i="18"/>
  <c r="F1028" i="18"/>
  <c r="E1025" i="18"/>
  <c r="E1024" i="18"/>
  <c r="F1024" i="18" s="1"/>
  <c r="F1020" i="18"/>
  <c r="F1019" i="18"/>
  <c r="F1018" i="18"/>
  <c r="F1017" i="18"/>
  <c r="E1015" i="18"/>
  <c r="F1015" i="18" s="1"/>
  <c r="E1014" i="18"/>
  <c r="F1014" i="18" s="1"/>
  <c r="E1012" i="18"/>
  <c r="F1012" i="18" s="1"/>
  <c r="F1008" i="18"/>
  <c r="F1007" i="18"/>
  <c r="F1006" i="18"/>
  <c r="E1005" i="18"/>
  <c r="F1005" i="18" s="1"/>
  <c r="E1004" i="18"/>
  <c r="F1004" i="18" s="1"/>
  <c r="E1003" i="18"/>
  <c r="F1003" i="18" s="1"/>
  <c r="E1002" i="18"/>
  <c r="F1002" i="18" s="1"/>
  <c r="F998" i="18"/>
  <c r="F997" i="18"/>
  <c r="E996" i="18"/>
  <c r="F996" i="18" s="1"/>
  <c r="F992" i="18"/>
  <c r="F991" i="18"/>
  <c r="F990" i="18"/>
  <c r="F989" i="18"/>
  <c r="F988" i="18"/>
  <c r="F987" i="18"/>
  <c r="F986" i="18"/>
  <c r="F985" i="18"/>
  <c r="F984" i="18"/>
  <c r="F983" i="18"/>
  <c r="F982" i="18"/>
  <c r="F981" i="18"/>
  <c r="F980" i="18"/>
  <c r="F976" i="18"/>
  <c r="F975" i="18"/>
  <c r="F974" i="18"/>
  <c r="F973" i="18"/>
  <c r="F969" i="18"/>
  <c r="F968" i="18"/>
  <c r="F967" i="18"/>
  <c r="F966" i="18"/>
  <c r="F965" i="18"/>
  <c r="F964" i="18"/>
  <c r="F963" i="18"/>
  <c r="F962" i="18"/>
  <c r="F961" i="18"/>
  <c r="F960" i="18"/>
  <c r="F959" i="18"/>
  <c r="F955" i="18"/>
  <c r="F954" i="18"/>
  <c r="F953" i="18"/>
  <c r="F952" i="18"/>
  <c r="F951" i="18"/>
  <c r="F947" i="18"/>
  <c r="F946" i="18"/>
  <c r="F945" i="18"/>
  <c r="F944" i="18"/>
  <c r="F943" i="18"/>
  <c r="F942" i="18"/>
  <c r="F941" i="18"/>
  <c r="F940" i="18"/>
  <c r="F939" i="18"/>
  <c r="F938" i="18"/>
  <c r="F937" i="18"/>
  <c r="C931" i="18"/>
  <c r="F931" i="18" s="1"/>
  <c r="F930" i="18"/>
  <c r="F929" i="18"/>
  <c r="F928" i="18"/>
  <c r="E923" i="18"/>
  <c r="F923" i="18" s="1"/>
  <c r="F920" i="18"/>
  <c r="E917" i="18"/>
  <c r="F917" i="18" s="1"/>
  <c r="F916" i="18"/>
  <c r="E915" i="18"/>
  <c r="F915" i="18" s="1"/>
  <c r="F910" i="18"/>
  <c r="F907" i="18"/>
  <c r="F898" i="18"/>
  <c r="F895" i="18"/>
  <c r="E894" i="18"/>
  <c r="E906" i="18" s="1"/>
  <c r="E887" i="18"/>
  <c r="E886" i="18"/>
  <c r="F886" i="18" s="1"/>
  <c r="E885" i="18"/>
  <c r="E897" i="18" s="1"/>
  <c r="E884" i="18"/>
  <c r="E896" i="18" s="1"/>
  <c r="F883" i="18"/>
  <c r="F882" i="18"/>
  <c r="E880" i="18"/>
  <c r="E892" i="18" s="1"/>
  <c r="F874" i="18"/>
  <c r="F873" i="18"/>
  <c r="I872" i="18"/>
  <c r="F872" i="18"/>
  <c r="F871" i="18"/>
  <c r="E870" i="18"/>
  <c r="E881" i="18" s="1"/>
  <c r="F869" i="18"/>
  <c r="E868" i="18"/>
  <c r="E891" i="18" s="1"/>
  <c r="F863" i="18"/>
  <c r="C857" i="18"/>
  <c r="F857" i="18" s="1"/>
  <c r="F851" i="18"/>
  <c r="C845" i="18"/>
  <c r="F845" i="18" s="1"/>
  <c r="D830" i="18"/>
  <c r="F829" i="18"/>
  <c r="F828" i="18"/>
  <c r="F826" i="18"/>
  <c r="F821" i="18"/>
  <c r="F819" i="18"/>
  <c r="F818" i="18"/>
  <c r="C814" i="18"/>
  <c r="F814" i="18" s="1"/>
  <c r="C808" i="18"/>
  <c r="F808" i="18" s="1"/>
  <c r="E1149" i="18" s="1"/>
  <c r="C802" i="18"/>
  <c r="F802" i="18" s="1"/>
  <c r="F784" i="18"/>
  <c r="E782" i="18"/>
  <c r="F782" i="18" s="1"/>
  <c r="F778" i="18"/>
  <c r="F777" i="18"/>
  <c r="F775" i="18"/>
  <c r="C754" i="18"/>
  <c r="F754" i="18" s="1"/>
  <c r="C744" i="18"/>
  <c r="F744" i="18" s="1"/>
  <c r="E742" i="18"/>
  <c r="E752" i="18" s="1"/>
  <c r="E735" i="18"/>
  <c r="E768" i="18" s="1"/>
  <c r="F768" i="18" s="1"/>
  <c r="E734" i="18"/>
  <c r="F734" i="18" s="1"/>
  <c r="F733" i="18"/>
  <c r="F732" i="18"/>
  <c r="F731" i="18"/>
  <c r="F730" i="18"/>
  <c r="F729" i="18"/>
  <c r="F728" i="18"/>
  <c r="F727" i="18"/>
  <c r="F726" i="18"/>
  <c r="E725" i="18"/>
  <c r="F725" i="18" s="1"/>
  <c r="E724" i="18"/>
  <c r="F724" i="18" s="1"/>
  <c r="E723" i="18"/>
  <c r="F723" i="18" s="1"/>
  <c r="E722" i="18"/>
  <c r="F722" i="18" s="1"/>
  <c r="E721" i="18"/>
  <c r="F721" i="18" s="1"/>
  <c r="E720" i="18"/>
  <c r="F720" i="18" s="1"/>
  <c r="F712" i="18"/>
  <c r="F711" i="18"/>
  <c r="F710" i="18"/>
  <c r="F709" i="18"/>
  <c r="F708" i="18"/>
  <c r="F706" i="18"/>
  <c r="G705" i="18"/>
  <c r="H705" i="18" s="1"/>
  <c r="F705" i="18"/>
  <c r="F704" i="18"/>
  <c r="F703" i="18"/>
  <c r="G702" i="18"/>
  <c r="F702" i="18"/>
  <c r="G701" i="18"/>
  <c r="F701" i="18"/>
  <c r="E700" i="18"/>
  <c r="E719" i="18" s="1"/>
  <c r="F719" i="18" s="1"/>
  <c r="E699" i="18"/>
  <c r="E718" i="18" s="1"/>
  <c r="F718" i="18" s="1"/>
  <c r="F698" i="18"/>
  <c r="F695" i="18"/>
  <c r="F694" i="18"/>
  <c r="F693" i="18"/>
  <c r="F692" i="18"/>
  <c r="F688" i="18"/>
  <c r="C682" i="18"/>
  <c r="C683" i="18" s="1"/>
  <c r="F683" i="18" s="1"/>
  <c r="C676" i="18"/>
  <c r="F676" i="18" s="1"/>
  <c r="C670" i="18"/>
  <c r="F670" i="18" s="1"/>
  <c r="C663" i="18"/>
  <c r="C664" i="18" s="1"/>
  <c r="F664" i="18" s="1"/>
  <c r="C656" i="18"/>
  <c r="C657" i="18" s="1"/>
  <c r="F657" i="18" s="1"/>
  <c r="C636" i="18"/>
  <c r="F636" i="18" s="1"/>
  <c r="C629" i="18"/>
  <c r="C630" i="18" s="1"/>
  <c r="F630" i="18" s="1"/>
  <c r="C622" i="18"/>
  <c r="C623" i="18" s="1"/>
  <c r="F623" i="18" s="1"/>
  <c r="F603" i="18"/>
  <c r="F602" i="18"/>
  <c r="G596" i="18"/>
  <c r="F596" i="18"/>
  <c r="E595" i="18"/>
  <c r="F595" i="18" s="1"/>
  <c r="F590" i="18"/>
  <c r="F589" i="18"/>
  <c r="F588" i="18"/>
  <c r="F584" i="18"/>
  <c r="F583" i="18"/>
  <c r="F576" i="18"/>
  <c r="F575" i="18"/>
  <c r="D573" i="18"/>
  <c r="F569" i="18"/>
  <c r="F567" i="18"/>
  <c r="F566" i="18"/>
  <c r="F562" i="18"/>
  <c r="F561" i="18"/>
  <c r="F560" i="18"/>
  <c r="F556" i="18"/>
  <c r="F555" i="18"/>
  <c r="F550" i="18"/>
  <c r="F549" i="18"/>
  <c r="F548" i="18"/>
  <c r="F544" i="18"/>
  <c r="F543" i="18"/>
  <c r="F538" i="18"/>
  <c r="F529" i="18"/>
  <c r="E528" i="18"/>
  <c r="F528" i="18" s="1"/>
  <c r="F523" i="18"/>
  <c r="F522" i="18"/>
  <c r="C518" i="18"/>
  <c r="F518" i="18" s="1"/>
  <c r="C512" i="18"/>
  <c r="F512" i="18" s="1"/>
  <c r="C505" i="18"/>
  <c r="F505" i="18" s="1"/>
  <c r="C499" i="18"/>
  <c r="F499" i="18" s="1"/>
  <c r="E352" i="1" s="1"/>
  <c r="F352" i="1" s="1"/>
  <c r="C480" i="18"/>
  <c r="F480" i="18" s="1"/>
  <c r="C460" i="18"/>
  <c r="F460" i="18" s="1"/>
  <c r="C425" i="18"/>
  <c r="F425" i="18" s="1"/>
  <c r="C412" i="18"/>
  <c r="F412" i="18" s="1"/>
  <c r="C406" i="18"/>
  <c r="F406" i="18" s="1"/>
  <c r="C400" i="18"/>
  <c r="F400" i="18" s="1"/>
  <c r="C373" i="18"/>
  <c r="F373" i="18" s="1"/>
  <c r="C355" i="18"/>
  <c r="F355" i="18" s="1"/>
  <c r="C349" i="18"/>
  <c r="F349" i="18" s="1"/>
  <c r="C322" i="18"/>
  <c r="F322" i="18" s="1"/>
  <c r="C316" i="18"/>
  <c r="F316" i="18" s="1"/>
  <c r="F302" i="18"/>
  <c r="F303" i="18" s="1"/>
  <c r="C298" i="18"/>
  <c r="F298" i="18" s="1"/>
  <c r="E291" i="18"/>
  <c r="E296" i="18" s="1"/>
  <c r="C287" i="18"/>
  <c r="F287" i="18" s="1"/>
  <c r="D280" i="18"/>
  <c r="F279" i="18"/>
  <c r="F278" i="18"/>
  <c r="F276" i="18"/>
  <c r="F266" i="18"/>
  <c r="F265" i="18"/>
  <c r="F260" i="18"/>
  <c r="F259" i="18"/>
  <c r="F258" i="18"/>
  <c r="F252" i="18"/>
  <c r="F250" i="18"/>
  <c r="F249" i="18"/>
  <c r="F244" i="18"/>
  <c r="F243" i="18"/>
  <c r="F242" i="18"/>
  <c r="F236" i="18"/>
  <c r="F235" i="18"/>
  <c r="F234" i="18"/>
  <c r="F233" i="18"/>
  <c r="E228" i="18"/>
  <c r="C228" i="18"/>
  <c r="C222" i="18"/>
  <c r="F222" i="18" s="1"/>
  <c r="C216" i="18"/>
  <c r="F216" i="18" s="1"/>
  <c r="C210" i="18"/>
  <c r="F210" i="18" s="1"/>
  <c r="C162" i="18"/>
  <c r="F162" i="18" s="1"/>
  <c r="C156" i="18"/>
  <c r="F156" i="18" s="1"/>
  <c r="C150" i="18"/>
  <c r="F150" i="18" s="1"/>
  <c r="C144" i="18"/>
  <c r="F144" i="18" s="1"/>
  <c r="C138" i="18"/>
  <c r="F138" i="18" s="1"/>
  <c r="C132" i="18"/>
  <c r="F132" i="18" s="1"/>
  <c r="C126" i="18"/>
  <c r="F126" i="18" s="1"/>
  <c r="C120" i="18"/>
  <c r="F120" i="18" s="1"/>
  <c r="C114" i="18"/>
  <c r="F114" i="18" s="1"/>
  <c r="C108" i="18"/>
  <c r="F108" i="18" s="1"/>
  <c r="C102" i="18"/>
  <c r="F102" i="18" s="1"/>
  <c r="C95" i="18"/>
  <c r="F95" i="18" s="1"/>
  <c r="E89" i="18"/>
  <c r="C89" i="18"/>
  <c r="F82" i="18"/>
  <c r="F74" i="18"/>
  <c r="F66" i="18"/>
  <c r="F61" i="18"/>
  <c r="F60" i="18"/>
  <c r="F59" i="18"/>
  <c r="F54" i="18"/>
  <c r="F46" i="18"/>
  <c r="F47" i="18" s="1"/>
  <c r="F41" i="18"/>
  <c r="F32" i="18"/>
  <c r="F24" i="18"/>
  <c r="F25" i="18" s="1"/>
  <c r="E184" i="18" s="1"/>
  <c r="F184" i="18" s="1"/>
  <c r="F20" i="18"/>
  <c r="F15" i="18"/>
  <c r="F11" i="18"/>
  <c r="F10" i="18"/>
  <c r="F9" i="18"/>
  <c r="F8" i="18"/>
  <c r="E65" i="18" s="1"/>
  <c r="F65" i="18" s="1"/>
  <c r="F67" i="18" s="1"/>
  <c r="F7" i="18"/>
  <c r="E19" i="18" s="1"/>
  <c r="F19" i="18" s="1"/>
  <c r="F6" i="18"/>
  <c r="E14" i="18" s="1"/>
  <c r="F14" i="18" s="1"/>
  <c r="F5" i="18"/>
  <c r="E73" i="18" s="1"/>
  <c r="F73" i="18" s="1"/>
  <c r="F4" i="18"/>
  <c r="F3" i="18"/>
  <c r="E80" i="18" s="1"/>
  <c r="F80" i="18" s="1"/>
  <c r="H223" i="7"/>
  <c r="H222" i="7"/>
  <c r="H221" i="7"/>
  <c r="H220" i="7"/>
  <c r="H219" i="7"/>
  <c r="H218" i="7"/>
  <c r="H217" i="7"/>
  <c r="H216" i="7"/>
  <c r="H215" i="7"/>
  <c r="H214" i="7"/>
  <c r="G213" i="7"/>
  <c r="H213" i="7" s="1"/>
  <c r="H209" i="7"/>
  <c r="D206" i="7"/>
  <c r="H206" i="7" s="1"/>
  <c r="H201" i="7"/>
  <c r="E140" i="7"/>
  <c r="E139" i="7"/>
  <c r="E138" i="7"/>
  <c r="E137" i="7"/>
  <c r="E136" i="7"/>
  <c r="E135" i="7"/>
  <c r="E134" i="7"/>
  <c r="E133" i="7"/>
  <c r="E132" i="7"/>
  <c r="I117" i="7"/>
  <c r="I116" i="7"/>
  <c r="D87" i="7"/>
  <c r="H87" i="7" s="1"/>
  <c r="D86" i="7"/>
  <c r="H86" i="7" s="1"/>
  <c r="F85" i="7"/>
  <c r="D85" i="7"/>
  <c r="D84" i="7"/>
  <c r="H84" i="7" s="1"/>
  <c r="F83" i="7"/>
  <c r="D83" i="7"/>
  <c r="F82" i="7"/>
  <c r="D82" i="7"/>
  <c r="F40" i="7"/>
  <c r="H40" i="7" s="1"/>
  <c r="F33" i="7"/>
  <c r="H33" i="7" s="1"/>
  <c r="D29" i="7"/>
  <c r="H29" i="7" s="1"/>
  <c r="F28" i="7"/>
  <c r="D28" i="7"/>
  <c r="H27" i="7"/>
  <c r="H22" i="7"/>
  <c r="D21" i="7"/>
  <c r="H21" i="7" s="1"/>
  <c r="D20" i="7"/>
  <c r="H20" i="7" s="1"/>
  <c r="H19" i="7"/>
  <c r="D18" i="7"/>
  <c r="H18" i="7" s="1"/>
  <c r="H17" i="7"/>
  <c r="H16" i="7"/>
  <c r="H15" i="7"/>
  <c r="H11" i="7"/>
  <c r="D10" i="7"/>
  <c r="H10" i="7" s="1"/>
  <c r="D9" i="7"/>
  <c r="H9" i="7" s="1"/>
  <c r="H8" i="7"/>
  <c r="D7" i="7"/>
  <c r="H6" i="7"/>
  <c r="H5" i="7"/>
  <c r="H4" i="7"/>
  <c r="F1089" i="2"/>
  <c r="F1088" i="2"/>
  <c r="F1084" i="2"/>
  <c r="F1082" i="2"/>
  <c r="F1080" i="2"/>
  <c r="F1079" i="2"/>
  <c r="F1077" i="2"/>
  <c r="F1076" i="2"/>
  <c r="F1075" i="2"/>
  <c r="F1074" i="2"/>
  <c r="F1073" i="2"/>
  <c r="F1072" i="2"/>
  <c r="F1070" i="2"/>
  <c r="F1069" i="2"/>
  <c r="F1068" i="2"/>
  <c r="F1067" i="2"/>
  <c r="F1066" i="2"/>
  <c r="F1065" i="2"/>
  <c r="F1063" i="2"/>
  <c r="F1062" i="2"/>
  <c r="F1061" i="2"/>
  <c r="F1060" i="2"/>
  <c r="F1059" i="2"/>
  <c r="F1058" i="2"/>
  <c r="F1057" i="2"/>
  <c r="F1056" i="2"/>
  <c r="F1055" i="2"/>
  <c r="F1054" i="2"/>
  <c r="F1053" i="2"/>
  <c r="F1052" i="2"/>
  <c r="F1050" i="2"/>
  <c r="F1049" i="2"/>
  <c r="F1048" i="2"/>
  <c r="F1046" i="2"/>
  <c r="F1041" i="2"/>
  <c r="F1039" i="2"/>
  <c r="F1037" i="2"/>
  <c r="F1036" i="2"/>
  <c r="F1035" i="2"/>
  <c r="F1034" i="2"/>
  <c r="F1032" i="2"/>
  <c r="F1031" i="2"/>
  <c r="F1030" i="2"/>
  <c r="F1029" i="2"/>
  <c r="F1028" i="2"/>
  <c r="F1027" i="2"/>
  <c r="F1026" i="2"/>
  <c r="F1025" i="2"/>
  <c r="F1024" i="2"/>
  <c r="F1023" i="2"/>
  <c r="F1022" i="2"/>
  <c r="F1021" i="2"/>
  <c r="F1020" i="2"/>
  <c r="F1019" i="2"/>
  <c r="F1016" i="2"/>
  <c r="F1015" i="2"/>
  <c r="F1014" i="2"/>
  <c r="F1013" i="2"/>
  <c r="F1012" i="2"/>
  <c r="F1011" i="2"/>
  <c r="F1010" i="2"/>
  <c r="F1009" i="2"/>
  <c r="F1008" i="2"/>
  <c r="F1007" i="2"/>
  <c r="F1006" i="2"/>
  <c r="F1005" i="2"/>
  <c r="F1004" i="2"/>
  <c r="F1003" i="2"/>
  <c r="F998" i="2"/>
  <c r="F997" i="2"/>
  <c r="F996" i="2"/>
  <c r="F995" i="2"/>
  <c r="F994" i="2"/>
  <c r="F993" i="2"/>
  <c r="F992" i="2"/>
  <c r="F991" i="2"/>
  <c r="F990" i="2"/>
  <c r="F989" i="2"/>
  <c r="F988" i="2"/>
  <c r="F987" i="2"/>
  <c r="F986" i="2"/>
  <c r="F985" i="2"/>
  <c r="F982" i="2"/>
  <c r="F981" i="2"/>
  <c r="F980" i="2"/>
  <c r="F979" i="2"/>
  <c r="F978" i="2"/>
  <c r="F977" i="2"/>
  <c r="F976" i="2"/>
  <c r="F975" i="2"/>
  <c r="F974" i="2"/>
  <c r="F973" i="2"/>
  <c r="F972" i="2"/>
  <c r="F971" i="2"/>
  <c r="F970" i="2"/>
  <c r="F969" i="2"/>
  <c r="F962" i="2"/>
  <c r="F961" i="2"/>
  <c r="F959" i="2"/>
  <c r="F958" i="2"/>
  <c r="F957" i="2"/>
  <c r="F956" i="2"/>
  <c r="F954" i="2"/>
  <c r="F953" i="2"/>
  <c r="F952" i="2"/>
  <c r="F951" i="2"/>
  <c r="F950" i="2"/>
  <c r="F949" i="2"/>
  <c r="F948" i="2"/>
  <c r="F947" i="2"/>
  <c r="F946" i="2"/>
  <c r="F945" i="2"/>
  <c r="F944" i="2"/>
  <c r="F943" i="2"/>
  <c r="F941" i="2"/>
  <c r="F940" i="2"/>
  <c r="F939" i="2"/>
  <c r="F938" i="2"/>
  <c r="F937" i="2"/>
  <c r="F936" i="2"/>
  <c r="F935" i="2"/>
  <c r="F934" i="2"/>
  <c r="F933" i="2"/>
  <c r="F932" i="2"/>
  <c r="F931" i="2"/>
  <c r="F930" i="2"/>
  <c r="F929" i="2"/>
  <c r="F928" i="2"/>
  <c r="F927" i="2"/>
  <c r="F926" i="2"/>
  <c r="F925" i="2"/>
  <c r="F923" i="2"/>
  <c r="F918" i="2"/>
  <c r="F917" i="2"/>
  <c r="F916" i="2"/>
  <c r="F915" i="2"/>
  <c r="F913" i="2"/>
  <c r="F912" i="2"/>
  <c r="F911" i="2"/>
  <c r="F909" i="2"/>
  <c r="F908" i="2"/>
  <c r="F907" i="2"/>
  <c r="F906" i="2"/>
  <c r="F905" i="2"/>
  <c r="F904" i="2"/>
  <c r="F903" i="2"/>
  <c r="F902" i="2"/>
  <c r="F901" i="2"/>
  <c r="F896" i="2"/>
  <c r="F894" i="2"/>
  <c r="F893" i="2"/>
  <c r="F892" i="2"/>
  <c r="F889" i="2"/>
  <c r="F888" i="2"/>
  <c r="F887" i="2"/>
  <c r="F886" i="2"/>
  <c r="F884" i="2"/>
  <c r="F881" i="2"/>
  <c r="F880" i="2"/>
  <c r="F879" i="2"/>
  <c r="F876" i="2"/>
  <c r="F875" i="2"/>
  <c r="F874" i="2"/>
  <c r="F873" i="2"/>
  <c r="F872" i="2"/>
  <c r="F871" i="2"/>
  <c r="F870" i="2"/>
  <c r="F869" i="2"/>
  <c r="F868" i="2"/>
  <c r="F867" i="2"/>
  <c r="F866" i="2"/>
  <c r="F865" i="2"/>
  <c r="F864" i="2"/>
  <c r="F863" i="2"/>
  <c r="F862" i="2"/>
  <c r="F859" i="2"/>
  <c r="F858" i="2"/>
  <c r="F857" i="2"/>
  <c r="F856" i="2"/>
  <c r="F855" i="2"/>
  <c r="F854" i="2"/>
  <c r="F853" i="2"/>
  <c r="F852" i="2"/>
  <c r="F851" i="2"/>
  <c r="F850" i="2"/>
  <c r="F849" i="2"/>
  <c r="F848" i="2"/>
  <c r="F847" i="2"/>
  <c r="F844" i="2"/>
  <c r="F843" i="2"/>
  <c r="F842" i="2"/>
  <c r="F841" i="2"/>
  <c r="F840" i="2"/>
  <c r="F839" i="2"/>
  <c r="F838" i="2"/>
  <c r="F837" i="2"/>
  <c r="F836" i="2"/>
  <c r="F835" i="2"/>
  <c r="F829" i="2"/>
  <c r="F828" i="2"/>
  <c r="F827" i="2"/>
  <c r="F825" i="2"/>
  <c r="F824" i="2"/>
  <c r="F823" i="2"/>
  <c r="F822" i="2"/>
  <c r="F821" i="2"/>
  <c r="F819" i="2"/>
  <c r="F815" i="2"/>
  <c r="F814" i="2"/>
  <c r="F812" i="2"/>
  <c r="F811" i="2"/>
  <c r="F810" i="2"/>
  <c r="F809" i="2"/>
  <c r="F808" i="2"/>
  <c r="F807" i="2"/>
  <c r="F806" i="2"/>
  <c r="F804" i="2"/>
  <c r="F803" i="2"/>
  <c r="F802" i="2"/>
  <c r="F800" i="2"/>
  <c r="F799" i="2"/>
  <c r="F797" i="2"/>
  <c r="F792" i="2"/>
  <c r="F790" i="2"/>
  <c r="F788" i="2"/>
  <c r="F787" i="2"/>
  <c r="F786" i="2"/>
  <c r="F785" i="2"/>
  <c r="F784" i="2"/>
  <c r="F783" i="2"/>
  <c r="F782" i="2"/>
  <c r="F781" i="2"/>
  <c r="F780" i="2"/>
  <c r="F779" i="2"/>
  <c r="F778" i="2"/>
  <c r="F777" i="2"/>
  <c r="F776" i="2"/>
  <c r="F775" i="2"/>
  <c r="F774" i="2"/>
  <c r="F773" i="2"/>
  <c r="F772" i="2"/>
  <c r="F771" i="2"/>
  <c r="F770" i="2"/>
  <c r="F769" i="2"/>
  <c r="F768" i="2"/>
  <c r="F767" i="2"/>
  <c r="F766" i="2"/>
  <c r="F764" i="2"/>
  <c r="F763" i="2"/>
  <c r="F762" i="2"/>
  <c r="F761" i="2"/>
  <c r="F760" i="2"/>
  <c r="F759" i="2"/>
  <c r="F758" i="2"/>
  <c r="F757" i="2"/>
  <c r="F756" i="2"/>
  <c r="F755" i="2"/>
  <c r="F754" i="2"/>
  <c r="F751" i="2"/>
  <c r="F750" i="2"/>
  <c r="F749" i="2"/>
  <c r="F748" i="2"/>
  <c r="F747" i="2"/>
  <c r="F746" i="2"/>
  <c r="F745" i="2"/>
  <c r="F744" i="2"/>
  <c r="F743" i="2"/>
  <c r="F742" i="2"/>
  <c r="F741" i="2"/>
  <c r="F740" i="2"/>
  <c r="F739" i="2"/>
  <c r="F736" i="2"/>
  <c r="F730" i="2"/>
  <c r="F728" i="2"/>
  <c r="F727" i="2"/>
  <c r="F726" i="2"/>
  <c r="F725" i="2"/>
  <c r="F723" i="2"/>
  <c r="F722" i="2"/>
  <c r="F721" i="2"/>
  <c r="F720" i="2"/>
  <c r="F719" i="2"/>
  <c r="F718" i="2"/>
  <c r="F717" i="2"/>
  <c r="F716" i="2"/>
  <c r="F715" i="2"/>
  <c r="F714" i="2"/>
  <c r="F712" i="2"/>
  <c r="F711" i="2"/>
  <c r="F710" i="2"/>
  <c r="F709" i="2"/>
  <c r="F708" i="2"/>
  <c r="F707" i="2"/>
  <c r="F706" i="2"/>
  <c r="F705" i="2"/>
  <c r="F704" i="2"/>
  <c r="F703" i="2"/>
  <c r="F702" i="2"/>
  <c r="F701" i="2"/>
  <c r="F699" i="2"/>
  <c r="F698" i="2"/>
  <c r="F697" i="2"/>
  <c r="F696" i="2"/>
  <c r="F695" i="2"/>
  <c r="F688" i="2"/>
  <c r="F687" i="2"/>
  <c r="F686" i="2"/>
  <c r="F685" i="2"/>
  <c r="F684" i="2"/>
  <c r="F683" i="2"/>
  <c r="F682" i="2"/>
  <c r="P681" i="2"/>
  <c r="F681" i="2"/>
  <c r="P680" i="2"/>
  <c r="F680" i="2"/>
  <c r="P679" i="2"/>
  <c r="F679" i="2"/>
  <c r="F678" i="2"/>
  <c r="P677" i="2"/>
  <c r="F677" i="2"/>
  <c r="P676" i="2"/>
  <c r="F676" i="2"/>
  <c r="P675" i="2"/>
  <c r="P674" i="2"/>
  <c r="P673" i="2"/>
  <c r="F673" i="2"/>
  <c r="P672" i="2"/>
  <c r="F672" i="2"/>
  <c r="P671" i="2"/>
  <c r="F671" i="2"/>
  <c r="F670" i="2"/>
  <c r="F669" i="2"/>
  <c r="F668" i="2"/>
  <c r="F667" i="2"/>
  <c r="F666" i="2"/>
  <c r="F665" i="2"/>
  <c r="F664" i="2"/>
  <c r="F663"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4" i="2"/>
  <c r="F633" i="2"/>
  <c r="F632" i="2"/>
  <c r="F631" i="2"/>
  <c r="F630" i="2"/>
  <c r="F629" i="2"/>
  <c r="F628" i="2"/>
  <c r="F627" i="2"/>
  <c r="F626" i="2"/>
  <c r="F625" i="2"/>
  <c r="F624" i="2"/>
  <c r="F623" i="2"/>
  <c r="F622" i="2"/>
  <c r="F620" i="2"/>
  <c r="F619" i="2"/>
  <c r="F618" i="2"/>
  <c r="F617" i="2"/>
  <c r="F616" i="2"/>
  <c r="F615" i="2"/>
  <c r="F614" i="2"/>
  <c r="F608" i="2"/>
  <c r="F607" i="2"/>
  <c r="F606" i="2"/>
  <c r="A606" i="2"/>
  <c r="A607" i="2" s="1"/>
  <c r="A608" i="2" s="1"/>
  <c r="F603" i="2"/>
  <c r="F602" i="2"/>
  <c r="F601" i="2"/>
  <c r="A601" i="2"/>
  <c r="A602" i="2" s="1"/>
  <c r="A603" i="2" s="1"/>
  <c r="F598" i="2"/>
  <c r="F596" i="2"/>
  <c r="F595" i="2"/>
  <c r="F592" i="2"/>
  <c r="F591" i="2"/>
  <c r="F590" i="2"/>
  <c r="F589" i="2"/>
  <c r="F586" i="2"/>
  <c r="F585" i="2"/>
  <c r="F584" i="2"/>
  <c r="F581" i="2"/>
  <c r="F580" i="2"/>
  <c r="F579" i="2"/>
  <c r="F576" i="2"/>
  <c r="A576" i="2"/>
  <c r="F571" i="2"/>
  <c r="F569" i="2"/>
  <c r="F566" i="2"/>
  <c r="F565" i="2"/>
  <c r="F564" i="2"/>
  <c r="F563" i="2"/>
  <c r="F560" i="2"/>
  <c r="F559" i="2"/>
  <c r="F558" i="2"/>
  <c r="F555" i="2"/>
  <c r="F554" i="2"/>
  <c r="F553" i="2"/>
  <c r="F550" i="2"/>
  <c r="A550" i="2"/>
  <c r="F542" i="2"/>
  <c r="F540" i="2"/>
  <c r="F537" i="2"/>
  <c r="F536" i="2"/>
  <c r="F533" i="2"/>
  <c r="F532" i="2"/>
  <c r="F531" i="2"/>
  <c r="F530" i="2"/>
  <c r="F529" i="2"/>
  <c r="F526" i="2"/>
  <c r="F525" i="2"/>
  <c r="F524" i="2"/>
  <c r="F523" i="2"/>
  <c r="F522" i="2"/>
  <c r="F521" i="2"/>
  <c r="F520" i="2"/>
  <c r="F519" i="2"/>
  <c r="F518" i="2"/>
  <c r="F517" i="2"/>
  <c r="F516" i="2"/>
  <c r="F515" i="2"/>
  <c r="F514" i="2"/>
  <c r="F511" i="2"/>
  <c r="F510" i="2"/>
  <c r="F509" i="2"/>
  <c r="F508" i="2"/>
  <c r="F507" i="2"/>
  <c r="F506" i="2"/>
  <c r="F505" i="2"/>
  <c r="F504" i="2"/>
  <c r="F503" i="2"/>
  <c r="F500" i="2"/>
  <c r="F499" i="2"/>
  <c r="F496" i="2"/>
  <c r="F495" i="2"/>
  <c r="F494" i="2"/>
  <c r="F493" i="2"/>
  <c r="F492" i="2"/>
  <c r="F489" i="2"/>
  <c r="F488" i="2"/>
  <c r="F487" i="2"/>
  <c r="F484" i="2"/>
  <c r="F482" i="2"/>
  <c r="F481" i="2"/>
  <c r="F478" i="2"/>
  <c r="F477" i="2"/>
  <c r="F476" i="2"/>
  <c r="F475" i="2"/>
  <c r="F474" i="2"/>
  <c r="F473" i="2"/>
  <c r="F472" i="2"/>
  <c r="F471" i="2"/>
  <c r="F470" i="2"/>
  <c r="F469" i="2"/>
  <c r="F468" i="2"/>
  <c r="F467" i="2"/>
  <c r="F466" i="2"/>
  <c r="F465" i="2"/>
  <c r="F464" i="2"/>
  <c r="F463" i="2"/>
  <c r="F462" i="2"/>
  <c r="F461" i="2"/>
  <c r="F460" i="2"/>
  <c r="F459" i="2"/>
  <c r="F457" i="2"/>
  <c r="F456" i="2"/>
  <c r="F455" i="2"/>
  <c r="F454" i="2"/>
  <c r="F453" i="2"/>
  <c r="F452" i="2"/>
  <c r="F451" i="2"/>
  <c r="F450" i="2"/>
  <c r="F449" i="2"/>
  <c r="F448" i="2"/>
  <c r="F447" i="2"/>
  <c r="F446" i="2"/>
  <c r="F445" i="2"/>
  <c r="F444" i="2"/>
  <c r="F442" i="2"/>
  <c r="F439" i="2"/>
  <c r="F437" i="2"/>
  <c r="F436" i="2"/>
  <c r="F435" i="2"/>
  <c r="F434" i="2"/>
  <c r="F433" i="2"/>
  <c r="F432" i="2"/>
  <c r="F431" i="2"/>
  <c r="F430" i="2"/>
  <c r="F429" i="2"/>
  <c r="F428" i="2"/>
  <c r="F427" i="2"/>
  <c r="F424" i="2"/>
  <c r="F423" i="2"/>
  <c r="F422" i="2"/>
  <c r="F421" i="2"/>
  <c r="F420" i="2"/>
  <c r="F419" i="2"/>
  <c r="F418" i="2"/>
  <c r="F415" i="2"/>
  <c r="F414" i="2"/>
  <c r="F413" i="2"/>
  <c r="F412" i="2"/>
  <c r="F411" i="2"/>
  <c r="F410" i="2"/>
  <c r="F409" i="2"/>
  <c r="F408" i="2"/>
  <c r="F407" i="2"/>
  <c r="F406" i="2"/>
  <c r="F405" i="2"/>
  <c r="F404" i="2"/>
  <c r="F403" i="2"/>
  <c r="F400" i="2"/>
  <c r="F399" i="2"/>
  <c r="F398" i="2"/>
  <c r="F397" i="2"/>
  <c r="F396" i="2"/>
  <c r="F395" i="2"/>
  <c r="F392" i="2"/>
  <c r="F391" i="2"/>
  <c r="F390" i="2"/>
  <c r="F389" i="2"/>
  <c r="F388" i="2"/>
  <c r="F387" i="2"/>
  <c r="F386" i="2"/>
  <c r="F385" i="2"/>
  <c r="F384" i="2"/>
  <c r="F383" i="2"/>
  <c r="F382" i="2"/>
  <c r="F381" i="2"/>
  <c r="F380" i="2"/>
  <c r="F377" i="2"/>
  <c r="F374" i="2"/>
  <c r="F373" i="2"/>
  <c r="F372" i="2"/>
  <c r="F371" i="2"/>
  <c r="F370" i="2"/>
  <c r="F367" i="2"/>
  <c r="F366" i="2"/>
  <c r="F364" i="2"/>
  <c r="F361" i="2"/>
  <c r="F359"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1" i="2"/>
  <c r="F270" i="2"/>
  <c r="F269" i="2"/>
  <c r="F268" i="2"/>
  <c r="F267" i="2"/>
  <c r="F266" i="2"/>
  <c r="F265" i="2"/>
  <c r="F264" i="2"/>
  <c r="F263" i="2"/>
  <c r="F262" i="2"/>
  <c r="F261" i="2"/>
  <c r="F260" i="2"/>
  <c r="F259" i="2"/>
  <c r="F257" i="2"/>
  <c r="F256" i="2"/>
  <c r="F255"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A223" i="2"/>
  <c r="A224" i="2" s="1"/>
  <c r="A225" i="2" s="1"/>
  <c r="A226" i="2" s="1"/>
  <c r="A227" i="2" s="1"/>
  <c r="A228" i="2" s="1"/>
  <c r="A229" i="2" s="1"/>
  <c r="F222" i="2"/>
  <c r="F221" i="2"/>
  <c r="F220" i="2"/>
  <c r="F219" i="2"/>
  <c r="F218" i="2"/>
  <c r="F217" i="2"/>
  <c r="F216" i="2"/>
  <c r="F215"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2" i="2"/>
  <c r="F181" i="2"/>
  <c r="F180" i="2"/>
  <c r="F179" i="2"/>
  <c r="F178" i="2"/>
  <c r="F177" i="2"/>
  <c r="F176" i="2"/>
  <c r="F175" i="2"/>
  <c r="F174" i="2"/>
  <c r="F173" i="2"/>
  <c r="F171" i="2"/>
  <c r="F170" i="2"/>
  <c r="F168" i="2"/>
  <c r="F167"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M139" i="2"/>
  <c r="F139" i="2"/>
  <c r="F138" i="2"/>
  <c r="F137" i="2"/>
  <c r="F136" i="2"/>
  <c r="F135" i="2"/>
  <c r="F133" i="2"/>
  <c r="F132" i="2"/>
  <c r="F131" i="2"/>
  <c r="F130" i="2"/>
  <c r="F129" i="2"/>
  <c r="F128" i="2"/>
  <c r="F127" i="2"/>
  <c r="F126" i="2"/>
  <c r="F125" i="2"/>
  <c r="F123" i="2"/>
  <c r="F122" i="2"/>
  <c r="F121" i="2"/>
  <c r="F120" i="2"/>
  <c r="F119" i="2"/>
  <c r="F118" i="2"/>
  <c r="F117" i="2"/>
  <c r="F116" i="2"/>
  <c r="F114" i="2"/>
  <c r="F113" i="2"/>
  <c r="F112" i="2"/>
  <c r="F111" i="2"/>
  <c r="F109" i="2"/>
  <c r="F107" i="2"/>
  <c r="F106" i="2"/>
  <c r="F105" i="2"/>
  <c r="F104" i="2"/>
  <c r="F103" i="2"/>
  <c r="F102" i="2"/>
  <c r="F100" i="2"/>
  <c r="F99" i="2"/>
  <c r="N98" i="2"/>
  <c r="N99" i="2" s="1"/>
  <c r="N100" i="2" s="1"/>
  <c r="F98" i="2"/>
  <c r="F97" i="2"/>
  <c r="F96" i="2"/>
  <c r="F95" i="2"/>
  <c r="F94" i="2"/>
  <c r="F93" i="2"/>
  <c r="F92" i="2"/>
  <c r="F91" i="2"/>
  <c r="F90" i="2"/>
  <c r="F89" i="2"/>
  <c r="F88" i="2"/>
  <c r="F87" i="2"/>
  <c r="F86" i="2"/>
  <c r="F85" i="2"/>
  <c r="F84" i="2"/>
  <c r="F83" i="2"/>
  <c r="F82" i="2"/>
  <c r="F81" i="2"/>
  <c r="F80" i="2"/>
  <c r="F79" i="2"/>
  <c r="A79" i="2"/>
  <c r="A80" i="2" s="1"/>
  <c r="A81" i="2" s="1"/>
  <c r="A82" i="2" s="1"/>
  <c r="A83" i="2" s="1"/>
  <c r="A84" i="2" s="1"/>
  <c r="A85" i="2" s="1"/>
  <c r="A86" i="2" s="1"/>
  <c r="F78" i="2"/>
  <c r="F76" i="2"/>
  <c r="F75" i="2"/>
  <c r="F74" i="2"/>
  <c r="F73" i="2"/>
  <c r="F72" i="2"/>
  <c r="A71" i="2"/>
  <c r="F69" i="2"/>
  <c r="F68" i="2"/>
  <c r="F67" i="2"/>
  <c r="F65" i="2"/>
  <c r="F60" i="2"/>
  <c r="F58" i="2"/>
  <c r="F57" i="2"/>
  <c r="F56" i="2"/>
  <c r="F55" i="2"/>
  <c r="F53" i="2"/>
  <c r="F52" i="2"/>
  <c r="F51" i="2"/>
  <c r="F50" i="2"/>
  <c r="F49" i="2"/>
  <c r="F48" i="2"/>
  <c r="F46" i="2"/>
  <c r="F44" i="2"/>
  <c r="F43" i="2"/>
  <c r="F40" i="2"/>
  <c r="F39" i="2"/>
  <c r="F38" i="2"/>
  <c r="F37" i="2"/>
  <c r="F35" i="2"/>
  <c r="F34" i="2"/>
  <c r="F33" i="2"/>
  <c r="F32" i="2"/>
  <c r="F31" i="2"/>
  <c r="F30" i="2"/>
  <c r="F29" i="2"/>
  <c r="F28" i="2"/>
  <c r="F27" i="2"/>
  <c r="F26" i="2"/>
  <c r="F25" i="2"/>
  <c r="F24" i="2"/>
  <c r="F22" i="2"/>
  <c r="F21" i="2"/>
  <c r="F18" i="2"/>
  <c r="F17" i="2"/>
  <c r="F16" i="2"/>
  <c r="F973" i="1"/>
  <c r="F972" i="1"/>
  <c r="F963" i="1"/>
  <c r="C961" i="1"/>
  <c r="F961" i="1" s="1"/>
  <c r="E960" i="1"/>
  <c r="F960" i="1" s="1"/>
  <c r="E959" i="1"/>
  <c r="F959" i="1" s="1"/>
  <c r="F958" i="1"/>
  <c r="F957" i="1"/>
  <c r="F955" i="1"/>
  <c r="F954" i="1"/>
  <c r="F952" i="1"/>
  <c r="F951" i="1"/>
  <c r="F950" i="1"/>
  <c r="F948" i="1"/>
  <c r="F946" i="1"/>
  <c r="F945" i="1"/>
  <c r="F943" i="1"/>
  <c r="F942" i="1"/>
  <c r="F935" i="1"/>
  <c r="C933" i="1"/>
  <c r="C966" i="1" s="1"/>
  <c r="C922" i="1"/>
  <c r="F922" i="1" s="1"/>
  <c r="C921" i="1"/>
  <c r="F921" i="1" s="1"/>
  <c r="C920" i="1"/>
  <c r="F920" i="1" s="1"/>
  <c r="F919" i="1"/>
  <c r="F917" i="1"/>
  <c r="F916" i="1"/>
  <c r="C915" i="1"/>
  <c r="F915" i="1" s="1"/>
  <c r="F914" i="1"/>
  <c r="F913" i="1"/>
  <c r="F912" i="1"/>
  <c r="F911" i="1"/>
  <c r="F910" i="1"/>
  <c r="F909" i="1"/>
  <c r="F908" i="1"/>
  <c r="F907" i="1"/>
  <c r="F906" i="1"/>
  <c r="C905" i="1"/>
  <c r="F905" i="1" s="1"/>
  <c r="F904" i="1"/>
  <c r="F901" i="1"/>
  <c r="F900" i="1"/>
  <c r="C899" i="1"/>
  <c r="F899" i="1" s="1"/>
  <c r="F898" i="1"/>
  <c r="F897" i="1"/>
  <c r="F896" i="1"/>
  <c r="F895" i="1"/>
  <c r="F894" i="1"/>
  <c r="F893" i="1"/>
  <c r="F892" i="1"/>
  <c r="F891" i="1"/>
  <c r="C890" i="1"/>
  <c r="F890" i="1" s="1"/>
  <c r="F889" i="1"/>
  <c r="C885" i="1"/>
  <c r="F885" i="1" s="1"/>
  <c r="F884" i="1"/>
  <c r="F883" i="1"/>
  <c r="F882" i="1"/>
  <c r="F880" i="1"/>
  <c r="F879" i="1"/>
  <c r="F878" i="1"/>
  <c r="F877" i="1"/>
  <c r="F876" i="1"/>
  <c r="F874" i="1"/>
  <c r="F873" i="1"/>
  <c r="F872" i="1"/>
  <c r="F871" i="1"/>
  <c r="F870" i="1"/>
  <c r="F869" i="1"/>
  <c r="F868" i="1"/>
  <c r="F867" i="1"/>
  <c r="F866" i="1"/>
  <c r="F865" i="1"/>
  <c r="F864" i="1"/>
  <c r="F863" i="1"/>
  <c r="F862" i="1"/>
  <c r="F860" i="1"/>
  <c r="C859" i="1"/>
  <c r="F859" i="1" s="1"/>
  <c r="C858" i="1"/>
  <c r="F858" i="1" s="1"/>
  <c r="C857" i="1"/>
  <c r="F857" i="1" s="1"/>
  <c r="F856" i="1"/>
  <c r="F855" i="1"/>
  <c r="C854" i="1"/>
  <c r="F854" i="1" s="1"/>
  <c r="C853" i="1"/>
  <c r="F853" i="1" s="1"/>
  <c r="C852" i="1"/>
  <c r="F852" i="1" s="1"/>
  <c r="F851" i="1"/>
  <c r="F850" i="1"/>
  <c r="E849" i="1"/>
  <c r="E848" i="1"/>
  <c r="E847" i="1"/>
  <c r="F842" i="1"/>
  <c r="C840" i="1"/>
  <c r="C924" i="1" s="1"/>
  <c r="C835" i="1"/>
  <c r="F835" i="1" s="1"/>
  <c r="F834" i="1"/>
  <c r="F833" i="1"/>
  <c r="F832" i="1"/>
  <c r="F831" i="1"/>
  <c r="F830" i="1"/>
  <c r="F829" i="1"/>
  <c r="F828" i="1"/>
  <c r="F827" i="1"/>
  <c r="F826" i="1"/>
  <c r="F821" i="1"/>
  <c r="F820" i="1"/>
  <c r="F819" i="1"/>
  <c r="F818" i="1"/>
  <c r="F816" i="1"/>
  <c r="F815" i="1"/>
  <c r="F813" i="1"/>
  <c r="F812" i="1"/>
  <c r="F811" i="1"/>
  <c r="F806" i="1"/>
  <c r="F805" i="1"/>
  <c r="F804" i="1"/>
  <c r="A804" i="1"/>
  <c r="A805" i="1" s="1"/>
  <c r="A806" i="1" s="1"/>
  <c r="F803" i="1"/>
  <c r="F802" i="1"/>
  <c r="F798" i="1"/>
  <c r="F797" i="1"/>
  <c r="F796" i="1"/>
  <c r="F793" i="1"/>
  <c r="F792" i="1"/>
  <c r="F791" i="1"/>
  <c r="F790" i="1"/>
  <c r="F789" i="1"/>
  <c r="F788" i="1"/>
  <c r="F787" i="1"/>
  <c r="F786" i="1"/>
  <c r="F785" i="1"/>
  <c r="F784" i="1"/>
  <c r="F783" i="1"/>
  <c r="F782" i="1"/>
  <c r="F781" i="1"/>
  <c r="F780" i="1"/>
  <c r="F779" i="1"/>
  <c r="F776" i="1"/>
  <c r="F775" i="1"/>
  <c r="F774" i="1"/>
  <c r="F773" i="1"/>
  <c r="F772" i="1"/>
  <c r="F771" i="1"/>
  <c r="F770" i="1"/>
  <c r="F769" i="1"/>
  <c r="F768" i="1"/>
  <c r="F767" i="1"/>
  <c r="F766" i="1"/>
  <c r="F765" i="1"/>
  <c r="F764" i="1"/>
  <c r="F761" i="1"/>
  <c r="F760" i="1"/>
  <c r="F759" i="1"/>
  <c r="F758" i="1"/>
  <c r="F757" i="1"/>
  <c r="F756" i="1"/>
  <c r="F755" i="1"/>
  <c r="F754" i="1"/>
  <c r="F753" i="1"/>
  <c r="F752" i="1"/>
  <c r="F747" i="1"/>
  <c r="F746" i="1"/>
  <c r="F745" i="1"/>
  <c r="F743" i="1"/>
  <c r="F742" i="1"/>
  <c r="F741" i="1"/>
  <c r="F740" i="1"/>
  <c r="F739" i="1"/>
  <c r="F737" i="1"/>
  <c r="F733" i="1"/>
  <c r="F731" i="1"/>
  <c r="F730" i="1"/>
  <c r="F729" i="1"/>
  <c r="F727" i="1"/>
  <c r="F726" i="1"/>
  <c r="F725" i="1"/>
  <c r="F724" i="1"/>
  <c r="F723" i="1"/>
  <c r="F722" i="1"/>
  <c r="F721" i="1"/>
  <c r="F719" i="1"/>
  <c r="F718" i="1"/>
  <c r="F717" i="1"/>
  <c r="F715" i="1"/>
  <c r="F714" i="1"/>
  <c r="F712" i="1"/>
  <c r="F707" i="1"/>
  <c r="F705" i="1"/>
  <c r="F703" i="1"/>
  <c r="F702" i="1"/>
  <c r="F701" i="1"/>
  <c r="F700" i="1"/>
  <c r="F699" i="1"/>
  <c r="F698" i="1"/>
  <c r="F697" i="1"/>
  <c r="F696" i="1"/>
  <c r="F695" i="1"/>
  <c r="F694" i="1"/>
  <c r="F693" i="1"/>
  <c r="F692" i="1"/>
  <c r="F691" i="1"/>
  <c r="F690" i="1"/>
  <c r="F689" i="1"/>
  <c r="F688" i="1"/>
  <c r="F687" i="1"/>
  <c r="F686" i="1"/>
  <c r="F685" i="1"/>
  <c r="F684" i="1"/>
  <c r="F683" i="1"/>
  <c r="F682" i="1"/>
  <c r="F680" i="1"/>
  <c r="F679" i="1"/>
  <c r="F678" i="1"/>
  <c r="F677" i="1"/>
  <c r="F676" i="1"/>
  <c r="F675" i="1"/>
  <c r="F674" i="1"/>
  <c r="F673" i="1"/>
  <c r="F672" i="1"/>
  <c r="F671" i="1"/>
  <c r="F670" i="1"/>
  <c r="F669" i="1"/>
  <c r="F666" i="1"/>
  <c r="F665" i="1"/>
  <c r="F664" i="1"/>
  <c r="F663" i="1"/>
  <c r="F662" i="1"/>
  <c r="F661" i="1"/>
  <c r="F660" i="1"/>
  <c r="F659" i="1"/>
  <c r="F658" i="1"/>
  <c r="F657" i="1"/>
  <c r="F656" i="1"/>
  <c r="F655" i="1"/>
  <c r="F654" i="1"/>
  <c r="F651" i="1"/>
  <c r="C643" i="1"/>
  <c r="C645" i="1" s="1"/>
  <c r="F645" i="1" s="1"/>
  <c r="F642" i="1"/>
  <c r="C641" i="1"/>
  <c r="F641" i="1" s="1"/>
  <c r="F640" i="1"/>
  <c r="F639" i="1"/>
  <c r="F638" i="1"/>
  <c r="E637" i="1"/>
  <c r="F637" i="1" s="1"/>
  <c r="F636" i="1"/>
  <c r="F635" i="1"/>
  <c r="F634" i="1"/>
  <c r="E633" i="1"/>
  <c r="F633" i="1" s="1"/>
  <c r="C632" i="1"/>
  <c r="F632" i="1" s="1"/>
  <c r="F631" i="1"/>
  <c r="F630" i="1"/>
  <c r="F628" i="1"/>
  <c r="F626" i="1"/>
  <c r="F625" i="1"/>
  <c r="C624" i="1"/>
  <c r="C627" i="1" s="1"/>
  <c r="F627" i="1" s="1"/>
  <c r="F623" i="1"/>
  <c r="F622" i="1"/>
  <c r="C617" i="1"/>
  <c r="F617" i="1" s="1"/>
  <c r="F614" i="1"/>
  <c r="F613" i="1"/>
  <c r="F612" i="1"/>
  <c r="F607" i="1"/>
  <c r="F606" i="1"/>
  <c r="F605" i="1"/>
  <c r="F604" i="1"/>
  <c r="F603" i="1"/>
  <c r="F602" i="1"/>
  <c r="F601" i="1"/>
  <c r="F600" i="1"/>
  <c r="F599" i="1"/>
  <c r="F598" i="1"/>
  <c r="F597" i="1"/>
  <c r="F596" i="1"/>
  <c r="F595" i="1"/>
  <c r="F594" i="1"/>
  <c r="F593"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C513" i="1"/>
  <c r="F513" i="1" s="1"/>
  <c r="F512" i="1"/>
  <c r="F510" i="1"/>
  <c r="F508" i="1"/>
  <c r="E507" i="1"/>
  <c r="F507" i="1" s="1"/>
  <c r="F505" i="1"/>
  <c r="F504" i="1"/>
  <c r="F503" i="1"/>
  <c r="F501" i="1"/>
  <c r="F500" i="1"/>
  <c r="E498" i="1"/>
  <c r="F498" i="1" s="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69" i="1"/>
  <c r="F468" i="1"/>
  <c r="F467" i="1"/>
  <c r="C463" i="1"/>
  <c r="F463" i="1" s="1"/>
  <c r="F462" i="1"/>
  <c r="F459" i="1"/>
  <c r="F458" i="1"/>
  <c r="F457" i="1"/>
  <c r="F455" i="1"/>
  <c r="F454"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C368" i="1"/>
  <c r="C369" i="1" s="1"/>
  <c r="F369" i="1" s="1"/>
  <c r="F363" i="1"/>
  <c r="F362" i="1"/>
  <c r="F359" i="1"/>
  <c r="F358" i="1"/>
  <c r="F350" i="1"/>
  <c r="F349" i="1"/>
  <c r="F348" i="1"/>
  <c r="F347" i="1"/>
  <c r="F346" i="1"/>
  <c r="F345" i="1"/>
  <c r="F344" i="1"/>
  <c r="F343" i="1"/>
  <c r="F342" i="1"/>
  <c r="F341" i="1"/>
  <c r="F340" i="1"/>
  <c r="F339" i="1"/>
  <c r="F338" i="1"/>
  <c r="C337" i="1"/>
  <c r="F337" i="1" s="1"/>
  <c r="F336" i="1"/>
  <c r="F335" i="1"/>
  <c r="F334" i="1"/>
  <c r="F333" i="1"/>
  <c r="C331" i="1"/>
  <c r="C332" i="1" s="1"/>
  <c r="F332" i="1" s="1"/>
  <c r="F329" i="1"/>
  <c r="F327" i="1"/>
  <c r="F326" i="1"/>
  <c r="F325" i="1"/>
  <c r="F324" i="1"/>
  <c r="F323" i="1"/>
  <c r="F322" i="1"/>
  <c r="F321" i="1"/>
  <c r="C318" i="1"/>
  <c r="F317" i="1"/>
  <c r="F316" i="1"/>
  <c r="F315" i="1"/>
  <c r="F314" i="1"/>
  <c r="F313" i="1"/>
  <c r="F312" i="1"/>
  <c r="F311" i="1"/>
  <c r="C310" i="1"/>
  <c r="C309" i="1"/>
  <c r="C308" i="1"/>
  <c r="C307" i="1"/>
  <c r="F306" i="1"/>
  <c r="F305" i="1"/>
  <c r="C303" i="1"/>
  <c r="F302" i="1"/>
  <c r="F301" i="1"/>
  <c r="F300" i="1"/>
  <c r="F299" i="1"/>
  <c r="F298" i="1"/>
  <c r="F297" i="1"/>
  <c r="F295" i="1"/>
  <c r="F294" i="1"/>
  <c r="F293" i="1"/>
  <c r="F289" i="1"/>
  <c r="F288" i="1"/>
  <c r="F285" i="1"/>
  <c r="F284" i="1"/>
  <c r="F283" i="1"/>
  <c r="F279" i="1"/>
  <c r="F278" i="1"/>
  <c r="F276" i="1"/>
  <c r="F275" i="1"/>
  <c r="F274" i="1"/>
  <c r="F271" i="1"/>
  <c r="F270" i="1"/>
  <c r="F268" i="1"/>
  <c r="F267" i="1"/>
  <c r="F266" i="1"/>
  <c r="F263" i="1"/>
  <c r="F262" i="1"/>
  <c r="F260" i="1"/>
  <c r="F259" i="1"/>
  <c r="F258" i="1"/>
  <c r="F257" i="1"/>
  <c r="F256" i="1"/>
  <c r="F255" i="1"/>
  <c r="F254" i="1"/>
  <c r="F253" i="1"/>
  <c r="F252" i="1"/>
  <c r="F251" i="1"/>
  <c r="F250" i="1"/>
  <c r="F249" i="1"/>
  <c r="F248" i="1"/>
  <c r="F247" i="1"/>
  <c r="F246" i="1"/>
  <c r="F245" i="1"/>
  <c r="C243" i="1"/>
  <c r="C244" i="1" s="1"/>
  <c r="F244" i="1" s="1"/>
  <c r="F242" i="1"/>
  <c r="F241" i="1"/>
  <c r="F240" i="1"/>
  <c r="F239" i="1"/>
  <c r="F238" i="1"/>
  <c r="F234" i="1"/>
  <c r="F233" i="1"/>
  <c r="F230" i="1"/>
  <c r="F229" i="1"/>
  <c r="F228" i="1"/>
  <c r="F226" i="1"/>
  <c r="F222" i="1"/>
  <c r="F221" i="1"/>
  <c r="F216" i="1"/>
  <c r="F215" i="1"/>
  <c r="F214" i="1"/>
  <c r="F210" i="1"/>
  <c r="F209" i="1"/>
  <c r="F207" i="1"/>
  <c r="F206" i="1"/>
  <c r="F203" i="1"/>
  <c r="F202" i="1"/>
  <c r="F200" i="1"/>
  <c r="F199" i="1"/>
  <c r="F198" i="1"/>
  <c r="F194" i="1"/>
  <c r="F193" i="1"/>
  <c r="F190" i="1"/>
  <c r="F189" i="1"/>
  <c r="F188" i="1"/>
  <c r="F187" i="1"/>
  <c r="F186" i="1"/>
  <c r="F185" i="1"/>
  <c r="F184" i="1"/>
  <c r="F183" i="1"/>
  <c r="F182" i="1"/>
  <c r="F181" i="1"/>
  <c r="F180" i="1"/>
  <c r="F179" i="1"/>
  <c r="F178" i="1"/>
  <c r="F174" i="1"/>
  <c r="F173" i="1"/>
  <c r="F172" i="1"/>
  <c r="F168" i="1"/>
  <c r="F167" i="1"/>
  <c r="F166" i="1"/>
  <c r="F165" i="1"/>
  <c r="F164" i="1"/>
  <c r="F163" i="1"/>
  <c r="F159" i="1"/>
  <c r="F158" i="1"/>
  <c r="F156" i="1"/>
  <c r="F155" i="1"/>
  <c r="F154" i="1"/>
  <c r="F150" i="1"/>
  <c r="F149" i="1"/>
  <c r="F147" i="1"/>
  <c r="F146" i="1"/>
  <c r="F145" i="1"/>
  <c r="F144" i="1"/>
  <c r="F143" i="1"/>
  <c r="F142" i="1"/>
  <c r="F141" i="1"/>
  <c r="F139" i="1"/>
  <c r="F138" i="1"/>
  <c r="F137" i="1"/>
  <c r="F132" i="1"/>
  <c r="F131" i="1"/>
  <c r="F127" i="1"/>
  <c r="F126" i="1"/>
  <c r="F125" i="1"/>
  <c r="F124" i="1"/>
  <c r="F123" i="1"/>
  <c r="F122" i="1"/>
  <c r="E121" i="1"/>
  <c r="E140" i="1" s="1"/>
  <c r="F120" i="1"/>
  <c r="E119" i="1"/>
  <c r="E136" i="1" s="1"/>
  <c r="C119" i="1"/>
  <c r="E118" i="1"/>
  <c r="E133" i="1" s="1"/>
  <c r="C118" i="1"/>
  <c r="E117" i="1"/>
  <c r="E134" i="1" s="1"/>
  <c r="E116" i="1"/>
  <c r="E135" i="1" s="1"/>
  <c r="F115" i="1"/>
  <c r="F114" i="1"/>
  <c r="F111" i="1"/>
  <c r="F110" i="1"/>
  <c r="F109" i="1"/>
  <c r="F108" i="1"/>
  <c r="F107" i="1"/>
  <c r="F106" i="1"/>
  <c r="F105" i="1"/>
  <c r="F104" i="1"/>
  <c r="E100" i="1"/>
  <c r="C100" i="1"/>
  <c r="E99" i="1"/>
  <c r="C99" i="1"/>
  <c r="E98" i="1"/>
  <c r="F98" i="1" s="1"/>
  <c r="E97" i="1"/>
  <c r="F97" i="1" s="1"/>
  <c r="F96" i="1"/>
  <c r="G94" i="1"/>
  <c r="G93" i="1"/>
  <c r="E93" i="1"/>
  <c r="F93" i="1" s="1"/>
  <c r="G92" i="1"/>
  <c r="E92" i="1"/>
  <c r="F92" i="1" s="1"/>
  <c r="G91" i="1"/>
  <c r="E91" i="1"/>
  <c r="F91" i="1" s="1"/>
  <c r="G90" i="1"/>
  <c r="G89" i="1"/>
  <c r="E89" i="1"/>
  <c r="F89" i="1" s="1"/>
  <c r="G88" i="1"/>
  <c r="E88" i="1"/>
  <c r="F88" i="1" s="1"/>
  <c r="G87" i="1"/>
  <c r="G86" i="1"/>
  <c r="G85" i="1"/>
  <c r="E85" i="1"/>
  <c r="F85" i="1" s="1"/>
  <c r="G84" i="1"/>
  <c r="E84" i="1"/>
  <c r="F84" i="1" s="1"/>
  <c r="C83" i="1"/>
  <c r="G82" i="1"/>
  <c r="G81" i="1"/>
  <c r="G80" i="1"/>
  <c r="E80" i="1"/>
  <c r="F80" i="1" s="1"/>
  <c r="G79" i="1"/>
  <c r="G78" i="1"/>
  <c r="E78" i="1"/>
  <c r="C78" i="1"/>
  <c r="E77" i="1"/>
  <c r="F77" i="1" s="1"/>
  <c r="E76" i="1"/>
  <c r="F76" i="1" s="1"/>
  <c r="E75" i="1"/>
  <c r="F75" i="1" s="1"/>
  <c r="E74" i="1"/>
  <c r="C74" i="1"/>
  <c r="F70" i="1"/>
  <c r="F69" i="1"/>
  <c r="F68" i="1"/>
  <c r="F67" i="1"/>
  <c r="F66" i="1"/>
  <c r="A66" i="1"/>
  <c r="A67" i="1" s="1"/>
  <c r="A68" i="1" s="1"/>
  <c r="A69" i="1" s="1"/>
  <c r="F65" i="1"/>
  <c r="F64" i="1"/>
  <c r="F63" i="1"/>
  <c r="F61" i="1"/>
  <c r="C54" i="1"/>
  <c r="F54" i="1" s="1"/>
  <c r="F53" i="1"/>
  <c r="C52" i="1"/>
  <c r="F52" i="1" s="1"/>
  <c r="F51" i="1"/>
  <c r="F48" i="1"/>
  <c r="F47" i="1"/>
  <c r="F46" i="1"/>
  <c r="F45" i="1"/>
  <c r="F44" i="1"/>
  <c r="C41" i="1"/>
  <c r="C42" i="1" s="1"/>
  <c r="F42" i="1" s="1"/>
  <c r="E37" i="1"/>
  <c r="E953" i="1" s="1"/>
  <c r="F953" i="1" s="1"/>
  <c r="F36" i="1"/>
  <c r="F35" i="1"/>
  <c r="F34" i="1"/>
  <c r="F33" i="1"/>
  <c r="F31" i="1"/>
  <c r="F29" i="1"/>
  <c r="F28" i="1"/>
  <c r="C27" i="1"/>
  <c r="C30" i="1" s="1"/>
  <c r="F30" i="1" s="1"/>
  <c r="F26" i="1"/>
  <c r="F25" i="1"/>
  <c r="C21" i="1"/>
  <c r="F21" i="1" s="1"/>
  <c r="C20" i="1"/>
  <c r="F20" i="1" s="1"/>
  <c r="F17" i="1"/>
  <c r="F16" i="1"/>
  <c r="F15" i="1"/>
  <c r="E138" i="20" l="1"/>
  <c r="E139" i="20" s="1"/>
  <c r="F742" i="18"/>
  <c r="E552" i="42"/>
  <c r="E554" i="42" s="1"/>
  <c r="F16" i="19"/>
  <c r="F1171" i="18"/>
  <c r="F933" i="1"/>
  <c r="F21" i="19"/>
  <c r="J12" i="35"/>
  <c r="E530" i="42"/>
  <c r="E534" i="42" s="1"/>
  <c r="E557" i="42" s="1"/>
  <c r="D564" i="42" s="1"/>
  <c r="E564" i="42" s="1"/>
  <c r="F1085" i="2"/>
  <c r="I28" i="28"/>
  <c r="F89" i="18"/>
  <c r="F1147" i="18"/>
  <c r="F556" i="19"/>
  <c r="E145" i="20"/>
  <c r="I243" i="24"/>
  <c r="E217" i="42"/>
  <c r="F100" i="1"/>
  <c r="F731" i="2"/>
  <c r="F830" i="2"/>
  <c r="F919" i="2"/>
  <c r="F1042" i="2"/>
  <c r="H702" i="18"/>
  <c r="E48" i="20"/>
  <c r="B51" i="20" s="1"/>
  <c r="B57" i="20" s="1"/>
  <c r="E67" i="20"/>
  <c r="E69" i="20" s="1"/>
  <c r="E362" i="42"/>
  <c r="E364" i="42" s="1"/>
  <c r="E485" i="42"/>
  <c r="F78" i="1"/>
  <c r="E113" i="20"/>
  <c r="E117" i="20" s="1"/>
  <c r="D125" i="20" s="1"/>
  <c r="E125" i="20" s="1"/>
  <c r="E311" i="20"/>
  <c r="F440" i="2"/>
  <c r="F480" i="2"/>
  <c r="F1090" i="2"/>
  <c r="F137" i="19"/>
  <c r="F131" i="19"/>
  <c r="F948" i="18"/>
  <c r="F970" i="18"/>
  <c r="F21" i="18"/>
  <c r="E209" i="18"/>
  <c r="F362" i="2"/>
  <c r="F882" i="2"/>
  <c r="G1288" i="18"/>
  <c r="D104" i="24"/>
  <c r="F836" i="1"/>
  <c r="F228" i="18"/>
  <c r="F1194" i="18"/>
  <c r="F1195" i="18" s="1"/>
  <c r="E22" i="41"/>
  <c r="E197" i="42"/>
  <c r="E325" i="42"/>
  <c r="E327" i="42" s="1"/>
  <c r="G28" i="22"/>
  <c r="F624" i="1"/>
  <c r="F974" i="1"/>
  <c r="F61" i="2"/>
  <c r="F563" i="19"/>
  <c r="E82" i="20"/>
  <c r="E83" i="20" s="1"/>
  <c r="E104" i="20"/>
  <c r="E105" i="20" s="1"/>
  <c r="D123" i="20" s="1"/>
  <c r="E123" i="20" s="1"/>
  <c r="E325" i="20"/>
  <c r="F26" i="25"/>
  <c r="F880" i="18"/>
  <c r="F884" i="18"/>
  <c r="F885" i="18"/>
  <c r="F999" i="18"/>
  <c r="H393" i="19"/>
  <c r="I393" i="19" s="1"/>
  <c r="I394" i="19" s="1"/>
  <c r="E47" i="24"/>
  <c r="F47" i="24" s="1"/>
  <c r="E32" i="41"/>
  <c r="E389" i="42"/>
  <c r="E391" i="42" s="1"/>
  <c r="I214" i="7"/>
  <c r="G37" i="22"/>
  <c r="H37" i="22" s="1"/>
  <c r="G38" i="22" s="1"/>
  <c r="H38" i="22" s="1"/>
  <c r="H39" i="22" s="1"/>
  <c r="F368" i="1"/>
  <c r="F643" i="1"/>
  <c r="C944" i="1"/>
  <c r="C947" i="1" s="1"/>
  <c r="F947" i="1" s="1"/>
  <c r="F214" i="2"/>
  <c r="F524" i="18"/>
  <c r="F530" i="18"/>
  <c r="F622" i="18"/>
  <c r="F663" i="18"/>
  <c r="F27" i="1"/>
  <c r="F74" i="1"/>
  <c r="F99" i="1"/>
  <c r="F118" i="1"/>
  <c r="F121" i="1"/>
  <c r="F543" i="2"/>
  <c r="F610" i="2"/>
  <c r="F690" i="2"/>
  <c r="H82" i="7"/>
  <c r="F868" i="18"/>
  <c r="F956" i="18"/>
  <c r="F977" i="18"/>
  <c r="F993" i="18"/>
  <c r="F1021" i="18"/>
  <c r="F1231" i="18"/>
  <c r="F1235" i="18" s="1"/>
  <c r="F1250" i="18"/>
  <c r="F1252" i="18" s="1"/>
  <c r="F1259" i="18" s="1"/>
  <c r="G1287" i="18"/>
  <c r="G1294" i="18"/>
  <c r="F1352" i="18"/>
  <c r="F1353" i="18" s="1"/>
  <c r="F1408" i="18"/>
  <c r="F71" i="19"/>
  <c r="F142" i="19"/>
  <c r="F298" i="19"/>
  <c r="F327" i="19"/>
  <c r="F342" i="19"/>
  <c r="F588" i="19"/>
  <c r="F595" i="19"/>
  <c r="E22" i="20"/>
  <c r="E75" i="20"/>
  <c r="E203" i="20"/>
  <c r="D504" i="20" s="1"/>
  <c r="B239" i="20"/>
  <c r="E239" i="20" s="1"/>
  <c r="B304" i="20"/>
  <c r="E304" i="20" s="1"/>
  <c r="F138" i="24"/>
  <c r="F28" i="28"/>
  <c r="I249" i="24"/>
  <c r="F249" i="24"/>
  <c r="I9" i="27"/>
  <c r="O9" i="27"/>
  <c r="O26" i="27" s="1"/>
  <c r="C24" i="27"/>
  <c r="L28" i="28"/>
  <c r="I8" i="29"/>
  <c r="F9" i="29"/>
  <c r="C37" i="29"/>
  <c r="F37" i="29" s="1"/>
  <c r="E14" i="39"/>
  <c r="E16" i="39" s="1"/>
  <c r="E7" i="41"/>
  <c r="E11" i="41"/>
  <c r="E16" i="41"/>
  <c r="E60" i="42"/>
  <c r="E62" i="42" s="1"/>
  <c r="D65" i="42" s="1"/>
  <c r="E65" i="42" s="1"/>
  <c r="D43" i="42"/>
  <c r="E43" i="42" s="1"/>
  <c r="E376" i="42"/>
  <c r="E379" i="42" s="1"/>
  <c r="F57" i="24"/>
  <c r="E66" i="24"/>
  <c r="F66" i="24" s="1"/>
  <c r="L26" i="25"/>
  <c r="F9" i="27"/>
  <c r="F26" i="27" s="1"/>
  <c r="L9" i="29"/>
  <c r="F21" i="30"/>
  <c r="F22" i="30" s="1"/>
  <c r="C36" i="30"/>
  <c r="E39" i="30"/>
  <c r="I18" i="31"/>
  <c r="I20" i="31" s="1"/>
  <c r="J6" i="33"/>
  <c r="E23" i="42"/>
  <c r="E29" i="42"/>
  <c r="E461" i="42"/>
  <c r="E465" i="42" s="1"/>
  <c r="E577" i="42"/>
  <c r="E578" i="42" s="1"/>
  <c r="E152" i="1"/>
  <c r="F134" i="1"/>
  <c r="E309" i="1"/>
  <c r="F133" i="1"/>
  <c r="E153" i="1"/>
  <c r="F136" i="1"/>
  <c r="E227" i="1"/>
  <c r="F227" i="1" s="1"/>
  <c r="F140" i="1"/>
  <c r="E367" i="1"/>
  <c r="F367" i="1" s="1"/>
  <c r="C926" i="1"/>
  <c r="F926" i="1" s="1"/>
  <c r="F924" i="1"/>
  <c r="F966" i="1"/>
  <c r="C968" i="1"/>
  <c r="F968" i="1" s="1"/>
  <c r="F16" i="18"/>
  <c r="E102" i="1"/>
  <c r="F102" i="1" s="1"/>
  <c r="E70" i="18"/>
  <c r="F70" i="18" s="1"/>
  <c r="E79" i="18"/>
  <c r="F79" i="18" s="1"/>
  <c r="E151" i="1"/>
  <c r="F135" i="1"/>
  <c r="E535" i="18"/>
  <c r="F535" i="18" s="1"/>
  <c r="E1159" i="18"/>
  <c r="E1076" i="18"/>
  <c r="F1076" i="18" s="1"/>
  <c r="E51" i="18"/>
  <c r="F51" i="18" s="1"/>
  <c r="E29" i="18"/>
  <c r="C56" i="1"/>
  <c r="F56" i="1" s="1"/>
  <c r="F243" i="1"/>
  <c r="F318" i="1"/>
  <c r="F331" i="1"/>
  <c r="F800" i="1"/>
  <c r="F822" i="1" s="1"/>
  <c r="F840" i="1"/>
  <c r="C845" i="1"/>
  <c r="F845" i="1" s="1"/>
  <c r="F944" i="1"/>
  <c r="C964" i="1"/>
  <c r="F964" i="1" s="1"/>
  <c r="H85" i="7"/>
  <c r="E537" i="18"/>
  <c r="F537" i="18" s="1"/>
  <c r="E1077" i="18"/>
  <c r="F1077" i="18" s="1"/>
  <c r="E578" i="18"/>
  <c r="F578" i="18" s="1"/>
  <c r="E251" i="18"/>
  <c r="E30" i="18"/>
  <c r="E31" i="18"/>
  <c r="E52" i="18"/>
  <c r="F52" i="18" s="1"/>
  <c r="E53" i="18"/>
  <c r="F53" i="18" s="1"/>
  <c r="F62" i="18"/>
  <c r="E81" i="18"/>
  <c r="F81" i="18" s="1"/>
  <c r="E100" i="18"/>
  <c r="F100" i="18" s="1"/>
  <c r="E112" i="18"/>
  <c r="F112" i="18" s="1"/>
  <c r="E124" i="18"/>
  <c r="F124" i="18" s="1"/>
  <c r="E136" i="18"/>
  <c r="F136" i="18" s="1"/>
  <c r="E148" i="18"/>
  <c r="F148" i="18" s="1"/>
  <c r="E160" i="18"/>
  <c r="F160" i="18" s="1"/>
  <c r="E172" i="18"/>
  <c r="F172" i="18" s="1"/>
  <c r="E627" i="18"/>
  <c r="E309" i="18"/>
  <c r="F296" i="18"/>
  <c r="F299" i="18" s="1"/>
  <c r="E113" i="1" s="1"/>
  <c r="F113" i="1" s="1"/>
  <c r="E620" i="18"/>
  <c r="F620" i="18" s="1"/>
  <c r="F624" i="18" s="1"/>
  <c r="E628" i="18"/>
  <c r="E616" i="18"/>
  <c r="F616" i="18" s="1"/>
  <c r="E292" i="18"/>
  <c r="F292" i="18" s="1"/>
  <c r="E621" i="18"/>
  <c r="E597" i="18"/>
  <c r="F597" i="18" s="1"/>
  <c r="F598" i="18" s="1"/>
  <c r="H598" i="18" s="1"/>
  <c r="E903" i="18"/>
  <c r="F903" i="18" s="1"/>
  <c r="F891" i="18"/>
  <c r="E919" i="18"/>
  <c r="F919" i="18" s="1"/>
  <c r="F906" i="18"/>
  <c r="F1009" i="18"/>
  <c r="F1401" i="18"/>
  <c r="E147" i="19"/>
  <c r="F147" i="19" s="1"/>
  <c r="E52" i="19"/>
  <c r="F52" i="19" s="1"/>
  <c r="E34" i="19"/>
  <c r="E61" i="19"/>
  <c r="F61" i="19" s="1"/>
  <c r="E25" i="19"/>
  <c r="F25" i="19" s="1"/>
  <c r="E171" i="19"/>
  <c r="F171" i="19" s="1"/>
  <c r="E548" i="19"/>
  <c r="E483" i="19"/>
  <c r="E500" i="19" s="1"/>
  <c r="E516" i="19" s="1"/>
  <c r="F516" i="19" s="1"/>
  <c r="E237" i="19"/>
  <c r="E159" i="19"/>
  <c r="F159" i="19" s="1"/>
  <c r="E223" i="19"/>
  <c r="F223" i="19" s="1"/>
  <c r="F224" i="19" s="1"/>
  <c r="F37" i="1"/>
  <c r="F116" i="1"/>
  <c r="F117" i="1"/>
  <c r="F119" i="1"/>
  <c r="C319" i="1"/>
  <c r="F319" i="1" s="1"/>
  <c r="E536" i="18"/>
  <c r="F536" i="18" s="1"/>
  <c r="E1078" i="18"/>
  <c r="F1078" i="18" s="1"/>
  <c r="E1391" i="18"/>
  <c r="F1391" i="18" s="1"/>
  <c r="E1379" i="18"/>
  <c r="F1379" i="18" s="1"/>
  <c r="E226" i="18"/>
  <c r="F226" i="18" s="1"/>
  <c r="E214" i="18"/>
  <c r="F214" i="18" s="1"/>
  <c r="E202" i="18"/>
  <c r="F202" i="18" s="1"/>
  <c r="E190" i="18"/>
  <c r="F190" i="18" s="1"/>
  <c r="E1385" i="18"/>
  <c r="F1385" i="18" s="1"/>
  <c r="E610" i="18"/>
  <c r="E220" i="18"/>
  <c r="F220" i="18" s="1"/>
  <c r="E208" i="18"/>
  <c r="F208" i="18" s="1"/>
  <c r="E196" i="18"/>
  <c r="F196" i="18" s="1"/>
  <c r="E1117" i="18"/>
  <c r="F1117" i="18" s="1"/>
  <c r="E1036" i="18"/>
  <c r="F1036" i="18" s="1"/>
  <c r="E838" i="18"/>
  <c r="F838" i="18" s="1"/>
  <c r="E806" i="18"/>
  <c r="F806" i="18" s="1"/>
  <c r="E1336" i="18"/>
  <c r="F1336" i="18" s="1"/>
  <c r="E1324" i="18"/>
  <c r="F1324" i="18" s="1"/>
  <c r="E1317" i="18"/>
  <c r="F1317" i="18" s="1"/>
  <c r="E1305" i="18"/>
  <c r="F1305" i="18" s="1"/>
  <c r="E1041" i="18"/>
  <c r="E812" i="18"/>
  <c r="F812" i="18" s="1"/>
  <c r="E215" i="18"/>
  <c r="F215" i="18" s="1"/>
  <c r="F209" i="18"/>
  <c r="E71" i="18"/>
  <c r="F71" i="18" s="1"/>
  <c r="E72" i="18"/>
  <c r="F72" i="18" s="1"/>
  <c r="E87" i="18"/>
  <c r="E93" i="18"/>
  <c r="F93" i="18" s="1"/>
  <c r="E106" i="18"/>
  <c r="F106" i="18" s="1"/>
  <c r="E118" i="18"/>
  <c r="F118" i="18" s="1"/>
  <c r="E130" i="18"/>
  <c r="F130" i="18" s="1"/>
  <c r="E142" i="18"/>
  <c r="F142" i="18" s="1"/>
  <c r="E154" i="18"/>
  <c r="F154" i="18" s="1"/>
  <c r="E166" i="18"/>
  <c r="F166" i="18" s="1"/>
  <c r="E178" i="18"/>
  <c r="F178" i="18" s="1"/>
  <c r="E1181" i="18"/>
  <c r="F1181" i="18" s="1"/>
  <c r="E1174" i="18"/>
  <c r="F1174" i="18" s="1"/>
  <c r="E855" i="18"/>
  <c r="F855" i="18" s="1"/>
  <c r="E849" i="18"/>
  <c r="F849" i="18" s="1"/>
  <c r="E1371" i="18"/>
  <c r="F1371" i="18" s="1"/>
  <c r="E1365" i="18"/>
  <c r="F1365" i="18" s="1"/>
  <c r="E1359" i="18"/>
  <c r="F1359" i="18" s="1"/>
  <c r="E861" i="18"/>
  <c r="F861" i="18" s="1"/>
  <c r="E843" i="18"/>
  <c r="F843" i="18" s="1"/>
  <c r="F752" i="18"/>
  <c r="E760" i="18"/>
  <c r="F760" i="18" s="1"/>
  <c r="E1160" i="18"/>
  <c r="F1149" i="18"/>
  <c r="E893" i="18"/>
  <c r="F881" i="18"/>
  <c r="E904" i="18"/>
  <c r="F904" i="18" s="1"/>
  <c r="F892" i="18"/>
  <c r="F896" i="18"/>
  <c r="E908" i="18"/>
  <c r="F897" i="18"/>
  <c r="E909" i="18"/>
  <c r="F1233" i="18"/>
  <c r="E146" i="19"/>
  <c r="F146" i="19" s="1"/>
  <c r="E51" i="19"/>
  <c r="F51" i="19" s="1"/>
  <c r="E33" i="19"/>
  <c r="E60" i="19"/>
  <c r="F60" i="19" s="1"/>
  <c r="E24" i="19"/>
  <c r="F24" i="19" s="1"/>
  <c r="E74" i="19"/>
  <c r="F74" i="19" s="1"/>
  <c r="E83" i="19"/>
  <c r="F83" i="19" s="1"/>
  <c r="E260" i="19"/>
  <c r="E253" i="19"/>
  <c r="E242" i="19"/>
  <c r="F242" i="19" s="1"/>
  <c r="F548" i="19"/>
  <c r="F291" i="18"/>
  <c r="F293" i="18" s="1"/>
  <c r="E112" i="1" s="1"/>
  <c r="F112" i="1" s="1"/>
  <c r="F629" i="18"/>
  <c r="F656" i="18"/>
  <c r="F682" i="18"/>
  <c r="F699" i="18"/>
  <c r="F700" i="18"/>
  <c r="F735" i="18"/>
  <c r="F738" i="18" s="1"/>
  <c r="F870" i="18"/>
  <c r="E879" i="18"/>
  <c r="F879" i="18" s="1"/>
  <c r="F894" i="18"/>
  <c r="F932" i="18"/>
  <c r="F933" i="18" s="1"/>
  <c r="E1013" i="18"/>
  <c r="F1013" i="18" s="1"/>
  <c r="E1016" i="18"/>
  <c r="F1016" i="18" s="1"/>
  <c r="E1200" i="18"/>
  <c r="F1200" i="18" s="1"/>
  <c r="F1201" i="18" s="1"/>
  <c r="E1209" i="18"/>
  <c r="F1209" i="18" s="1"/>
  <c r="E1216" i="18"/>
  <c r="F1216" i="18" s="1"/>
  <c r="F1217" i="18" s="1"/>
  <c r="F1219" i="18" s="1"/>
  <c r="G1289" i="18"/>
  <c r="E26" i="19"/>
  <c r="F26" i="19" s="1"/>
  <c r="E27" i="19"/>
  <c r="F27" i="19" s="1"/>
  <c r="E62" i="19"/>
  <c r="F62" i="19" s="1"/>
  <c r="E63" i="19"/>
  <c r="F63" i="19" s="1"/>
  <c r="E84" i="19"/>
  <c r="F84" i="19" s="1"/>
  <c r="E85" i="19"/>
  <c r="F85" i="19" s="1"/>
  <c r="C255" i="19"/>
  <c r="F255" i="19" s="1"/>
  <c r="C262" i="19"/>
  <c r="F262" i="19" s="1"/>
  <c r="C306" i="19"/>
  <c r="F306" i="19" s="1"/>
  <c r="C319" i="19"/>
  <c r="F319" i="19" s="1"/>
  <c r="E409" i="19"/>
  <c r="F409" i="19" s="1"/>
  <c r="E410" i="19"/>
  <c r="F410" i="19" s="1"/>
  <c r="E532" i="19"/>
  <c r="F532" i="19" s="1"/>
  <c r="E534" i="19"/>
  <c r="F534" i="19" s="1"/>
  <c r="E582" i="19"/>
  <c r="F582" i="19" s="1"/>
  <c r="F583" i="19" s="1"/>
  <c r="F596" i="19"/>
  <c r="F601" i="19"/>
  <c r="E126" i="20"/>
  <c r="D406" i="20"/>
  <c r="E406" i="20" s="1"/>
  <c r="D153" i="20"/>
  <c r="E153" i="20" s="1"/>
  <c r="D337" i="20"/>
  <c r="E185" i="20"/>
  <c r="E186" i="20" s="1"/>
  <c r="E187" i="20" s="1"/>
  <c r="D447" i="20"/>
  <c r="D419" i="20"/>
  <c r="E419" i="20" s="1"/>
  <c r="D317" i="20"/>
  <c r="E317" i="20" s="1"/>
  <c r="E297" i="20"/>
  <c r="G19" i="22"/>
  <c r="H19" i="22" s="1"/>
  <c r="H28" i="22"/>
  <c r="G29" i="22" s="1"/>
  <c r="H29" i="22" s="1"/>
  <c r="H30" i="22" s="1"/>
  <c r="G103" i="22"/>
  <c r="F1275" i="18"/>
  <c r="G1275" i="18" s="1"/>
  <c r="G1276" i="18" s="1"/>
  <c r="G1286" i="18"/>
  <c r="E35" i="19"/>
  <c r="E36" i="19"/>
  <c r="E53" i="19"/>
  <c r="F53" i="19" s="1"/>
  <c r="E54" i="19"/>
  <c r="F54" i="19" s="1"/>
  <c r="E75" i="19"/>
  <c r="F75" i="19" s="1"/>
  <c r="E76" i="19"/>
  <c r="F76" i="19" s="1"/>
  <c r="E101" i="19"/>
  <c r="E149" i="19"/>
  <c r="F149" i="19" s="1"/>
  <c r="E217" i="19"/>
  <c r="F217" i="19" s="1"/>
  <c r="F218" i="19" s="1"/>
  <c r="F426" i="19"/>
  <c r="E489" i="19"/>
  <c r="F489" i="19" s="1"/>
  <c r="F490" i="19" s="1"/>
  <c r="F492" i="19" s="1"/>
  <c r="E506" i="19"/>
  <c r="F506" i="19" s="1"/>
  <c r="F507" i="19" s="1"/>
  <c r="E522" i="19"/>
  <c r="F522" i="19" s="1"/>
  <c r="F523" i="19" s="1"/>
  <c r="F525" i="19" s="1"/>
  <c r="E594" i="19"/>
  <c r="F594" i="19" s="1"/>
  <c r="F593" i="19"/>
  <c r="E16" i="20"/>
  <c r="E24" i="20" s="1"/>
  <c r="E27" i="20" s="1"/>
  <c r="D31" i="20" s="1"/>
  <c r="E31" i="20" s="1"/>
  <c r="E32" i="20" s="1"/>
  <c r="E34" i="20" s="1"/>
  <c r="E167" i="20"/>
  <c r="E168" i="20" s="1"/>
  <c r="D527" i="20"/>
  <c r="E527" i="20" s="1"/>
  <c r="E504" i="20"/>
  <c r="E326" i="20"/>
  <c r="E333" i="20"/>
  <c r="E547" i="20"/>
  <c r="G54" i="22"/>
  <c r="H54" i="22" s="1"/>
  <c r="G71" i="22"/>
  <c r="H71" i="22" s="1"/>
  <c r="G87" i="22"/>
  <c r="H87" i="22" s="1"/>
  <c r="H103" i="22"/>
  <c r="G119" i="22"/>
  <c r="H119" i="22" s="1"/>
  <c r="G135" i="22"/>
  <c r="H135" i="22" s="1"/>
  <c r="G153" i="22"/>
  <c r="H153" i="22" s="1"/>
  <c r="E90" i="20"/>
  <c r="E91" i="20" s="1"/>
  <c r="D173" i="20"/>
  <c r="E173" i="20" s="1"/>
  <c r="D174" i="20"/>
  <c r="E174" i="20" s="1"/>
  <c r="D175" i="20"/>
  <c r="E175" i="20" s="1"/>
  <c r="E312" i="20"/>
  <c r="E327" i="20"/>
  <c r="D394" i="20"/>
  <c r="E394" i="20" s="1"/>
  <c r="E395" i="20" s="1"/>
  <c r="D466" i="20" s="1"/>
  <c r="E466" i="20" s="1"/>
  <c r="D400" i="20"/>
  <c r="E400" i="20" s="1"/>
  <c r="E401" i="20" s="1"/>
  <c r="D467" i="20" s="1"/>
  <c r="B552" i="20"/>
  <c r="E552" i="20" s="1"/>
  <c r="E568" i="20"/>
  <c r="D26" i="21"/>
  <c r="E26" i="21" s="1"/>
  <c r="E27" i="21" s="1"/>
  <c r="G7" i="22"/>
  <c r="H7" i="22" s="1"/>
  <c r="G45" i="22"/>
  <c r="H45" i="22" s="1"/>
  <c r="G62" i="22"/>
  <c r="H62" i="22" s="1"/>
  <c r="G79" i="22"/>
  <c r="H79" i="22" s="1"/>
  <c r="G95" i="22"/>
  <c r="H95" i="22" s="1"/>
  <c r="G111" i="22"/>
  <c r="H111" i="22" s="1"/>
  <c r="G127" i="22"/>
  <c r="H127" i="22" s="1"/>
  <c r="G143" i="22"/>
  <c r="H143" i="22" s="1"/>
  <c r="D95" i="20"/>
  <c r="E95" i="20" s="1"/>
  <c r="E96" i="20" s="1"/>
  <c r="E97" i="20" s="1"/>
  <c r="E285" i="20"/>
  <c r="D291" i="20"/>
  <c r="E291" i="20" s="1"/>
  <c r="D12" i="21"/>
  <c r="E12" i="21" s="1"/>
  <c r="E13" i="21" s="1"/>
  <c r="D36" i="21"/>
  <c r="E36" i="21" s="1"/>
  <c r="E37" i="21" s="1"/>
  <c r="D41" i="21"/>
  <c r="E41" i="21" s="1"/>
  <c r="E42" i="21" s="1"/>
  <c r="D46" i="21"/>
  <c r="E46" i="21" s="1"/>
  <c r="E47" i="21" s="1"/>
  <c r="D57" i="21"/>
  <c r="E57" i="21" s="1"/>
  <c r="E58" i="21" s="1"/>
  <c r="E29" i="24"/>
  <c r="F29" i="24" s="1"/>
  <c r="E46" i="24"/>
  <c r="F46" i="24" s="1"/>
  <c r="E231" i="24"/>
  <c r="F231" i="24" s="1"/>
  <c r="E219" i="24"/>
  <c r="F219" i="24" s="1"/>
  <c r="E207" i="24"/>
  <c r="F207" i="24" s="1"/>
  <c r="E195" i="24"/>
  <c r="F195" i="24" s="1"/>
  <c r="E183" i="24"/>
  <c r="F183" i="24" s="1"/>
  <c r="E171" i="24"/>
  <c r="F171" i="24" s="1"/>
  <c r="E158" i="24"/>
  <c r="F158" i="24" s="1"/>
  <c r="E247" i="24"/>
  <c r="F247" i="24" s="1"/>
  <c r="E241" i="24"/>
  <c r="F241" i="24" s="1"/>
  <c r="E225" i="24"/>
  <c r="F225" i="24" s="1"/>
  <c r="E213" i="24"/>
  <c r="F213" i="24" s="1"/>
  <c r="E201" i="24"/>
  <c r="F201" i="24" s="1"/>
  <c r="E189" i="24"/>
  <c r="F189" i="24" s="1"/>
  <c r="E177" i="24"/>
  <c r="F177" i="24" s="1"/>
  <c r="E164" i="24"/>
  <c r="F164" i="24" s="1"/>
  <c r="E152" i="24"/>
  <c r="F152" i="24" s="1"/>
  <c r="F78" i="24"/>
  <c r="F79" i="24" s="1"/>
  <c r="F123" i="24"/>
  <c r="E28" i="24"/>
  <c r="F28" i="24" s="1"/>
  <c r="E45" i="24"/>
  <c r="F45" i="24" s="1"/>
  <c r="E232" i="24"/>
  <c r="F232" i="24" s="1"/>
  <c r="E220" i="24"/>
  <c r="F220" i="24" s="1"/>
  <c r="E208" i="24"/>
  <c r="F208" i="24" s="1"/>
  <c r="E196" i="24"/>
  <c r="F196" i="24" s="1"/>
  <c r="E184" i="24"/>
  <c r="F184" i="24" s="1"/>
  <c r="E172" i="24"/>
  <c r="F172" i="24" s="1"/>
  <c r="E159" i="24"/>
  <c r="F159" i="24" s="1"/>
  <c r="E226" i="24"/>
  <c r="F226" i="24" s="1"/>
  <c r="E214" i="24"/>
  <c r="F214" i="24" s="1"/>
  <c r="E202" i="24"/>
  <c r="F202" i="24" s="1"/>
  <c r="E190" i="24"/>
  <c r="F190" i="24" s="1"/>
  <c r="E178" i="24"/>
  <c r="F178" i="24" s="1"/>
  <c r="E165" i="24"/>
  <c r="F165" i="24" s="1"/>
  <c r="E153" i="24"/>
  <c r="F70" i="24"/>
  <c r="F71" i="24" s="1"/>
  <c r="E130" i="24"/>
  <c r="F130" i="24" s="1"/>
  <c r="E122" i="24"/>
  <c r="F122" i="24" s="1"/>
  <c r="F131" i="24"/>
  <c r="I59" i="25"/>
  <c r="I57" i="25"/>
  <c r="I58" i="25"/>
  <c r="I56" i="25"/>
  <c r="I28" i="25"/>
  <c r="C23" i="1" s="1"/>
  <c r="F23" i="1" s="1"/>
  <c r="F28" i="26"/>
  <c r="I26" i="27"/>
  <c r="C618" i="1" s="1"/>
  <c r="F618" i="1" s="1"/>
  <c r="E48" i="24"/>
  <c r="F48" i="24" s="1"/>
  <c r="I28" i="26"/>
  <c r="O28" i="26"/>
  <c r="I61" i="28"/>
  <c r="I59" i="28"/>
  <c r="I60" i="28"/>
  <c r="I58" i="28"/>
  <c r="I30" i="28"/>
  <c r="I32" i="28" s="1"/>
  <c r="L12" i="35"/>
  <c r="D32" i="39"/>
  <c r="E26" i="39"/>
  <c r="E28" i="39" s="1"/>
  <c r="D149" i="42"/>
  <c r="E149" i="42" s="1"/>
  <c r="E152" i="42" s="1"/>
  <c r="E143" i="42"/>
  <c r="E146" i="42" s="1"/>
  <c r="D278" i="42" s="1"/>
  <c r="E278" i="42" s="1"/>
  <c r="E87" i="24"/>
  <c r="F87" i="24" s="1"/>
  <c r="F141" i="24"/>
  <c r="F143" i="24" s="1"/>
  <c r="L28" i="26"/>
  <c r="L9" i="27"/>
  <c r="L26" i="27" s="1"/>
  <c r="I12" i="37"/>
  <c r="J12" i="37" s="1"/>
  <c r="E33" i="37"/>
  <c r="E10" i="39"/>
  <c r="D45" i="41"/>
  <c r="E45" i="41" s="1"/>
  <c r="E47" i="41" s="1"/>
  <c r="E33" i="41"/>
  <c r="E35" i="41" s="1"/>
  <c r="D74" i="42"/>
  <c r="E74" i="42" s="1"/>
  <c r="D32" i="42"/>
  <c r="E32" i="42" s="1"/>
  <c r="D157" i="42"/>
  <c r="E157" i="42" s="1"/>
  <c r="D41" i="42"/>
  <c r="E41" i="42" s="1"/>
  <c r="D156" i="42"/>
  <c r="E156" i="42" s="1"/>
  <c r="D33" i="42"/>
  <c r="E33" i="42" s="1"/>
  <c r="D42" i="42"/>
  <c r="E42" i="42" s="1"/>
  <c r="F8" i="29"/>
  <c r="F26" i="29" s="1"/>
  <c r="O8" i="29"/>
  <c r="O26" i="29" s="1"/>
  <c r="H9" i="29"/>
  <c r="I9" i="29" s="1"/>
  <c r="H10" i="29"/>
  <c r="I10" i="29" s="1"/>
  <c r="C36" i="29"/>
  <c r="F36" i="29" s="1"/>
  <c r="E26" i="30"/>
  <c r="F26" i="30" s="1"/>
  <c r="D38" i="41"/>
  <c r="E38" i="41" s="1"/>
  <c r="E41" i="41" s="1"/>
  <c r="D44" i="42"/>
  <c r="E44" i="42" s="1"/>
  <c r="D53" i="42"/>
  <c r="E53" i="42" s="1"/>
  <c r="E55" i="42" s="1"/>
  <c r="D67" i="42"/>
  <c r="E67" i="42" s="1"/>
  <c r="D114" i="42"/>
  <c r="D222" i="42"/>
  <c r="E222" i="42" s="1"/>
  <c r="E218" i="42"/>
  <c r="E425" i="42"/>
  <c r="E426" i="42" s="1"/>
  <c r="D253" i="42" s="1"/>
  <c r="E253" i="42" s="1"/>
  <c r="E421" i="42"/>
  <c r="E424" i="42" s="1"/>
  <c r="L8" i="29"/>
  <c r="L26" i="29" s="1"/>
  <c r="E20" i="39"/>
  <c r="E22" i="39" s="1"/>
  <c r="E26" i="41"/>
  <c r="E28" i="41" s="1"/>
  <c r="D107" i="42"/>
  <c r="E107" i="42" s="1"/>
  <c r="D159" i="42"/>
  <c r="E159" i="42" s="1"/>
  <c r="E161" i="42" s="1"/>
  <c r="D34" i="42"/>
  <c r="E34" i="42" s="1"/>
  <c r="D35" i="42"/>
  <c r="E35" i="42" s="1"/>
  <c r="D75" i="42"/>
  <c r="E75" i="42" s="1"/>
  <c r="D76" i="42"/>
  <c r="E76" i="42" s="1"/>
  <c r="D99" i="42"/>
  <c r="E99" i="42" s="1"/>
  <c r="E305" i="42"/>
  <c r="E307" i="42" s="1"/>
  <c r="D332" i="42"/>
  <c r="E332" i="42" s="1"/>
  <c r="E333" i="42" s="1"/>
  <c r="E334" i="42" s="1"/>
  <c r="D339" i="42" s="1"/>
  <c r="E339" i="42" s="1"/>
  <c r="E340" i="42" s="1"/>
  <c r="E515" i="42"/>
  <c r="E517" i="42" s="1"/>
  <c r="E567" i="42"/>
  <c r="E587" i="42"/>
  <c r="E588" i="42" s="1"/>
  <c r="E589" i="42" s="1"/>
  <c r="D178" i="42"/>
  <c r="E178" i="42" s="1"/>
  <c r="E179" i="42" s="1"/>
  <c r="D185" i="42"/>
  <c r="E185" i="42" s="1"/>
  <c r="E186" i="42" s="1"/>
  <c r="D225" i="42" s="1"/>
  <c r="E225" i="42" s="1"/>
  <c r="D206" i="42"/>
  <c r="E206" i="42" s="1"/>
  <c r="E207" i="42" s="1"/>
  <c r="E208" i="42" s="1"/>
  <c r="D286" i="42"/>
  <c r="E286" i="42" s="1"/>
  <c r="E287" i="42" s="1"/>
  <c r="D191" i="42"/>
  <c r="E191" i="42" s="1"/>
  <c r="E192" i="42" s="1"/>
  <c r="D224" i="42" s="1"/>
  <c r="E224" i="42" s="1"/>
  <c r="D348" i="42"/>
  <c r="E348" i="42" s="1"/>
  <c r="E349" i="42" s="1"/>
  <c r="E351" i="42" s="1"/>
  <c r="I59" i="26"/>
  <c r="E131" i="7"/>
  <c r="D143" i="7" s="1"/>
  <c r="D3" i="7"/>
  <c r="H28" i="7"/>
  <c r="I26" i="7" s="1"/>
  <c r="H83" i="7"/>
  <c r="I81" i="7" s="1"/>
  <c r="D205" i="7"/>
  <c r="H205" i="7" s="1"/>
  <c r="J119" i="7"/>
  <c r="I14" i="7"/>
  <c r="H204" i="7"/>
  <c r="I34" i="7"/>
  <c r="H7" i="7"/>
  <c r="I3" i="7" s="1"/>
  <c r="I42" i="7"/>
  <c r="E591" i="18"/>
  <c r="F591" i="18" s="1"/>
  <c r="F592" i="18" s="1"/>
  <c r="G135" i="5"/>
  <c r="F692" i="2" l="1"/>
  <c r="F1092" i="2" s="1"/>
  <c r="F1093" i="2" s="1"/>
  <c r="F604" i="19"/>
  <c r="G1297" i="18"/>
  <c r="F483" i="19"/>
  <c r="F537" i="19"/>
  <c r="C846" i="1"/>
  <c r="F846" i="1" s="1"/>
  <c r="C938" i="1"/>
  <c r="F938" i="1" s="1"/>
  <c r="I30" i="26"/>
  <c r="I32" i="26" s="1"/>
  <c r="C120" i="7"/>
  <c r="I58" i="26"/>
  <c r="I61" i="26"/>
  <c r="I60" i="26"/>
  <c r="F132" i="24"/>
  <c r="C18" i="1"/>
  <c r="F18" i="1" s="1"/>
  <c r="C19" i="1"/>
  <c r="I26" i="29"/>
  <c r="I28" i="29" s="1"/>
  <c r="I30" i="29" s="1"/>
  <c r="E176" i="20"/>
  <c r="F875" i="18"/>
  <c r="F876" i="18" s="1"/>
  <c r="F500" i="19"/>
  <c r="E226" i="42"/>
  <c r="E227" i="42" s="1"/>
  <c r="G144" i="22"/>
  <c r="H144" i="22" s="1"/>
  <c r="H145" i="22" s="1"/>
  <c r="G112" i="22"/>
  <c r="H112" i="22" s="1"/>
  <c r="H113" i="22" s="1"/>
  <c r="G80" i="22"/>
  <c r="H80" i="22" s="1"/>
  <c r="H81" i="22" s="1"/>
  <c r="G46" i="22"/>
  <c r="H46" i="22" s="1"/>
  <c r="H47" i="22" s="1"/>
  <c r="G136" i="22"/>
  <c r="H136" i="22" s="1"/>
  <c r="H137" i="22" s="1"/>
  <c r="G72" i="22"/>
  <c r="H72" i="22" s="1"/>
  <c r="H73" i="22" s="1"/>
  <c r="D284" i="20"/>
  <c r="D214" i="20"/>
  <c r="E573" i="19"/>
  <c r="F573" i="19" s="1"/>
  <c r="F509" i="19"/>
  <c r="E575" i="19" s="1"/>
  <c r="F575" i="19" s="1"/>
  <c r="D503" i="20"/>
  <c r="D446" i="20"/>
  <c r="E446" i="20" s="1"/>
  <c r="F1106" i="2"/>
  <c r="F1104" i="2"/>
  <c r="F1102" i="2"/>
  <c r="F1100" i="2"/>
  <c r="F1098" i="2"/>
  <c r="F1096" i="2"/>
  <c r="F1107" i="2"/>
  <c r="F1105" i="2"/>
  <c r="F1101" i="2"/>
  <c r="F1099" i="2"/>
  <c r="F1097" i="2"/>
  <c r="I59" i="29"/>
  <c r="I57" i="29"/>
  <c r="I58" i="29"/>
  <c r="I56" i="29"/>
  <c r="E82" i="24"/>
  <c r="F82" i="24" s="1"/>
  <c r="F88" i="24" s="1"/>
  <c r="E91" i="24"/>
  <c r="F91" i="24" s="1"/>
  <c r="F95" i="24" s="1"/>
  <c r="G128" i="22"/>
  <c r="H128" i="22" s="1"/>
  <c r="H129" i="22" s="1"/>
  <c r="G96" i="22"/>
  <c r="H96" i="22" s="1"/>
  <c r="H97" i="22" s="1"/>
  <c r="G63" i="22"/>
  <c r="H63" i="22" s="1"/>
  <c r="H64" i="22" s="1"/>
  <c r="G8" i="22"/>
  <c r="H8" i="22" s="1"/>
  <c r="H9" i="22" s="1"/>
  <c r="D471" i="20"/>
  <c r="E467" i="20"/>
  <c r="G154" i="22"/>
  <c r="H154" i="22" s="1"/>
  <c r="H155" i="22" s="1"/>
  <c r="G120" i="22"/>
  <c r="H120" i="22" s="1"/>
  <c r="H121" i="22" s="1"/>
  <c r="G88" i="22"/>
  <c r="H88" i="22" s="1"/>
  <c r="H89" i="22" s="1"/>
  <c r="F1203" i="18"/>
  <c r="F1268" i="18" s="1"/>
  <c r="G1268" i="18" s="1"/>
  <c r="F1266" i="18"/>
  <c r="G1266" i="18" s="1"/>
  <c r="E114" i="42"/>
  <c r="D122" i="42"/>
  <c r="E56" i="42"/>
  <c r="E46" i="42"/>
  <c r="E47" i="42" s="1"/>
  <c r="D277" i="42" s="1"/>
  <c r="E277" i="42" s="1"/>
  <c r="E280" i="42" s="1"/>
  <c r="E281" i="42" s="1"/>
  <c r="E289" i="42" s="1"/>
  <c r="E296" i="42" s="1"/>
  <c r="E37" i="42"/>
  <c r="E38" i="42" s="1"/>
  <c r="D233" i="42"/>
  <c r="E233" i="42" s="1"/>
  <c r="D169" i="42"/>
  <c r="E169" i="42" s="1"/>
  <c r="D238" i="42"/>
  <c r="E238" i="42" s="1"/>
  <c r="E32" i="39"/>
  <c r="E34" i="39" s="1"/>
  <c r="D38" i="39"/>
  <c r="C940" i="1"/>
  <c r="F940" i="1" s="1"/>
  <c r="C848" i="1"/>
  <c r="F848" i="1" s="1"/>
  <c r="C936" i="1"/>
  <c r="F936" i="1" s="1"/>
  <c r="C843" i="1"/>
  <c r="F843" i="1" s="1"/>
  <c r="I60" i="25"/>
  <c r="I30" i="25"/>
  <c r="C24" i="1" s="1"/>
  <c r="F24" i="1" s="1"/>
  <c r="E248" i="24"/>
  <c r="F248" i="24" s="1"/>
  <c r="E242" i="24"/>
  <c r="F242" i="24" s="1"/>
  <c r="F244" i="24" s="1"/>
  <c r="F153" i="24"/>
  <c r="F155" i="24" s="1"/>
  <c r="F50" i="24"/>
  <c r="F51" i="24" s="1"/>
  <c r="F167" i="24"/>
  <c r="F192" i="24"/>
  <c r="F216" i="24"/>
  <c r="F161" i="24"/>
  <c r="F186" i="24"/>
  <c r="F210" i="24"/>
  <c r="F234" i="24"/>
  <c r="E60" i="21"/>
  <c r="G55" i="22"/>
  <c r="H55" i="22" s="1"/>
  <c r="H56" i="22" s="1"/>
  <c r="E112" i="19"/>
  <c r="F112" i="19" s="1"/>
  <c r="F101" i="19"/>
  <c r="F79" i="19"/>
  <c r="F80" i="19" s="1"/>
  <c r="E44" i="19"/>
  <c r="F44" i="19" s="1"/>
  <c r="F35" i="19"/>
  <c r="G104" i="22"/>
  <c r="H104" i="22" s="1"/>
  <c r="H105" i="22" s="1"/>
  <c r="G20" i="22"/>
  <c r="H20" i="22" s="1"/>
  <c r="H21" i="22" s="1"/>
  <c r="D513" i="20"/>
  <c r="E513" i="20" s="1"/>
  <c r="E447" i="20"/>
  <c r="E177" i="20"/>
  <c r="D553" i="20" s="1"/>
  <c r="E158" i="20"/>
  <c r="E159" i="20" s="1"/>
  <c r="D231" i="20" s="1"/>
  <c r="F539" i="19"/>
  <c r="F541" i="19"/>
  <c r="F429" i="19"/>
  <c r="F887" i="18"/>
  <c r="F888" i="18" s="1"/>
  <c r="E297" i="19"/>
  <c r="F253" i="19"/>
  <c r="F87" i="19"/>
  <c r="F88" i="19" s="1"/>
  <c r="F29" i="19"/>
  <c r="F30" i="19" s="1"/>
  <c r="E42" i="19"/>
  <c r="F42" i="19" s="1"/>
  <c r="F33" i="19"/>
  <c r="F151" i="19"/>
  <c r="F152" i="19" s="1"/>
  <c r="E905" i="18"/>
  <c r="F893" i="18"/>
  <c r="F899" i="18" s="1"/>
  <c r="F900" i="18" s="1"/>
  <c r="E1161" i="18"/>
  <c r="F1161" i="18" s="1"/>
  <c r="F1160" i="18"/>
  <c r="E654" i="18"/>
  <c r="F87" i="18"/>
  <c r="F75" i="18"/>
  <c r="E1047" i="18"/>
  <c r="F1041" i="18"/>
  <c r="F211" i="18"/>
  <c r="E642" i="18"/>
  <c r="E615" i="18"/>
  <c r="F615" i="18" s="1"/>
  <c r="F617" i="18" s="1"/>
  <c r="F610" i="18"/>
  <c r="F217" i="18"/>
  <c r="E275" i="19"/>
  <c r="E247" i="19"/>
  <c r="L238" i="19"/>
  <c r="F237" i="19"/>
  <c r="E267" i="19"/>
  <c r="E43" i="19"/>
  <c r="F43" i="19" s="1"/>
  <c r="F34" i="19"/>
  <c r="E655" i="18"/>
  <c r="F621" i="18"/>
  <c r="E314" i="18"/>
  <c r="F309" i="18"/>
  <c r="F311" i="18" s="1"/>
  <c r="E128" i="1" s="1"/>
  <c r="F128" i="1" s="1"/>
  <c r="E40" i="18"/>
  <c r="F40" i="18" s="1"/>
  <c r="F31" i="18"/>
  <c r="F251" i="18"/>
  <c r="E237" i="18"/>
  <c r="F237" i="18" s="1"/>
  <c r="C320" i="1"/>
  <c r="F320" i="1" s="1"/>
  <c r="E160" i="1"/>
  <c r="F151" i="1"/>
  <c r="F83" i="18"/>
  <c r="F84" i="18" s="1"/>
  <c r="E162" i="42"/>
  <c r="D168" i="42" s="1"/>
  <c r="E168" i="42" s="1"/>
  <c r="E78" i="42"/>
  <c r="E79" i="42" s="1"/>
  <c r="E70" i="42"/>
  <c r="E71" i="42" s="1"/>
  <c r="I62" i="28"/>
  <c r="C937" i="1"/>
  <c r="C844" i="1"/>
  <c r="I58" i="27"/>
  <c r="I56" i="27"/>
  <c r="I28" i="27"/>
  <c r="C620" i="1" s="1"/>
  <c r="F620" i="1" s="1"/>
  <c r="I57" i="27"/>
  <c r="C615" i="1" s="1"/>
  <c r="F615" i="1" s="1"/>
  <c r="I30" i="27"/>
  <c r="I59" i="27"/>
  <c r="F33" i="24"/>
  <c r="F34" i="24" s="1"/>
  <c r="F180" i="24"/>
  <c r="F204" i="24"/>
  <c r="F228" i="24"/>
  <c r="F250" i="24"/>
  <c r="F174" i="24"/>
  <c r="F198" i="24"/>
  <c r="F222" i="24"/>
  <c r="E45" i="19"/>
  <c r="F45" i="19" s="1"/>
  <c r="F36" i="19"/>
  <c r="E337" i="20"/>
  <c r="D346" i="20"/>
  <c r="E346" i="20" s="1"/>
  <c r="E411" i="20"/>
  <c r="E412" i="20" s="1"/>
  <c r="D418" i="20" s="1"/>
  <c r="E418" i="20" s="1"/>
  <c r="F260" i="19"/>
  <c r="E467" i="19"/>
  <c r="F467" i="19" s="1"/>
  <c r="F470" i="19" s="1"/>
  <c r="E317" i="19"/>
  <c r="F65" i="19"/>
  <c r="F66" i="19" s="1"/>
  <c r="E202" i="19" s="1"/>
  <c r="F202" i="19" s="1"/>
  <c r="F205" i="19" s="1"/>
  <c r="F56" i="19"/>
  <c r="F57" i="19" s="1"/>
  <c r="E922" i="18"/>
  <c r="F922" i="18" s="1"/>
  <c r="F909" i="18"/>
  <c r="E921" i="18"/>
  <c r="F921" i="18" s="1"/>
  <c r="F908" i="18"/>
  <c r="E497" i="1"/>
  <c r="F497" i="1" s="1"/>
  <c r="E776" i="18"/>
  <c r="F776" i="18" s="1"/>
  <c r="F779" i="18" s="1"/>
  <c r="E681" i="18"/>
  <c r="F681" i="18" s="1"/>
  <c r="F628" i="18"/>
  <c r="E634" i="18"/>
  <c r="F634" i="18" s="1"/>
  <c r="F637" i="18" s="1"/>
  <c r="F627" i="18"/>
  <c r="F631" i="18" s="1"/>
  <c r="E1392" i="18"/>
  <c r="F1392" i="18" s="1"/>
  <c r="F1394" i="18" s="1"/>
  <c r="E1380" i="18"/>
  <c r="F1380" i="18" s="1"/>
  <c r="F1382" i="18" s="1"/>
  <c r="E1242" i="18"/>
  <c r="F1242" i="18" s="1"/>
  <c r="E1183" i="18"/>
  <c r="F1183" i="18" s="1"/>
  <c r="F1187" i="18" s="1"/>
  <c r="E1175" i="18"/>
  <c r="E1118" i="18"/>
  <c r="F1118" i="18" s="1"/>
  <c r="E1088" i="18"/>
  <c r="F1088" i="18" s="1"/>
  <c r="E1037" i="18"/>
  <c r="E1026" i="18"/>
  <c r="F1026" i="18" s="1"/>
  <c r="E856" i="18"/>
  <c r="F856" i="18" s="1"/>
  <c r="F858" i="18" s="1"/>
  <c r="E850" i="18"/>
  <c r="F850" i="18" s="1"/>
  <c r="F852" i="18" s="1"/>
  <c r="E839" i="18"/>
  <c r="F839" i="18" s="1"/>
  <c r="F840" i="18" s="1"/>
  <c r="E807" i="18"/>
  <c r="F807" i="18" s="1"/>
  <c r="F809" i="18" s="1"/>
  <c r="E796" i="18"/>
  <c r="F796" i="18" s="1"/>
  <c r="E559" i="18"/>
  <c r="F559" i="18" s="1"/>
  <c r="E227" i="18"/>
  <c r="F227" i="18" s="1"/>
  <c r="F229" i="18" s="1"/>
  <c r="E203" i="18"/>
  <c r="E191" i="18"/>
  <c r="F191" i="18" s="1"/>
  <c r="F193" i="18" s="1"/>
  <c r="E1386" i="18"/>
  <c r="F1386" i="18" s="1"/>
  <c r="F1388" i="18" s="1"/>
  <c r="E1372" i="18"/>
  <c r="F1372" i="18" s="1"/>
  <c r="F1373" i="18" s="1"/>
  <c r="E1366" i="18"/>
  <c r="F1366" i="18" s="1"/>
  <c r="F1368" i="18" s="1"/>
  <c r="F1369" i="18" s="1"/>
  <c r="E1360" i="18"/>
  <c r="F1360" i="18" s="1"/>
  <c r="F1362" i="18" s="1"/>
  <c r="F1363" i="18" s="1"/>
  <c r="E1337" i="18"/>
  <c r="F1337" i="18" s="1"/>
  <c r="F1339" i="18" s="1"/>
  <c r="E1325" i="18"/>
  <c r="F1325" i="18" s="1"/>
  <c r="F1326" i="18" s="1"/>
  <c r="C1328" i="18" s="1"/>
  <c r="E1318" i="18"/>
  <c r="F1318" i="18" s="1"/>
  <c r="F1320" i="18" s="1"/>
  <c r="C1322" i="18" s="1"/>
  <c r="E1306" i="18"/>
  <c r="F1306" i="18" s="1"/>
  <c r="F1308" i="18" s="1"/>
  <c r="E1310" i="18" s="1"/>
  <c r="F1310" i="18" s="1"/>
  <c r="F1313" i="18" s="1"/>
  <c r="E862" i="18"/>
  <c r="F862" i="18" s="1"/>
  <c r="F864" i="18" s="1"/>
  <c r="E844" i="18"/>
  <c r="F844" i="18" s="1"/>
  <c r="F846" i="18" s="1"/>
  <c r="E813" i="18"/>
  <c r="F813" i="18" s="1"/>
  <c r="F815" i="18" s="1"/>
  <c r="E801" i="18"/>
  <c r="F801" i="18" s="1"/>
  <c r="E791" i="18"/>
  <c r="F791" i="18" s="1"/>
  <c r="E1150" i="18" s="1"/>
  <c r="F1150" i="18" s="1"/>
  <c r="E611" i="18"/>
  <c r="E547" i="18"/>
  <c r="F547" i="18" s="1"/>
  <c r="E197" i="18"/>
  <c r="F197" i="18" s="1"/>
  <c r="F199" i="18" s="1"/>
  <c r="E179" i="18"/>
  <c r="F179" i="18" s="1"/>
  <c r="F181" i="18" s="1"/>
  <c r="E167" i="18"/>
  <c r="F167" i="18" s="1"/>
  <c r="F169" i="18" s="1"/>
  <c r="E155" i="18"/>
  <c r="F155" i="18" s="1"/>
  <c r="F157" i="18" s="1"/>
  <c r="E143" i="18"/>
  <c r="F143" i="18" s="1"/>
  <c r="F145" i="18" s="1"/>
  <c r="E131" i="18"/>
  <c r="F131" i="18" s="1"/>
  <c r="F133" i="18" s="1"/>
  <c r="E119" i="18"/>
  <c r="F119" i="18" s="1"/>
  <c r="F121" i="18" s="1"/>
  <c r="E107" i="18"/>
  <c r="F107" i="18" s="1"/>
  <c r="F109" i="18" s="1"/>
  <c r="E94" i="18"/>
  <c r="F94" i="18" s="1"/>
  <c r="F96" i="18" s="1"/>
  <c r="E88" i="18"/>
  <c r="F88" i="18" s="1"/>
  <c r="E185" i="18"/>
  <c r="F185" i="18" s="1"/>
  <c r="F187" i="18" s="1"/>
  <c r="E173" i="18"/>
  <c r="F173" i="18" s="1"/>
  <c r="F175" i="18" s="1"/>
  <c r="E161" i="18"/>
  <c r="F161" i="18" s="1"/>
  <c r="F163" i="18" s="1"/>
  <c r="E149" i="18"/>
  <c r="F149" i="18" s="1"/>
  <c r="F151" i="18" s="1"/>
  <c r="E137" i="18"/>
  <c r="F137" i="18" s="1"/>
  <c r="F139" i="18" s="1"/>
  <c r="E125" i="18"/>
  <c r="F125" i="18" s="1"/>
  <c r="F127" i="18" s="1"/>
  <c r="E113" i="18"/>
  <c r="F113" i="18" s="1"/>
  <c r="F115" i="18" s="1"/>
  <c r="E101" i="18"/>
  <c r="F101" i="18" s="1"/>
  <c r="E73" i="1" s="1"/>
  <c r="F73" i="1" s="1"/>
  <c r="E39" i="18"/>
  <c r="F39" i="18" s="1"/>
  <c r="F30" i="18"/>
  <c r="E38" i="18"/>
  <c r="F38" i="18" s="1"/>
  <c r="F29" i="18"/>
  <c r="F76" i="18"/>
  <c r="E534" i="18"/>
  <c r="F534" i="18" s="1"/>
  <c r="E1075" i="18"/>
  <c r="F1075" i="18" s="1"/>
  <c r="E50" i="18"/>
  <c r="F50" i="18" s="1"/>
  <c r="E28" i="18"/>
  <c r="E162" i="1"/>
  <c r="F153" i="1"/>
  <c r="E328" i="1"/>
  <c r="F309" i="1"/>
  <c r="E161" i="1"/>
  <c r="F152" i="1"/>
  <c r="I203" i="7"/>
  <c r="I62" i="26" l="1"/>
  <c r="F19" i="1"/>
  <c r="C22" i="1"/>
  <c r="F22" i="1" s="1"/>
  <c r="F103" i="18"/>
  <c r="E1329" i="18"/>
  <c r="F1329" i="18" s="1"/>
  <c r="F1333" i="18" s="1"/>
  <c r="F1334" i="18" s="1"/>
  <c r="D167" i="42"/>
  <c r="E167" i="42" s="1"/>
  <c r="E173" i="42" s="1"/>
  <c r="E174" i="42" s="1"/>
  <c r="D130" i="42"/>
  <c r="E130" i="42" s="1"/>
  <c r="D113" i="42"/>
  <c r="E113" i="42" s="1"/>
  <c r="E118" i="42" s="1"/>
  <c r="D121" i="42"/>
  <c r="E121" i="42" s="1"/>
  <c r="E169" i="19"/>
  <c r="F169" i="19" s="1"/>
  <c r="E116" i="19"/>
  <c r="F116" i="19" s="1"/>
  <c r="F120" i="19" s="1"/>
  <c r="E157" i="19"/>
  <c r="F157" i="19" s="1"/>
  <c r="E107" i="19"/>
  <c r="F107" i="19" s="1"/>
  <c r="F113" i="19" s="1"/>
  <c r="D96" i="42"/>
  <c r="E96" i="42" s="1"/>
  <c r="E101" i="42" s="1"/>
  <c r="D262" i="42" s="1"/>
  <c r="E262" i="42" s="1"/>
  <c r="D137" i="42"/>
  <c r="E137" i="42" s="1"/>
  <c r="D104" i="42"/>
  <c r="E104" i="42" s="1"/>
  <c r="E110" i="42" s="1"/>
  <c r="D89" i="42"/>
  <c r="E89" i="42" s="1"/>
  <c r="E93" i="42" s="1"/>
  <c r="D444" i="42" s="1"/>
  <c r="E444" i="42" s="1"/>
  <c r="D82" i="42"/>
  <c r="E82" i="42" s="1"/>
  <c r="E86" i="42" s="1"/>
  <c r="D443" i="42" s="1"/>
  <c r="E443" i="42" s="1"/>
  <c r="E482" i="19"/>
  <c r="E236" i="19"/>
  <c r="D237" i="20"/>
  <c r="E231" i="20"/>
  <c r="E234" i="20" s="1"/>
  <c r="H158" i="22"/>
  <c r="E37" i="18"/>
  <c r="F37" i="18" s="1"/>
  <c r="F28" i="18"/>
  <c r="F1080" i="18"/>
  <c r="F1081" i="18" s="1"/>
  <c r="E820" i="18"/>
  <c r="F820" i="18" s="1"/>
  <c r="F822" i="18" s="1"/>
  <c r="E456" i="1" s="1"/>
  <c r="F456" i="1" s="1"/>
  <c r="E601" i="18"/>
  <c r="F601" i="18" s="1"/>
  <c r="F604" i="18" s="1"/>
  <c r="E371" i="1" s="1"/>
  <c r="F371" i="1" s="1"/>
  <c r="E568" i="18"/>
  <c r="F568" i="18" s="1"/>
  <c r="F570" i="18" s="1"/>
  <c r="E574" i="18"/>
  <c r="F574" i="18" s="1"/>
  <c r="E264" i="18"/>
  <c r="F264" i="18" s="1"/>
  <c r="F267" i="18" s="1"/>
  <c r="E257" i="18"/>
  <c r="F257" i="18" s="1"/>
  <c r="E248" i="18"/>
  <c r="F248" i="18" s="1"/>
  <c r="E643" i="18"/>
  <c r="F611" i="18"/>
  <c r="F612" i="18" s="1"/>
  <c r="E635" i="18"/>
  <c r="E297" i="18"/>
  <c r="E1042" i="18"/>
  <c r="F1037" i="18"/>
  <c r="F1038" i="18" s="1"/>
  <c r="E453" i="1"/>
  <c r="F453" i="1" s="1"/>
  <c r="E379" i="19"/>
  <c r="E186" i="19"/>
  <c r="F186" i="19" s="1"/>
  <c r="E326" i="19"/>
  <c r="F326" i="19" s="1"/>
  <c r="F317" i="19"/>
  <c r="E342" i="20"/>
  <c r="E343" i="20" s="1"/>
  <c r="I60" i="27"/>
  <c r="C616" i="1"/>
  <c r="F844" i="1"/>
  <c r="C849" i="1"/>
  <c r="F849" i="1" s="1"/>
  <c r="C847" i="1"/>
  <c r="F847" i="1" s="1"/>
  <c r="E175" i="1"/>
  <c r="F160" i="1"/>
  <c r="E79" i="1"/>
  <c r="F79" i="1" s="1"/>
  <c r="F608" i="1" s="1"/>
  <c r="E83" i="1"/>
  <c r="F83" i="1" s="1"/>
  <c r="E474" i="19"/>
  <c r="F474" i="19" s="1"/>
  <c r="F476" i="19" s="1"/>
  <c r="E311" i="19"/>
  <c r="E286" i="19"/>
  <c r="F286" i="19" s="1"/>
  <c r="F267" i="19"/>
  <c r="L250" i="19"/>
  <c r="M238" i="19"/>
  <c r="E281" i="19"/>
  <c r="F281" i="19" s="1"/>
  <c r="F275" i="19"/>
  <c r="E648" i="18"/>
  <c r="F648" i="18" s="1"/>
  <c r="F642" i="18"/>
  <c r="E1053" i="18"/>
  <c r="F1047" i="18"/>
  <c r="F90" i="18"/>
  <c r="F38" i="19"/>
  <c r="F39" i="19" s="1"/>
  <c r="D570" i="20"/>
  <c r="E570" i="20" s="1"/>
  <c r="D555" i="20"/>
  <c r="E553" i="20"/>
  <c r="D395" i="42"/>
  <c r="E395" i="42" s="1"/>
  <c r="E397" i="42" s="1"/>
  <c r="E398" i="42" s="1"/>
  <c r="D232" i="42"/>
  <c r="E232" i="42" s="1"/>
  <c r="E234" i="42" s="1"/>
  <c r="D237" i="42"/>
  <c r="E237" i="42" s="1"/>
  <c r="E240" i="42" s="1"/>
  <c r="F1103" i="2"/>
  <c r="F1108" i="2" s="1"/>
  <c r="F1110" i="2" s="1"/>
  <c r="E448" i="20"/>
  <c r="D454" i="20" s="1"/>
  <c r="E454" i="20" s="1"/>
  <c r="D220" i="20"/>
  <c r="E214" i="20"/>
  <c r="E217" i="20" s="1"/>
  <c r="E176" i="1"/>
  <c r="F161" i="1"/>
  <c r="F328" i="1"/>
  <c r="E364" i="1"/>
  <c r="E177" i="1"/>
  <c r="F162" i="1"/>
  <c r="F55" i="18"/>
  <c r="F56" i="18" s="1"/>
  <c r="E582" i="18" s="1"/>
  <c r="F582" i="18" s="1"/>
  <c r="F585" i="18" s="1"/>
  <c r="F539" i="18"/>
  <c r="F540" i="18" s="1"/>
  <c r="E221" i="18"/>
  <c r="F221" i="18" s="1"/>
  <c r="F223" i="18" s="1"/>
  <c r="F203" i="18"/>
  <c r="F205" i="18" s="1"/>
  <c r="E1210" i="18"/>
  <c r="F1210" i="18" s="1"/>
  <c r="F1211" i="18" s="1"/>
  <c r="F1175" i="18"/>
  <c r="F1177" i="18" s="1"/>
  <c r="E1162" i="18" s="1"/>
  <c r="F1162" i="18" s="1"/>
  <c r="E227" i="19"/>
  <c r="F227" i="19" s="1"/>
  <c r="F230" i="19" s="1"/>
  <c r="E194" i="19"/>
  <c r="F194" i="19" s="1"/>
  <c r="E180" i="19"/>
  <c r="F180" i="19" s="1"/>
  <c r="F182" i="19" s="1"/>
  <c r="E123" i="19"/>
  <c r="F123" i="19" s="1"/>
  <c r="F126" i="19" s="1"/>
  <c r="E98" i="19"/>
  <c r="F98" i="19" s="1"/>
  <c r="F103" i="19" s="1"/>
  <c r="D104" i="19" s="1"/>
  <c r="E91" i="19"/>
  <c r="F91" i="19" s="1"/>
  <c r="F95" i="19" s="1"/>
  <c r="E350" i="20"/>
  <c r="E351" i="20" s="1"/>
  <c r="C941" i="1"/>
  <c r="F941" i="1" s="1"/>
  <c r="C939" i="1"/>
  <c r="F939" i="1" s="1"/>
  <c r="F937" i="1"/>
  <c r="E1086" i="18"/>
  <c r="F1086" i="18" s="1"/>
  <c r="E557" i="18"/>
  <c r="F557" i="18" s="1"/>
  <c r="E232" i="18"/>
  <c r="F232" i="18" s="1"/>
  <c r="F238" i="18" s="1"/>
  <c r="E545" i="18"/>
  <c r="F545" i="18" s="1"/>
  <c r="E241" i="18"/>
  <c r="F241" i="18" s="1"/>
  <c r="F245" i="18" s="1"/>
  <c r="E320" i="18"/>
  <c r="F314" i="18"/>
  <c r="F317" i="18" s="1"/>
  <c r="E129" i="1" s="1"/>
  <c r="F129" i="1" s="1"/>
  <c r="E662" i="18"/>
  <c r="F662" i="18" s="1"/>
  <c r="F655" i="18"/>
  <c r="E291" i="19"/>
  <c r="F247" i="19"/>
  <c r="E661" i="18"/>
  <c r="F654" i="18"/>
  <c r="F658" i="18" s="1"/>
  <c r="E918" i="18"/>
  <c r="F918" i="18" s="1"/>
  <c r="F905" i="18"/>
  <c r="E193" i="19"/>
  <c r="F193" i="19" s="1"/>
  <c r="E170" i="19"/>
  <c r="F170" i="19" s="1"/>
  <c r="E158" i="19"/>
  <c r="F158" i="19" s="1"/>
  <c r="F47" i="19"/>
  <c r="F48" i="19" s="1"/>
  <c r="E547" i="19" s="1"/>
  <c r="F547" i="19" s="1"/>
  <c r="F549" i="19" s="1"/>
  <c r="F550" i="19" s="1"/>
  <c r="F558" i="19" s="1"/>
  <c r="F566" i="19" s="1"/>
  <c r="E41" i="1" s="1"/>
  <c r="F41" i="1" s="1"/>
  <c r="F57" i="1" s="1"/>
  <c r="E304" i="19"/>
  <c r="F304" i="19" s="1"/>
  <c r="F297" i="19"/>
  <c r="D44" i="39"/>
  <c r="E44" i="39" s="1"/>
  <c r="E46" i="39" s="1"/>
  <c r="E38" i="39"/>
  <c r="E40" i="39" s="1"/>
  <c r="D131" i="42"/>
  <c r="E122" i="42"/>
  <c r="G1269" i="18"/>
  <c r="G1270" i="18" s="1"/>
  <c r="G1299" i="18" s="1"/>
  <c r="D495" i="20"/>
  <c r="E471" i="20"/>
  <c r="I60" i="29"/>
  <c r="D517" i="20"/>
  <c r="E517" i="20" s="1"/>
  <c r="D512" i="20"/>
  <c r="E503" i="20"/>
  <c r="E507" i="20" s="1"/>
  <c r="B509" i="20" s="1"/>
  <c r="F576" i="19"/>
  <c r="F577" i="19" s="1"/>
  <c r="F606" i="19" s="1"/>
  <c r="D290" i="20"/>
  <c r="E290" i="20" s="1"/>
  <c r="E293" i="20" s="1"/>
  <c r="E284" i="20"/>
  <c r="E287" i="20" s="1"/>
  <c r="F969" i="1" l="1"/>
  <c r="D379" i="20"/>
  <c r="E379" i="20" s="1"/>
  <c r="E383" i="20" s="1"/>
  <c r="D557" i="20" s="1"/>
  <c r="D370" i="20"/>
  <c r="E370" i="20" s="1"/>
  <c r="E375" i="20" s="1"/>
  <c r="E558" i="18"/>
  <c r="F558" i="18" s="1"/>
  <c r="F563" i="18" s="1"/>
  <c r="E573" i="18"/>
  <c r="F573" i="18" s="1"/>
  <c r="E546" i="18"/>
  <c r="F546" i="18" s="1"/>
  <c r="F551" i="18" s="1"/>
  <c r="D386" i="20"/>
  <c r="E386" i="20" s="1"/>
  <c r="E389" i="20" s="1"/>
  <c r="D361" i="20"/>
  <c r="E361" i="20" s="1"/>
  <c r="E366" i="20" s="1"/>
  <c r="E367" i="20" s="1"/>
  <c r="D558" i="20" s="1"/>
  <c r="D354" i="20"/>
  <c r="E354" i="20" s="1"/>
  <c r="E358" i="20" s="1"/>
  <c r="D417" i="20"/>
  <c r="E417" i="20" s="1"/>
  <c r="E423" i="20" s="1"/>
  <c r="E1087" i="18"/>
  <c r="F1087" i="18" s="1"/>
  <c r="E1133" i="18"/>
  <c r="F1133" i="18" s="1"/>
  <c r="E1101" i="18"/>
  <c r="F1101" i="18" s="1"/>
  <c r="D526" i="20"/>
  <c r="E512" i="20"/>
  <c r="E514" i="20" s="1"/>
  <c r="B516" i="20" s="1"/>
  <c r="D520" i="20"/>
  <c r="E520" i="20" s="1"/>
  <c r="E495" i="20"/>
  <c r="E498" i="20" s="1"/>
  <c r="F911" i="18"/>
  <c r="F912" i="18" s="1"/>
  <c r="E341" i="19"/>
  <c r="F291" i="19"/>
  <c r="E328" i="18"/>
  <c r="F320" i="18"/>
  <c r="F323" i="18" s="1"/>
  <c r="E130" i="1" s="1"/>
  <c r="F130" i="1" s="1"/>
  <c r="F364" i="1"/>
  <c r="E460" i="1"/>
  <c r="D226" i="20"/>
  <c r="E226" i="20" s="1"/>
  <c r="E228" i="20" s="1"/>
  <c r="E220" i="20"/>
  <c r="E223" i="20" s="1"/>
  <c r="D439" i="42"/>
  <c r="E439" i="42" s="1"/>
  <c r="D258" i="42"/>
  <c r="E258" i="42" s="1"/>
  <c r="D245" i="42"/>
  <c r="E245" i="42" s="1"/>
  <c r="L265" i="19"/>
  <c r="M265" i="19" s="1"/>
  <c r="M266" i="19" s="1"/>
  <c r="M250" i="19"/>
  <c r="M258" i="19" s="1"/>
  <c r="E195" i="1"/>
  <c r="F175" i="1"/>
  <c r="F616" i="1"/>
  <c r="C621" i="1"/>
  <c r="F621" i="1" s="1"/>
  <c r="C619" i="1"/>
  <c r="F619" i="1" s="1"/>
  <c r="E669" i="18"/>
  <c r="F669" i="18" s="1"/>
  <c r="E310" i="18"/>
  <c r="F310" i="18" s="1"/>
  <c r="F297" i="18"/>
  <c r="E315" i="18"/>
  <c r="F253" i="18"/>
  <c r="E81" i="1"/>
  <c r="F81" i="1" s="1"/>
  <c r="E82" i="1"/>
  <c r="F82" i="1" s="1"/>
  <c r="E830" i="18"/>
  <c r="F830" i="18" s="1"/>
  <c r="E272" i="18"/>
  <c r="F272" i="18" s="1"/>
  <c r="E767" i="18"/>
  <c r="F767" i="18" s="1"/>
  <c r="E577" i="18"/>
  <c r="F577" i="18" s="1"/>
  <c r="E280" i="18"/>
  <c r="F280" i="18" s="1"/>
  <c r="F42" i="18"/>
  <c r="F43" i="18" s="1"/>
  <c r="E274" i="19"/>
  <c r="E246" i="19"/>
  <c r="F236" i="19"/>
  <c r="F238" i="19" s="1"/>
  <c r="E241" i="19"/>
  <c r="F241" i="19" s="1"/>
  <c r="F243" i="19" s="1"/>
  <c r="L237" i="19"/>
  <c r="M237" i="19" s="1"/>
  <c r="M239" i="19" s="1"/>
  <c r="F163" i="19"/>
  <c r="F175" i="19"/>
  <c r="D441" i="42"/>
  <c r="E441" i="42" s="1"/>
  <c r="D260" i="42"/>
  <c r="E260" i="42" s="1"/>
  <c r="D138" i="42"/>
  <c r="E138" i="42" s="1"/>
  <c r="E131" i="42"/>
  <c r="F924" i="18"/>
  <c r="F925" i="18" s="1"/>
  <c r="E668" i="18"/>
  <c r="F661" i="18"/>
  <c r="F665" i="18" s="1"/>
  <c r="E461" i="1"/>
  <c r="E365" i="1"/>
  <c r="F365" i="1" s="1"/>
  <c r="F1092" i="18"/>
  <c r="F1093" i="18" s="1"/>
  <c r="F1094" i="18" s="1"/>
  <c r="E398" i="19"/>
  <c r="E209" i="19"/>
  <c r="F209" i="19" s="1"/>
  <c r="E458" i="19"/>
  <c r="F458" i="19" s="1"/>
  <c r="E210" i="19"/>
  <c r="F210" i="19" s="1"/>
  <c r="E197" i="19"/>
  <c r="F197" i="19" s="1"/>
  <c r="F199" i="19" s="1"/>
  <c r="E189" i="19"/>
  <c r="F189" i="19" s="1"/>
  <c r="F190" i="19" s="1"/>
  <c r="F191" i="19" s="1"/>
  <c r="E197" i="1"/>
  <c r="F177" i="1"/>
  <c r="E196" i="1"/>
  <c r="F176" i="1"/>
  <c r="D438" i="42"/>
  <c r="E438" i="42" s="1"/>
  <c r="D257" i="42"/>
  <c r="E257" i="42" s="1"/>
  <c r="D244" i="42"/>
  <c r="E244" i="42" s="1"/>
  <c r="E248" i="42" s="1"/>
  <c r="D572" i="20"/>
  <c r="E572" i="20" s="1"/>
  <c r="E555" i="20"/>
  <c r="E1059" i="18"/>
  <c r="F1053" i="18"/>
  <c r="E380" i="19"/>
  <c r="E333" i="19"/>
  <c r="F333" i="19" s="1"/>
  <c r="F311" i="19"/>
  <c r="F927" i="1"/>
  <c r="E433" i="19"/>
  <c r="F379" i="19"/>
  <c r="E1048" i="18"/>
  <c r="F1042" i="18"/>
  <c r="F1044" i="18" s="1"/>
  <c r="F635" i="18"/>
  <c r="E783" i="18"/>
  <c r="F783" i="18" s="1"/>
  <c r="F785" i="18" s="1"/>
  <c r="E675" i="18"/>
  <c r="E649" i="18"/>
  <c r="F649" i="18" s="1"/>
  <c r="F650" i="18" s="1"/>
  <c r="F643" i="18"/>
  <c r="F644" i="18" s="1"/>
  <c r="F261" i="18"/>
  <c r="E90" i="1"/>
  <c r="F90" i="1" s="1"/>
  <c r="F33" i="18"/>
  <c r="F34" i="18" s="1"/>
  <c r="D244" i="20"/>
  <c r="E237" i="20"/>
  <c r="E241" i="20" s="1"/>
  <c r="E499" i="19"/>
  <c r="F482" i="19"/>
  <c r="F484" i="19" s="1"/>
  <c r="E140" i="42"/>
  <c r="E127" i="42"/>
  <c r="E134" i="42"/>
  <c r="E277" i="18" l="1"/>
  <c r="F277" i="18" s="1"/>
  <c r="F281" i="18" s="1"/>
  <c r="F282" i="18" s="1"/>
  <c r="E330" i="1" s="1"/>
  <c r="F330" i="1" s="1"/>
  <c r="E827" i="18"/>
  <c r="F827" i="18" s="1"/>
  <c r="F831" i="18" s="1"/>
  <c r="F832" i="18" s="1"/>
  <c r="E470" i="1" s="1"/>
  <c r="F470" i="1" s="1"/>
  <c r="E790" i="18"/>
  <c r="D446" i="42"/>
  <c r="E446" i="42" s="1"/>
  <c r="D264" i="42"/>
  <c r="E264" i="42" s="1"/>
  <c r="E515" i="19"/>
  <c r="F515" i="19" s="1"/>
  <c r="F517" i="19" s="1"/>
  <c r="F499" i="19"/>
  <c r="F501" i="19" s="1"/>
  <c r="D309" i="20"/>
  <c r="D258" i="20"/>
  <c r="D251" i="20"/>
  <c r="E251" i="20" s="1"/>
  <c r="E255" i="20" s="1"/>
  <c r="E244" i="20"/>
  <c r="E248" i="20" s="1"/>
  <c r="E689" i="18"/>
  <c r="F675" i="18"/>
  <c r="E1054" i="18"/>
  <c r="F1048" i="18"/>
  <c r="F1050" i="18" s="1"/>
  <c r="E499" i="1" s="1"/>
  <c r="F499" i="1" s="1"/>
  <c r="E443" i="19"/>
  <c r="F433" i="19"/>
  <c r="E434" i="19"/>
  <c r="F380" i="19"/>
  <c r="F381" i="19" s="1"/>
  <c r="E387" i="19" s="1"/>
  <c r="F387" i="19" s="1"/>
  <c r="E212" i="1"/>
  <c r="E205" i="1"/>
  <c r="F205" i="1" s="1"/>
  <c r="F196" i="1"/>
  <c r="E213" i="1"/>
  <c r="F197" i="1"/>
  <c r="E457" i="19"/>
  <c r="F457" i="19" s="1"/>
  <c r="F398" i="19"/>
  <c r="E388" i="19"/>
  <c r="F388" i="19" s="1"/>
  <c r="E208" i="19"/>
  <c r="F208" i="19" s="1"/>
  <c r="F211" i="19" s="1"/>
  <c r="F164" i="19"/>
  <c r="E259" i="19"/>
  <c r="E252" i="19"/>
  <c r="F252" i="19" s="1"/>
  <c r="F256" i="19" s="1"/>
  <c r="F246" i="19"/>
  <c r="F249" i="19" s="1"/>
  <c r="E321" i="18"/>
  <c r="F315" i="18"/>
  <c r="E360" i="1"/>
  <c r="F360" i="1" s="1"/>
  <c r="D537" i="20"/>
  <c r="E537" i="20" s="1"/>
  <c r="E526" i="20"/>
  <c r="E530" i="20" s="1"/>
  <c r="B532" i="20" s="1"/>
  <c r="D455" i="20"/>
  <c r="E455" i="20" s="1"/>
  <c r="B424" i="20"/>
  <c r="D554" i="20" s="1"/>
  <c r="D575" i="20"/>
  <c r="E575" i="20" s="1"/>
  <c r="E558" i="20"/>
  <c r="D574" i="20"/>
  <c r="E574" i="20" s="1"/>
  <c r="E557" i="20"/>
  <c r="D445" i="42"/>
  <c r="E445" i="42" s="1"/>
  <c r="D263" i="42"/>
  <c r="E263" i="42" s="1"/>
  <c r="E271" i="18"/>
  <c r="F271" i="18" s="1"/>
  <c r="E707" i="18"/>
  <c r="E94" i="1"/>
  <c r="F94" i="1" s="1"/>
  <c r="E1064" i="18"/>
  <c r="F1064" i="18" s="1"/>
  <c r="F1059" i="18"/>
  <c r="F461" i="1"/>
  <c r="E509" i="1"/>
  <c r="F509" i="1" s="1"/>
  <c r="E674" i="18"/>
  <c r="F668" i="18"/>
  <c r="F671" i="18" s="1"/>
  <c r="E280" i="19"/>
  <c r="F274" i="19"/>
  <c r="F276" i="19" s="1"/>
  <c r="F254" i="18"/>
  <c r="E87" i="1" s="1"/>
  <c r="F87" i="1" s="1"/>
  <c r="D254" i="18"/>
  <c r="E1027" i="18" s="1"/>
  <c r="F1027" i="18" s="1"/>
  <c r="E86" i="1"/>
  <c r="F86" i="1" s="1"/>
  <c r="F646" i="1"/>
  <c r="F976" i="1" s="1"/>
  <c r="F977" i="1" s="1"/>
  <c r="E211" i="1"/>
  <c r="E204" i="1"/>
  <c r="F204" i="1" s="1"/>
  <c r="F195" i="1"/>
  <c r="E506" i="1"/>
  <c r="F506" i="1" s="1"/>
  <c r="F460" i="1"/>
  <c r="E697" i="18"/>
  <c r="F697" i="18" s="1"/>
  <c r="F552" i="18"/>
  <c r="E335" i="18"/>
  <c r="F328" i="18"/>
  <c r="F330" i="18" s="1"/>
  <c r="E148" i="1" s="1"/>
  <c r="F148" i="1" s="1"/>
  <c r="E347" i="19"/>
  <c r="F341" i="19"/>
  <c r="D559" i="20"/>
  <c r="D518" i="20"/>
  <c r="E518" i="20" s="1"/>
  <c r="D465" i="20"/>
  <c r="E465" i="20" s="1"/>
  <c r="D519" i="20"/>
  <c r="D560" i="20"/>
  <c r="F579" i="18"/>
  <c r="D556" i="20"/>
  <c r="E376" i="20"/>
  <c r="F404" i="19" l="1"/>
  <c r="F405" i="19" s="1"/>
  <c r="E271" i="42"/>
  <c r="E449" i="42"/>
  <c r="D573" i="20"/>
  <c r="E573" i="20" s="1"/>
  <c r="E556" i="20"/>
  <c r="D577" i="20"/>
  <c r="E577" i="20" s="1"/>
  <c r="E560" i="20"/>
  <c r="D576" i="20"/>
  <c r="E576" i="20" s="1"/>
  <c r="E559" i="20"/>
  <c r="E352" i="19"/>
  <c r="F347" i="19"/>
  <c r="E359" i="18"/>
  <c r="F359" i="18" s="1"/>
  <c r="F361" i="18" s="1"/>
  <c r="E342" i="18"/>
  <c r="F335" i="18"/>
  <c r="F337" i="18" s="1"/>
  <c r="E157" i="1" s="1"/>
  <c r="F157" i="1" s="1"/>
  <c r="F988" i="1"/>
  <c r="F986" i="1"/>
  <c r="F984" i="1"/>
  <c r="F982" i="1"/>
  <c r="F980" i="1"/>
  <c r="F987" i="1"/>
  <c r="F983" i="1"/>
  <c r="F981" i="1"/>
  <c r="F979" i="1"/>
  <c r="E451" i="42"/>
  <c r="E452" i="42"/>
  <c r="E1134" i="18"/>
  <c r="F1134" i="18" s="1"/>
  <c r="E1102" i="18"/>
  <c r="F1102" i="18" s="1"/>
  <c r="E472" i="20"/>
  <c r="E473" i="20" s="1"/>
  <c r="E266" i="19"/>
  <c r="F266" i="19" s="1"/>
  <c r="F269" i="19" s="1"/>
  <c r="F259" i="19"/>
  <c r="F263" i="19" s="1"/>
  <c r="E224" i="1"/>
  <c r="F212" i="1"/>
  <c r="E444" i="19"/>
  <c r="F434" i="19"/>
  <c r="F436" i="19" s="1"/>
  <c r="E438" i="19" s="1"/>
  <c r="F438" i="19" s="1"/>
  <c r="F439" i="19" s="1"/>
  <c r="E451" i="19"/>
  <c r="F451" i="19" s="1"/>
  <c r="F443" i="19"/>
  <c r="E1060" i="18"/>
  <c r="F1054" i="18"/>
  <c r="F1056" i="18" s="1"/>
  <c r="E743" i="18"/>
  <c r="F689" i="18"/>
  <c r="F690" i="18" s="1"/>
  <c r="E696" i="18" s="1"/>
  <c r="F696" i="18" s="1"/>
  <c r="D324" i="20"/>
  <c r="D316" i="20"/>
  <c r="E316" i="20" s="1"/>
  <c r="E319" i="20" s="1"/>
  <c r="E309" i="20"/>
  <c r="E313" i="20" s="1"/>
  <c r="D302" i="20"/>
  <c r="E302" i="20" s="1"/>
  <c r="E306" i="20" s="1"/>
  <c r="D540" i="20"/>
  <c r="E540" i="20" s="1"/>
  <c r="E541" i="20" s="1"/>
  <c r="E519" i="20"/>
  <c r="E521" i="20" s="1"/>
  <c r="D522" i="20" s="1"/>
  <c r="E270" i="18"/>
  <c r="F270" i="18" s="1"/>
  <c r="F273" i="18" s="1"/>
  <c r="F1025" i="18"/>
  <c r="F1031" i="18" s="1"/>
  <c r="E361" i="1"/>
  <c r="E223" i="1"/>
  <c r="F211" i="1"/>
  <c r="E285" i="19"/>
  <c r="F280" i="19"/>
  <c r="F282" i="19" s="1"/>
  <c r="E680" i="18"/>
  <c r="F680" i="18" s="1"/>
  <c r="F684" i="18" s="1"/>
  <c r="F674" i="18"/>
  <c r="F677" i="18" s="1"/>
  <c r="F707" i="18"/>
  <c r="E766" i="18"/>
  <c r="F766" i="18" s="1"/>
  <c r="D571" i="20"/>
  <c r="E571" i="20" s="1"/>
  <c r="E554" i="20"/>
  <c r="E329" i="18"/>
  <c r="F321" i="18"/>
  <c r="E225" i="1"/>
  <c r="F213" i="1"/>
  <c r="D279" i="20"/>
  <c r="D270" i="20"/>
  <c r="E270" i="20" s="1"/>
  <c r="E273" i="20" s="1"/>
  <c r="E274" i="20" s="1"/>
  <c r="D264" i="20"/>
  <c r="E264" i="20" s="1"/>
  <c r="E267" i="20" s="1"/>
  <c r="E258" i="20"/>
  <c r="E261" i="20" s="1"/>
  <c r="E795" i="18"/>
  <c r="F790" i="18"/>
  <c r="F792" i="18" s="1"/>
  <c r="E800" i="18" l="1"/>
  <c r="F800" i="18" s="1"/>
  <c r="F803" i="18" s="1"/>
  <c r="F795" i="18"/>
  <c r="F797" i="18" s="1"/>
  <c r="D296" i="20"/>
  <c r="E296" i="20" s="1"/>
  <c r="E299" i="20" s="1"/>
  <c r="E279" i="20"/>
  <c r="E281" i="20" s="1"/>
  <c r="E336" i="18"/>
  <c r="F329" i="18"/>
  <c r="D331" i="20"/>
  <c r="E331" i="20" s="1"/>
  <c r="E334" i="20" s="1"/>
  <c r="E324" i="20"/>
  <c r="E328" i="20" s="1"/>
  <c r="F743" i="18"/>
  <c r="F745" i="18" s="1"/>
  <c r="E747" i="18" s="1"/>
  <c r="F747" i="18" s="1"/>
  <c r="F748" i="18" s="1"/>
  <c r="E753" i="18"/>
  <c r="E1065" i="18"/>
  <c r="F1065" i="18" s="1"/>
  <c r="F1067" i="18" s="1"/>
  <c r="F1068" i="18" s="1"/>
  <c r="E511" i="1" s="1"/>
  <c r="F511" i="1" s="1"/>
  <c r="F1060" i="18"/>
  <c r="F1061" i="18" s="1"/>
  <c r="E452" i="19"/>
  <c r="F452" i="19" s="1"/>
  <c r="F453" i="19" s="1"/>
  <c r="C455" i="19" s="1"/>
  <c r="F444" i="19"/>
  <c r="F446" i="19" s="1"/>
  <c r="C448" i="19" s="1"/>
  <c r="F224" i="1"/>
  <c r="E236" i="1"/>
  <c r="F990" i="1"/>
  <c r="F992" i="1" s="1"/>
  <c r="F994" i="1" s="1"/>
  <c r="F985" i="1"/>
  <c r="E347" i="18"/>
  <c r="F342" i="18"/>
  <c r="F344" i="18" s="1"/>
  <c r="E169" i="1" s="1"/>
  <c r="F169" i="1" s="1"/>
  <c r="E366" i="18"/>
  <c r="E564" i="20"/>
  <c r="E451" i="1"/>
  <c r="F451" i="1" s="1"/>
  <c r="F225" i="1"/>
  <c r="E237" i="1"/>
  <c r="E296" i="19"/>
  <c r="F285" i="19"/>
  <c r="F287" i="19" s="1"/>
  <c r="F223" i="1"/>
  <c r="E235" i="1"/>
  <c r="F361" i="1"/>
  <c r="E502" i="1"/>
  <c r="F502" i="1" s="1"/>
  <c r="E370" i="1"/>
  <c r="F713" i="18"/>
  <c r="E360" i="19"/>
  <c r="F360" i="19" s="1"/>
  <c r="F352" i="19"/>
  <c r="E581" i="20"/>
  <c r="E466" i="1" l="1"/>
  <c r="F466" i="1" s="1"/>
  <c r="F370" i="1"/>
  <c r="E264" i="1"/>
  <c r="F235" i="1"/>
  <c r="E282" i="1"/>
  <c r="F237" i="1"/>
  <c r="E265" i="1"/>
  <c r="F236" i="1"/>
  <c r="E456" i="19"/>
  <c r="F456" i="19" s="1"/>
  <c r="F460" i="19" s="1"/>
  <c r="E461" i="19" s="1"/>
  <c r="E360" i="18"/>
  <c r="F360" i="18" s="1"/>
  <c r="E343" i="18"/>
  <c r="F336" i="18"/>
  <c r="E1132" i="18"/>
  <c r="F1132" i="18" s="1"/>
  <c r="F1138" i="18" s="1"/>
  <c r="E1100" i="18"/>
  <c r="F714" i="18"/>
  <c r="E303" i="19"/>
  <c r="F296" i="19"/>
  <c r="F300" i="19" s="1"/>
  <c r="E371" i="18"/>
  <c r="F371" i="18" s="1"/>
  <c r="F374" i="18" s="1"/>
  <c r="E192" i="1" s="1"/>
  <c r="F192" i="1" s="1"/>
  <c r="F366" i="18"/>
  <c r="F368" i="18" s="1"/>
  <c r="E191" i="1" s="1"/>
  <c r="F191" i="1" s="1"/>
  <c r="E379" i="18"/>
  <c r="E353" i="18"/>
  <c r="F353" i="18" s="1"/>
  <c r="F356" i="18" s="1"/>
  <c r="E171" i="1" s="1"/>
  <c r="F171" i="1" s="1"/>
  <c r="F347" i="18"/>
  <c r="F350" i="18" s="1"/>
  <c r="E170" i="1" s="1"/>
  <c r="F170" i="1" s="1"/>
  <c r="F753" i="18"/>
  <c r="F755" i="18" s="1"/>
  <c r="C757" i="18" s="1"/>
  <c r="E761" i="18"/>
  <c r="F761" i="18" s="1"/>
  <c r="F762" i="18" s="1"/>
  <c r="C764" i="18" s="1"/>
  <c r="E452" i="1"/>
  <c r="F452" i="1" s="1"/>
  <c r="E765" i="18" l="1"/>
  <c r="F765" i="18" s="1"/>
  <c r="F769" i="18" s="1"/>
  <c r="E770" i="18" s="1"/>
  <c r="E386" i="18"/>
  <c r="F379" i="18"/>
  <c r="F381" i="18" s="1"/>
  <c r="E201" i="1" s="1"/>
  <c r="F201" i="1" s="1"/>
  <c r="F303" i="19"/>
  <c r="F307" i="19" s="1"/>
  <c r="E290" i="19"/>
  <c r="E1116" i="18"/>
  <c r="F1116" i="18" s="1"/>
  <c r="F1122" i="18" s="1"/>
  <c r="F1100" i="18"/>
  <c r="F1106" i="18" s="1"/>
  <c r="F1107" i="18" s="1"/>
  <c r="E348" i="18"/>
  <c r="F343" i="18"/>
  <c r="E367" i="18"/>
  <c r="E281" i="1"/>
  <c r="E273" i="1"/>
  <c r="F273" i="1" s="1"/>
  <c r="F265" i="1"/>
  <c r="E292" i="1"/>
  <c r="F282" i="1"/>
  <c r="E280" i="1"/>
  <c r="E272" i="1"/>
  <c r="F272" i="1" s="1"/>
  <c r="F264" i="1"/>
  <c r="E290" i="1" l="1"/>
  <c r="F280" i="1"/>
  <c r="F292" i="1"/>
  <c r="E310" i="1"/>
  <c r="E372" i="18"/>
  <c r="F372" i="18" s="1"/>
  <c r="F367" i="18"/>
  <c r="E380" i="18"/>
  <c r="E354" i="18"/>
  <c r="F354" i="18" s="1"/>
  <c r="F348" i="18"/>
  <c r="F1123" i="18"/>
  <c r="F1126" i="18"/>
  <c r="F1127" i="18" s="1"/>
  <c r="F1124" i="18"/>
  <c r="F1125" i="18" s="1"/>
  <c r="E291" i="1"/>
  <c r="F281" i="1"/>
  <c r="E1155" i="18"/>
  <c r="F1155" i="18" s="1"/>
  <c r="E1154" i="18"/>
  <c r="F1154" i="18" s="1"/>
  <c r="E1153" i="18"/>
  <c r="F1153" i="18" s="1"/>
  <c r="F1108" i="18"/>
  <c r="E340" i="19"/>
  <c r="E310" i="19"/>
  <c r="F290" i="19"/>
  <c r="F293" i="19" s="1"/>
  <c r="E393" i="18"/>
  <c r="F386" i="18"/>
  <c r="F388" i="18" s="1"/>
  <c r="E208" i="1" s="1"/>
  <c r="F208" i="1" s="1"/>
  <c r="F1164" i="18" l="1"/>
  <c r="E332" i="19"/>
  <c r="F332" i="19" s="1"/>
  <c r="F335" i="19" s="1"/>
  <c r="E316" i="19"/>
  <c r="F310" i="19"/>
  <c r="F313" i="19" s="1"/>
  <c r="E465" i="1"/>
  <c r="F465" i="1" s="1"/>
  <c r="F310" i="1"/>
  <c r="E366" i="1"/>
  <c r="F366" i="1" s="1"/>
  <c r="E398" i="18"/>
  <c r="F393" i="18"/>
  <c r="F395" i="18" s="1"/>
  <c r="E217" i="1" s="1"/>
  <c r="F217" i="1" s="1"/>
  <c r="E346" i="19"/>
  <c r="F340" i="19"/>
  <c r="F343" i="19" s="1"/>
  <c r="F291" i="1"/>
  <c r="E308" i="1"/>
  <c r="F308" i="1" s="1"/>
  <c r="E387" i="18"/>
  <c r="F380" i="18"/>
  <c r="E307" i="1"/>
  <c r="F307" i="1" s="1"/>
  <c r="F290" i="1"/>
  <c r="E325" i="19" l="1"/>
  <c r="F325" i="19" s="1"/>
  <c r="F329" i="19" s="1"/>
  <c r="F316" i="19"/>
  <c r="F320" i="19" s="1"/>
  <c r="E394" i="18"/>
  <c r="F387" i="18"/>
  <c r="E351" i="19"/>
  <c r="F346" i="19"/>
  <c r="E404" i="18"/>
  <c r="F398" i="18"/>
  <c r="F401" i="18" s="1"/>
  <c r="E218" i="1" s="1"/>
  <c r="F218" i="1" s="1"/>
  <c r="E410" i="18" l="1"/>
  <c r="F404" i="18"/>
  <c r="F407" i="18" s="1"/>
  <c r="E219" i="1" s="1"/>
  <c r="F219" i="1" s="1"/>
  <c r="E359" i="19"/>
  <c r="F359" i="19" s="1"/>
  <c r="F361" i="19" s="1"/>
  <c r="F351" i="19"/>
  <c r="F354" i="19" s="1"/>
  <c r="E399" i="18"/>
  <c r="F394" i="18"/>
  <c r="F348" i="19"/>
  <c r="E405" i="18" l="1"/>
  <c r="F399" i="18"/>
  <c r="E418" i="18"/>
  <c r="F410" i="18"/>
  <c r="F413" i="18" s="1"/>
  <c r="E220" i="1" s="1"/>
  <c r="F220" i="1" s="1"/>
  <c r="E423" i="18" l="1"/>
  <c r="F418" i="18"/>
  <c r="F420" i="18" s="1"/>
  <c r="E231" i="1" s="1"/>
  <c r="F231" i="1" s="1"/>
  <c r="E411" i="18"/>
  <c r="F405" i="18"/>
  <c r="E419" i="18" l="1"/>
  <c r="F411" i="18"/>
  <c r="E431" i="18"/>
  <c r="F423" i="18"/>
  <c r="F426" i="18" s="1"/>
  <c r="E232" i="1" s="1"/>
  <c r="F232" i="1" s="1"/>
  <c r="E438" i="18" l="1"/>
  <c r="F431" i="18"/>
  <c r="F433" i="18" s="1"/>
  <c r="E261" i="1" s="1"/>
  <c r="F261" i="1" s="1"/>
  <c r="E424" i="18"/>
  <c r="F419" i="18"/>
  <c r="E432" i="18" l="1"/>
  <c r="F424" i="18"/>
  <c r="E446" i="18"/>
  <c r="F438" i="18"/>
  <c r="F440" i="18" s="1"/>
  <c r="E269" i="1" s="1"/>
  <c r="F269" i="1" s="1"/>
  <c r="E453" i="18" l="1"/>
  <c r="F446" i="18"/>
  <c r="F448" i="18" s="1"/>
  <c r="E277" i="1" s="1"/>
  <c r="F277" i="1" s="1"/>
  <c r="E439" i="18"/>
  <c r="F432" i="18"/>
  <c r="E447" i="18" l="1"/>
  <c r="F439" i="18"/>
  <c r="E458" i="18"/>
  <c r="F453" i="18"/>
  <c r="F455" i="18" s="1"/>
  <c r="E286" i="1" s="1"/>
  <c r="F286" i="1" s="1"/>
  <c r="E466" i="18" l="1"/>
  <c r="F458" i="18"/>
  <c r="F461" i="18" s="1"/>
  <c r="E287" i="1" s="1"/>
  <c r="F287" i="1" s="1"/>
  <c r="E454" i="18"/>
  <c r="F447" i="18"/>
  <c r="E459" i="18" l="1"/>
  <c r="F454" i="18"/>
  <c r="E473" i="18"/>
  <c r="F466" i="18"/>
  <c r="F468" i="18" s="1"/>
  <c r="E296" i="1" s="1"/>
  <c r="F296" i="1" s="1"/>
  <c r="E478" i="18" l="1"/>
  <c r="F473" i="18"/>
  <c r="F475" i="18" s="1"/>
  <c r="E303" i="1" s="1"/>
  <c r="F303" i="1" s="1"/>
  <c r="E464" i="1"/>
  <c r="F464" i="1" s="1"/>
  <c r="E467" i="18"/>
  <c r="F459" i="18"/>
  <c r="E474" i="18" l="1"/>
  <c r="F467" i="18"/>
  <c r="E486" i="18"/>
  <c r="F478" i="18"/>
  <c r="F481" i="18" s="1"/>
  <c r="E304" i="1" s="1"/>
  <c r="F304" i="1" s="1"/>
  <c r="E491" i="18" l="1"/>
  <c r="F491" i="18" s="1"/>
  <c r="F493" i="18" s="1"/>
  <c r="F486" i="18"/>
  <c r="F488" i="18" s="1"/>
  <c r="E351" i="1" s="1"/>
  <c r="F351" i="1" s="1"/>
  <c r="E497" i="18"/>
  <c r="E479" i="18"/>
  <c r="F479" i="18" s="1"/>
  <c r="F474" i="18"/>
  <c r="E487" i="18"/>
  <c r="E492" i="18" l="1"/>
  <c r="F492" i="18" s="1"/>
  <c r="F487" i="18"/>
  <c r="E498" i="18"/>
  <c r="E503" i="18"/>
  <c r="F497" i="18"/>
  <c r="F500" i="18" s="1"/>
  <c r="E353" i="1" s="1"/>
  <c r="F353" i="1" s="1"/>
  <c r="F503" i="18" l="1"/>
  <c r="F506" i="18" s="1"/>
  <c r="E354" i="1" s="1"/>
  <c r="F354" i="1" s="1"/>
  <c r="E285" i="18"/>
  <c r="E504" i="18"/>
  <c r="F498" i="18"/>
  <c r="F504" i="18" l="1"/>
  <c r="E286" i="18"/>
  <c r="F285" i="18"/>
  <c r="F288" i="18" s="1"/>
  <c r="E355" i="1" s="1"/>
  <c r="F355" i="1" s="1"/>
  <c r="E510" i="18"/>
  <c r="E516" i="18" l="1"/>
  <c r="F516" i="18" s="1"/>
  <c r="F519" i="18" s="1"/>
  <c r="E357" i="1" s="1"/>
  <c r="F357" i="1" s="1"/>
  <c r="F510" i="18"/>
  <c r="F513" i="18" s="1"/>
  <c r="E356" i="1" s="1"/>
  <c r="F356" i="1" s="1"/>
  <c r="F286" i="18"/>
  <c r="E511" i="18"/>
  <c r="E517" i="18" l="1"/>
  <c r="F517" i="18" s="1"/>
  <c r="F5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Arturo Emilio Ramírez Pérez</author>
  </authors>
  <commentList>
    <comment ref="E33" authorId="0" shapeId="0" xr:uid="{00000000-0006-0000-0000-000001000000}">
      <text>
        <r>
          <rPr>
            <b/>
            <sz val="9"/>
            <color indexed="81"/>
            <rFont val="Tahoma"/>
            <family val="2"/>
          </rPr>
          <t>Arturo Emilio Ramírez Pérez:</t>
        </r>
        <r>
          <rPr>
            <sz val="9"/>
            <color indexed="81"/>
            <rFont val="Tahoma"/>
            <family val="2"/>
          </rPr>
          <t xml:space="preserve">
Aumentado en un 15%</t>
        </r>
      </text>
    </comment>
    <comment ref="C48" authorId="0" shapeId="0" xr:uid="{00000000-0006-0000-0000-000002000000}">
      <text>
        <r>
          <rPr>
            <b/>
            <sz val="9"/>
            <color indexed="81"/>
            <rFont val="Tahoma"/>
            <family val="2"/>
          </rPr>
          <t>Arturo Emilio Ramírez Pérez:</t>
        </r>
        <r>
          <rPr>
            <sz val="9"/>
            <color indexed="81"/>
            <rFont val="Tahoma"/>
            <family val="2"/>
          </rPr>
          <t xml:space="preserve">
Las válvulas de desagüe</t>
        </r>
      </text>
    </comment>
    <comment ref="A786" authorId="0" shapeId="0" xr:uid="{00000000-0006-0000-0000-000003000000}">
      <text>
        <r>
          <rPr>
            <b/>
            <sz val="9"/>
            <color indexed="81"/>
            <rFont val="Tahoma"/>
            <family val="2"/>
          </rPr>
          <t>Arturo Emilio Ramírez Pérez:</t>
        </r>
        <r>
          <rPr>
            <sz val="9"/>
            <color indexed="81"/>
            <rFont val="Tahoma"/>
            <family val="2"/>
          </rPr>
          <t xml:space="preserve">
EL PRECIO ES PARA UNA DE 300 PSI</t>
        </r>
      </text>
    </comment>
    <comment ref="E787" authorId="0" shapeId="0" xr:uid="{00000000-0006-0000-0000-000004000000}">
      <text>
        <r>
          <rPr>
            <b/>
            <sz val="9"/>
            <color indexed="81"/>
            <rFont val="Tahoma"/>
            <family val="2"/>
          </rPr>
          <t>Arturo Emilio Ramírez Pérez:</t>
        </r>
        <r>
          <rPr>
            <sz val="9"/>
            <color indexed="81"/>
            <rFont val="Tahoma"/>
            <family val="2"/>
          </rPr>
          <t xml:space="preserve">
Se colocó el monto de 3"</t>
        </r>
      </text>
    </comment>
    <comment ref="E792" authorId="0" shapeId="0" xr:uid="{00000000-0006-0000-0000-00000500000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COSTOS</author>
    <author>Arturo Emilio Ramírez Pérez</author>
    <author>Leibnitz Gerardo Antonio Domínguez Dalmasi</author>
  </authors>
  <commentList>
    <comment ref="F9" authorId="0" shapeId="0" xr:uid="{00000000-0006-0000-0100-000001000000}">
      <text>
        <r>
          <rPr>
            <b/>
            <sz val="8"/>
            <color indexed="81"/>
            <rFont val="Tahoma"/>
            <family val="2"/>
          </rPr>
          <t>Depto. De Eval. De Costos de Obras 
Digitado por:
CLAUDIA DE LEON</t>
        </r>
      </text>
    </comment>
    <comment ref="C52" authorId="1" shapeId="0" xr:uid="{00000000-0006-0000-0100-000002000000}">
      <text>
        <r>
          <rPr>
            <b/>
            <sz val="9"/>
            <color indexed="81"/>
            <rFont val="Tahoma"/>
            <family val="2"/>
          </rPr>
          <t>Arturo Emilio Ramírez Pérez:</t>
        </r>
        <r>
          <rPr>
            <sz val="9"/>
            <color indexed="81"/>
            <rFont val="Tahoma"/>
            <family val="2"/>
          </rPr>
          <t xml:space="preserve">
Las válvulas de desagüe</t>
        </r>
      </text>
    </comment>
    <comment ref="C53" authorId="1" shapeId="0" xr:uid="{00000000-0006-0000-0100-000003000000}">
      <text>
        <r>
          <rPr>
            <b/>
            <sz val="9"/>
            <color indexed="81"/>
            <rFont val="Tahoma"/>
            <family val="2"/>
          </rPr>
          <t>Arturo Emilio Ramírez Pérez:</t>
        </r>
        <r>
          <rPr>
            <sz val="9"/>
            <color indexed="81"/>
            <rFont val="Tahoma"/>
            <family val="2"/>
          </rPr>
          <t xml:space="preserve">
Las válvulas de desagüe</t>
        </r>
      </text>
    </comment>
    <comment ref="C71" authorId="1" shapeId="0" xr:uid="{00000000-0006-0000-0100-000004000000}">
      <text>
        <r>
          <rPr>
            <b/>
            <sz val="9"/>
            <color indexed="81"/>
            <rFont val="Tahoma"/>
            <family val="2"/>
          </rPr>
          <t>Arturo Emilio Ramírez Pérez:</t>
        </r>
        <r>
          <rPr>
            <sz val="9"/>
            <color indexed="81"/>
            <rFont val="Tahoma"/>
            <family val="2"/>
          </rPr>
          <t xml:space="preserve">
Francisco Arturo Fabian debe darme ese dato
</t>
        </r>
      </text>
    </comment>
    <comment ref="C100" authorId="2" shapeId="0" xr:uid="{00000000-0006-0000-0100-000005000000}">
      <text>
        <r>
          <rPr>
            <b/>
            <sz val="9"/>
            <color indexed="81"/>
            <rFont val="Tahoma"/>
            <family val="2"/>
          </rPr>
          <t>VERIFICAR EN PLANO ANTERIOR</t>
        </r>
      </text>
    </comment>
    <comment ref="E126" authorId="1" shapeId="0" xr:uid="{00000000-0006-0000-0100-000006000000}">
      <text>
        <r>
          <rPr>
            <b/>
            <sz val="9"/>
            <color indexed="81"/>
            <rFont val="Tahoma"/>
            <family val="2"/>
          </rPr>
          <t>Arturo Emilio Ramírez Pérez:</t>
        </r>
        <r>
          <rPr>
            <sz val="9"/>
            <color indexed="81"/>
            <rFont val="Tahoma"/>
            <family val="2"/>
          </rPr>
          <t xml:space="preserve">
Debe ser mas cara. Corresponde a una 050X0.60 PP EL seybp</t>
        </r>
      </text>
    </comment>
    <comment ref="E144" authorId="1" shapeId="0" xr:uid="{00000000-0006-0000-0100-000007000000}">
      <text>
        <r>
          <rPr>
            <b/>
            <sz val="9"/>
            <color indexed="81"/>
            <rFont val="Tahoma"/>
            <family val="2"/>
          </rPr>
          <t>Arturo Emilio Ramírez Pérez:</t>
        </r>
        <r>
          <rPr>
            <sz val="9"/>
            <color indexed="81"/>
            <rFont val="Tahoma"/>
            <family val="2"/>
          </rPr>
          <t xml:space="preserve">
P. U. Sabana Grande de Boya</t>
        </r>
      </text>
    </comment>
    <comment ref="E155" authorId="1" shapeId="0" xr:uid="{00000000-0006-0000-0100-000008000000}">
      <text>
        <r>
          <rPr>
            <b/>
            <sz val="9"/>
            <color indexed="81"/>
            <rFont val="Tahoma"/>
            <family val="2"/>
          </rPr>
          <t>Arturo Emilio Ramírez Pérez:</t>
        </r>
        <r>
          <rPr>
            <sz val="9"/>
            <color indexed="81"/>
            <rFont val="Tahoma"/>
            <family val="2"/>
          </rPr>
          <t xml:space="preserve">
Rehabilitaciòn planta potabilizadora San Juan
</t>
        </r>
      </text>
    </comment>
    <comment ref="E156" authorId="1" shapeId="0" xr:uid="{00000000-0006-0000-0100-000009000000}">
      <text>
        <r>
          <rPr>
            <b/>
            <sz val="9"/>
            <color indexed="81"/>
            <rFont val="Tahoma"/>
            <family val="2"/>
          </rPr>
          <t>Arturo Emilio Ramírez Pérez:</t>
        </r>
        <r>
          <rPr>
            <sz val="9"/>
            <color indexed="81"/>
            <rFont val="Tahoma"/>
            <family val="2"/>
          </rPr>
          <t xml:space="preserve">
Igual comentario RPPT San Juan</t>
        </r>
      </text>
    </comment>
    <comment ref="E163" authorId="1" shapeId="0" xr:uid="{00000000-0006-0000-0100-00000A000000}">
      <text>
        <r>
          <rPr>
            <b/>
            <sz val="9"/>
            <color indexed="81"/>
            <rFont val="Tahoma"/>
            <family val="2"/>
          </rPr>
          <t>Arturo Emilio Ramírez Pérez:</t>
        </r>
        <r>
          <rPr>
            <sz val="9"/>
            <color indexed="81"/>
            <rFont val="Tahoma"/>
            <family val="2"/>
          </rPr>
          <t xml:space="preserve">
P. U. Sabana Grande de Boya</t>
        </r>
      </text>
    </comment>
    <comment ref="E250" authorId="1" shapeId="0" xr:uid="{00000000-0006-0000-0100-00000B000000}">
      <text>
        <r>
          <rPr>
            <b/>
            <sz val="9"/>
            <color indexed="81"/>
            <rFont val="Tahoma"/>
            <family val="2"/>
          </rPr>
          <t>Arturo Emilio Ramírez Pérez:</t>
        </r>
        <r>
          <rPr>
            <sz val="9"/>
            <color indexed="81"/>
            <rFont val="Tahoma"/>
            <family val="2"/>
          </rPr>
          <t xml:space="preserve">
PU QUE TENIA
</t>
        </r>
      </text>
    </comment>
    <comment ref="E266" authorId="1" shapeId="0" xr:uid="{00000000-0006-0000-0100-00000C000000}">
      <text>
        <r>
          <rPr>
            <b/>
            <sz val="9"/>
            <color indexed="81"/>
            <rFont val="Tahoma"/>
            <family val="2"/>
          </rPr>
          <t>Arturo Emilio Ramírez Pérez:</t>
        </r>
        <r>
          <rPr>
            <sz val="9"/>
            <color indexed="81"/>
            <rFont val="Tahoma"/>
            <family val="2"/>
          </rPr>
          <t xml:space="preserve">
Planta Potabilizadora El Seibo</t>
        </r>
      </text>
    </comment>
    <comment ref="E385" authorId="1" shapeId="0" xr:uid="{00000000-0006-0000-0100-00000D000000}">
      <text>
        <r>
          <rPr>
            <b/>
            <sz val="9"/>
            <color indexed="81"/>
            <rFont val="Tahoma"/>
            <family val="2"/>
          </rPr>
          <t>Arturo Emilio Ramírez Pérez:</t>
        </r>
        <r>
          <rPr>
            <sz val="9"/>
            <color indexed="81"/>
            <rFont val="Tahoma"/>
            <family val="2"/>
          </rPr>
          <t xml:space="preserve">
Hormigon 180 dividido por el espesor de 10cm</t>
        </r>
      </text>
    </comment>
    <comment ref="E399" authorId="1" shapeId="0" xr:uid="{00000000-0006-0000-0100-00000E000000}">
      <text>
        <r>
          <rPr>
            <b/>
            <sz val="9"/>
            <color indexed="81"/>
            <rFont val="Tahoma"/>
            <family val="2"/>
          </rPr>
          <t>Arturo Emilio Ramírez Pérez:</t>
        </r>
        <r>
          <rPr>
            <sz val="9"/>
            <color indexed="81"/>
            <rFont val="Tahoma"/>
            <family val="2"/>
          </rPr>
          <t xml:space="preserve">
Lampara fluorescente Tecnolite Fe. Americana.</t>
        </r>
      </text>
    </comment>
    <comment ref="E403" authorId="1" shapeId="0" xr:uid="{00000000-0006-0000-0100-00000F000000}">
      <text>
        <r>
          <rPr>
            <b/>
            <sz val="9"/>
            <color indexed="81"/>
            <rFont val="Tahoma"/>
            <family val="2"/>
          </rPr>
          <t>Arturo Emilio Ramírez Pérez:</t>
        </r>
        <r>
          <rPr>
            <sz val="9"/>
            <color indexed="81"/>
            <rFont val="Tahoma"/>
            <family val="2"/>
          </rPr>
          <t xml:space="preserve">
REHABILITACION MAIMON ES DE 0-100
</t>
        </r>
      </text>
    </comment>
    <comment ref="E405" authorId="1" shapeId="0" xr:uid="{00000000-0006-0000-0100-000010000000}">
      <text>
        <r>
          <rPr>
            <b/>
            <sz val="9"/>
            <color indexed="81"/>
            <rFont val="Tahoma"/>
            <family val="2"/>
          </rPr>
          <t>Arturo Emilio Ramírez Pérez:</t>
        </r>
        <r>
          <rPr>
            <sz val="9"/>
            <color indexed="81"/>
            <rFont val="Tahoma"/>
            <family val="2"/>
          </rPr>
          <t xml:space="preserve">
REHABILITACION MAIMON
</t>
        </r>
      </text>
    </comment>
    <comment ref="E531" authorId="1" shapeId="0" xr:uid="{00000000-0006-0000-0100-000011000000}">
      <text>
        <r>
          <rPr>
            <b/>
            <sz val="9"/>
            <color indexed="81"/>
            <rFont val="Tahoma"/>
            <family val="2"/>
          </rPr>
          <t>Arturo Emilio Ramírez Pérez:</t>
        </r>
        <r>
          <rPr>
            <sz val="9"/>
            <color indexed="81"/>
            <rFont val="Tahoma"/>
            <family val="2"/>
          </rPr>
          <t xml:space="preserve">
FERRETERIA AMERICANA
</t>
        </r>
      </text>
    </comment>
    <comment ref="C779" authorId="1" shapeId="0" xr:uid="{00000000-0006-0000-0100-000012000000}">
      <text>
        <r>
          <rPr>
            <b/>
            <sz val="9"/>
            <color indexed="81"/>
            <rFont val="Tahoma"/>
            <family val="2"/>
          </rPr>
          <t>Arturo Emilio Ramírez Pérez:</t>
        </r>
        <r>
          <rPr>
            <sz val="9"/>
            <color indexed="81"/>
            <rFont val="Tahoma"/>
            <family val="2"/>
          </rPr>
          <t xml:space="preserve">
Las válvulas de desagüe</t>
        </r>
      </text>
    </comment>
    <comment ref="A869" authorId="1" shapeId="0" xr:uid="{00000000-0006-0000-0100-000013000000}">
      <text>
        <r>
          <rPr>
            <b/>
            <sz val="9"/>
            <color indexed="81"/>
            <rFont val="Tahoma"/>
            <family val="2"/>
          </rPr>
          <t>Arturo Emilio Ramírez Pérez:</t>
        </r>
        <r>
          <rPr>
            <sz val="9"/>
            <color indexed="81"/>
            <rFont val="Tahoma"/>
            <family val="2"/>
          </rPr>
          <t xml:space="preserve">
EL PRECIO ES PARA UNA DE 300 PSI</t>
        </r>
      </text>
    </comment>
    <comment ref="E870" authorId="1" shapeId="0" xr:uid="{00000000-0006-0000-0100-000014000000}">
      <text>
        <r>
          <rPr>
            <b/>
            <sz val="9"/>
            <color indexed="81"/>
            <rFont val="Tahoma"/>
            <family val="2"/>
          </rPr>
          <t>Arturo Emilio Ramírez Pérez:</t>
        </r>
        <r>
          <rPr>
            <sz val="9"/>
            <color indexed="81"/>
            <rFont val="Tahoma"/>
            <family val="2"/>
          </rPr>
          <t xml:space="preserve">
Se colocó el monto de 3"</t>
        </r>
      </text>
    </comment>
    <comment ref="E875" authorId="1" shapeId="0" xr:uid="{00000000-0006-0000-0100-00001500000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francis.heredia</author>
  </authors>
  <commentList>
    <comment ref="A6" authorId="0" shapeId="0" xr:uid="{00000000-0006-0000-0400-00000100000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 ref="A83" authorId="0" shapeId="0" xr:uid="{00000000-0006-0000-0400-00000200000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41" authorId="0" shapeId="0" xr:uid="{00000000-0006-0000-0C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Arturo Emilio Ramírez Pérez</author>
  </authors>
  <commentList>
    <comment ref="E868" authorId="0" shapeId="0" xr:uid="{00000000-0006-0000-0D00-000001000000}">
      <text>
        <r>
          <rPr>
            <b/>
            <sz val="9"/>
            <color indexed="81"/>
            <rFont val="Tahoma"/>
            <family val="2"/>
          </rPr>
          <t>Arturo Emilio Ramírez Pérez:</t>
        </r>
        <r>
          <rPr>
            <sz val="9"/>
            <color indexed="81"/>
            <rFont val="Tahoma"/>
            <family val="2"/>
          </rPr>
          <t xml:space="preserve">
Actualizado CORVI US$1.30 Tasa Dólar 52.41</t>
        </r>
      </text>
    </comment>
    <comment ref="E873" authorId="0" shapeId="0" xr:uid="{00000000-0006-0000-0D00-00000200000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Arturo Emilio Ramírez Pérez</author>
  </authors>
  <commentList>
    <comment ref="E868" authorId="0" shapeId="0" xr:uid="{00000000-0006-0000-1200-000001000000}">
      <text>
        <r>
          <rPr>
            <b/>
            <sz val="9"/>
            <color indexed="81"/>
            <rFont val="Tahoma"/>
            <family val="2"/>
          </rPr>
          <t>Arturo Emilio Ramírez Pérez:</t>
        </r>
        <r>
          <rPr>
            <sz val="9"/>
            <color indexed="81"/>
            <rFont val="Tahoma"/>
            <family val="2"/>
          </rPr>
          <t xml:space="preserve">
Actualizado CORVI US$1.30 Tasa Dólar 52.41</t>
        </r>
      </text>
    </comment>
    <comment ref="E873" authorId="0" shapeId="0" xr:uid="{00000000-0006-0000-1200-00000200000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30" authorId="0" shapeId="0" xr:uid="{00000000-0006-0000-18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32" authorId="0" shapeId="0" xr:uid="{00000000-0006-0000-19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30" authorId="0" shapeId="0" xr:uid="{00000000-0006-0000-1A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32" authorId="0" shapeId="0" xr:uid="{00000000-0006-0000-1B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UES-INAPA</author>
  </authors>
  <commentList>
    <comment ref="I30" authorId="0" shapeId="0" xr:uid="{00000000-0006-0000-1C00-00000100000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sharedStrings.xml><?xml version="1.0" encoding="utf-8"?>
<sst xmlns="http://schemas.openxmlformats.org/spreadsheetml/2006/main" count="19534" uniqueCount="4722">
  <si>
    <t>A</t>
  </si>
  <si>
    <t>M</t>
  </si>
  <si>
    <t>M3</t>
  </si>
  <si>
    <t>U</t>
  </si>
  <si>
    <t>ASIENTO DE ARENA</t>
  </si>
  <si>
    <t>INSTITUTO NACIONAL DE AGUAS POTABLES Y ALCANTARILLADOS</t>
  </si>
  <si>
    <t>***INAPA***</t>
  </si>
  <si>
    <t>DIRECCION DE INGENIERIA</t>
  </si>
  <si>
    <t>TRANSPORTE</t>
  </si>
  <si>
    <t>B</t>
  </si>
  <si>
    <t>C</t>
  </si>
  <si>
    <t>M2</t>
  </si>
  <si>
    <t>H</t>
  </si>
  <si>
    <t>ML</t>
  </si>
  <si>
    <t>MOVIMIENTO DE TIERRA:</t>
  </si>
  <si>
    <t>SUB-TOTAL GENERAL</t>
  </si>
  <si>
    <t>GASTOS INDIRECTOS</t>
  </si>
  <si>
    <t>HONORARIOS PROFESIONALES</t>
  </si>
  <si>
    <t>SEGUROS,POLIZA Y FINANZA</t>
  </si>
  <si>
    <t>GASTOS  ADMINISTRATIVOS</t>
  </si>
  <si>
    <t>SUPERVISION DE LA OBRA</t>
  </si>
  <si>
    <t>LEY 3-86</t>
  </si>
  <si>
    <t>ITBIS 07-2007</t>
  </si>
  <si>
    <t>TOTAL GASTOS INDIRECTOS</t>
  </si>
  <si>
    <t>IMPREVISTOS</t>
  </si>
  <si>
    <t>SUMINISTRO DE TUBERIA:</t>
  </si>
  <si>
    <t>COLOCACION TUBERIA:</t>
  </si>
  <si>
    <t>Ubicación : PROVINCIA SAN JUAN DE LA MAGUANA</t>
  </si>
  <si>
    <t>Partida</t>
  </si>
  <si>
    <t xml:space="preserve">Descripcion </t>
  </si>
  <si>
    <t>Cantidad</t>
  </si>
  <si>
    <t>ZONA: II</t>
  </si>
  <si>
    <t>Z</t>
  </si>
  <si>
    <t>VARIOS</t>
  </si>
  <si>
    <t>SUB-TOTAL FASE Z</t>
  </si>
  <si>
    <t>BOTE DE MATERIAL CON CAMION (DIST.=5.0KM)</t>
  </si>
  <si>
    <t>TRANSPORTE DE EQUIPO (IDA Y VUELTA)</t>
  </si>
  <si>
    <t>REPLANTEO</t>
  </si>
  <si>
    <t>MOVIMIENTO DE TIERRA</t>
  </si>
  <si>
    <t xml:space="preserve">SUMINISTRO Y COLOCACION DE VALVULAS </t>
  </si>
  <si>
    <t>ANCLAJE DE H.S.</t>
  </si>
  <si>
    <t>MANO DE OBRA</t>
  </si>
  <si>
    <t>PA</t>
  </si>
  <si>
    <t xml:space="preserve"> </t>
  </si>
  <si>
    <t>P.U. RD$</t>
  </si>
  <si>
    <t>MONTO RD$</t>
  </si>
  <si>
    <t>%</t>
  </si>
  <si>
    <t>HR</t>
  </si>
  <si>
    <t>COLLARIN EN POLIETILENO DE Ø 3" ( ABRAZADERA)</t>
  </si>
  <si>
    <t>ADATADOR MACHO Ø 1/2" ROSCADO A MANGUERA</t>
  </si>
  <si>
    <t xml:space="preserve">CEMENTO SOLVENTE Y TEFLON </t>
  </si>
  <si>
    <t>EXCAVACION Y TAPADO</t>
  </si>
  <si>
    <t xml:space="preserve">MANO DE OBRA PLOMERIA </t>
  </si>
  <si>
    <t>TUBERIA DE POLIETILENO ALTA DENSIDAD, Ø 1/2" INTERNO L= 6.00 M ( PROMEDIO)</t>
  </si>
  <si>
    <t>ADATADOR HEMBRA Ø 1/2" ROSCADO A MANGUERA</t>
  </si>
  <si>
    <t>LLAVE DE PASO Ø1/2" PVC</t>
  </si>
  <si>
    <t>CAJA DE ACOMETIDA PLASTICA EN POLIETILENO 10"</t>
  </si>
  <si>
    <t>TUBERIA 1/2" SCH-40 PVC LONG. PROMEDIO</t>
  </si>
  <si>
    <t>TAPON HEMBRA Ø1/2" PVC</t>
  </si>
  <si>
    <t>PRUEBAS HIDROSTATICA</t>
  </si>
  <si>
    <t>DEPARTAMENTO DE COSTOS Y PRESUPUESTOS</t>
  </si>
  <si>
    <t>P.A.</t>
  </si>
  <si>
    <t>USO BOMBA DE ACHIQUE</t>
  </si>
  <si>
    <t xml:space="preserve">MANO DE OBRA </t>
  </si>
  <si>
    <t>MANTENIMIENTO Y OPERACION SISTEMA</t>
  </si>
  <si>
    <t>EXCACION.</t>
  </si>
  <si>
    <t>ASIENTO ARENA</t>
  </si>
  <si>
    <t>VOL TUBO</t>
  </si>
  <si>
    <t>CEMENTO S</t>
  </si>
  <si>
    <t>LONG. MTL</t>
  </si>
  <si>
    <t>FC.</t>
  </si>
  <si>
    <t>VOL. M3</t>
  </si>
  <si>
    <t>VOL. KG</t>
  </si>
  <si>
    <t>2"</t>
  </si>
  <si>
    <t>3"</t>
  </si>
  <si>
    <t>4"</t>
  </si>
  <si>
    <t>6"</t>
  </si>
  <si>
    <t>8"</t>
  </si>
  <si>
    <t>10"</t>
  </si>
  <si>
    <t>12"</t>
  </si>
  <si>
    <t>14"</t>
  </si>
  <si>
    <t>16"</t>
  </si>
  <si>
    <t>18"</t>
  </si>
  <si>
    <t>20"</t>
  </si>
  <si>
    <t>24"</t>
  </si>
  <si>
    <t>30"</t>
  </si>
  <si>
    <t>36"</t>
  </si>
  <si>
    <t>38"</t>
  </si>
  <si>
    <t>40"</t>
  </si>
  <si>
    <t>42"</t>
  </si>
  <si>
    <t xml:space="preserve">  REPL.</t>
  </si>
  <si>
    <t>TOTALES</t>
  </si>
  <si>
    <t>EXC.</t>
  </si>
  <si>
    <t>AA</t>
  </si>
  <si>
    <t>VOL T</t>
  </si>
  <si>
    <t>CS</t>
  </si>
  <si>
    <t>RELLENO</t>
  </si>
  <si>
    <t>BOTE + ESPONJAMIENTO</t>
  </si>
  <si>
    <t xml:space="preserve">LONGITUD TUBERIA </t>
  </si>
  <si>
    <t>LONG. M</t>
  </si>
  <si>
    <t>% ESPG</t>
  </si>
  <si>
    <t>LONG TOTAL</t>
  </si>
  <si>
    <t>EXCAVACION DE MATERIAL CLASIFICADO</t>
  </si>
  <si>
    <t>TIPO MATERIAL</t>
  </si>
  <si>
    <t>EXCAV.</t>
  </si>
  <si>
    <t>CLASIF. TOSCA DURA</t>
  </si>
  <si>
    <t>CLASIF. TOSCA BLANDA</t>
  </si>
  <si>
    <t>CLASIF. TIERRA SUELTA</t>
  </si>
  <si>
    <t>CLASIFICACION</t>
  </si>
  <si>
    <r>
      <t>OBRA:</t>
    </r>
    <r>
      <rPr>
        <sz val="10"/>
        <rFont val="Arial"/>
        <family val="2"/>
      </rPr>
      <t xml:space="preserve"> </t>
    </r>
    <r>
      <rPr>
        <b/>
        <sz val="10"/>
        <color indexed="10"/>
        <rFont val="Arial"/>
        <family val="2"/>
      </rPr>
      <t>REGISTRO DE  HORMIGON ARMADO</t>
    </r>
  </si>
  <si>
    <r>
      <t>UBICACIÓN:</t>
    </r>
    <r>
      <rPr>
        <sz val="10"/>
        <rFont val="Arial"/>
        <family val="2"/>
      </rPr>
      <t xml:space="preserve"> GENERAL</t>
    </r>
  </si>
  <si>
    <r>
      <t>ZONA:</t>
    </r>
    <r>
      <rPr>
        <sz val="10"/>
        <rFont val="Arial"/>
        <family val="2"/>
      </rPr>
      <t xml:space="preserve"> GENERAL</t>
    </r>
  </si>
  <si>
    <t>D E S C R I P C I O N</t>
  </si>
  <si>
    <t>CANT.</t>
  </si>
  <si>
    <t>UDS</t>
  </si>
  <si>
    <t>VALOR RD$</t>
  </si>
  <si>
    <t>INSUMOS</t>
  </si>
  <si>
    <t>AGUA</t>
  </si>
  <si>
    <t>GL</t>
  </si>
  <si>
    <t>CEMENTO GRIS PUESTO EN OBRA</t>
  </si>
  <si>
    <t>FDA</t>
  </si>
  <si>
    <t>CAL</t>
  </si>
  <si>
    <t>ARENA</t>
  </si>
  <si>
    <t>ARENA PARA PAÑETE</t>
  </si>
  <si>
    <t>GRAVA</t>
  </si>
  <si>
    <t>ACERO PUESTO EN OBRA</t>
  </si>
  <si>
    <t>QQ</t>
  </si>
  <si>
    <t>KM</t>
  </si>
  <si>
    <t xml:space="preserve">DISTANCIA DESDE  </t>
  </si>
  <si>
    <t xml:space="preserve">AGREGADO (ARENA) </t>
  </si>
  <si>
    <t>MATERIALES</t>
  </si>
  <si>
    <t>MANEJO EN OBRA</t>
  </si>
  <si>
    <t>COSTO/M3  R.D$</t>
  </si>
  <si>
    <t xml:space="preserve">AGREGADO (GRAVA) </t>
  </si>
  <si>
    <t>H.S.PARA F'C= 240 KGS/CM2</t>
  </si>
  <si>
    <t>CEMENTO</t>
  </si>
  <si>
    <t>FDAS.</t>
  </si>
  <si>
    <t xml:space="preserve">AGUA </t>
  </si>
  <si>
    <t>GLS</t>
  </si>
  <si>
    <t>LIGADO Y VACIADO</t>
  </si>
  <si>
    <t>DESPERDICIO 2%</t>
  </si>
  <si>
    <t>H.S. PARA F'C= 210 KGS/ CM2</t>
  </si>
  <si>
    <t xml:space="preserve">CEMENTO </t>
  </si>
  <si>
    <t>H.S. PARA F'C= 180 KGS/CM2</t>
  </si>
  <si>
    <t>FDAS</t>
  </si>
  <si>
    <t>COSTO EN PLANTA</t>
  </si>
  <si>
    <t>M0RTERO PARA PAÑETE 1:4</t>
  </si>
  <si>
    <t>LIGADO</t>
  </si>
  <si>
    <t>DIA</t>
  </si>
  <si>
    <t>DESPERDICIO 3%</t>
  </si>
  <si>
    <t>MORTERO PARA FINO 1:3</t>
  </si>
  <si>
    <t xml:space="preserve">ARENA </t>
  </si>
  <si>
    <t>PAÑETE EXTERIOR</t>
  </si>
  <si>
    <t>MORTERO 1:4 +30% DESP.</t>
  </si>
  <si>
    <t>REGLA</t>
  </si>
  <si>
    <t>P2</t>
  </si>
  <si>
    <t>ANDAMIOS</t>
  </si>
  <si>
    <t>COSTO/M2  R.D$</t>
  </si>
  <si>
    <t xml:space="preserve">PAÑETE INTERIOR </t>
  </si>
  <si>
    <t>MORTERO 1:4 + 30% DESP.</t>
  </si>
  <si>
    <t>m³</t>
  </si>
  <si>
    <t>p²</t>
  </si>
  <si>
    <t>MANO DE OBRA PAÑETE Y PULIDO</t>
  </si>
  <si>
    <t>m²</t>
  </si>
  <si>
    <t>COSTO/m²        RD$</t>
  </si>
  <si>
    <t>PAÑETE INTERIOR PULIDO</t>
  </si>
  <si>
    <t>MORTERO 1:4+30 % DESP</t>
  </si>
  <si>
    <t>CEMENTO 2DA CAPA</t>
  </si>
  <si>
    <t>PAÑETE INTERIOR PULIDO C / IMPERMEABILIZANTE</t>
  </si>
  <si>
    <t>IMPERMEABILIZANTE</t>
  </si>
  <si>
    <t>FINO LOSA DE FONDO</t>
  </si>
  <si>
    <t>MORTERO 1:3+ 25%DESP.</t>
  </si>
  <si>
    <t>BAJADA MAT.</t>
  </si>
  <si>
    <t>FINO LOSA DE FONDO C/ IMPERMEABILIZANTE</t>
  </si>
  <si>
    <t>FINO LOSA DE TECHO</t>
  </si>
  <si>
    <t>MORTERO 1:3+DESP.</t>
  </si>
  <si>
    <t>SUBIDA MAT.</t>
  </si>
  <si>
    <t>CANTOS</t>
  </si>
  <si>
    <t>MORTERO 1:4+DESP.</t>
  </si>
  <si>
    <t>COSTO/M.L  R.D$</t>
  </si>
  <si>
    <t>ACERO GENERAL</t>
  </si>
  <si>
    <t xml:space="preserve">SUMINISTRO </t>
  </si>
  <si>
    <t>ALAMBRE NO.24.  2 LIB.XQQ</t>
  </si>
  <si>
    <t>LB</t>
  </si>
  <si>
    <t>COSTO/QQ  R.D$</t>
  </si>
  <si>
    <t>ACERO VIGAS Y COLUMNAS</t>
  </si>
  <si>
    <t>ANALISIS MUROS DE BLOQUES</t>
  </si>
  <si>
    <t>HORMIGON P/CAMARA BLOQUES 1:3:5</t>
  </si>
  <si>
    <t>CEMENTO GRIS</t>
  </si>
  <si>
    <t xml:space="preserve">MANO DE OBRA MEZCLADO </t>
  </si>
  <si>
    <t xml:space="preserve">DESPERDICIO 3%  </t>
  </si>
  <si>
    <t>MURO DE BLOQUES DE 6"</t>
  </si>
  <si>
    <t>SUM.DE BLOQUE 6"</t>
  </si>
  <si>
    <t>COLOCACION BLOQUES 6"</t>
  </si>
  <si>
    <t>MORTERO P/JUNTA+30%DESP.</t>
  </si>
  <si>
    <t>HORM.EN CAMARA +10%DESP.</t>
  </si>
  <si>
    <t>ACERO 3/8"+20%DESP</t>
  </si>
  <si>
    <t>ANDAMIOS P/BLOQUES</t>
  </si>
  <si>
    <t>CONFECCION ANDAMIOS</t>
  </si>
  <si>
    <t xml:space="preserve">LLENADO HUECOS </t>
  </si>
  <si>
    <t>BNP</t>
  </si>
  <si>
    <t>PINTURA ACRILICA SIN ANDAMIOS:</t>
  </si>
  <si>
    <t>PINTURA</t>
  </si>
  <si>
    <t>APLICACION ( DOS MANOS ).</t>
  </si>
  <si>
    <t>DESPERDICIOS Y RETOQUES</t>
  </si>
  <si>
    <t>PINTURA MANTANIMIENTO: ( SIN ANDAMIO )</t>
  </si>
  <si>
    <t>THINNER</t>
  </si>
  <si>
    <t>m2</t>
  </si>
  <si>
    <t>DES[ERDICIOS Y RETOQUES</t>
  </si>
  <si>
    <t>PINTURA OXIDO ROJO ( SIN ANDAMIO )</t>
  </si>
  <si>
    <t>TAPAS DE H.F. 0.80 M</t>
  </si>
  <si>
    <t>SUMINISTRO</t>
  </si>
  <si>
    <t>COLOCACION</t>
  </si>
  <si>
    <t>MOTOSOLDADORA</t>
  </si>
  <si>
    <t>ALQUILER MAQUINA</t>
  </si>
  <si>
    <t>DÍA</t>
  </si>
  <si>
    <t>SOLDADOR</t>
  </si>
  <si>
    <t>AYUDANTES  (2 HOMBRES)</t>
  </si>
  <si>
    <t>COMBUSTIBLE (GASOLINA) (0.06xHpx8)</t>
  </si>
  <si>
    <t xml:space="preserve">LUBRICANTE 20% DEL COMBUSTIBLE) </t>
  </si>
  <si>
    <t>HERRAMIENTAS</t>
  </si>
  <si>
    <t>COSTO TOTAL POR DIA (CD)</t>
  </si>
  <si>
    <t>COSTO TOTAL POR HORA (CH)</t>
  </si>
  <si>
    <t xml:space="preserve">EQUIPO DE CORTE </t>
  </si>
  <si>
    <t>EQUIPO DE CORTE</t>
  </si>
  <si>
    <t>OXIGENO</t>
  </si>
  <si>
    <t>CIL</t>
  </si>
  <si>
    <t>GAS PROPANO</t>
  </si>
  <si>
    <t>HERRERO ( 1 U ) @ RD$ 1,100.00</t>
  </si>
  <si>
    <t>AYUDANTE ( 2 U ) @ RD$ 650.00</t>
  </si>
  <si>
    <t>ESCALEAS H= 1.85 Ø 3/4"</t>
  </si>
  <si>
    <t>SUMINISTRO TUBERIA 3/4" H.G.</t>
  </si>
  <si>
    <t>CORTE</t>
  </si>
  <si>
    <t>SOLDADURA</t>
  </si>
  <si>
    <t>PUNTURA DE OXIDO ROJO</t>
  </si>
  <si>
    <t>PUNTURA DE MANTENIMIETO</t>
  </si>
  <si>
    <t>COSTO /UD RD$</t>
  </si>
  <si>
    <t>COSTO /ML RD$</t>
  </si>
  <si>
    <t xml:space="preserve">REGISTRO PARA VALVULA DE                                                                                                                                                                                                                                                                                                                                                                                                                                                                                                                                                                                                                                                                                                                                                                                                                                                         </t>
  </si>
  <si>
    <t>LOSA DE FONDO 0.15 - 1.87qq/m³</t>
  </si>
  <si>
    <t>H.S  180 kg/cm² + 5% DESP.</t>
  </si>
  <si>
    <t>K. ACERO</t>
  </si>
  <si>
    <t>qq</t>
  </si>
  <si>
    <t>COSTO/m³        RD$</t>
  </si>
  <si>
    <t>LOSA DE TECHO 0,12 - 1.67 qq/m³</t>
  </si>
  <si>
    <t>ENC. Y DESC.</t>
  </si>
  <si>
    <t xml:space="preserve">REGISTRO DE TUBO </t>
  </si>
  <si>
    <t>TUBO Ø36" CONCRETO,</t>
  </si>
  <si>
    <t>LOSA DE FONDO 0.15 - 1.87 qq/m³</t>
  </si>
  <si>
    <t>TAPA DE  POLIPROPILENO (PESADA)</t>
  </si>
  <si>
    <t xml:space="preserve">REGISTROS PARA VALVULA DE Ø3" DE COMPUERTA </t>
  </si>
  <si>
    <t xml:space="preserve">( 1.30 x 1.30 x 1.67 ) M </t>
  </si>
  <si>
    <t>EXCAVACION EN ROCA  C / EQUIPO ( COMPRESOR) INC. EXTRACCION</t>
  </si>
  <si>
    <t>RELLENO COMPACTADO</t>
  </si>
  <si>
    <t xml:space="preserve">BOTE DE MATERIAL </t>
  </si>
  <si>
    <t>HORMIGON ARNADO EN:</t>
  </si>
  <si>
    <t>LOSA DE FONDO 0.15 - 1.00 QQ/M3</t>
  </si>
  <si>
    <t>LOSA DE TECHO 0.12 - 1.50 QQ/M3</t>
  </si>
  <si>
    <t>MURO DE BLOCK 6"</t>
  </si>
  <si>
    <t xml:space="preserve">PAÑETE </t>
  </si>
  <si>
    <t>FINO DE FONDO</t>
  </si>
  <si>
    <t>PINTURA ACRILICA</t>
  </si>
  <si>
    <t>ESCALERA 3/4", L=1.00 M</t>
  </si>
  <si>
    <t>TAPA DE H F</t>
  </si>
  <si>
    <t>SOPORTE MOVIL H = 0.30 M</t>
  </si>
  <si>
    <t>SERPENTINAS Ø 3/8" ( 2U )</t>
  </si>
  <si>
    <t>COSTO/UD        RD$</t>
  </si>
  <si>
    <t xml:space="preserve">ANCLAJE H.A.  </t>
  </si>
  <si>
    <t xml:space="preserve">ANCLAJE H.A. - </t>
  </si>
  <si>
    <t>QQ/M3</t>
  </si>
  <si>
    <t xml:space="preserve">HORMIGON ARMADO </t>
  </si>
  <si>
    <t>H.S. 210 KG/CM2</t>
  </si>
  <si>
    <t xml:space="preserve">K ACERO </t>
  </si>
  <si>
    <t>ADITIVO</t>
  </si>
  <si>
    <t>R.D.$   /M3</t>
  </si>
  <si>
    <t>R.D.$   /UNIDAD</t>
  </si>
  <si>
    <t>MADERA DE ENCOFRADO</t>
  </si>
  <si>
    <t>PLANCHAS DE PLYWOOD (4PLANCHAS / 4 USOS)</t>
  </si>
  <si>
    <t>MADERA (CARGADERA )</t>
  </si>
  <si>
    <t>PT</t>
  </si>
  <si>
    <t>CLAVOS CORRIENTES</t>
  </si>
  <si>
    <t>R.D.$   /UNIDAD (TOTAL)</t>
  </si>
  <si>
    <t>EXVCAVACION  A MANO</t>
  </si>
  <si>
    <t>TOTAL       RD$</t>
  </si>
  <si>
    <t>EXCAVACION MATERIAL Compacto</t>
  </si>
  <si>
    <t>DESCRIPCION</t>
  </si>
  <si>
    <t>CANTIDAD</t>
  </si>
  <si>
    <t>UND.</t>
  </si>
  <si>
    <t>PRECIO</t>
  </si>
  <si>
    <t>TOTAL</t>
  </si>
  <si>
    <t xml:space="preserve">ALQUILER  EXCAVADORA  416K </t>
  </si>
  <si>
    <t>COMBUSTIBLE  (80 HP X 0.04 )  (INCLUYE TRANSPORTE INTERNO)</t>
  </si>
  <si>
    <t>GL/H</t>
  </si>
  <si>
    <t>LUBRICANTE (20% DEL COMBUSTIBLE)</t>
  </si>
  <si>
    <t>pa</t>
  </si>
  <si>
    <t>OPERARIO INCLUYE DIETA Y DORMITORIO</t>
  </si>
  <si>
    <t>Costo total p/hora</t>
  </si>
  <si>
    <t>RENDIMIENTO</t>
  </si>
  <si>
    <t>COSTO POR M3</t>
  </si>
  <si>
    <t>EXCAVACION MATERIAL Compacto con alto grado de humedad</t>
  </si>
  <si>
    <t>RELLENO COMPACTADO CON EQUIPO DE PERCUCION CON MAT. DE LA EXCAVACION</t>
  </si>
  <si>
    <t xml:space="preserve">Alquiler de maquito </t>
  </si>
  <si>
    <t>dia</t>
  </si>
  <si>
    <t xml:space="preserve">Peon </t>
  </si>
  <si>
    <t>Carretillero</t>
  </si>
  <si>
    <t>Herramientas(3 % de a + b+ c)</t>
  </si>
  <si>
    <t>COSTO TOTAL POR DIA</t>
  </si>
  <si>
    <t>COSTO POR  M3</t>
  </si>
  <si>
    <t xml:space="preserve"> ARENA  P/ASIENTO</t>
  </si>
  <si>
    <t>COLOCACION DE ASIENTO DE ARENA</t>
  </si>
  <si>
    <t>HERRAMIENTAS MENORES 3%</t>
  </si>
  <si>
    <t>RENDIMIENTO 6 M3/DIA</t>
  </si>
  <si>
    <t>M3 / DIA</t>
  </si>
  <si>
    <t>COSTO /M3  RD$</t>
  </si>
  <si>
    <t>SUMINISTRO DE ARENA</t>
  </si>
  <si>
    <t>COSTO/M3 DE AGREGADO   R.D$</t>
  </si>
  <si>
    <t>MANO DE OBRA DE COLOCACION</t>
  </si>
  <si>
    <t>SUMINISTRO Y COLOCACION ASIENTO DE ARENA</t>
  </si>
  <si>
    <t>SENALIZACION, MANEJO DE TRANSITO Y SEGURIDAD EN LA VIA</t>
  </si>
  <si>
    <t>PEONES (3U) $650</t>
  </si>
  <si>
    <t>BANDEROLA</t>
  </si>
  <si>
    <t xml:space="preserve">CHALECOS  (INC.USOS </t>
  </si>
  <si>
    <t xml:space="preserve">CASCOS  (INC.USOS </t>
  </si>
  <si>
    <t>SEÑALES</t>
  </si>
  <si>
    <t xml:space="preserve">CONOS </t>
  </si>
  <si>
    <t>LETREROS (*INC. BASE)</t>
  </si>
  <si>
    <t>ANALISIS TRENCHER ( MARCA JEERMER, MOTOR V-8 TURBO)</t>
  </si>
  <si>
    <t xml:space="preserve">EXCAVACION EN ROCA DURA </t>
  </si>
  <si>
    <t>ALQUILER  TRENCHER</t>
  </si>
  <si>
    <t>OPERADOR(INC. DIETA)</t>
  </si>
  <si>
    <t>AYUDANTE</t>
  </si>
  <si>
    <t>COMBUSTIBLE</t>
  </si>
  <si>
    <t>ALQUILER SOLDADORA</t>
  </si>
  <si>
    <t>LUBRICANTES  (20% DEL COMBUSTIBLE)</t>
  </si>
  <si>
    <t xml:space="preserve">GRASAS ( 0.25LB/HR) </t>
  </si>
  <si>
    <t>ALQUILER  LAV. A PRESION.</t>
  </si>
  <si>
    <t xml:space="preserve">COSTO TOTAL / HR   </t>
  </si>
  <si>
    <t>M3/HR</t>
  </si>
  <si>
    <t xml:space="preserve">COSTO/M3 RD$ </t>
  </si>
  <si>
    <t xml:space="preserve">INSTALACION MANOMETRICA </t>
  </si>
  <si>
    <t>UNIDAD</t>
  </si>
  <si>
    <t>NIPLE 1/2"</t>
  </si>
  <si>
    <t>LLAVE DE  BOLA  1/2"</t>
  </si>
  <si>
    <t>TEE 1/2"</t>
  </si>
  <si>
    <t>LLAVE DE  CHORRO  1/2"</t>
  </si>
  <si>
    <t>REDUCCION 1/2" A 1/4"</t>
  </si>
  <si>
    <t xml:space="preserve">MANOMETRO </t>
  </si>
  <si>
    <t>colocacion</t>
  </si>
  <si>
    <t>ANCLAJE PARA PIEZAS</t>
  </si>
  <si>
    <t>LOSA DE FONDO 0.15 - 1.00 qq/m³</t>
  </si>
  <si>
    <t>ANALISIS DE COMPRESOR</t>
  </si>
  <si>
    <t xml:space="preserve">COMPRESOR 2 PISTOLAS </t>
  </si>
  <si>
    <t>REND. 3.0 M3/DIA POR PISTOLA</t>
  </si>
  <si>
    <t>REND. 6.0 M3/DIA LAS 2 PISTOLAS</t>
  </si>
  <si>
    <t>DIA(8 H)</t>
  </si>
  <si>
    <t>HORAS (1 mes)</t>
  </si>
  <si>
    <r>
      <t>COMPRESOR(ALQUILER)</t>
    </r>
    <r>
      <rPr>
        <b/>
        <sz val="10"/>
        <rFont val="Times New Roman"/>
        <family val="1"/>
      </rPr>
      <t xml:space="preserve">RD$ </t>
    </r>
  </si>
  <si>
    <t>A.- EQUIPO</t>
  </si>
  <si>
    <t>ALQUILER DE COMPRESOR</t>
  </si>
  <si>
    <t>GASOIL</t>
  </si>
  <si>
    <t>LUBRICANTES</t>
  </si>
  <si>
    <t>P/ DIA R.D.$</t>
  </si>
  <si>
    <t>P/ HORA R.D.$</t>
  </si>
  <si>
    <t>B.- BRIGADA</t>
  </si>
  <si>
    <t>PISTOLEROS (2 H) 900  + 200.00 DIETA C/U</t>
  </si>
  <si>
    <t>AYUDANTE (2 H) 750 C/U</t>
  </si>
  <si>
    <t xml:space="preserve">  P/ DIA  R.D.$</t>
  </si>
  <si>
    <t xml:space="preserve">  P/ HORA  R.D.$</t>
  </si>
  <si>
    <t>EXCAVACION A COMPRESOR(A+B)</t>
  </si>
  <si>
    <t>P/HORA RD$</t>
  </si>
  <si>
    <t>P/DIA RD$</t>
  </si>
  <si>
    <t>EXCAVACION A COMPRESOR</t>
  </si>
  <si>
    <t>P/M3 RD$</t>
  </si>
  <si>
    <t>REGISTROS PARA VALVULA DE Ø20"</t>
  </si>
  <si>
    <t>EXCAVACION  A MANO</t>
  </si>
  <si>
    <t>LOSA DE FONDO 0.15 - 1.13QQ/M3</t>
  </si>
  <si>
    <t>LOSA DE TECHO 0.12 - 1.41 QQ/M3</t>
  </si>
  <si>
    <t>PAÑETE INTERIOR</t>
  </si>
  <si>
    <t xml:space="preserve"> DENTRO DE LA VIA  </t>
  </si>
  <si>
    <t>TAPA DE H.F.  0.80 M</t>
  </si>
  <si>
    <t xml:space="preserve">FUERA   DE LA VIA </t>
  </si>
  <si>
    <t xml:space="preserve">TAPA </t>
  </si>
  <si>
    <t>CARGUIO DE CALICHE DE MINA CAT-950</t>
  </si>
  <si>
    <t>ALQUILER  CAT-950</t>
  </si>
  <si>
    <t xml:space="preserve">COMBUSTIBLE ( 130 HP X 0.04 ) </t>
  </si>
  <si>
    <t>OPERARIO RD$ 1,300.00 /DIA</t>
  </si>
  <si>
    <t xml:space="preserve">RENDIMIENTO </t>
  </si>
  <si>
    <t>M3/hr</t>
  </si>
  <si>
    <t>COSTO POR M3 CH/R</t>
  </si>
  <si>
    <t>CORTE TRACTOR D-8-K</t>
  </si>
  <si>
    <t xml:space="preserve">Alquiler  Tractor D8 -K </t>
  </si>
  <si>
    <t>Combustible</t>
  </si>
  <si>
    <t>gls</t>
  </si>
  <si>
    <t>Lubricantes( 20% de Combust.)</t>
  </si>
  <si>
    <t>Operador(inc. Dieta)</t>
  </si>
  <si>
    <t>hr</t>
  </si>
  <si>
    <t>Costo/hora</t>
  </si>
  <si>
    <t xml:space="preserve">m3/hr </t>
  </si>
  <si>
    <t>Costo/m3</t>
  </si>
  <si>
    <t>PRECIO TOTAL DE MATERIAL DE MINA (INCLUYE DERECHO A MINA, CORTE, CARGUÍO, ACARREO Y ARRANQUE)</t>
  </si>
  <si>
    <t>Derecho a mina y pago a medio ambiente</t>
  </si>
  <si>
    <t xml:space="preserve"> M3 </t>
  </si>
  <si>
    <t xml:space="preserve">Distancia </t>
  </si>
  <si>
    <t xml:space="preserve"> KM </t>
  </si>
  <si>
    <t>Corte</t>
  </si>
  <si>
    <t>Arranque</t>
  </si>
  <si>
    <t>Carguïo</t>
  </si>
  <si>
    <t>DE Ø3" PVC SRD-26 C/J. G. + 2%  PERDIDA POR CAMP.</t>
  </si>
  <si>
    <t>PEONES (3U)</t>
  </si>
  <si>
    <t>RELLENO DE MATERIAL  COMPACTADO CON COMPACTADOR MECANICO EN CAPAS DE 0.20</t>
  </si>
  <si>
    <t>TEE Ø 3" X 3"  ACERO SCH-80, CON PROTECCION ANTICORROSIVA</t>
  </si>
  <si>
    <t>JUNTA MECANICA TIPO DRESSER Ø 3" H.F 150 PSI</t>
  </si>
  <si>
    <t xml:space="preserve">EMPALME A TUBERIA EXISTENTE </t>
  </si>
  <si>
    <t>MANO DE OBRA PARA EMPALME A TUBERIA EXISTENTE, ( INC. CORTE DE TUBERIA Y MOVIMIENTO DE TIERRA)</t>
  </si>
  <si>
    <t xml:space="preserve">CAJAS TELESCOPICAS SEGÚN DETALLE </t>
  </si>
  <si>
    <t xml:space="preserve">CORTE CON SIERRA EN LATERALES DE ASFALTO: 2" Y 3" </t>
  </si>
  <si>
    <t>ITEMS</t>
  </si>
  <si>
    <t>COSTO</t>
  </si>
  <si>
    <t>CORTADORA  HORIZONTAL DE ASFALTO HONDA, DE  GASOLINA DE 13 HP</t>
  </si>
  <si>
    <t>DISCO 14¨Y PROFUNDIDAD DE CORTE HASTA 3", PESO  EQUIPO 285 LB</t>
  </si>
  <si>
    <t>COSTO ALQUILER (1 DIAS)</t>
  </si>
  <si>
    <t>COMBUSTIBLE=0.04*(13 HP )(PRECIO RD$/GL), Gasolina Reg. RD$225.00 P/GL</t>
  </si>
  <si>
    <t xml:space="preserve">LUBRICANTE =0.20 DE </t>
  </si>
  <si>
    <t>OPERADOR= RD$950/8</t>
  </si>
  <si>
    <t>DESGASTE DE DISCO=20,263.00/750</t>
  </si>
  <si>
    <t>COSTO TOTAL /HORA</t>
  </si>
  <si>
    <t>REND=70 ML/DIA=8.75 ML/HORA</t>
  </si>
  <si>
    <t>COSTO$/Ml</t>
  </si>
  <si>
    <t xml:space="preserve">EXTRACCION DE ASFALTO </t>
  </si>
  <si>
    <t>ALQUILER  DE EQUIPO</t>
  </si>
  <si>
    <t xml:space="preserve">COMBUSTIBLE  (80 HP X 0.04 ) </t>
  </si>
  <si>
    <t>OPERARIO RD$ (1,300 /DIA)</t>
  </si>
  <si>
    <t xml:space="preserve">RENDIMIENTO (ESPESOR DE ASFALTO 4 CM </t>
  </si>
  <si>
    <t>M2/HR</t>
  </si>
  <si>
    <t>COSTO POR M2 CH/R</t>
  </si>
  <si>
    <t>A) MANO DE OBRA PRIMERA APLICACIÓN</t>
  </si>
  <si>
    <t>PERSONAL</t>
  </si>
  <si>
    <t>CAPATAZ (1)</t>
  </si>
  <si>
    <t>PEONES (3)</t>
  </si>
  <si>
    <t>MANTENIMIENTO DE SUPERFICIE (2)</t>
  </si>
  <si>
    <t xml:space="preserve">DÍA </t>
  </si>
  <si>
    <t>NIVELADO (2 AYUDANTES)</t>
  </si>
  <si>
    <t>COSTO TOTAL POR DÍA</t>
  </si>
  <si>
    <t>C) MATERIAL</t>
  </si>
  <si>
    <t>ASFALTO PARA IMPRIMACION (RC-250)</t>
  </si>
  <si>
    <t>SUMINISTRO Y COLOCACIÓN DE RC-2</t>
  </si>
  <si>
    <t>CALENTAMIENTO DE RC-2</t>
  </si>
  <si>
    <t>GRAVILLA DE 3/8"</t>
  </si>
  <si>
    <t>D) EQUIPO</t>
  </si>
  <si>
    <t>CAMION DISTRIBUIDOR</t>
  </si>
  <si>
    <t>BARREDORA</t>
  </si>
  <si>
    <t>RODILLO VIBRADOR  LISO</t>
  </si>
  <si>
    <t>CARGADOR FORNTAL</t>
  </si>
  <si>
    <t>CAMION PARA AGREGADOS</t>
  </si>
  <si>
    <t>COSTO TOTAL/M2</t>
  </si>
  <si>
    <t>ANALISIS PARA  RIEGO DE IMPRIMACION SENCILLA</t>
  </si>
  <si>
    <t>SUB-TOTAL FASE  A</t>
  </si>
  <si>
    <t>VALVULA CHECK DE 1/2" DE BRONCE</t>
  </si>
  <si>
    <t>CAMPAMENTO, ( INC. ALQUILER DE SOLAR CON O SIN CASA , 2 UD DE BAÑOS MOVILES Y CASETA PARA MATERIALES)</t>
  </si>
  <si>
    <t xml:space="preserve">CODIA </t>
  </si>
  <si>
    <t>TOTAL EJECUTAR EN RD$</t>
  </si>
  <si>
    <t xml:space="preserve">TOTAL A CONTRATAR EN RD$ </t>
  </si>
  <si>
    <t xml:space="preserve">LIMPIEZA FINAL Y CONTINUA </t>
  </si>
  <si>
    <t xml:space="preserve">                               PREPARADO POR:</t>
  </si>
  <si>
    <t xml:space="preserve">                      REVISADO POR:</t>
  </si>
  <si>
    <t xml:space="preserve">            ING. DEPTO. DE COSTOS Y PRESUPUESTOS</t>
  </si>
  <si>
    <t>ING. DEPTO. DE COSTOS Y PRESUPUESTOS</t>
  </si>
  <si>
    <t xml:space="preserve">                                  SOMETIDO POR:</t>
  </si>
  <si>
    <t xml:space="preserve">                       VISTO BUENO:</t>
  </si>
  <si>
    <t xml:space="preserve">                           ING. CLAUDIA DE LEON R.</t>
  </si>
  <si>
    <t xml:space="preserve">              ING. LEONARDO PEREZ G.</t>
  </si>
  <si>
    <t xml:space="preserve">            ENC. DEPTO. DE COSTOS Y PRESUPUESTOS</t>
  </si>
  <si>
    <t xml:space="preserve">              DIRECTOR DE INGENIERIA</t>
  </si>
  <si>
    <t>ACOMETIDAS RURALES CON POLIETILENO  DE Ø 3" (30 UD)</t>
  </si>
  <si>
    <t>CODO Ø 1/2" X 90  H.G.</t>
  </si>
  <si>
    <t xml:space="preserve">TUBERIA 1/2" H.G. PARA BASTONE </t>
  </si>
  <si>
    <t>NIPLE DE Ø 1/2" H.G.</t>
  </si>
  <si>
    <t>COUPLING DE Ø 1/2" H.G.</t>
  </si>
  <si>
    <t xml:space="preserve">LLAVE DE PASO DE Ø 1/2"  PLASTICA DE BOLA </t>
  </si>
  <si>
    <t>PEDESTAL DE H.S. ( 0.80 X 0.15)</t>
  </si>
  <si>
    <t xml:space="preserve">USO BOMBA DE ACHIQUE Ø3" </t>
  </si>
  <si>
    <t xml:space="preserve">ACOMETIDAS: </t>
  </si>
  <si>
    <t>I</t>
  </si>
  <si>
    <t xml:space="preserve">SUMINISTRO MATERIAL DE MINA (PREVIA APROBACION DE LA SUPERVISION), CONSIDERAR EL 40 % DEL MATERIAL A RELLENAR </t>
  </si>
  <si>
    <t>ACOMETIDAS URBANAS CON POLIETILENO  DE Ø 3" (30 UD)</t>
  </si>
  <si>
    <t xml:space="preserve">            ING. MARIA ISABEL MORALES </t>
  </si>
  <si>
    <t>SUMINISTRO Y COLOCACION PIEZAS ESPECIALES:</t>
  </si>
  <si>
    <t>ANCLAJE  H.S PARA PIEZAS (SEGUN DETALLE)</t>
  </si>
  <si>
    <t>11.1.1</t>
  </si>
  <si>
    <t>11.1.2</t>
  </si>
  <si>
    <t>11.1.3</t>
  </si>
  <si>
    <t>11.2.1</t>
  </si>
  <si>
    <t>11.2.2</t>
  </si>
  <si>
    <t>8.1.1</t>
  </si>
  <si>
    <t>8.1.2</t>
  </si>
  <si>
    <t>8.1.3</t>
  </si>
  <si>
    <t>8.1.4</t>
  </si>
  <si>
    <t>8.1.5</t>
  </si>
  <si>
    <t>8.1.6</t>
  </si>
  <si>
    <t>8.1.7</t>
  </si>
  <si>
    <t>8.1.8</t>
  </si>
  <si>
    <t>8.1.9</t>
  </si>
  <si>
    <t>8.1.10</t>
  </si>
  <si>
    <t>8.1.11</t>
  </si>
  <si>
    <t>8.1.12</t>
  </si>
  <si>
    <t>8.1.13</t>
  </si>
  <si>
    <t>8.2.1</t>
  </si>
  <si>
    <t>8.2.2</t>
  </si>
  <si>
    <t>8.2.3</t>
  </si>
  <si>
    <t>8.2.4</t>
  </si>
  <si>
    <t>8.2.5</t>
  </si>
  <si>
    <t>8.2.6</t>
  </si>
  <si>
    <t>8.2.7</t>
  </si>
  <si>
    <t>8.2.8</t>
  </si>
  <si>
    <t>8.2.9</t>
  </si>
  <si>
    <t>8.2.10</t>
  </si>
  <si>
    <t>8.2.11</t>
  </si>
  <si>
    <t>8.2.12</t>
  </si>
  <si>
    <t>8.2.13</t>
  </si>
  <si>
    <t>8.2.14</t>
  </si>
  <si>
    <t>SEGURIDAD, SEÑALIZACION Y MANEJO DEL TRANSITO (INCLUYE  4 OBREROS, CONOS, CINTAS, TANQUES, LETREROS, MECHONES Y CONOS)</t>
  </si>
  <si>
    <t>MES</t>
  </si>
  <si>
    <t>REPLANTEO  PARA TUBERIAS P/ACUEDUCTO (C/CAL)</t>
  </si>
  <si>
    <t>ALQUIELER DE CAMIONETA</t>
  </si>
  <si>
    <t>EQUIPO DE TOPOGRAFIA</t>
  </si>
  <si>
    <t>MAESTRO(1 U) @,1500/DIA</t>
  </si>
  <si>
    <t>PEON (4 U) @,659 C/U /DIA</t>
  </si>
  <si>
    <t>BRIGADA TOPOGRAFICA</t>
  </si>
  <si>
    <t>M/DIA</t>
  </si>
  <si>
    <t>COSTO/DIA</t>
  </si>
  <si>
    <t>COSTO / M RD$</t>
  </si>
  <si>
    <t>REPLANTEO TUBERIAS  P/ACUEDUCTO (C/PINTURA)</t>
  </si>
  <si>
    <t>Descripción</t>
  </si>
  <si>
    <t>Unidad</t>
  </si>
  <si>
    <t>P.U. (RD$)</t>
  </si>
  <si>
    <t xml:space="preserve">  SUB-TOTAL</t>
  </si>
  <si>
    <t xml:space="preserve">PINTURA </t>
  </si>
  <si>
    <t>ALQUILER DE CAMIONETA</t>
  </si>
  <si>
    <t>MAESTRO(1 U) @,1977/DIA</t>
  </si>
  <si>
    <t>BRIGADA TOPOGRAFICA INCLUYE EQUIPOS TOPOGRAFIA Y HERRAMIENTAS</t>
  </si>
  <si>
    <t>E</t>
  </si>
  <si>
    <t>9.1.1</t>
  </si>
  <si>
    <t>9.1.2</t>
  </si>
  <si>
    <t>9.2.1</t>
  </si>
  <si>
    <t>9.2.2</t>
  </si>
  <si>
    <t>9.2.3</t>
  </si>
  <si>
    <t>G</t>
  </si>
  <si>
    <t>turbo</t>
  </si>
  <si>
    <t>1</t>
  </si>
  <si>
    <t>2</t>
  </si>
  <si>
    <t>RELLENO COMPACTADO  CON COMPACTADOR MECANICO</t>
  </si>
  <si>
    <t>BOTE DE MATERIAL  C/CAMION</t>
  </si>
  <si>
    <t>3</t>
  </si>
  <si>
    <t>SUMINISTRO DE TUBERIA</t>
  </si>
  <si>
    <t>3.1</t>
  </si>
  <si>
    <t>4</t>
  </si>
  <si>
    <t>COLOCACION  DE TUBERIA</t>
  </si>
  <si>
    <t>4.1</t>
  </si>
  <si>
    <t>5</t>
  </si>
  <si>
    <t>SUMINISTRO Y COLOCACION DE PIEZAS ESPECIALES</t>
  </si>
  <si>
    <t>5.1</t>
  </si>
  <si>
    <t>5.2</t>
  </si>
  <si>
    <t>5.3</t>
  </si>
  <si>
    <t>5.9</t>
  </si>
  <si>
    <t>ANCLAJE PARA  PIEZAS ESPECIALES</t>
  </si>
  <si>
    <t>6</t>
  </si>
  <si>
    <t>SUMINISTRO Y COLOCACION DE VALVULAS</t>
  </si>
  <si>
    <t>CAMINO DE ACCESO A PLANTA DE TRATAMIENTO (L=3,380.00M, A=5.00M)</t>
  </si>
  <si>
    <t xml:space="preserve">INGENIERIA </t>
  </si>
  <si>
    <t xml:space="preserve">DESMONTE </t>
  </si>
  <si>
    <t>HEC</t>
  </si>
  <si>
    <t>CORTE Y EMPUJE C/EQUIPO</t>
  </si>
  <si>
    <t xml:space="preserve">SUMINISTRO DE MATERIAL DE MINA ( CALICHE) + 25 % DE ESPONJAMIENTO </t>
  </si>
  <si>
    <t xml:space="preserve">REGADO, NIVELADO Y PERFILADO </t>
  </si>
  <si>
    <t>COMPACTADO</t>
  </si>
  <si>
    <t xml:space="preserve">CUNETAS </t>
  </si>
  <si>
    <t>PLANTA DE TRATAMIENTO</t>
  </si>
  <si>
    <t>REPLANTEO Y CONTROL TOPOGRAFICO</t>
  </si>
  <si>
    <t>VISITA</t>
  </si>
  <si>
    <t>MOVIMIENTO DE TIERRA PLANTA - TANQUE</t>
  </si>
  <si>
    <t xml:space="preserve">EXPLANACION CON EQUIPO </t>
  </si>
  <si>
    <t>EXCAVACION  CON EQUIPO</t>
  </si>
  <si>
    <t>REGISTRO ENTRADA DE AGUA</t>
  </si>
  <si>
    <t>HORMIGON ARMADO EN:</t>
  </si>
  <si>
    <t>LOSA DE FONDO 0.20 - 1.79QQ/M3</t>
  </si>
  <si>
    <t>MUROS 0.20 - 1.60 QQ/M3</t>
  </si>
  <si>
    <t>TERMINACION DE SUPERFICIE</t>
  </si>
  <si>
    <t>FINO FONDO</t>
  </si>
  <si>
    <t>PANETE EXTERIOR</t>
  </si>
  <si>
    <t>NIPLE 8X3 ACERO</t>
  </si>
  <si>
    <t>MEZCLA RAPIDA</t>
  </si>
  <si>
    <t>HORMIGON ARMADO EN (F1C=210 KG/CM2 INDUSTRIAL)</t>
  </si>
  <si>
    <t>4.1.1</t>
  </si>
  <si>
    <t>ZAPATA MURO ESTRUCTURA SOPORTE</t>
  </si>
  <si>
    <t>4.1.2</t>
  </si>
  <si>
    <t>MURO ESTRUCTURA SOPORTE</t>
  </si>
  <si>
    <t>4.1.3</t>
  </si>
  <si>
    <t>LOSA DE FONDO  0.15 - 0.99 QQ/M3</t>
  </si>
  <si>
    <t>4.1.4</t>
  </si>
  <si>
    <t xml:space="preserve">MUROS  0.15 - 2.50 QQ/M3, </t>
  </si>
  <si>
    <t>TERMINACIÓN DE SUPERFICIE :</t>
  </si>
  <si>
    <t>4.2.1</t>
  </si>
  <si>
    <t>4.2.2</t>
  </si>
  <si>
    <t>4.2.3</t>
  </si>
  <si>
    <t>RELLENO H.SIMPLE  P/CONFORMAR CIMACIO</t>
  </si>
  <si>
    <t>COMPUERTA 0.60X0.40 CON VASTAGO ESTACIONARIO ACERO INOXIDABLE</t>
  </si>
  <si>
    <t>DIFUSOR SULFATO</t>
  </si>
  <si>
    <t>FLOCULADORES</t>
  </si>
  <si>
    <t>5.1.1</t>
  </si>
  <si>
    <t>LOSA DE FONDO  0.30 - 0.99 QQ/M3</t>
  </si>
  <si>
    <t>5.1.2</t>
  </si>
  <si>
    <t xml:space="preserve">MUROS  0.30 - 2.50 QQ/M3, </t>
  </si>
  <si>
    <t>5.1.3</t>
  </si>
  <si>
    <t>MUROS 0.25 -3.06  QQ/M3</t>
  </si>
  <si>
    <t>5.2.1</t>
  </si>
  <si>
    <t>5.2.2</t>
  </si>
  <si>
    <t>FINO LOSA FONDO PULIDO</t>
  </si>
  <si>
    <t>5.2.3</t>
  </si>
  <si>
    <t xml:space="preserve">CANTOS </t>
  </si>
  <si>
    <t>PLACAS DE FIBRO-RESINA 3/4" (INC. MATERIALES P/INSTALACION)</t>
  </si>
  <si>
    <t>RELLENO H.SIMPLE  EN FONDO</t>
  </si>
  <si>
    <t>ACCESORIOS</t>
  </si>
  <si>
    <t>5.5.1</t>
  </si>
  <si>
    <t>COMPUERTA DE ACERO INOXIDABLE 0.60 X 0.40 CON VASTAGO ESTACIONARIO</t>
  </si>
  <si>
    <t>5.5.2</t>
  </si>
  <si>
    <t>NIPLE 8"X3' ACERO</t>
  </si>
  <si>
    <t>CANAL DE  DISTRIBUCION A SEDIMENTADORES</t>
  </si>
  <si>
    <t>HORMIGON ARMADO:</t>
  </si>
  <si>
    <t>6.1.1</t>
  </si>
  <si>
    <t>LOSA DE FONDO 0.15 - 1.42 QQ/M3</t>
  </si>
  <si>
    <t>6.2.1</t>
  </si>
  <si>
    <t>6.2.2</t>
  </si>
  <si>
    <t>6.2.3</t>
  </si>
  <si>
    <t>CANALES DE ENTRADA A SEDIMENTADORES</t>
  </si>
  <si>
    <t>HORMIGON ARMADO EN F'C=210 KG/CM2</t>
  </si>
  <si>
    <t>7.1.1</t>
  </si>
  <si>
    <t>7.2.1</t>
  </si>
  <si>
    <t>7.2.2</t>
  </si>
  <si>
    <t>7.2.3</t>
  </si>
  <si>
    <t>SUMINISTRO Y COLOCACION DE:</t>
  </si>
  <si>
    <t>7.3.1</t>
  </si>
  <si>
    <t>COMPUERTA DE ACERO INOXIDABLE 0.45 X 0.45 (VASTAGO 3.30 M)</t>
  </si>
  <si>
    <t>SEDIMENTADORES</t>
  </si>
  <si>
    <t>LOSA DE FONDO 0.30 - 0.99</t>
  </si>
  <si>
    <t>MURO 0.30 - 2.50 QQ/M3</t>
  </si>
  <si>
    <t>MUROS  0.25 - 2.32 QQ/M3</t>
  </si>
  <si>
    <t>MENSULAS DE APOYO 0.10 X 0.2 - 2.33 QQ/M3</t>
  </si>
  <si>
    <t>TOLVAS  DE LOS SEDIMENTADORES</t>
  </si>
  <si>
    <t>INSTALACIONES EN FONDO P/RECOLECTOR DE LODOS</t>
  </si>
  <si>
    <t>8.4.1</t>
  </si>
  <si>
    <t>TUB. 16' ACERO</t>
  </si>
  <si>
    <t>8.4.2</t>
  </si>
  <si>
    <t>NIPLE 4 X 3</t>
  </si>
  <si>
    <t>8.4.3</t>
  </si>
  <si>
    <t>VALVULA MARIPOSA 16" C/VASTAGO H=5.20 M (EN DESAGUE DE LODO)(CUB. C/FACTURA)</t>
  </si>
  <si>
    <t>8.4.4</t>
  </si>
  <si>
    <t>TUBERIA COLECTORA 6" PVC L=3.40</t>
  </si>
  <si>
    <t>8.4.5</t>
  </si>
  <si>
    <t xml:space="preserve">ORIFICIOS 6" </t>
  </si>
  <si>
    <t>8.4.6</t>
  </si>
  <si>
    <t xml:space="preserve">SISTEMA DE MODULOS DE FILTRADO P/ DECANTACION TUBULAR (LOMELLAN) ACCUPAC-IFR-6024 CONSTRUIDA DE PVC DE ALTA  RESIST.  P/6 DEPOSITOS DE DECANTADORES DE 4 X 2.44ML CUBIERTO C/MODULO DE 2'' C 8' </t>
  </si>
  <si>
    <t>P3</t>
  </si>
  <si>
    <t>CANALETAS PARA RECOLECCION AGUA SEDIMENTADA</t>
  </si>
  <si>
    <t>HORMIGON ARMADO EN :F'C=210 KG/CM2</t>
  </si>
  <si>
    <t>LOSA  0.15 - 1.42 QQ/M3</t>
  </si>
  <si>
    <t>TERMINACION DE SUPERFICIE:</t>
  </si>
  <si>
    <t>CANAL DE DESAGUE DE SEDIMENTADORES</t>
  </si>
  <si>
    <t>10.1.1</t>
  </si>
  <si>
    <t>LOSA DE FONDO 0.30 - 0.99 QQ/M3</t>
  </si>
  <si>
    <t>10.2.1</t>
  </si>
  <si>
    <t>10.2.2</t>
  </si>
  <si>
    <t>CANAL DE ENTRADA A FILTROS</t>
  </si>
  <si>
    <t>11.2.3</t>
  </si>
  <si>
    <t>FILTROS</t>
  </si>
  <si>
    <t>LOSA DE FONDO 0.30 - 0.99QQ/M3</t>
  </si>
  <si>
    <t>MUROS 0.30 - 2.50 QQ/M3</t>
  </si>
  <si>
    <t>MUROS 0.15 - 2.75 QQ/M3</t>
  </si>
  <si>
    <t xml:space="preserve">RELLENO H.S  EN FONDO </t>
  </si>
  <si>
    <t>CANALETA RECOLECCION AGUA RETROLAVADO</t>
  </si>
  <si>
    <t>11.5.1</t>
  </si>
  <si>
    <t>11.5.1.1</t>
  </si>
  <si>
    <t>LOSA DE FONDO 0.10 - 2.08 QQ/M3</t>
  </si>
  <si>
    <t>15.5.1.2</t>
  </si>
  <si>
    <t>MUROS 0.10 - 4.18 QQ/M3</t>
  </si>
  <si>
    <t>11.5.2</t>
  </si>
  <si>
    <t>11.5.2.1</t>
  </si>
  <si>
    <t>11.5.2.2</t>
  </si>
  <si>
    <t>11.5.2.3</t>
  </si>
  <si>
    <t>SISTEMA DE INYECCION DE AIRE PARA LIMPIEZA  (INC. TOBERAS, LOSAS PREFABRICAEDAS)</t>
  </si>
  <si>
    <t>SP</t>
  </si>
  <si>
    <t>MATERIAL FILTRANTE</t>
  </si>
  <si>
    <t>11.7.1</t>
  </si>
  <si>
    <t>ARENA e=0.50 M</t>
  </si>
  <si>
    <t>11.7.2</t>
  </si>
  <si>
    <t xml:space="preserve">ENVASADO </t>
  </si>
  <si>
    <t>11.7.3</t>
  </si>
  <si>
    <t xml:space="preserve">COLOCACION </t>
  </si>
  <si>
    <t>INSTALACIONES</t>
  </si>
  <si>
    <t>11.8.1</t>
  </si>
  <si>
    <t>VALVULA MARIPOSA 4" C/VASTAGO H=3.02 M ENTRADA FILTROS</t>
  </si>
  <si>
    <t>11.8.2</t>
  </si>
  <si>
    <t>VALVULA MARIPOSA 4" C/VASTAGO H=3.30 M RETROLAVADO</t>
  </si>
  <si>
    <t>11.8.3</t>
  </si>
  <si>
    <t>VALVULA MARIPOSA 4" C/VASTAGO H=4.60 M DESAGUE</t>
  </si>
  <si>
    <t>11.8.4</t>
  </si>
  <si>
    <t xml:space="preserve">VALVULA COMPUERTA 4" C/VASTAGO H=2.60 M INTERCONEXION </t>
  </si>
  <si>
    <t>11.8.5</t>
  </si>
  <si>
    <t>VALVULA MARIPOSA 8" C/VASTAGO H=2.70 M SALIDA</t>
  </si>
  <si>
    <t>11.8.6</t>
  </si>
  <si>
    <t>VERTEDOR DE CONTROL 1.00X0.61 (MADERA)</t>
  </si>
  <si>
    <t>FILTRACION DIRECTA</t>
  </si>
  <si>
    <t>SUM. Y COLOC. TUBERIA 8" ACERO</t>
  </si>
  <si>
    <t xml:space="preserve">M </t>
  </si>
  <si>
    <t>SUM. Y COLOC. CODO 8X90 ACERO-ACERO</t>
  </si>
  <si>
    <t>SUM. Y COLOC. TEE 8X8 ACERO (INTERSECCION SEDIMENTADORES)</t>
  </si>
  <si>
    <t>CANAL DE DESAGUE RETROLAVADO DE FILTROS</t>
  </si>
  <si>
    <t>13.1.1</t>
  </si>
  <si>
    <t>13.2.1</t>
  </si>
  <si>
    <t>13.2.2</t>
  </si>
  <si>
    <t>CANAL DE INTERCONEXION FILTROS</t>
  </si>
  <si>
    <t>14.1.1</t>
  </si>
  <si>
    <t>14.2.1</t>
  </si>
  <si>
    <t>14.2.2</t>
  </si>
  <si>
    <t>CANAL DE DESAGUE DE FILTROS</t>
  </si>
  <si>
    <t>15.1.1</t>
  </si>
  <si>
    <t>15.2.1</t>
  </si>
  <si>
    <t>15.2.2</t>
  </si>
  <si>
    <t>15.2.3</t>
  </si>
  <si>
    <t xml:space="preserve">REGISTRO SALIDA AGUA FILTRADA </t>
  </si>
  <si>
    <t>16.1.1</t>
  </si>
  <si>
    <t>LOSA DE FONDO 0.30 - 0.56QQ/M3</t>
  </si>
  <si>
    <t>16.1.2</t>
  </si>
  <si>
    <t>MUROS 0.25 - 2.50 QQ/M3</t>
  </si>
  <si>
    <t>16.2.1</t>
  </si>
  <si>
    <t>16.2.2</t>
  </si>
  <si>
    <t>16.2.3</t>
  </si>
  <si>
    <t>PASARELAS</t>
  </si>
  <si>
    <t>17.1.1</t>
  </si>
  <si>
    <t>LOSA DE TECHO  0.12 - 1.65QQ/M3</t>
  </si>
  <si>
    <t>BARANDA 1/2"H.G H=1.00 ML</t>
  </si>
  <si>
    <t>ESCALERA HORMIGON ARMADO L=4.50 M</t>
  </si>
  <si>
    <t>REGISTRO DE DESAGUE</t>
  </si>
  <si>
    <t>20.1.1</t>
  </si>
  <si>
    <t>20.1.2</t>
  </si>
  <si>
    <t>20.2.1</t>
  </si>
  <si>
    <t>20.2.2</t>
  </si>
  <si>
    <t>20.2.3</t>
  </si>
  <si>
    <t>20.2.4</t>
  </si>
  <si>
    <t xml:space="preserve">INSTALACIONES </t>
  </si>
  <si>
    <t>20.3.1</t>
  </si>
  <si>
    <t>TUBERIA 16" PVC SDR - 26 C/J.G</t>
  </si>
  <si>
    <t>20.3.2</t>
  </si>
  <si>
    <t>JUNTA DRESSER 16" P/PVC</t>
  </si>
  <si>
    <t>20.3.3</t>
  </si>
  <si>
    <t>TAPA 0.80 X 0.80 ALUMINIO</t>
  </si>
  <si>
    <t>MOVIMIENTO DE TIERRA P/TUBERIA</t>
  </si>
  <si>
    <t>20.4.1</t>
  </si>
  <si>
    <t>20.4.2</t>
  </si>
  <si>
    <t>20.4.3</t>
  </si>
  <si>
    <t>BOTE DE MATERIAL IN SITU</t>
  </si>
  <si>
    <t>OTROS</t>
  </si>
  <si>
    <t>TAPA 0.8 X 0.8 ALUMINIO EN TECHO'CANALES DE INTERCONEXION , CONTACTO DE CLORO Y AGUA FILTRADA</t>
  </si>
  <si>
    <t>EQUIPOS Y MATERIALES PTA</t>
  </si>
  <si>
    <t>MANO DE OBRA INSTALACIONES GENERAL</t>
  </si>
  <si>
    <t>TERMINACIÓN EXTERIOR PLANTA</t>
  </si>
  <si>
    <t>CANTOS Y MOCHETAS</t>
  </si>
  <si>
    <t>ACERA PERIMETRAL 0.80 M</t>
  </si>
  <si>
    <t>BASE BLANCA</t>
  </si>
  <si>
    <t>LETRERO Y LOGO DE INAPA</t>
  </si>
  <si>
    <t>APLICACIÓN DE</t>
  </si>
  <si>
    <t>IMPERMEABILIZANTE SX PEL</t>
  </si>
  <si>
    <t>JUNTAS  WATER STOP 9"</t>
  </si>
  <si>
    <t>PUESTA EN MARCHA Y OPERACIÓN DE LA PLANTA</t>
  </si>
  <si>
    <t>CASETA P/MATERIALES</t>
  </si>
  <si>
    <t>II</t>
  </si>
  <si>
    <t xml:space="preserve">CASA DE QUÍMICOS </t>
  </si>
  <si>
    <t>EXCAVACIÓN MATERIAL A MANO</t>
  </si>
  <si>
    <t>ZAPATA DE MURO , ESP.=0.25M - 0.78 QQ/M3</t>
  </si>
  <si>
    <t xml:space="preserve">ZAPATA DE COLUMNA   (1.20 X 1.20), ESP.=0.25M - 1.39 QQ/M3 </t>
  </si>
  <si>
    <t>COLUMNA CA (0.20 X 0.20) - 7.86 QQ/M3</t>
  </si>
  <si>
    <t>VIGA (0.20 X 0.30) - 5.61 QQ/M3</t>
  </si>
  <si>
    <t>DINTEL (0.15 X 0.20) -4.48 QQ/M3</t>
  </si>
  <si>
    <t>LOSA DE ENTREPISO  ESP.=0.12M - 1.35 QQ/M3</t>
  </si>
  <si>
    <t>LOSA DE TECHO  ESP.=0.12M - 1.35 QQ/M3</t>
  </si>
  <si>
    <t>MUROS BLOQUES</t>
  </si>
  <si>
    <t>BLOQUE HORM. 4", 3/8" A 0.20 M SNP(APOYOS MESETA COCINA)</t>
  </si>
  <si>
    <t xml:space="preserve">MURO BLOQUES 6" </t>
  </si>
  <si>
    <t>TERMINACIÓN DE SUPERFICIE</t>
  </si>
  <si>
    <t>PAÑETE INTERIOR, EXTERIOR Y TECHO</t>
  </si>
  <si>
    <t>FINO TECHO</t>
  </si>
  <si>
    <t>PISO DE HORMIGON SIMPLE</t>
  </si>
  <si>
    <t xml:space="preserve">ANTEPECHO </t>
  </si>
  <si>
    <t>ZABALETA</t>
  </si>
  <si>
    <t>PORTAJES</t>
  </si>
  <si>
    <t>PUERTA METÁLICA  ENRROLLABLE( 2.40 X 2.10)M - (INCLUYE PINTURA, LLAVIN Y TRANSPORTE) (1U)</t>
  </si>
  <si>
    <t>VENTANA ALUMINIO (1.00 X 1.10)M - (5U)</t>
  </si>
  <si>
    <t>TARIMA DE MADERA PARA SACOS DE SULFATO  (2.10X1.40X0.20)M</t>
  </si>
  <si>
    <t>EQUIPOS DOSIFICADORES</t>
  </si>
  <si>
    <t>BOMBA DOSIFICADORA DE SULFATO, HIPOCLORITO Y  POLIMERO 50 L/H @ 15' TDH,CAUDAL: 0-100 LT/HR, FRECUENCIA: 60 HZ, POTENCIA MOTOR 1/2 HP, FASE:MONOFASICA, VOLTAJE: 120-240V.</t>
  </si>
  <si>
    <t>TUBERÍA Ø½" PVC PARA CONDUCCIÓN DE SOLUCIÓN</t>
  </si>
  <si>
    <t>PIE</t>
  </si>
  <si>
    <t>PIEZAS ESPECIALES DE Ø1/2" PVC</t>
  </si>
  <si>
    <t>BOMBA EYECTORA DE 1 HP</t>
  </si>
  <si>
    <t>TANQUES DE DISOLUCIÓN DE 150 GLS PLÁSTICOS</t>
  </si>
  <si>
    <t>PIEZAS Y ACCESORIOS</t>
  </si>
  <si>
    <t>ESTRUCTURA SOPORTE - BASE SUSPENSION</t>
  </si>
  <si>
    <t>DIFUSOR DE SULFATO</t>
  </si>
  <si>
    <t>SUMINISTRO E INSTALACION AGITADORES (MIXERS) SULFATO DE ALUMINIO,MOTOR 11/2 HP, MONOFASICO 115/230V ,1750 RPM CON MOTO - REDUCTOR A 300 RPM, VASTAGO 3/4" ACERO INOXIDABLE , ASPAS C/4 ALETAS ACERO INOXIDABLE L=4"  (CUBICAR CON FACTURA)</t>
  </si>
  <si>
    <t>ELEVADOR DE SULFATO</t>
  </si>
  <si>
    <t>SUMINISTRO Y COLOCACION DE DIFERENCIAL CAPACIDAD 1 TONELADA (CUBICAR CON FACTURA)</t>
  </si>
  <si>
    <t>INSTALACIONES SANITARIAS</t>
  </si>
  <si>
    <t>LAVAMANOS COMPLETO</t>
  </si>
  <si>
    <t>INODORO BLANCO (CON TAPA)</t>
  </si>
  <si>
    <t>DESAGÜE DE PISO Ø2"</t>
  </si>
  <si>
    <t>FREGADERO DOBLE ACERO INOXIDABLE</t>
  </si>
  <si>
    <t>CÁMARA DE INSPECCIÓN</t>
  </si>
  <si>
    <t>TUBERÍA Y PIEZAS PVC Y HG</t>
  </si>
  <si>
    <t>EXCAVACION TUBERIA</t>
  </si>
  <si>
    <t>MANO DE OBRA PLOMERO</t>
  </si>
  <si>
    <t>INSTALACIONES ELÉCTRICAS</t>
  </si>
  <si>
    <t xml:space="preserve">SALIDAS LUCES CENITALES </t>
  </si>
  <si>
    <t>SALIDA TOMACORRIENTE DOBLE 120V</t>
  </si>
  <si>
    <t>SALIDA INTERRUCTOR SENCILLO</t>
  </si>
  <si>
    <t>ENTRADA GENERAL</t>
  </si>
  <si>
    <t>GABINETES  Y MESETAS</t>
  </si>
  <si>
    <t>GABINETE DE PISO EN PINO (L=2.00M)(CON GAVETAS, CORREDERA TELESCOPICA INCLUYE: VISAGARA, INSTALADO Y PINTADO)</t>
  </si>
  <si>
    <t>MESETA DE MARMOLITE (19.05 PIE2)</t>
  </si>
  <si>
    <t>EQUIPOS DE LABORATORIO</t>
  </si>
  <si>
    <t>TURBIDIMETRO NEFELOMETRICO HACH  MODELO 2100 P.</t>
  </si>
  <si>
    <t>EQUIPO DE PRUEBA DE JARRAS PB-900 (PROGRAMABLE) (CUB. CON FACTURA)</t>
  </si>
  <si>
    <t>COMPARADOR DE CLORO LIBRE Y COMBINADO</t>
  </si>
  <si>
    <t>TERMÓMETRO DE VIDRIO DE 20 @ 110º C</t>
  </si>
  <si>
    <t>MATRAZ AFORADO DE 100 ML VIDRIO</t>
  </si>
  <si>
    <t>MOBILIARIO</t>
  </si>
  <si>
    <t xml:space="preserve">BANQUETAS DE PINO </t>
  </si>
  <si>
    <t>ESCRITORIO SECRETARIAL DE METAL LAMINADO</t>
  </si>
  <si>
    <t>SILLON SECRETARIAL SISTEMA NEUMATICO</t>
  </si>
  <si>
    <t>UTENSILIOS PARA LIMPIEZA</t>
  </si>
  <si>
    <t xml:space="preserve">PALA DE CONSTRUCCION </t>
  </si>
  <si>
    <t>CEPILLO DE ALAMBRE</t>
  </si>
  <si>
    <t>ESPATULA DE ACERO</t>
  </si>
  <si>
    <t>COLADORES CON PALOS 3.00M</t>
  </si>
  <si>
    <t>MACHETES</t>
  </si>
  <si>
    <t>AZADAS</t>
  </si>
  <si>
    <t>MANGUERA DE ALTA PRESION 11/2"</t>
  </si>
  <si>
    <t>CUBOS PARA LIMPIEZA</t>
  </si>
  <si>
    <t>SUAPER</t>
  </si>
  <si>
    <t>DETERGENTE</t>
  </si>
  <si>
    <t>ESCOBILLONES</t>
  </si>
  <si>
    <t>RASTRILLOS DE HOJAS (HOJALATA)</t>
  </si>
  <si>
    <t>RASTRILLOS DE HF(CON  DIENTES)</t>
  </si>
  <si>
    <t>III</t>
  </si>
  <si>
    <t>CASETA DE CLORO Y CLORADORES</t>
  </si>
  <si>
    <t>ZAPATA MURO 0.81 QQ/M3</t>
  </si>
  <si>
    <t>VIGA AMARRE 0.15 x 0.15 - 4.57 QQ/M3</t>
  </si>
  <si>
    <t>LOSA DE TECHO 0.10 - 1.04 QQ/M3</t>
  </si>
  <si>
    <t>MUROS DE BLOCKES:</t>
  </si>
  <si>
    <t>MURO BLOCK CALADOS</t>
  </si>
  <si>
    <t>MURO BLOCK 6" VIOLINADO 2 CARAS</t>
  </si>
  <si>
    <t>TERMINACIÓN DE SUPERFICIE:</t>
  </si>
  <si>
    <t xml:space="preserve">FINO DE TECHO </t>
  </si>
  <si>
    <t>PISO HORMIGON  SIMPLE</t>
  </si>
  <si>
    <t>ANTEPECHO</t>
  </si>
  <si>
    <t>PUERTA EVER LAST ( INC. LLAVÍN E INSTALACION )</t>
  </si>
  <si>
    <t>ACERA PERIMETRAL 0.60M</t>
  </si>
  <si>
    <t>ELECTRIFICACIÓN ELECTRICAS:</t>
  </si>
  <si>
    <t>ENTRADA ELÉCTRICA</t>
  </si>
  <si>
    <t>SALIDA ELÉCTRICA</t>
  </si>
  <si>
    <t>INTERRUPTORES  SENCILLOS</t>
  </si>
  <si>
    <t>TOMACORRIENTES SENCILLOS</t>
  </si>
  <si>
    <t>LOGO Y LETRERO INAPA</t>
  </si>
  <si>
    <t>SISTEMA DE CLORACION</t>
  </si>
  <si>
    <t>DOSIFICADOR DE CLORO APLICACIÓN AL VACIO CON RANGO  DE 0-100 LBS. /DIA</t>
  </si>
  <si>
    <t>BOMBA ROMPEDORA DE PRESIÓN TIPO BOOSTER 1 HP-60HZ</t>
  </si>
  <si>
    <t>CILINDRO DE GAS CLORO LLENO ( INSTALADO )</t>
  </si>
  <si>
    <t>REGISTRO DE APLICACION</t>
  </si>
  <si>
    <t>LIMPIEZA FINAL</t>
  </si>
  <si>
    <t>IV</t>
  </si>
  <si>
    <t>CASA DE OPERADOR (2 HABITACIONES)</t>
  </si>
  <si>
    <t>EXCAVACION MAT. NO CLASIFICADO A MANO</t>
  </si>
  <si>
    <t>HORMIGON ARMADO</t>
  </si>
  <si>
    <t>ZAPATA DE MUROS 0.66 QQ/M3</t>
  </si>
  <si>
    <t>DINTELES 0.15X0.30 - 3.00 QQ/M3</t>
  </si>
  <si>
    <t>LOSA DE TECHO 0.10 - 1.71 QQ/M3</t>
  </si>
  <si>
    <t>MUROS DE BLOQUES</t>
  </si>
  <si>
    <t xml:space="preserve">BLOQUES DE 6" </t>
  </si>
  <si>
    <t>TERMINACION  DE SUPERFICIE</t>
  </si>
  <si>
    <t>PAÑETE INTEROR, EXTERIOR Y TECHO</t>
  </si>
  <si>
    <t>PISO MOSAICOS CORRIENTES</t>
  </si>
  <si>
    <t>FINO DE TECHO</t>
  </si>
  <si>
    <t xml:space="preserve">ZOCALOS </t>
  </si>
  <si>
    <t>Ml</t>
  </si>
  <si>
    <t>SUMINISTRO E INSTALACION SANITARIA</t>
  </si>
  <si>
    <t>PILETA BAÑERA</t>
  </si>
  <si>
    <t>INODORO COMPLETO</t>
  </si>
  <si>
    <t>BARRA PARA CORTINA</t>
  </si>
  <si>
    <t>DUCHA</t>
  </si>
  <si>
    <t>DESAGUE DE PISO</t>
  </si>
  <si>
    <t>FREGADERO SENCILLO NIQUELADO</t>
  </si>
  <si>
    <t>CAMARA DE INSPECCION</t>
  </si>
  <si>
    <t>TRAMPA DE GRASA</t>
  </si>
  <si>
    <t>CAMARA SEPTICA</t>
  </si>
  <si>
    <t>POZO FILTRANTE</t>
  </si>
  <si>
    <t>TUBERIAS Y PIEZAS</t>
  </si>
  <si>
    <t>INSTALACIONES ELECTRICAS</t>
  </si>
  <si>
    <t>SALIDAS CENITALES</t>
  </si>
  <si>
    <t>TOMACORRIENTES 110 V EN DOBLE</t>
  </si>
  <si>
    <t>INTERRUPTORES SENCILLO</t>
  </si>
  <si>
    <t>CAJA DE BREAKER</t>
  </si>
  <si>
    <t>PORTAJE</t>
  </si>
  <si>
    <t>VENTANA</t>
  </si>
  <si>
    <t>VENTANA DE ALUMINIO</t>
  </si>
  <si>
    <t>V</t>
  </si>
  <si>
    <t>ELECTRIFICACION PLANTA DE TRATAMIENTO</t>
  </si>
  <si>
    <t>ELECTRIFICACION PRIMARIA</t>
  </si>
  <si>
    <t>POSTES DE HAV 35'  500 DAN</t>
  </si>
  <si>
    <t>CONDUCTOR AAA/C NO. 2/0</t>
  </si>
  <si>
    <t>ESTRUCTURA MT - 307</t>
  </si>
  <si>
    <t>ESTRUCTURA  HA-100B</t>
  </si>
  <si>
    <t>TRANSFORMADOR DE 15 KVA,1Ø, REGULACUION ESPECIAL 30%,  - 7200/120-240V SUMERGIDO EN ACEITE  TIPO POSTE</t>
  </si>
  <si>
    <t>CUT-OUT DE 200 AMP</t>
  </si>
  <si>
    <t>PARARRAYOS DE 9 KV</t>
  </si>
  <si>
    <t>ATERRIZAJE COMPLETO</t>
  </si>
  <si>
    <t>CIMENTACION DE POSTES</t>
  </si>
  <si>
    <t>HOYO PARA POSTES</t>
  </si>
  <si>
    <t>HOYO PARA VIENTOS</t>
  </si>
  <si>
    <t>INSTALACION DE POSTES</t>
  </si>
  <si>
    <t>MANO DE OBRA ELECTRICA PRIMARIA (20 %)</t>
  </si>
  <si>
    <t xml:space="preserve">ELECTRIFICACION SECUNDARIA </t>
  </si>
  <si>
    <t>CONDULET EMT Ø 3''</t>
  </si>
  <si>
    <t xml:space="preserve">COUPLING EMT 3' </t>
  </si>
  <si>
    <t>TUBERIA  EMT Ø 3'' X 10'</t>
  </si>
  <si>
    <t>CURVA EMT  Ø 3''''</t>
  </si>
  <si>
    <t>TERMINAL  EMT - Ø 3''''</t>
  </si>
  <si>
    <t>TUBERIA PVC  Ø 3'''' X 20'</t>
  </si>
  <si>
    <t>CURVA  PVC DE 3''"</t>
  </si>
  <si>
    <t>TUBERIA PVC  Ø 2'''' X 20'</t>
  </si>
  <si>
    <t>TUBERIA PVC  Ø 1'' X 20'</t>
  </si>
  <si>
    <t>TUBERIA PVC  Ø 3/4'' X 20'</t>
  </si>
  <si>
    <t>TUBERIA FLEXIBLE LICUIT TIGHT  Ø 1 1/2"</t>
  </si>
  <si>
    <t>TERMINAL RECTO LICUIT - TIGHT Ø 1 1/2"</t>
  </si>
  <si>
    <t>TERMINAL CURVO LICUIT - TIGHT Ø 1 1/2"</t>
  </si>
  <si>
    <t>CONDUCTOR THW NO. 4</t>
  </si>
  <si>
    <t>CONDUCTOR THW NO. 6</t>
  </si>
  <si>
    <t>CONDUCTOR THW NO. 8</t>
  </si>
  <si>
    <t>CONDUCTOR THW NO. 10</t>
  </si>
  <si>
    <t>MAIN BREAKER 125/2 AMP,480V.</t>
  </si>
  <si>
    <t>PANEL BOARD CON MAIN BREAKER 125/2,INC.1 BREAKER 15/2,1BREAKER  60/2,2BREAKER 30/2</t>
  </si>
  <si>
    <t>PANEL BOARD CON MAIN BREAKER 60/2,INC.2 BREAKER 15/2,3BREAKER  20/2</t>
  </si>
  <si>
    <t>REGISTRO DE BLOCK</t>
  </si>
  <si>
    <t>POSTES H.A. 25´CLASE III</t>
  </si>
  <si>
    <t>LAMPARA 175 W, 240V HPS ( TIPO COBRA )</t>
  </si>
  <si>
    <t xml:space="preserve">LAMPARA 400 W, 240V MHL </t>
  </si>
  <si>
    <t>HOYO PARA POSTE</t>
  </si>
  <si>
    <t xml:space="preserve">TAPE DE GOMA 3M SCOTCH </t>
  </si>
  <si>
    <t>MANO DE OBRA ELECTRICA  SECUNDARIA</t>
  </si>
  <si>
    <t xml:space="preserve">SUMINISTRO E INSTALACION  DE GENERADOR ELECTRICO </t>
  </si>
  <si>
    <t>SUMINISTRO DE GENERADOR  ELECTRICO DE 10KW 120/240V, 1800 RPM, 60HZ ( DIESEL) ( CUBICAR CON FACTURA)</t>
  </si>
  <si>
    <t>INSTALACION  DE GENERADOR</t>
  </si>
  <si>
    <t>SUM. Y COLOC. DE TANQUE  DE COMBUSTIBLE 100 GLS (LLENO EN SITIO)</t>
  </si>
  <si>
    <t xml:space="preserve">CONSTRUCCION DE SISTEMA  DE ESCAPE  DE GASES  </t>
  </si>
  <si>
    <t xml:space="preserve">CONSTRUCCION  SISTEMA  ALIMENTACION COMBUSTIBLE  </t>
  </si>
  <si>
    <t>CONDUCTOR THW #6</t>
  </si>
  <si>
    <t>TUBERIA  PVC Ø 3 X 20</t>
  </si>
  <si>
    <t>CURVA PVC  Ø 3''</t>
  </si>
  <si>
    <t>CONECTOR DE EMPALME  PARA THW #6</t>
  </si>
  <si>
    <t>MAIN BREAKER 60/2 AMP</t>
  </si>
  <si>
    <t>TRANSFER SWICH MANUAL 150/2 AMP</t>
  </si>
  <si>
    <t>TAPE DE PLASTICO   3M SCOTCH</t>
  </si>
  <si>
    <t>CASETA PARA GENERADOR Y SOPORTE TANQUE COMBUSTIBLE</t>
  </si>
  <si>
    <t>S.P.</t>
  </si>
  <si>
    <t>SUB TOTAL B</t>
  </si>
  <si>
    <t>SUB TOTAL C</t>
  </si>
  <si>
    <t>SUB TOTAL E</t>
  </si>
  <si>
    <t>SUB-TOTAL FASE  G</t>
  </si>
  <si>
    <t>D</t>
  </si>
  <si>
    <t>UD</t>
  </si>
  <si>
    <t>MALLA CICLONICA</t>
  </si>
  <si>
    <t>COLUMNA C1</t>
  </si>
  <si>
    <t>LOGO Y LETRERO DE INAPA</t>
  </si>
  <si>
    <t>SUMINISTRO Y COLOCACION PIEZAS ESPECIALES: (15% SUMINISTRO TUBERIA)</t>
  </si>
  <si>
    <t>TUBERIA  Ø12" ACERO (SCH-30 SIN COSTURA C/ PROTECCION ANTICORROSIVA)</t>
  </si>
  <si>
    <t>TUBERIA Ø4" PVC SRD - 21 C/JUNTA GOMA + 2% DE PERDIDA</t>
  </si>
  <si>
    <t>DE DESAGÜE DE Ø4" H.F. EN TUB. Ø12"</t>
  </si>
  <si>
    <t>Fase</t>
  </si>
  <si>
    <t>Tema</t>
  </si>
  <si>
    <t>Pregunta</t>
  </si>
  <si>
    <t>cajas telescópicas o Registros</t>
  </si>
  <si>
    <t>Piezas especiales</t>
  </si>
  <si>
    <t>Seguridad y señalización</t>
  </si>
  <si>
    <t>Válvulas</t>
  </si>
  <si>
    <t>Limpieza Final</t>
  </si>
  <si>
    <t>Material de tubería y SDR</t>
  </si>
  <si>
    <t>DE Ø12" PVC SRD-21 C/J. G. + 4%  PERDIDA POR CAMP.</t>
  </si>
  <si>
    <t>DE AIRE COMBINADA Ø2" H.F. EN TUB. Ø12"</t>
  </si>
  <si>
    <t>Empalmes</t>
  </si>
  <si>
    <t>Anclajes, juntas</t>
  </si>
  <si>
    <t>F</t>
  </si>
  <si>
    <t>DE Ø3" PVC SRD-21 C/J. G. + 2%  PERDIDA POR CAMP.</t>
  </si>
  <si>
    <t>DE Ø4" PVC SRD-21 C/J. G. + 2%  PERDIDA POR CAMP.</t>
  </si>
  <si>
    <t>DE Ø6" PVC SRD-21 C/J. G. + 3%  PERDIDA POR CAMP.</t>
  </si>
  <si>
    <t>DE Ø4" PVC SRD-26 C/J. G. + 2%  PERDIDA POR CAMP.</t>
  </si>
  <si>
    <t>Acometidas</t>
  </si>
  <si>
    <t xml:space="preserve">                            ING. ARTURO RAMIREZ</t>
  </si>
  <si>
    <t>ANALISIS:San Juan de la Maguana</t>
  </si>
  <si>
    <r>
      <t xml:space="preserve">FECHA: </t>
    </r>
    <r>
      <rPr>
        <sz val="10"/>
        <rFont val="Arial"/>
        <family val="2"/>
      </rPr>
      <t>GRAL/2019</t>
    </r>
  </si>
  <si>
    <t>sdr-26</t>
  </si>
  <si>
    <t>Registros</t>
  </si>
  <si>
    <t>RED DE DISTRIBUCION  D/DEPOSITO REGULADOR A COMUNIDADES LOS LADRILLOS-POZO HONDO</t>
  </si>
  <si>
    <t>LINEA DE IMPULSION  D/PLANTA TRATAMIENTO HASTA DEPOSITO REGULADOR</t>
  </si>
  <si>
    <t xml:space="preserve">DEPOSITO REGULADOR  H.A. DE 100 M3 SUPERFICIAL     </t>
  </si>
  <si>
    <t>ZAPATA DE COLUMNA C2 1.28 QQ/M3</t>
  </si>
  <si>
    <t xml:space="preserve">COLUMNA C1  -0.25 X 0.25 -  6.63QQ/M3  </t>
  </si>
  <si>
    <t xml:space="preserve">COLUMNA C1  -0.25 X 0.30 -  4.05QQ/M3  </t>
  </si>
  <si>
    <t>VIGA 0.25 X 0.40-3.06 QQ/M3</t>
  </si>
  <si>
    <t>MUROS 0.20-3.20QQ/M3</t>
  </si>
  <si>
    <t>LOSA DE TECHO 0.15-1.76 QQ/M3</t>
  </si>
  <si>
    <t>REGISTRO Y VENTILACION</t>
  </si>
  <si>
    <t xml:space="preserve">ESCALERA 3/4" H.G. H=1.50M EXTERIOR </t>
  </si>
  <si>
    <t xml:space="preserve">ESCALERA 3/4" H.G. INTERIOR H=1.00 M </t>
  </si>
  <si>
    <t>ACERA EXT.0.80 ANCHO</t>
  </si>
  <si>
    <t>GRAVILLA AREA PERIMETRAL (ENBELLECIMIENTO)</t>
  </si>
  <si>
    <t xml:space="preserve">CASETA PARA MATERIALES </t>
  </si>
  <si>
    <t xml:space="preserve">LIMPIEZA FINAL </t>
  </si>
  <si>
    <t>SEGURIDAD Y SENALIZACION</t>
  </si>
  <si>
    <t xml:space="preserve">          ANALISIS </t>
  </si>
  <si>
    <t>FD</t>
  </si>
  <si>
    <t xml:space="preserve">MATERIALES  ARENA </t>
  </si>
  <si>
    <t>MATERIALES  GRAVA</t>
  </si>
  <si>
    <t>MATERIALES  ARENA PARA PAÑETE</t>
  </si>
  <si>
    <t>H.S. PARA F'C= 280 KGS/ CM2</t>
  </si>
  <si>
    <t>R.D.$</t>
  </si>
  <si>
    <t>H.S. PARA F'C= 240 KGS/ CM2</t>
  </si>
  <si>
    <t>H.S. PARA F'C=140 KGS/CM2</t>
  </si>
  <si>
    <t>ARENA  P/ PAÑETE</t>
  </si>
  <si>
    <t xml:space="preserve">PAÑETE EXTERIOR GENERAL </t>
  </si>
  <si>
    <t>MANO DE OBRAY PULIDO</t>
  </si>
  <si>
    <t xml:space="preserve">   </t>
  </si>
  <si>
    <t>RD-$</t>
  </si>
  <si>
    <t>RD$</t>
  </si>
  <si>
    <t>FROTADO Y VIOLINADO PISO DE RAMPA</t>
  </si>
  <si>
    <t xml:space="preserve">RECLA ( 1 DE 1" X 4" X 2.62' / 10 USO ) </t>
  </si>
  <si>
    <t xml:space="preserve"> FROTADO , PULIDO Y VIOLINADO </t>
  </si>
  <si>
    <t>ACERO</t>
  </si>
  <si>
    <t>ALAMBRE NO.18.  2 LIB.XQQ</t>
  </si>
  <si>
    <t xml:space="preserve">ACERO PARA  ( VIGAS Y COLUMNAS) </t>
  </si>
  <si>
    <t>MURO DE BLOQUES DE 6" B.N.P</t>
  </si>
  <si>
    <t>MURO DE BLOQUES DE 4" B.N.P</t>
  </si>
  <si>
    <t>SUMINISTRO BLOQUES 4"</t>
  </si>
  <si>
    <t>COLOCACION BLOQUES 4"</t>
  </si>
  <si>
    <t>MORTERO P/JUNTA +30% DESP.</t>
  </si>
  <si>
    <t>HORMIGON EN CAMARA +10% DESP.</t>
  </si>
  <si>
    <t>ACERO 3/8" +20% DESP.</t>
  </si>
  <si>
    <t xml:space="preserve">ANDAMIOS P/BLOQUES </t>
  </si>
  <si>
    <t>BLOQUES CALADOS</t>
  </si>
  <si>
    <t>SUMINISTRO BLOQUES</t>
  </si>
  <si>
    <t xml:space="preserve">COLOCACION BLOQUES </t>
  </si>
  <si>
    <t xml:space="preserve">MEZCLA P/PAÑETE </t>
  </si>
  <si>
    <t xml:space="preserve">DESP. BLOQUES </t>
  </si>
  <si>
    <t>PREPARACION DE TERRENO</t>
  </si>
  <si>
    <t>H.S. 180KG/CM2+5% DESP.</t>
  </si>
  <si>
    <t xml:space="preserve">ELABORACION VACIADO Y FROTADO </t>
  </si>
  <si>
    <t xml:space="preserve">CANTOS LATERALES </t>
  </si>
  <si>
    <t>PISO HORMIGON SIMPLE PULIDO</t>
  </si>
  <si>
    <t>HORMIGON 1:3:5</t>
  </si>
  <si>
    <t>MORTERO 1:4</t>
  </si>
  <si>
    <t xml:space="preserve">ELAB. VAC. FROT. Y VIOL. </t>
  </si>
  <si>
    <t>CEMENTO GRIS PULIDO</t>
  </si>
  <si>
    <t>HORMIGON CICLOPEO</t>
  </si>
  <si>
    <t>H.S. 140KG/CM2+5% DESP.</t>
  </si>
  <si>
    <t xml:space="preserve">PIEDRA </t>
  </si>
  <si>
    <t>BLOCK 6"</t>
  </si>
  <si>
    <t xml:space="preserve">PINTURA MANTENIMIENTO (SIN ANDAMIOS) </t>
  </si>
  <si>
    <t>SUMINISTRO PINTURA</t>
  </si>
  <si>
    <t>GL/M2</t>
  </si>
  <si>
    <t xml:space="preserve">THINNER </t>
  </si>
  <si>
    <t xml:space="preserve">APLICACIÓN DOS MANOS </t>
  </si>
  <si>
    <t>DESPERDICIO Y RETOQUES 15%</t>
  </si>
  <si>
    <t>COSTO/HR</t>
  </si>
  <si>
    <t xml:space="preserve">IMPERMEABILIZANTE HIDROFUGO REPELENTE DE AGUA 25 M2 ( 6,914 PESOS) </t>
  </si>
  <si>
    <t xml:space="preserve">SUMINISTRO IMPERMEABILIZANTE </t>
  </si>
  <si>
    <t>APLICACIÓN</t>
  </si>
  <si>
    <t>SUBIDA DE MATERIALES</t>
  </si>
  <si>
    <t xml:space="preserve">CAJUELA </t>
  </si>
  <si>
    <t>ZAPATA DE MUROS 0.30 - 0.86 QQ/M3</t>
  </si>
  <si>
    <t>H.S. 280 KG/CM2</t>
  </si>
  <si>
    <t>ZAPATA DE COLUMNA 0.40 - 1.00 QQ/M3</t>
  </si>
  <si>
    <t>SUMINISTRO  + ALAMBRE + M.O. ACERO</t>
  </si>
  <si>
    <t>MUROS 0.25 - 2.79 QQ/M3</t>
  </si>
  <si>
    <t>ENC.Y DESENC.</t>
  </si>
  <si>
    <t>ZAPATA DE COLUMNA QQ/M3 .25*0.2</t>
  </si>
  <si>
    <t>COLUMNA ( 0.40 X 0.40 ) 5.02 QQ/M3</t>
  </si>
  <si>
    <t>SUMINISTRO  + ALAMBRE</t>
  </si>
  <si>
    <t xml:space="preserve">MANO DE OBRA ACERO </t>
  </si>
  <si>
    <t>VIGA ( 0.20 X 0.40 ) 2.71 QQ/M3</t>
  </si>
  <si>
    <t>LOSA DE TECHO 0.15 - 1.15 QQ/M3</t>
  </si>
  <si>
    <t>ZAPATA DE MURO 0.46 QQ/M3</t>
  </si>
  <si>
    <t>H.S. 280KG/CM2</t>
  </si>
  <si>
    <t>VERJA DE MALLA CICLONICA, LONGITUD DE ANALISIS L=12.00</t>
  </si>
  <si>
    <t>ZAPATA DE MURO  P/VERJA-1.20 X1.20  1.13 QQ/M3</t>
  </si>
  <si>
    <t>P.A</t>
  </si>
  <si>
    <t>EXCAVACION A MANO</t>
  </si>
  <si>
    <t>BOTE</t>
  </si>
  <si>
    <t>ZAPATA DE MURO 0.60 qq/M3</t>
  </si>
  <si>
    <t>BLOCK 6" ( 3 LINEA )</t>
  </si>
  <si>
    <t>LOMO DE PERRO</t>
  </si>
  <si>
    <t>TUBO 1 1/4"X20' H.G.</t>
  </si>
  <si>
    <t>MALLA CICLONICA No.9</t>
  </si>
  <si>
    <t>COPA DE 2"</t>
  </si>
  <si>
    <t>COPA DE 1 1/2"</t>
  </si>
  <si>
    <t>PALOMETA DOBLE</t>
  </si>
  <si>
    <t>ALAMBRE DE PUAS</t>
  </si>
  <si>
    <t>ALAMBRE DULCE NO.18</t>
  </si>
  <si>
    <t xml:space="preserve">PAÑETE MURO </t>
  </si>
  <si>
    <t>PINTURA VERJA , PALOMETAS, TUBOS , ALAMBRES Y DESP. MANTENIMIANTO</t>
  </si>
  <si>
    <t xml:space="preserve">PLANCHUELAS 1 x 1/8 </t>
  </si>
  <si>
    <t>ABRAZADERAS 1 1/2 METAL</t>
  </si>
  <si>
    <t>PINTURA LOMO DE PERRO Y MURO ACRLICA</t>
  </si>
  <si>
    <t>TOTAL GENERAL ANAL.VERJA</t>
  </si>
  <si>
    <t>COSTO POR M/L</t>
  </si>
  <si>
    <t>COSTO P/M</t>
  </si>
  <si>
    <t>PUERTA DE MALLA CICLONICA 4 ML.</t>
  </si>
  <si>
    <t>TUB.1 1/2"X15' H.G.</t>
  </si>
  <si>
    <t>TUB.1 1/4"X15' H.G.</t>
  </si>
  <si>
    <t>COPA 2"</t>
  </si>
  <si>
    <t>COPA 1 1/2"</t>
  </si>
  <si>
    <t>PLANCHUELAS 1X1/8"</t>
  </si>
  <si>
    <t>ALAMBRE No.8</t>
  </si>
  <si>
    <t>LIBRA</t>
  </si>
  <si>
    <t>SOLDADORA</t>
  </si>
  <si>
    <t>PERSONAL:</t>
  </si>
  <si>
    <t>MAESTRO  SOLDADOR (UNO)</t>
  </si>
  <si>
    <t>AYUDANTE  CALIFICADO</t>
  </si>
  <si>
    <t>PEON (UNO)</t>
  </si>
  <si>
    <t>CANDADO</t>
  </si>
  <si>
    <t>PORTA CANDADO</t>
  </si>
  <si>
    <t>BISAGRA</t>
  </si>
  <si>
    <t xml:space="preserve">ALAMBRE DE PUAS </t>
  </si>
  <si>
    <t>INSTALACION</t>
  </si>
  <si>
    <t>TOTAL PUERTA MALLA CICLONICA</t>
  </si>
  <si>
    <t>COLUMNAS VERJA MALLA CILONICA</t>
  </si>
  <si>
    <t>COLUMNAS C1 0.15X0.15 - 8.15QQ/M3  F'C=180KG/CM2</t>
  </si>
  <si>
    <t xml:space="preserve">VOLUMEN C1 /UD = </t>
  </si>
  <si>
    <t>HORMIGON   COLUMNA C1</t>
  </si>
  <si>
    <t>&gt;&gt;&gt;&gt;&gt;&gt;&gt;&gt;&gt;&gt;&gt;&gt;&gt;&gt;&gt;&gt;&gt;&gt;&gt;&gt;&gt;&gt;&gt;&gt;&gt;&gt;&gt;&gt;&gt;&gt;&gt;&gt;&gt;</t>
  </si>
  <si>
    <t>COLUMNAS C2 INCLUYE ZAPATA</t>
  </si>
  <si>
    <t>COLUMNAS C2 0.25X0.25 - 4.79QQ/M3  F'C=180KG/CM2</t>
  </si>
  <si>
    <t xml:space="preserve">VOLUMEN C2 /UD = </t>
  </si>
  <si>
    <t xml:space="preserve">$ / UD = </t>
  </si>
  <si>
    <t>/UD</t>
  </si>
  <si>
    <t>ZAPATA 0.75X0.75 - 1.43QQ/M3  F'C=180KG/CM2</t>
  </si>
  <si>
    <t xml:space="preserve">VOLUMEN Z /UD = </t>
  </si>
  <si>
    <t>HORMIGON   COLUMNA C2 INC. ZAPATA</t>
  </si>
  <si>
    <t>PAÑETE</t>
  </si>
  <si>
    <t>COLUMNA C2 INC. ZAPATA</t>
  </si>
  <si>
    <t>VIGA V3 ( 0.20 X 0.20 ) 6.38 QQ/M3</t>
  </si>
  <si>
    <t>LOSA DE TECHO 0.13 - 1.35 QQ/M3</t>
  </si>
  <si>
    <t>ANCLAJE H.A. (linea 6")</t>
  </si>
  <si>
    <t>PLANCHAS DE PLYWOOD (2PLANCHAS / 4 USOS)</t>
  </si>
  <si>
    <t>ANCLAJE H.A. (linea 4")</t>
  </si>
  <si>
    <t>ANCLAJE H.A. (linea 3")</t>
  </si>
  <si>
    <t>Exc. EN ROCA C/COMPRESOR EN PRESENCIA DE AGUA</t>
  </si>
  <si>
    <t>LUBRICANTES 15% DEL COMBUSTIBLE</t>
  </si>
  <si>
    <t>OPERARIO PISTOLA</t>
  </si>
  <si>
    <t>CUÑAS Y PIEZAS (250/8)</t>
  </si>
  <si>
    <t>TRANSPORTE (200/8/1.035)</t>
  </si>
  <si>
    <t>(5.10 m3/dia)</t>
  </si>
  <si>
    <t>costo p/dia</t>
  </si>
  <si>
    <t xml:space="preserve">PARA TUBERIA DE 6" ACERO  EN SALIDA OBRA DE TOMA  L= 150 MTS </t>
  </si>
  <si>
    <t xml:space="preserve">MOVIMIENTO DE TIERRA  </t>
  </si>
  <si>
    <t xml:space="preserve">EXCAVACION A  MANO EN ALTA PENDIENTE </t>
  </si>
  <si>
    <t xml:space="preserve">BOTE DE MATERIAL EN SITU </t>
  </si>
  <si>
    <t xml:space="preserve">TRANSPORTE INTERNO DE LOS MATERIALES </t>
  </si>
  <si>
    <t xml:space="preserve">CAMION DAIHATSU L= 12 KM </t>
  </si>
  <si>
    <t xml:space="preserve">ACERO </t>
  </si>
  <si>
    <t xml:space="preserve">CON ANIMALES  L= 2 KM </t>
  </si>
  <si>
    <t>SUB-TOTAL D</t>
  </si>
  <si>
    <t>VALLA ANUNCIANDO OBRA 16'X 10' IMPRESION FULL COLOR, CONTENIENTO LOGO DE INAPA, NOMBRE PROYECTO Y  CONTRATISTA. ESTRUCTURA EN TUBOS GALVANIZADOS 1 1/2 X 1 1/2 Y SOPORTES EN TUBO CUAD. 4X4</t>
  </si>
  <si>
    <t xml:space="preserve">PLANTA DE TRATAMIENTO DE FILTRACION RAPIDA DE             40 LPS DE CAPACIDAD </t>
  </si>
  <si>
    <t xml:space="preserve">MATERIAL COMPACTO C/EQUIPO 70% </t>
  </si>
  <si>
    <t xml:space="preserve">MATERIAL ROCA DURA C/EQUIPO 30% (INCLUYE EXTRACCION DE ROCA)  </t>
  </si>
  <si>
    <t xml:space="preserve">NIVELACION DE ZANJA  </t>
  </si>
  <si>
    <t>2.1.1</t>
  </si>
  <si>
    <t>2.1.2</t>
  </si>
  <si>
    <t>COLOCACION Y COMPACTADO DE MATERIAL C/COMPACTADOR MECANICO EN CAPAS DE 0.20M</t>
  </si>
  <si>
    <t xml:space="preserve">SUMINISTRO MATERIAL DE MINA (PREVIA APROBACION DE LA SUPERVISION),  30 % DEL MATERIAL A RELLENAR </t>
  </si>
  <si>
    <t>TUBERIA Ø4" PVC SRD - 21 C/JUNTA GOMA</t>
  </si>
  <si>
    <t xml:space="preserve">MATERIAL COMPACTO C/EQUIPO 90% </t>
  </si>
  <si>
    <t xml:space="preserve">MATERIAL ROCA DURA C/EQUIPO 10% (INCLUYE EXTRACCION DE ROCA)  </t>
  </si>
  <si>
    <r>
      <t xml:space="preserve">TEE Ø 42" X 12"  ACERO </t>
    </r>
    <r>
      <rPr>
        <sz val="10"/>
        <color indexed="10"/>
        <rFont val="Arial"/>
        <family val="2"/>
      </rPr>
      <t>SCH-20</t>
    </r>
    <r>
      <rPr>
        <sz val="10"/>
        <rFont val="Arial"/>
        <family val="2"/>
      </rPr>
      <t>, CON PROTECCION ANTICORROSIVA</t>
    </r>
  </si>
  <si>
    <t>CODO  12" (DE 10º A  45º)   ACERO  A - 36  SCH 30 SIN COSTURA C/ PROTECCION ANTICORROSIVA</t>
  </si>
  <si>
    <t>CODO  12" (DE 50º A  90º)   ACERO  A - 36  SCH 30 SIN COSTURA C/ PROTECCION ANTICORROSIVA</t>
  </si>
  <si>
    <t>ANCLAJE H.A. (conexión Línea de Aducción)</t>
  </si>
  <si>
    <t>ANCLAJE  HORMIGON ARMADO PARA PIEZAS (SEGUN DETALLE)</t>
  </si>
  <si>
    <t>R.D.$ /UD</t>
  </si>
  <si>
    <t>R.D.$   /UD</t>
  </si>
  <si>
    <t>TOTAL    RD$</t>
  </si>
  <si>
    <t>DE AIRE Ø1" H.F.</t>
  </si>
  <si>
    <t>DE AIRE COMBINADA Ø2" H.F.</t>
  </si>
  <si>
    <t xml:space="preserve">CODO DE 4" (DE 10º A  45º)   ACERO SCH 80 SIN COSTURA C/PROTECCION ANTICORROSIVA. </t>
  </si>
  <si>
    <t xml:space="preserve">CODO DE 4" (DE 50º A 90º)   ACERO SCH 80 SIN COSTURA C/PROTECCION ANTICORROSIVA. </t>
  </si>
  <si>
    <t xml:space="preserve">JUNTA MECANICA DE Ø4" (TIPO DRESSER) </t>
  </si>
  <si>
    <t>DE DESAGÜE DE Ø4" H.F. EN TUB. Ø4"</t>
  </si>
  <si>
    <t>MOV.DE TIERRA PARA TUBERIA</t>
  </si>
  <si>
    <t>EXCAVACION MAT. NO CLASIFICADO</t>
  </si>
  <si>
    <t>RELLENO Y BOTE</t>
  </si>
  <si>
    <t>DEPOSITO REGULADOR 70 M3 HA SUPERFICIAL</t>
  </si>
  <si>
    <t>ZAPATA DE COLUMNA CENTRAL 1.70QQ/M3</t>
  </si>
  <si>
    <t>ACERO+M.O+ALAMBRE</t>
  </si>
  <si>
    <t xml:space="preserve">ECCF Y DESC </t>
  </si>
  <si>
    <t>COLUMNA LATERAL 4.45</t>
  </si>
  <si>
    <t>LOSA DE TECHO 0.15-0.94QQ/M3</t>
  </si>
  <si>
    <t>DEPOSITO REGULADOR H.A.SUPERFICIAL 100 M3</t>
  </si>
  <si>
    <t>LINEA DE CONDUCCION DESDE PTAP HASTA DEPÓSITO REGULADOR CARRERA DE YEGUA</t>
  </si>
  <si>
    <t xml:space="preserve">JUNTA MECANICA DE Ø12" (TIPO DRESSER) </t>
  </si>
  <si>
    <t>DE AIRE COMBINADA Ø1" H.F. EN TUB. Ø12"</t>
  </si>
  <si>
    <t>LOSA DE FONDO  0.20-3.26QQ/M3</t>
  </si>
  <si>
    <t>ZAPATA DE MURO 0.35 - 1.40 QQ/M3 zap.col.</t>
  </si>
  <si>
    <t>MUROS 0.20-4.09QQ/M3</t>
  </si>
  <si>
    <t>COLUMNA CENTRAL 0.30*0.30 7.02QQ/M3</t>
  </si>
  <si>
    <t>VIGA  5.09QQ/M3</t>
  </si>
  <si>
    <t xml:space="preserve">SUMINISTRO MATERIAL DE MINA (PREVIA APROBACION DE LA SUPERVISION), CONSIDERAR EL 30 % DEL MATERIAL A RELLENAR </t>
  </si>
  <si>
    <t>ACERA PERIMETRAL 0.50</t>
  </si>
  <si>
    <r>
      <t xml:space="preserve">TAPE DE GOMA </t>
    </r>
    <r>
      <rPr>
        <sz val="10"/>
        <color indexed="10"/>
        <rFont val="Arial"/>
        <family val="2"/>
      </rPr>
      <t xml:space="preserve">3M SCOTCH </t>
    </r>
  </si>
  <si>
    <r>
      <t xml:space="preserve">TAPE DE PLASTICO </t>
    </r>
    <r>
      <rPr>
        <sz val="10"/>
        <color indexed="10"/>
        <rFont val="Arial"/>
        <family val="2"/>
      </rPr>
      <t xml:space="preserve">3M SCOTCH </t>
    </r>
  </si>
  <si>
    <t>H.S. 210KG/CM2</t>
  </si>
  <si>
    <t xml:space="preserve">PAÑETE INTERIOR PULIDO </t>
  </si>
  <si>
    <t>MUROS  0.25 - 3.06 QQ/M3</t>
  </si>
  <si>
    <t>ANCLAJE DE HORMIGON ARMADO PARA TUBERIA EN LINEA DE ADUCCION (540 M)</t>
  </si>
  <si>
    <t>ACERA PERIMETRAL 0.80</t>
  </si>
  <si>
    <t>CASA DE EQUIPOS</t>
  </si>
  <si>
    <r>
      <t xml:space="preserve">PUERTA </t>
    </r>
    <r>
      <rPr>
        <sz val="10"/>
        <color indexed="10"/>
        <rFont val="Arial"/>
        <family val="2"/>
      </rPr>
      <t xml:space="preserve">EVERLAST </t>
    </r>
    <r>
      <rPr>
        <sz val="10"/>
        <rFont val="Arial"/>
        <family val="2"/>
      </rPr>
      <t xml:space="preserve">(1.00*2.10)M (INCL. LLAVIN E INSTALACION)  </t>
    </r>
  </si>
  <si>
    <t>MANO DE OBRA ESTRUCTURA METALICA Y SOLDADURA</t>
  </si>
  <si>
    <r>
      <t xml:space="preserve">JARRA 2000 ML CUADRADA MARCA </t>
    </r>
    <r>
      <rPr>
        <sz val="10"/>
        <color indexed="10"/>
        <rFont val="Arial"/>
        <family val="2"/>
      </rPr>
      <t xml:space="preserve">PYREX </t>
    </r>
  </si>
  <si>
    <r>
      <t xml:space="preserve">BALANZA DE SEMIPRECISION DE 2610 GRS. </t>
    </r>
    <r>
      <rPr>
        <sz val="10"/>
        <color indexed="10"/>
        <rFont val="Arial"/>
        <family val="2"/>
      </rPr>
      <t>M. OHAUS</t>
    </r>
  </si>
  <si>
    <t>ACERA PERIMETRAL 0.60</t>
  </si>
  <si>
    <r>
      <t xml:space="preserve">PUERTA </t>
    </r>
    <r>
      <rPr>
        <sz val="10"/>
        <color indexed="10"/>
        <rFont val="Arial"/>
        <family val="2"/>
      </rPr>
      <t>EVER LAST</t>
    </r>
  </si>
  <si>
    <t>COLUMNA 1</t>
  </si>
  <si>
    <t>Planta de Tratamiento</t>
  </si>
  <si>
    <t>1-a</t>
  </si>
  <si>
    <t>Movimiento de Tierras-Tanque</t>
  </si>
  <si>
    <t xml:space="preserve">2-a </t>
  </si>
  <si>
    <t>Entrada de agua</t>
  </si>
  <si>
    <t>3-a</t>
  </si>
  <si>
    <t>Registro Entrada de Agua</t>
  </si>
  <si>
    <t>Casa de Químicos</t>
  </si>
  <si>
    <t>Enviada</t>
  </si>
  <si>
    <r>
      <t xml:space="preserve">ZAPATA DE COLUMNA   (1.0 X 1.0), ESP.=0.30M - </t>
    </r>
    <r>
      <rPr>
        <sz val="10"/>
        <color indexed="10"/>
        <rFont val="Arial"/>
        <family val="2"/>
      </rPr>
      <t xml:space="preserve">1.39 QQ/M3 </t>
    </r>
  </si>
  <si>
    <r>
      <t xml:space="preserve">COLUMNA CA (0.30 X 0.30) - </t>
    </r>
    <r>
      <rPr>
        <sz val="10"/>
        <color indexed="10"/>
        <rFont val="Arial"/>
        <family val="2"/>
      </rPr>
      <t>7.86 QQ/M3</t>
    </r>
  </si>
  <si>
    <t>LINEA DE ADUCCION A ESTACION DE BOMBEO CAPACIDAD 30  M3</t>
  </si>
  <si>
    <t>TRABAJOS GENERALES</t>
  </si>
  <si>
    <t xml:space="preserve">PRELIMINARES </t>
  </si>
  <si>
    <t>EXCAVACIÓN MATERIAL  NO CLASIFICADO C/EQUIPO</t>
  </si>
  <si>
    <t xml:space="preserve">RELLENO COMPACTADO COMPACTADO C/COMPACTADOR MECANICO EN CAPAS DE 0.20 M </t>
  </si>
  <si>
    <t xml:space="preserve">BOTE DE MATERIAL C/CAMION </t>
  </si>
  <si>
    <t>HORMIGÓN ARMADO EN: F'c=280 KG/CM2</t>
  </si>
  <si>
    <t>ZAPATA MURO 0.30 - 1.03 QQ/M3 FC' = 240 KG/CM2</t>
  </si>
  <si>
    <t xml:space="preserve"> ZAPATA DE COLUMNA C1  0.35 - 1.91 QQ/M3  FC' = 240 KG/CM2</t>
  </si>
  <si>
    <t xml:space="preserve"> LOSA DE FONDO e=0.20 - 1.51 QQ/M3</t>
  </si>
  <si>
    <t>MURO e=0.25 - 2.29 QQ/M3</t>
  </si>
  <si>
    <t>COLUMNAS C1  ( 0.30 X 0.30 )  3.98 QQ/M3</t>
  </si>
  <si>
    <t>VIGAS V1 ( 0.25 X 0.50 )  5.07 QQ/M3</t>
  </si>
  <si>
    <t>LOSA DE TECHO E= 0.15 - 1.29 QQ/M3</t>
  </si>
  <si>
    <t>TORTA H.S. F'C=180KG/CM2</t>
  </si>
  <si>
    <t>FINO DE FONDO PULIDO</t>
  </si>
  <si>
    <t xml:space="preserve">PINTURA BASE BLANCA </t>
  </si>
  <si>
    <t>PINTURA EXTERIOR (INCLUYE TECHO)</t>
  </si>
  <si>
    <t>APLICACIÓN DE:</t>
  </si>
  <si>
    <t>IMPERMEHABILIZANTE  PARA H. A.</t>
  </si>
  <si>
    <t>IMPERMEHABILIZANTE  PARA PAÑETE Y FINO</t>
  </si>
  <si>
    <t>VIBRADO</t>
  </si>
  <si>
    <t xml:space="preserve">BANDA DE GOMA HIDROFILICA, PREFORMADA, EXPANDIBLE Y FLEXIBLE </t>
  </si>
  <si>
    <t xml:space="preserve">ENTRADA,SALIDA,BAY PASS,REBOSE Y DESAGÜE </t>
  </si>
  <si>
    <t xml:space="preserve">TUBERIA DE 8'' ACERO SOTERRADA  SCH-40 CON PROTECCION ANTICORROSIVA </t>
  </si>
  <si>
    <t xml:space="preserve">TUBERIA DE 6'' ACERO SOTERRADA  SCH-40 CON PROTECCION ANTICORROSIVA </t>
  </si>
  <si>
    <t xml:space="preserve">NIPLE 8" X 3 ACERO SCH-40 CON PROTECCION ANTICORROSIVA </t>
  </si>
  <si>
    <t xml:space="preserve">NIPLE 6" X 3 ACERO SCH-40 CON PROTECCION ANTICORROSIVA </t>
  </si>
  <si>
    <t>JUNTA MECANICA TIPO DRSSER  DE 8" DE 150 PSI</t>
  </si>
  <si>
    <t>JUNTA MECANICA TIPO DRSSER  DE 6" DE 150 PSI</t>
  </si>
  <si>
    <t xml:space="preserve">VENTILACION DE 6" ACERO </t>
  </si>
  <si>
    <t>INTERIOR 3/4" H.G. H=2.50 M</t>
  </si>
  <si>
    <t>TAPA METALICA ( 0.80 X 0.80 )  M</t>
  </si>
  <si>
    <t xml:space="preserve">MANO DE OBRA PLOMERO </t>
  </si>
  <si>
    <t>MOVIMIENTO DE TIERRA (PARA 12.20M)</t>
  </si>
  <si>
    <t>8.11.1</t>
  </si>
  <si>
    <t xml:space="preserve">EXCAVACIÓN A MANO </t>
  </si>
  <si>
    <t>8.11.2</t>
  </si>
  <si>
    <t xml:space="preserve">RELLENO COMPACTADO C/COMPACTOR MECANICO EN CAPAS DE 0.20 M </t>
  </si>
  <si>
    <t>8.11.3</t>
  </si>
  <si>
    <t xml:space="preserve">BOTE DE MATERIAL C/CAMION D= 5 KM </t>
  </si>
  <si>
    <t xml:space="preserve">PORTAJE </t>
  </si>
  <si>
    <t xml:space="preserve">PUERTA POLIMETAL BLANCA (INC. MARCO Y LLAVIN) ( 2.10 X 1.00 ) </t>
  </si>
  <si>
    <t>VENTANA SALOMONICA (1.20 X 1.20)</t>
  </si>
  <si>
    <t xml:space="preserve">CASETA DE BOMBEO </t>
  </si>
  <si>
    <t xml:space="preserve">MUROS DE BLOCK </t>
  </si>
  <si>
    <t xml:space="preserve">DE 6" </t>
  </si>
  <si>
    <t xml:space="preserve">M2 </t>
  </si>
  <si>
    <t>VIGAS ( 0.15 X 0.30 )  5.12 QQ/M3</t>
  </si>
  <si>
    <t>LOSA DE TECHO E= 0.12 - 1.69 QQ/M3</t>
  </si>
  <si>
    <t>IMPERMEHABILIZANTE  PARA H.A</t>
  </si>
  <si>
    <t xml:space="preserve">CISTERNA Y CASETA DE BOMBEO </t>
  </si>
  <si>
    <t>EMBELLECIMIENTO CON GRAVILLA</t>
  </si>
  <si>
    <t>VERJA DE MALLA CICLÓNICA  CON 3 LINEAS DE BLOCK</t>
  </si>
  <si>
    <t>MALLA CICLÓNICA  (INC. MURO 3L DE BLOCK, MALLA, TUBOS Y ACCESORIOS)</t>
  </si>
  <si>
    <t>PUERTA MALLA CICLÓNICA (4 M)</t>
  </si>
  <si>
    <t xml:space="preserve">COLUMNA C2, ( 0.25 X 0.25 )  (INC.UYE ZAPATA) </t>
  </si>
  <si>
    <t xml:space="preserve">COLUMNA C1, ( 0.15 X 0.25 ) </t>
  </si>
  <si>
    <t xml:space="preserve"> RAMPA Y ANDAMIOS P/VACIADO</t>
  </si>
  <si>
    <t xml:space="preserve">ELECTRIFICACION PRIMARIA, SECUNDARIA Y EQUIPOS DE BOMBEO </t>
  </si>
  <si>
    <t xml:space="preserve">ELECTRIFICACION PRIMARIA </t>
  </si>
  <si>
    <t>POSTES DE H.A V - 40', 500 DAM</t>
  </si>
  <si>
    <t>POSTES DE H.A V - 25', CLASE III</t>
  </si>
  <si>
    <t>CONDUCTOR AAA/C # 1/0</t>
  </si>
  <si>
    <t>ESTRUCTURA TR-105 INCL. CUT OUT Y PARARRAYOS, TRANSFORMADOR 15KVA, TIPO POSTE SUMERGIDO EN ACEITE.</t>
  </si>
  <si>
    <t>ESTRUCTURA MT-105</t>
  </si>
  <si>
    <t>ESTRUCTURA PR-101</t>
  </si>
  <si>
    <t>ESTRUCTURA PEB-110 (CIMENTACION)</t>
  </si>
  <si>
    <t>MEDICION ELECTRICA, INCLUYE MAIN BREAKER 70/3</t>
  </si>
  <si>
    <t xml:space="preserve">HOYOS PARA POSTES </t>
  </si>
  <si>
    <t>MANO DE OBRA ELECTRICA PRIMARIA 20%</t>
  </si>
  <si>
    <t>ELECTRIFICACION SUCUNDARIA</t>
  </si>
  <si>
    <t>PANEL BOARD, CON BARRA DE 125 AMP, INCL. ,  2 BREAKER DE 40/2, 1 BREAKER DE 15/2</t>
  </si>
  <si>
    <t>ESTRUCTURA AP-103, INCL. LAMPARA TIPO CABEZA DE COBRA 175W, 220/240V, 60HZ</t>
  </si>
  <si>
    <t>PANEL DE BREAKER 2/4 CTOS. (INC. BREAKERS)</t>
  </si>
  <si>
    <t>PANEL ARRANCADOR DIRECTO A LINEA PARA MOTOR DE 3HP,</t>
  </si>
  <si>
    <t>REGISTRO ELECTRICO METALICO DE 6`x 6`</t>
  </si>
  <si>
    <t>ALIMENTADOR ELECTRICO DESDE BANCO DE TRANSFORMADOR HASTA MEDICION ELECTRICA, COMPUESTO POR: 2 CONDUCTOR ELECTRICO THW NO.4, (F),  1 CONDUCTOR ELECTRICO THW NO.6 (N), TUBERIA IMC DE 2'', CONECTORES Y SOPORTE DE TUBERIA.</t>
  </si>
  <si>
    <t>ALIMENTADOR ELECTRICO DESDE MEDICION ELECTRICA HASTA PIE DE POSTE , COMPUESTO POR: 2 CONDUCTOR ELECTRICO THW NO.4, (F), 1 CONDUCTOR ELECTRICO THW NO.6 (N), TUBERIA IMC DE 2'', CONECTORES Y SOPORTE DE TUBERIA.</t>
  </si>
  <si>
    <t>ALIMENTADOR ELECTRICO DESDE PIE DE POSTE HASTA DE PANEL DE BREAKER EN CASETA, COMPUESTO POR: 2 CONDUCTOR ELECTRICO THW NO.4, (F), 1 CONDUCTOR ELECTRICO THW NO.6 (N), MOVIMIENTO DE TIERRA Y TUBERIA PVC DE 2''.</t>
  </si>
  <si>
    <t>ALIMENTADOR ELECTRICO DESDE PANEL DE BREAKER EN CASETA HASTA  PANELES ARRANCADOR DIRECTO A LINEA, COMPUESTO POR: 2 CONDUCTOR ELECTRICO THW NO.4, (F), 1 CONDUCTOR ELECTRICO THW NO.6 (N), TUBERIA EMT 2'', SOPORTE Y CONECTORES.</t>
  </si>
  <si>
    <t>ALIMENTADOR ELECTRICO DESDE PANELES ARRANCADOR DIRECTO A LINEA  HASTA ELECTROBOMBAS CENTRIFUGAS, COMPUESTO POR: 1 CONDUCTOR ELECTRICO DE GOMA NO.10/3, TUBERIA L.T 1'', SOPORTE Y CONECTORES.</t>
  </si>
  <si>
    <t>ALIMENTADOR ELECTRICO DESDE PANEL DE BREAKER HASTA PANEL DE BREAKER 2/4, COMPUESTO POR: 2 CONDUCTOR ELECTRICO THW NO.10, TUBERIA EMT DE 3/4''.</t>
  </si>
  <si>
    <t>ALIMENTADOR ELECTRICO DESDE PANEL DE BREAKER 2/4, HASTA ILUMINACION EXTERIOR COMPUESTO POR CONDUCTOR ELECTRICO DE VINIL 10/2, MOVIMIENTO DE TIERRA</t>
  </si>
  <si>
    <t>SUMINISTRO E INSTALACION EQUIPOS BOMBEO</t>
  </si>
  <si>
    <t xml:space="preserve">ELECTROBOMBA, CENTRIFUGA DE EJE HORIZONTAL, 70 GPM, 95' DE TDH,  MOTOR 3 HP, 1Ø, 460 V,  60 HZ, 3,500 RPM, </t>
  </si>
  <si>
    <t>INSTALACIÓN ELECTROBOMBA</t>
  </si>
  <si>
    <t>UNION UNIVERSAL Ø 2"</t>
  </si>
  <si>
    <t>NIPLE Ø 2" PLATILLADO EN UN EXTREMOS</t>
  </si>
  <si>
    <t>NIPLE Ø 2" ROSCADO EN AMBOS EXTREMOS</t>
  </si>
  <si>
    <t>NIPLE Ø 2" ROSCADO EN UN EXTREMOS</t>
  </si>
  <si>
    <t>VALVULA DE COMPUERTA DE Ø2" ROSCADA, 200 PSI (INCLUYE SUMINISTRO Y COLOCACION)</t>
  </si>
  <si>
    <t>VALVULA CHECK HORIZONTAL Ø2" H.F., 200 PSI</t>
  </si>
  <si>
    <t>VALVULA CHECK VERTICAL Ø2" , 200 PSI</t>
  </si>
  <si>
    <t>VALVULA DE AIRE DE 11/2" (COMPLETA)</t>
  </si>
  <si>
    <t>INSTALACION MANOMETRICA COMPLETA INC. MANOMETRO SUMERGIDO EN GLICERINA DE O-250 PSI</t>
  </si>
  <si>
    <t>TEE ROSCADA DE Ø 2" a Ø 2"</t>
  </si>
  <si>
    <t>CODO ROSCADO DE Ø 2" x 90° ACERO</t>
  </si>
  <si>
    <t xml:space="preserve">ZETA DE Ø 2" </t>
  </si>
  <si>
    <t>BASE PARA ELECTROBOMBA</t>
  </si>
  <si>
    <t>ELECTRIFICACION CASETA DE BOMBAS</t>
  </si>
  <si>
    <t>SALIDA CENITAL EN TUBERIA PVC</t>
  </si>
  <si>
    <t>SALIDA INTERRUPTOR DOBLE EN TUBERIA PVC</t>
  </si>
  <si>
    <t>SALIDA DE TOMA CORRIENTE EN TUBERIA PVC</t>
  </si>
  <si>
    <t>SUB-TOTAL C</t>
  </si>
  <si>
    <t xml:space="preserve">ANALISIS PARA APLICACIÓN DE ASFALTO SIN TRANSPORTE </t>
  </si>
  <si>
    <t>RENDIMIENTO DE 1.00 M3 DE ASFALTO (SEGÚN FORMULA)</t>
  </si>
  <si>
    <t>ESPESOR DEL ASFALTO EN PULGADAS =</t>
  </si>
  <si>
    <t>PULG</t>
  </si>
  <si>
    <t xml:space="preserve">RENDIMIENTO = </t>
  </si>
  <si>
    <t xml:space="preserve">OPERADORES (1) </t>
  </si>
  <si>
    <t>RASTRILLERO (1)</t>
  </si>
  <si>
    <t>CARRETILLERO (3)</t>
  </si>
  <si>
    <t>LLENADORES DE CARRETILLA (2)</t>
  </si>
  <si>
    <t>BARREDOR(2)</t>
  </si>
  <si>
    <t>EQUIPOS</t>
  </si>
  <si>
    <t>RODILLO PEQUEÑO DE MANO</t>
  </si>
  <si>
    <t>EQUIPOS PEQUEÑOS (PALA, RASTRILLO, ...)</t>
  </si>
  <si>
    <t>SUB-TOTAL</t>
  </si>
  <si>
    <t>TOTAL MANO OBRA Y EQUIPOS</t>
  </si>
  <si>
    <t xml:space="preserve">RENDIMIENTO PARA 2" </t>
  </si>
  <si>
    <t>M3/DÍA</t>
  </si>
  <si>
    <t xml:space="preserve">PRECIO POR M3E  DE APLICACIÓN </t>
  </si>
  <si>
    <t xml:space="preserve">PRECIO DE CARPETA ASFALTICA </t>
  </si>
  <si>
    <t>SUMINISTRO EN PLANTA (CALIENTE)</t>
  </si>
  <si>
    <t>M3E</t>
  </si>
  <si>
    <t>COLOCACIÓN MEZCLA</t>
  </si>
  <si>
    <t>COSTO TOTAL POR M3</t>
  </si>
  <si>
    <t xml:space="preserve">PRECIO COLOCACIÓN ASFALTO/ M2 </t>
  </si>
  <si>
    <t>ANALISIS PARA CORTE DE ASFALTO</t>
  </si>
  <si>
    <t>CORTE DE ASFALTO</t>
  </si>
  <si>
    <t xml:space="preserve">                                                                               </t>
  </si>
  <si>
    <t>OPERADOR/DIA</t>
  </si>
  <si>
    <t xml:space="preserve">OBRERO PARA LLENAR TANQUE CON AGUA </t>
  </si>
  <si>
    <t xml:space="preserve">AGUA PARA ENFRIAR DISCO </t>
  </si>
  <si>
    <t xml:space="preserve">PINTURA AMARILLA P/TRAZAR EJE DE CORTE </t>
  </si>
  <si>
    <t>QT</t>
  </si>
  <si>
    <t xml:space="preserve">MATERIALES MENORES </t>
  </si>
  <si>
    <t>RENDIMIENTO =</t>
  </si>
  <si>
    <t>ML/DÍA</t>
  </si>
  <si>
    <t>COSTO POR M =</t>
  </si>
  <si>
    <t>DISCO DE CORTE ( RD$ 24,500/2,200M)</t>
  </si>
  <si>
    <t>COSTO TOTAL POR M =</t>
  </si>
  <si>
    <t xml:space="preserve">RELLENO COMPACTADO CON EQUIPO DE PERCUCION CON MAT. DE LA EXCAVACION EN CAPAS DE 0.20 M </t>
  </si>
  <si>
    <t xml:space="preserve">operador del maquito </t>
  </si>
  <si>
    <t>regador</t>
  </si>
  <si>
    <t xml:space="preserve">palero </t>
  </si>
  <si>
    <t>M3/DIA</t>
  </si>
  <si>
    <t>SUM. Y COL.  DE ASIENTO DE ARENA</t>
  </si>
  <si>
    <t>REND</t>
  </si>
  <si>
    <t>M3          PEONES</t>
  </si>
  <si>
    <t>COLOCACION ( 3 PEONES ) @ 659.00</t>
  </si>
  <si>
    <t>HERRAMIENTAS ( 3% DE M.O.)</t>
  </si>
  <si>
    <t>COSTO P/M3</t>
  </si>
  <si>
    <t>EXC. MATERIAL NO CLASIFICADO C / EQUIPO ( RETRO PALA, 416 )</t>
  </si>
  <si>
    <t>ALQUILER DE CAT 416</t>
  </si>
  <si>
    <t xml:space="preserve">COMBUSTIBLE </t>
  </si>
  <si>
    <t>GL / H</t>
  </si>
  <si>
    <t>LUBRICANTE</t>
  </si>
  <si>
    <t>OPERARIO RD% 1,318.00 / DIA</t>
  </si>
  <si>
    <t>COSTO P/HR</t>
  </si>
  <si>
    <t>M3 / H</t>
  </si>
  <si>
    <t>OPERARIO RD% 1,300.00 / DIA</t>
  </si>
  <si>
    <t>M2/H</t>
  </si>
  <si>
    <t xml:space="preserve">NIVELACION FONDO DE ZANJA </t>
  </si>
  <si>
    <t>M2  PEONES</t>
  </si>
  <si>
    <t>COLOCACION ( 2 PEONES ) @ 650.00</t>
  </si>
  <si>
    <t>COSTO TOTAL</t>
  </si>
  <si>
    <t>COSTO P/M2</t>
  </si>
  <si>
    <t xml:space="preserve">CORTE C/EQUIPO ( TRACTOR D-8-K ) </t>
  </si>
  <si>
    <t>LUBRICANTE 20%</t>
  </si>
  <si>
    <t>ALQUILER DE CAT 320</t>
  </si>
  <si>
    <t>OPERARIO RD$ 850.00 /DIA (INCLUYE DIETA)</t>
  </si>
  <si>
    <t>Derecho a mina</t>
  </si>
  <si>
    <t>SENALIZACION Y MANEJO DE TRANSITO</t>
  </si>
  <si>
    <t>MANEJO DE TRANSITO</t>
  </si>
  <si>
    <t xml:space="preserve">OBRERO </t>
  </si>
  <si>
    <t>CHALECOS Y  CASCOS</t>
  </si>
  <si>
    <t>BANDEROLAS</t>
  </si>
  <si>
    <t xml:space="preserve">SEÑALES </t>
  </si>
  <si>
    <t>POSTE DE TUBO.1/2 Y BASE HORMIGON</t>
  </si>
  <si>
    <t>TIANGULOS METALICOS P/ AVISOS (INC. USOS)</t>
  </si>
  <si>
    <t xml:space="preserve">CINTA PLASTICA P/ AVISO (INC. COLOCACIÓN) </t>
  </si>
  <si>
    <t>COSTO P/DIA</t>
  </si>
  <si>
    <t>COSTO P/ML</t>
  </si>
  <si>
    <t xml:space="preserve">AGREGADO ( ARENA ) </t>
  </si>
  <si>
    <t xml:space="preserve">AGREGADO ( GRAVA ) </t>
  </si>
  <si>
    <t>H.S. PARA F'C= 280 KGS/CM2</t>
  </si>
  <si>
    <t>H.S. PARA F'C= 240 KGS/CM2</t>
  </si>
  <si>
    <t>H.S. PARA F'C= 210 KGS/CM2</t>
  </si>
  <si>
    <t>H.S./fondo</t>
  </si>
  <si>
    <t>ACERO P/ZAPATA DE MURO, VIGAS Y COLUMNAS</t>
  </si>
  <si>
    <t xml:space="preserve">DEPOSITO REGULADOR DE 150 M3 SUPERFICIAL DE H.A  </t>
  </si>
  <si>
    <t>ZAPATA DE MURO 1.69 QQ/M3</t>
  </si>
  <si>
    <t>HORMIGON INDUSTRIAL 240 KG/CM2+5% DESP.</t>
  </si>
  <si>
    <t>MANO DE ACERO</t>
  </si>
  <si>
    <t>ZAPATA COLUMNA 1.22 QQM3</t>
  </si>
  <si>
    <t>LOSA DE FONDO 1.51 QQ/M3</t>
  </si>
  <si>
    <t>HORMIGON INDUSTRIAL 280 KG/CM2+5% DESP.</t>
  </si>
  <si>
    <t>MUROS 0.25 - 2.29 SQQ/M3</t>
  </si>
  <si>
    <t>ENC. Y DESEC.</t>
  </si>
  <si>
    <t>COLUMNA C2 0.30X0.30 3.98 QQ/M3</t>
  </si>
  <si>
    <t>VIGA (0.25 X 0.50 ) 5.08 QQM3</t>
  </si>
  <si>
    <t>VIGA (0.15 X 0.30 ) 5.21 QQM3</t>
  </si>
  <si>
    <t>LOSA DE TECHO 0.12 - 1.70 QQM3</t>
  </si>
  <si>
    <t>LOSA DE TECHO 0.15 - 1.29 QQM3</t>
  </si>
  <si>
    <t xml:space="preserve">CISTERNA DE 100 M3 SUPERFICIAL </t>
  </si>
  <si>
    <t xml:space="preserve"> LOSA DE FONDO E=0.20 - 1.51 QQ/M3</t>
  </si>
  <si>
    <t>ZAPATA MURO 0.30 - 1.03 QQ/M3</t>
  </si>
  <si>
    <t xml:space="preserve">ZAPATA DE COLUMNA C1  0.35 - 1.91 QQ/M3 </t>
  </si>
  <si>
    <t>VIGAS ( 0.15 X 0.30 )  5.21 QQ/M3</t>
  </si>
  <si>
    <t>LOSA DE TECHO E= 0.12 - 1.70 QQ/M3</t>
  </si>
  <si>
    <t>MORTERO PARA PAÑETE 1:4</t>
  </si>
  <si>
    <t>PAÑETE INTERIOR --------------------------------------</t>
  </si>
  <si>
    <t>FINO LOSA DE FONDO PULIDO --------------------</t>
  </si>
  <si>
    <t>PINTURA BASE BLANCA ( DURAFLEX DE TROPICAL ) SIN ANDAMIO :</t>
  </si>
  <si>
    <t>PINTURA (cubeta de 5gls=$650)</t>
  </si>
  <si>
    <t>APLICACION (dos manos).</t>
  </si>
  <si>
    <t>DESPERDICIOS Y RETOQUES.</t>
  </si>
  <si>
    <t>COSTO P/M2 RD$</t>
  </si>
  <si>
    <t>PINTURA ACRILICA ECONOMICA SIN ANDAMIO :</t>
  </si>
  <si>
    <t>Pintura (cubeta de 5gls=$4250)</t>
  </si>
  <si>
    <t>Aplicación (dos manos).</t>
  </si>
  <si>
    <t>Desperdicios y retoques.</t>
  </si>
  <si>
    <t>MUROS DE BLOQUES DE 6" BNP-------------------</t>
  </si>
  <si>
    <t>VERJA DE MALLA CICLONICA (ANALISIS PARA 12 ML.)</t>
  </si>
  <si>
    <t>ZAPATA DE MURO  P/VERJA   0.60 QQ/M3</t>
  </si>
  <si>
    <t xml:space="preserve">EXCAVACION MATERIAL COMPACTO A MANO </t>
  </si>
  <si>
    <t>BLOCK 6" ( 3 LINEA)</t>
  </si>
  <si>
    <t>TUBO 1 1/2"X15' H.G.</t>
  </si>
  <si>
    <t xml:space="preserve">PINTURA VERJA , PALOMETAS, TUBOS , ALAMBRES Y DESP. Base blanca </t>
  </si>
  <si>
    <t>PINTURA VERJA , PALOMETAS, TUBOS , ALAMBRES Y DESP.</t>
  </si>
  <si>
    <t>PINTURA LOMO DE PERRO Y MALLA</t>
  </si>
  <si>
    <t>COSTO POR M/L.----------------------------------------------------------------&gt;</t>
  </si>
  <si>
    <t>TUB .2"X15' H.G.</t>
  </si>
  <si>
    <t>COLUMNAS P/VERJA (INCLUYE ZAPATA)</t>
  </si>
  <si>
    <t>COLUMNAS 0.25X0.25 - 4.79QQ/M3  F'C=180KG/CM2</t>
  </si>
  <si>
    <t>SUMINISTRO  ACERO + ALAMBRE</t>
  </si>
  <si>
    <t xml:space="preserve">PINTURA MANTENIMIENTO </t>
  </si>
  <si>
    <t>COLUMNAS INCLUYE ZAPATA</t>
  </si>
  <si>
    <t>COLUMNA P/PUERTA DE MALLA CILONICA (INC. TUBO Y ZAPATA)</t>
  </si>
  <si>
    <t>SUMINISTRO ACERO + ALAMBRE</t>
  </si>
  <si>
    <t>MANO DE OBRA ACERO</t>
  </si>
  <si>
    <t>LOSA DE FONDO 0.15 - 0.80 QQ/M3  FC'= 210 KG/CM2</t>
  </si>
  <si>
    <t xml:space="preserve">REGISTRO PARA VALVULA DE 8" ( 1.45 X 1.45  X 1.50 )  </t>
  </si>
  <si>
    <t xml:space="preserve">REPLANTEO </t>
  </si>
  <si>
    <t xml:space="preserve">EXCAVACION A MANO </t>
  </si>
  <si>
    <t xml:space="preserve">BOTE DE MATERIAL C/CAMION  </t>
  </si>
  <si>
    <t xml:space="preserve">MURO DE BLOCK DE 6" </t>
  </si>
  <si>
    <t xml:space="preserve">LOSA DE TECHO 0.15 - 0.80 QQ/M3 </t>
  </si>
  <si>
    <t xml:space="preserve">FINO DE FONDO </t>
  </si>
  <si>
    <t xml:space="preserve">PAÑETE EXTERIOR H= 0.50 M </t>
  </si>
  <si>
    <t xml:space="preserve">CANTOS  </t>
  </si>
  <si>
    <t xml:space="preserve">ESCALERA INTERIOR H= 1.15 M </t>
  </si>
  <si>
    <t xml:space="preserve">ANCLAJE DE H.S PARA SOPORTE DE VALVULA </t>
  </si>
  <si>
    <t>TAPA DE H.F. DE 0.80 M</t>
  </si>
  <si>
    <t xml:space="preserve">REGISTRO PARA VALVULA DE 6" ( 1.30 X 1.30  X 1.50 )  </t>
  </si>
  <si>
    <t>TEE 4" X 4"  ACERO  SCH-80 SIN COSTURA C/ PROTECCION ANTICORROSIVA</t>
  </si>
  <si>
    <t>TEE 4" X 3"  ACERO  SCH-80 SIN COSTURA C/ PROTECCION ANTICORROSIVA</t>
  </si>
  <si>
    <t>TEE 3" X 3"  ACERO  SCH-80 SIN COSTURA C/ PROTECCION ANTICORROSIVA</t>
  </si>
  <si>
    <t xml:space="preserve">CODO DE 3" (DE 10º A  45º)   ACERO SCH 80 SIN COSTURA C/PROTECCION ANTICORROSIVA. </t>
  </si>
  <si>
    <t xml:space="preserve">CODO DE 3" (DE 50º A  90º)   ACERO SCH 80 SIN COSTURA C/PROTECCION ANTICORROSIVA. </t>
  </si>
  <si>
    <t>JUNTA DE TAPON DE 3"</t>
  </si>
  <si>
    <t xml:space="preserve">JUNTA MECANICA DE Ø3" (TIPO DRESSER) </t>
  </si>
  <si>
    <t>REDUCCION  4" X 3"  ACERO   SCH 80 SIN COSTURA C/PROTECCION ANTICORROSIVA</t>
  </si>
  <si>
    <t>OBRA CIVIL EN PTAP</t>
  </si>
  <si>
    <t>HORMIGON ARMADO EN (F`C=280 KG/CM2 INDUSTRIAL)</t>
  </si>
  <si>
    <t>11.1.4</t>
  </si>
  <si>
    <t>11.1.5</t>
  </si>
  <si>
    <t>11.1.6</t>
  </si>
  <si>
    <t>11.1.7</t>
  </si>
  <si>
    <t>11.1.8</t>
  </si>
  <si>
    <t>11.1.9</t>
  </si>
  <si>
    <t>MUROS 0.30M -2.47 QQ/M3</t>
  </si>
  <si>
    <t>MUROS 0.30M CONTRA-FUERTE  -0.51 QQ/M3</t>
  </si>
  <si>
    <t>MUROS 0.25M -2.81  QQ/M3</t>
  </si>
  <si>
    <t>MUROS 0.20M  CANAL DE ENTRADA  1.44 QQ/M3</t>
  </si>
  <si>
    <t>MUROS 0.20M  CANAL ENTRADA SEDIMENTADORES- 2.59 QQ/M3</t>
  </si>
  <si>
    <t>MUROS 0.20MREGISTROS -4.24 QQ/M3</t>
  </si>
  <si>
    <t>MUROS 0.20M APOYO DE LOSA PREFABRICADA -2.11 QQ/M3</t>
  </si>
  <si>
    <t>MUROS 0.20M -1.27 QQ/M3</t>
  </si>
  <si>
    <t>MUROS 0.15M -1.57 QQ/M3</t>
  </si>
  <si>
    <t>MUROS 0.15M VERTEDOR -2.25 QQ/M3</t>
  </si>
  <si>
    <t xml:space="preserve">MUROS 0.45M SOPORTES APOYO DE LOSA PREFABRICADA -1.35QQ/M3 </t>
  </si>
  <si>
    <t>LOSA DE FONDO 0.20M -2.45 QQ/M3</t>
  </si>
  <si>
    <t>CANAL DE ENTRADA -2.81 QQ/M3</t>
  </si>
  <si>
    <t>LOSA DE FONDO REGISTRO 0.20M -1.32 QQ/M3</t>
  </si>
  <si>
    <t>LOSA DE FONDO REGISTRO DE ENTRADA 0.20M -1.16 QQ/M3</t>
  </si>
  <si>
    <t>LOSA DE FONDO 0.15M -1.38 QQ/M3</t>
  </si>
  <si>
    <t>LOSA DE FONDO 0.10M -1.60 QQ/M3</t>
  </si>
  <si>
    <t>LOSA DE FONDO 0.35M -1.37 QQ/M3</t>
  </si>
  <si>
    <t>ZAPATA DE MURO CANAL DE ENTRADA (0.90x0.35)M -0.87 QQ/M3</t>
  </si>
  <si>
    <t>LOSA DE TECHO 0.15M PASARELA -1.01 QQ/M3</t>
  </si>
  <si>
    <t>ZAPATA DE MURO CONTRA FUERTE (0.90x0.35)M -0.61 QQ/M3</t>
  </si>
  <si>
    <t>LOSA DE TECHO 0.15M REGISTRO -1.89 QQ/M3</t>
  </si>
  <si>
    <t>ÀREAS</t>
  </si>
  <si>
    <t>CAL HIDRATADA (20KG)</t>
  </si>
  <si>
    <t>DISTANCIA</t>
  </si>
  <si>
    <t>Cotización Hormigón Industrial Resistencia 280 Kg/cm2</t>
  </si>
  <si>
    <t>Cantos</t>
  </si>
  <si>
    <t>Pañete exterior pulido</t>
  </si>
  <si>
    <t>MUROS 0.20M REGISTROS -4.24 QQ/M3</t>
  </si>
  <si>
    <t>SUMINISTRO E INSTALACION AGITADORES (MIXERS) SULFATO DE ALUMINIO,MOTOR 1 HP, FRECUENCIA 60 HZ, MONOFASICO 115/240 V. 1750 RPM CON MOTO-REDUCTOR A 600 RPM VASTAGO Ø¾" ACERO INOXIDABLE ASPAS  4 ALETAS ACERO INOXIDABLE L=6' (CUBICAR CON FACTURA)</t>
  </si>
  <si>
    <t>PLACAS DE MATERIAL POLIPROPILENO, ESPESOR 0.0254 M (1"). COLOCACIÓN CON PERFILES DE POLIPROPILENO DE 1"X 2" CON TORNILLOS HILTER INOXIDABLES SEPARADOS A 0,50 M CENTRO A CENTRO. ALTURA SEGÚN PLANOS DE DISEÑO</t>
  </si>
  <si>
    <t>COMPUERTAS TIPO CHANNEL, MARCOS DE MAS DE 2" EN TOLAS DE 1/4", MATERIALES STANDARD, FABRICACIÓN ACERO INOXIDABLE AISI 316/304 ESPESOR TOLA ¼". VÁSTAGO EN HG 1½" (ENTRADA Y SALIDA) (DIMENSIONES 1.00M X 0.55M)</t>
  </si>
  <si>
    <t>SUMINISTRO Y COLOCACION DE VÁLVULAS COMPUERTA CON VÁSTAGO FIJO, CUADRANTE, CUERPO Y TAPA EN HIERRO FUNDIDO REVESTIDO DE EPOXY PARA DESAGUE EN FLOCULADOR DE 8" TUERCAS DE MANIOBRA EN LATÓN, CUERPO EN HIERRO FUNDIDO (ASTM A126), ESPECIFICACIONES AWWA E504, FABRICACIÓN AMERICANA O ISRAELÍ DIÁMETRO SEGÚN PLANOS</t>
  </si>
  <si>
    <t>INYECTOR O EYECTOR TIPO VENTURI</t>
  </si>
  <si>
    <t xml:space="preserve">BOMBA TIPO BOOSTER 1 HP, 60 HZ., TDH 15'. MONOFÁSICA. DIFERENCIAL MANUAL 2 TO </t>
  </si>
  <si>
    <t>DOSIFICADOR DE CLORO, CON RANGO DE APLICACIÓN DE 0-50 LBS/DÍA.</t>
  </si>
  <si>
    <t>CILINDROS DE CLORO CON CAPACIDAD 2000 LBS, LLENO E INSTALADO</t>
  </si>
  <si>
    <t>SUMINISTRO E INSTALACION</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</si>
  <si>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</si>
  <si>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PANELES LAMELARES DIMENSIONES PVC 8' X 3' X 1', ESPESOR LÁMINA 1 MM Y TUBO HEXAGONAL 5-10 MM. COLOCACIÓN CON ANGULARES DE TOLA ACERO INOXIDABLE DE 2"X6"X⅜" PARA SOPORTE MÓDULOS  CON TORNILLOS HILTER SEPARADOS A 0,50 M  DE CENTRO A CENTRO CUMPLIMIENTO NORMAS NSF-361.</t>
  </si>
  <si>
    <t>COMPUERTAS SUMERGIBLES, MARCOS MÁS DE 2" EN TOLAS DE 1/4" REFORZADAS MATERIALES STANDARD FABRICACIÓN ACERO INOXIDABLE AISI 316/304 ESPESOR TOLA ¼". VÁSTAGO EN HG 1½" DIMENSIONES 0.45M X 0.45M</t>
  </si>
  <si>
    <t>TAPA METALICA MATERIAL ALUMINIO GALVANIZADO, ANGULARES 1"x1"x3/8", Ocho (8) Pernos de Fijacion (TAMAÑO ACORDE A PLANO)</t>
  </si>
  <si>
    <t>ACERA PERIMETRAL</t>
  </si>
  <si>
    <t>H.S. PARA F'C= 180 KGS/ CM2</t>
  </si>
  <si>
    <t>Cotización Hormigón Industrial Resistencia 180 Kg/cm2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</si>
  <si>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 EN SEDIMENTADORES, DIÁMETRO Ø12"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</si>
  <si>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 DIÁMETRO Ø6"</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</si>
  <si>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 DIÁMETRO Ø12"</t>
  </si>
  <si>
    <t xml:space="preserve">PUERTA POLIMETAL (1.00*2.10)M (INCL. LLAVIN E INSTALACION)  </t>
  </si>
  <si>
    <t>SUMINISTRO DE BOMBA DE 3 HP, MONOFASICA, CAUDAL 550 GPM, VOLTAJE 110-220 V, FRECUENCIA 60 HZ, EFECIENCIA 85%, TDH 15 PIES, VELOCIDAD 1,750 RPM</t>
  </si>
  <si>
    <t>TANQUE HIDRONEUMATICO EN FIBRA, CAPACIDAD 100 GLS</t>
  </si>
  <si>
    <t>MANGUERA TIPO BOMBERO 1 1/2" LONG=15 M</t>
  </si>
  <si>
    <t>ABRAZADERAS</t>
  </si>
  <si>
    <t xml:space="preserve">CODOS H.G Ø1 1/2" </t>
  </si>
  <si>
    <t xml:space="preserve">TUBERIA DE HIERRO GALVANIZADO DE Ø 1 1/2" </t>
  </si>
  <si>
    <t>MANO DE OBRA INSTALACION BOMBA, TANQUE, TUBERIA Y PIEZAS</t>
  </si>
  <si>
    <t>SISTEMA DE LAVADO DE PLANTA</t>
  </si>
  <si>
    <t>BOTE DE MATERIAL CON CAMION (DIST.=5.0KM) INCLUYE ESPARCIMIENTO</t>
  </si>
  <si>
    <t>BOTE DE ESCOMBROS CON CAMION (DIST. 5KM) (INCLUYE ESPARCIMIENTO EN BOTADERO)</t>
  </si>
  <si>
    <t>ELECTRIFICACION BASICA EN LA PLANTA</t>
  </si>
  <si>
    <t>ILUMINACION PERIFERICA ( LUCES EXTERIORES )</t>
  </si>
  <si>
    <t>SUMINISTRO E INSTALACION DE LAMPARA H.P.S TIPO COBRA DE 250 W, 220 V.</t>
  </si>
  <si>
    <t xml:space="preserve">POSTES H.A. CLASE III, 25´ </t>
  </si>
  <si>
    <t>ALIMENTADOR ELECTRICO PARA ILUMINACION CON ALAMBRE DE VINIL No. 8/2</t>
  </si>
  <si>
    <t>POSTES EN H.A,V 35´ 500 DAM</t>
  </si>
  <si>
    <t>ALAMBRE AAAC No. 2/0</t>
  </si>
  <si>
    <t>ESTRUCTURA HA-100B</t>
  </si>
  <si>
    <t>TRANSFORMADOR DE 25 KVA,1Ø, 7,200/240 - 480V SUMERGIDO EN ACEITE  TIPO POSTE</t>
  </si>
  <si>
    <t xml:space="preserve">MANO DE OBRA ELECTRICA PRIMARIA  </t>
  </si>
  <si>
    <t>ELECTRIFICACION SECUNDARIA</t>
  </si>
  <si>
    <t xml:space="preserve">ALIMENTADOR ELECTRICO DESDE TRANSFORMADORES HASTA MAIN BREAKER CON CONDUCTORES THW No.2, 1 CONDUCTORES THW No.4 Y 1 CONDUCTOR No.2 A 7 HILOS TRENZADOS EN TUBERIAS PVC Y IMC DE 2". </t>
  </si>
  <si>
    <t>3.2</t>
  </si>
  <si>
    <t xml:space="preserve">ALIMENTADOR ELECTRICO DESDE MAIN BREAKER HASTA TRANSFER SWICH CON 2 CONDUCTORES THW No.2, 1 CONDUCTOR THW No.4 Y 1 CONDUCTOR No.2 A 7 HILOS TRENZADOS EN TUBERIA PVC DE 2". </t>
  </si>
  <si>
    <t>3.3</t>
  </si>
  <si>
    <t xml:space="preserve">ALIMENTADOR ELECTRICO DESDE TRASNFER SWICH HASTA PANEL BOARD CON 2 CONDUCTORES THW No.2, 1 CONDUCTOR THW No.4 Y 1 CONDUCTOR No.2 A 7 HILOS TRENZADO EN TUBERIA PVC DE 2".  </t>
  </si>
  <si>
    <t>3.4</t>
  </si>
  <si>
    <t xml:space="preserve">ALIMENTADOR ELECTRICO DESDE PANEL BOARD HASTA ARRANCADORES DE ELECTROBOMBAS DE RETROLABADO CON 2 CONDUCTORES THW No.6 Y 1 CONDUCTOR THW No.8 EN TUBERIA PVC DE 1".  </t>
  </si>
  <si>
    <t>3.5</t>
  </si>
  <si>
    <t xml:space="preserve">ALIMENTADOR ELECTRICO DESDE ARRANCADORES HASTA ELECTROBOMBAS DE RETOLABADO CON 2 CONDUCTORES THW No.8 Y 1 CONDUCTOR THW No.10 EN TUBERIA EMT Y L.T. 3/4".  </t>
  </si>
  <si>
    <t>3.6</t>
  </si>
  <si>
    <t xml:space="preserve">ALIMENTADOR ELECTRICO DESDE PANEL BOARD HASTA ARRANCADORES DE ELECTROBOMBAS SUMERGIBLES CON 2 CONDUCTORES THW No.6 Y 1 CONDUCTOR THW No.8 EN TUBERIA PVC DE 1".  </t>
  </si>
  <si>
    <t>3.7</t>
  </si>
  <si>
    <t xml:space="preserve">ALIMENTADOR ELECTRICO DESDE ARRANCADORES HASTA ELECTROBOMBAS SUMERGIBLES CON 2 CONDUCTORES THW No.8 Y 1 CONDUCTOR THW No.10 EN TUBERIA EMT Y L.T. 3/4".  </t>
  </si>
  <si>
    <t>3.8</t>
  </si>
  <si>
    <t xml:space="preserve">ALIMENTADOR ELECTRICO DESDE PANEL BOARD HASTA CENTRO DE CARGAS DE 8 ESPACIOS (CASA DE QUIMICOS) CON 2 CONDUCTORES THW No.6 Y 1 CONDUCTOR THW No.8 EN TUBERIA PVC DE 1".  </t>
  </si>
  <si>
    <t>3.9</t>
  </si>
  <si>
    <t xml:space="preserve">ALIMENTADOR ELECTRICO DESDE PANEL BOARD HASTA PANEL DE EDIFICIO DE CLORO CON 2 CONDUCTORES THW No.8 Y 1 CONDUCTOR THW No.10 EN TUBERIA PVC DE 1".  </t>
  </si>
  <si>
    <t>3.10</t>
  </si>
  <si>
    <t xml:space="preserve">ALIMENTADOR ELECTRICO DESDE PANEL BOARD HASTA PANEL DE CASA DE OPERADOR CON 2 CONDUCTORES THW No.8 Y 1 CONDUCTOR THW No.10 EN TUBERIA PVC DE 1".  </t>
  </si>
  <si>
    <t>3.11</t>
  </si>
  <si>
    <t xml:space="preserve">ALIMENTADOR ELECTRICO DESDE CENTRO DE CARGAS DE 8 ESPACIOS HASTA CENTRO DE CONTROL DE MOTORES CON 2 CONDUCTORES THW No.6 Y 1 CONDUCTOR THW No.8 EN TUBERIA PVC DE 1".  </t>
  </si>
  <si>
    <t>3.12</t>
  </si>
  <si>
    <t xml:space="preserve">ALIMENTADOR ELECTRICO DESDE CENTRO DE CONTROL DE MOTORES HASTA AGITADORES CON 3 CONDUCTORES THW No.12 EN TUBERIA EMT Y L.T. 3/4".  </t>
  </si>
  <si>
    <t>3.13</t>
  </si>
  <si>
    <t xml:space="preserve">ALIMENTADOR ELECTRICO DESDE CENTRO DE CONTROL DE MOTORES HASTA DOSIFICADORES CON 3 CONDUCTORES THW No.12 EN TUBERIA EMT Y L.T. 3/4".  </t>
  </si>
  <si>
    <t>3.14</t>
  </si>
  <si>
    <t xml:space="preserve">ALIMENTADOR ELECTRICO DESDE CENTRO DE CARGAS DE 8 ESPACIOS HASTA PANEL CONSUMO DEL EDIFICIO CON 2 CONDUCTORES THW No.10 Y 1 CONDUCTOR THW No.12 EN TUBERIA PVC DE 1".  </t>
  </si>
  <si>
    <t>3.15</t>
  </si>
  <si>
    <t xml:space="preserve">ALIMENTADOR ELECTRICO DESDE CENTRO DE CARGAS DE 8 ESPACIOS HASTA ARRANCADOR DE DIFERENCIAL DE 3 TON CON 2 CONDUCTORES THW No.10 Y 1 CONDUCTOR THW No.12 EN TUBERIA PVC DE 1".  </t>
  </si>
  <si>
    <t>3.16</t>
  </si>
  <si>
    <t xml:space="preserve">ALIMENTADOR ELECTRICO DESDE CENTRO DE CARGAS HASTA ELECTROBOMBA PARA LAVADO CON 2 CONDUCTORES THW No.10 Y 1 CONDUCTOR THW No.10 EN TUBERIA EMT Y L.T. 3/4".  </t>
  </si>
  <si>
    <t>3.17</t>
  </si>
  <si>
    <t>MAIN BREAKER 125/2 AMP, 240 VOLTS, ENCLOSURE</t>
  </si>
  <si>
    <t>3.18</t>
  </si>
  <si>
    <t>PANEL BOAR BARRA DE 200 AMP. CON MAIN BREAKER 125/2 AMP, 240 VOLTS, 1Ø, INC. 3 BREAKER 50/2 AMP., 4 BREAKER 30/2 AMP. Y 2 BREAKER 20/2 AMP.</t>
  </si>
  <si>
    <t>3.19</t>
  </si>
  <si>
    <t>PANEL CCM CON 4 ARRANCADORES DIRECTOS A LINEA DEL TIPO TRIPLEX CON 4 BREAKERS 15/2 AMP., 240V 1Ø.</t>
  </si>
  <si>
    <t>3.20</t>
  </si>
  <si>
    <t>CENTRO DE CARGAS DE 8 ESPACIOS, (INC. BREAKERS)</t>
  </si>
  <si>
    <t>3.21</t>
  </si>
  <si>
    <t>REGISTRO EN BLOK DE 6" PARA ELECTRICOS (0.7*0.7*0.82) (RH)</t>
  </si>
  <si>
    <t>3.22</t>
  </si>
  <si>
    <t>TAPE PLASTICO 3M</t>
  </si>
  <si>
    <t>3.23</t>
  </si>
  <si>
    <t>TAPE DE GOMA 3M</t>
  </si>
  <si>
    <t>3.24</t>
  </si>
  <si>
    <t xml:space="preserve">MANO DE OBRA ELECTRICA  SECUNDARIA </t>
  </si>
  <si>
    <t>SUMINISTRO E INSTALACION GENERADOR ELECTRICO</t>
  </si>
  <si>
    <t>SUMINISTRO GENERADOR ELECTRICO DE EMERGENCIA DIESEL 20 KW, 120/240 V, ESTÁNDAR.</t>
  </si>
  <si>
    <t xml:space="preserve">INSTALACION GENERADOR </t>
  </si>
  <si>
    <t>SUMINISTRO Y COLOCACION DE TANQUE COMBUSTIBLE 150 GLS (LLENO EN SITIO)</t>
  </si>
  <si>
    <t>CONSTRUCCION DE SISTEMA ESCAPE DE GASES</t>
  </si>
  <si>
    <t>CONSTRUCCION DE SISTEMA ALIMENTACION COMBUSTIBLE</t>
  </si>
  <si>
    <t>TRANSFER SWICH MANUAL 150/2 AMP. 240 V, 60 HZ. NEMA 1R</t>
  </si>
  <si>
    <t>MAIN BREAKER 100/2 AMP, ENCLOUSURE</t>
  </si>
  <si>
    <t>4.8</t>
  </si>
  <si>
    <t xml:space="preserve">ALIMENTADOR ELECTRICO DESDE TRANSFER SWICH HASTA PANEL DEL GENERADOR ELECTRICO CON 2 CONDUCTORES THW No.2 Y 1 CONDUCTORES THW No.4 EN TUBERIAS EMT DE 2". </t>
  </si>
  <si>
    <t>TAPE DE GOMA 3M SCOTCH</t>
  </si>
  <si>
    <t>TAPE PLASTICO 3M SCOTCH</t>
  </si>
  <si>
    <t>MANO DE OBRA ELECTRICA</t>
  </si>
  <si>
    <t>SUMINISTRO E INSTALACION DE ELECTROBOMBA</t>
  </si>
  <si>
    <t>SUMINISTRO ELECTROBOMBAS SUMERGIBLE NO ATASCABLE PARA LODO DE 3 HP, MONOFASICA, 240V, 420 GPM Y 40 PIES DE TDH.</t>
  </si>
  <si>
    <t>INSTALACION DE ELECTROBOMBA</t>
  </si>
  <si>
    <t>NIPLE DE 6" X 12" PLATILLADO EN UN EXTREMO</t>
  </si>
  <si>
    <t>NIPLE DE 6" X 12" PLATILLADO EN AMBOS EXTREMOS</t>
  </si>
  <si>
    <t>JUNTA DRESSER 6"</t>
  </si>
  <si>
    <t>VALVULA DE COMPUERTA CON VASTAGO ASCENDENTE DE 6" PLATILLADA A 200 PSI</t>
  </si>
  <si>
    <t>VALVULA ANTIRETORNO,CHECK HORIZONTAL DE 6" A 200 PSI</t>
  </si>
  <si>
    <t>CONSTRUCCION MAINFORD DE DESCARGA DE 8", CON TRES YEE DE 6"</t>
  </si>
  <si>
    <t>TUBO DE ACERO INOXIDABLE (RIELES)</t>
  </si>
  <si>
    <t>CODO DE 6" EN 90 GRADO SOLDADO A MAINFORD</t>
  </si>
  <si>
    <t>PINTURA AZUL PARA DESCARGA (OXIDO)</t>
  </si>
  <si>
    <t xml:space="preserve">ANCLAJE PARA BOMBAS </t>
  </si>
  <si>
    <t>P</t>
  </si>
  <si>
    <t>SUB-TOTAL E</t>
  </si>
  <si>
    <t>LOSA DE TECHO E= 0.12M - 1.69 QQ/M3</t>
  </si>
  <si>
    <t>CASA DE OPERADOR (3 HABITACIONES)</t>
  </si>
  <si>
    <t xml:space="preserve">ZAPATA DE MUROS 0.50 QQ/M3 </t>
  </si>
  <si>
    <t>VIGA V1 0.15 x 0.20 - 4.47QQ/M3</t>
  </si>
  <si>
    <t>DINTELES 0.15 x 0.20 -2.90</t>
  </si>
  <si>
    <t>LOSA DE TECHO 0.10-1.71QQ/M3</t>
  </si>
  <si>
    <t>DADO DE APOYO 0.15 x 0.20 x 0.40-2.67QQ/M3</t>
  </si>
  <si>
    <t xml:space="preserve">BLOQUES DE 4" </t>
  </si>
  <si>
    <t>PISO H. S. PULIDO</t>
  </si>
  <si>
    <t>PISO GRANITO CORRIENTES</t>
  </si>
  <si>
    <t>ACERA PERIMETRAL 1.00 M</t>
  </si>
  <si>
    <t>PUERTA DE PINO COMPLETA</t>
  </si>
  <si>
    <t>PUERTA DE PLYWOOD</t>
  </si>
  <si>
    <t>C A S E T A   D E   O P E R A D O R  D E  TRES   H A B I T A C I O N E S</t>
  </si>
  <si>
    <t>ZAPATA DE MURO -0.50 qq/m³</t>
  </si>
  <si>
    <t>H.S. 180 KG/CM2</t>
  </si>
  <si>
    <t>K ACERO</t>
  </si>
  <si>
    <t>VIGA (0.15 x 0.20) - 4.47 qq/m³</t>
  </si>
  <si>
    <t>H.S  210 kg/cm² + 5% DESP.</t>
  </si>
  <si>
    <t>DINTEL (0.15 x 0.20) - 2.90 qq/m³</t>
  </si>
  <si>
    <t>DADO DE APOYO - 2.67 qq/m³</t>
  </si>
  <si>
    <t>I N S T A L A C I O N   E L E C T R I C A</t>
  </si>
  <si>
    <t>LUZ CENITAL:</t>
  </si>
  <si>
    <t>Tubo ½"x19' PVC SDR-26 + 15% desp.</t>
  </si>
  <si>
    <t>u</t>
  </si>
  <si>
    <t>Caja octagonal.</t>
  </si>
  <si>
    <t>Alambre #12 TW.</t>
  </si>
  <si>
    <t>p</t>
  </si>
  <si>
    <t>Roseta de porcelana.</t>
  </si>
  <si>
    <t>Cinta adhesiva "3M" (rollo).</t>
  </si>
  <si>
    <t>Cemento PVC + 30% desp. (¼ gl.)</t>
  </si>
  <si>
    <t>Mano de obra.</t>
  </si>
  <si>
    <t>Gastos indirectos contratistas eléctricos.</t>
  </si>
  <si>
    <t>INTERRUPTOR SENCILLO:</t>
  </si>
  <si>
    <t>Caja rectangular de ½".</t>
  </si>
  <si>
    <t>Accesorio.</t>
  </si>
  <si>
    <t>Codos plásticos ½".</t>
  </si>
  <si>
    <t>Beneficios contratistas eléctricos.</t>
  </si>
  <si>
    <t>INTERRUPTOR DOBLE:</t>
  </si>
  <si>
    <t>Caja rectangular ½".</t>
  </si>
  <si>
    <t>TOMACORRIENTE DOBLE 110 V.:</t>
  </si>
  <si>
    <t>Alambre #12 TW+ 5% desp.</t>
  </si>
  <si>
    <t>TOMACORRIENTE SENCILLO 220 V.:</t>
  </si>
  <si>
    <t>Tubo ¾"x10' PVC SDR-26 + 15% desp.</t>
  </si>
  <si>
    <t>Caja rectangular ¾".</t>
  </si>
  <si>
    <t>Alambre #10 TW + 5% desp.</t>
  </si>
  <si>
    <t>Codos plásticos ¾".</t>
  </si>
  <si>
    <t>PANEL DISTRIBUCION 6 CIRCUITOS:</t>
  </si>
  <si>
    <t>"Breakers" 15 y 20 A.</t>
  </si>
  <si>
    <t>Panel distribución.</t>
  </si>
  <si>
    <t>Hacer hueco y colocar panel.</t>
  </si>
  <si>
    <t>Coloc. "Breakers".</t>
  </si>
  <si>
    <t>I N S T A L A C I O N   S A N I T A R I A</t>
  </si>
  <si>
    <t>INODORO  BCO.:</t>
  </si>
  <si>
    <t>INODORO  bco. C/ TAPA.</t>
  </si>
  <si>
    <t>Tornillos fijación.</t>
  </si>
  <si>
    <t>juego</t>
  </si>
  <si>
    <t>Junta de cera.</t>
  </si>
  <si>
    <t>Cemento bco.</t>
  </si>
  <si>
    <t>fda</t>
  </si>
  <si>
    <t>Llave angular 3/8".</t>
  </si>
  <si>
    <t>Niple 3/8"x2 ½", cromo.</t>
  </si>
  <si>
    <t>Cubrefalta 3/8", cromo.</t>
  </si>
  <si>
    <t>Tubo flexible con tuerca.</t>
  </si>
  <si>
    <t>Teflón + 25% desp.</t>
  </si>
  <si>
    <t>rollo</t>
  </si>
  <si>
    <t>Mano de obra coloc. inodoro.</t>
  </si>
  <si>
    <t>DUCHA:  (Agua fría solamente)</t>
  </si>
  <si>
    <t>Ducha cte. plástica, ½", cromo. c/llave</t>
  </si>
  <si>
    <t>Mano de obra coloc. ducha.</t>
  </si>
  <si>
    <t>LAVAMANOS 19"x17", BCO.:</t>
  </si>
  <si>
    <t>Lavamanos 19"x17", BCO.</t>
  </si>
  <si>
    <t>llave para lavamanos</t>
  </si>
  <si>
    <t>Sifón 1 ¼", PVC</t>
  </si>
  <si>
    <t>Cola ext. 1 ¼"x8" PVC</t>
  </si>
  <si>
    <t>Mano de obra coloc. lavamanos.</t>
  </si>
  <si>
    <t>DESAGÜE DE PISO 4", INSTALADO (TUB. MATRIZ 4"):</t>
  </si>
  <si>
    <t>Rejilla de piso 4", aluminio</t>
  </si>
  <si>
    <t>pinta</t>
  </si>
  <si>
    <t>Mano de obra desagüe</t>
  </si>
  <si>
    <t>FREG. A. INOX. DOBLE, H.G.</t>
  </si>
  <si>
    <t>FREG. DOBLE a. inox.</t>
  </si>
  <si>
    <t>MEZCLADORA</t>
  </si>
  <si>
    <t>Boquilla para freg., cromo.</t>
  </si>
  <si>
    <t>"Silicone" para sellar (tubo).</t>
  </si>
  <si>
    <t>Mano de obra coloc. fregadero sencillo.</t>
  </si>
  <si>
    <t>PILETA CON AZULEJOS</t>
  </si>
  <si>
    <t>MURO BLOCK 4"</t>
  </si>
  <si>
    <t xml:space="preserve">CERAMICA 0.20*0.20   </t>
  </si>
  <si>
    <t>TERMINACION</t>
  </si>
  <si>
    <t>CAJA DE INSPECCION</t>
  </si>
  <si>
    <t>MURO BLOQUES  DE 4"  H=0.70</t>
  </si>
  <si>
    <t>MEDIA CAÑA</t>
  </si>
  <si>
    <t xml:space="preserve">EXCAVACION </t>
  </si>
  <si>
    <t>SEPTICO</t>
  </si>
  <si>
    <t>LOSA DE PISO</t>
  </si>
  <si>
    <t>LOSA SUPERIOR</t>
  </si>
  <si>
    <t>BLOQUES 6"</t>
  </si>
  <si>
    <t>EXCAVACION</t>
  </si>
  <si>
    <t xml:space="preserve">BOTE </t>
  </si>
  <si>
    <t>TAPA ALUMINIO 0.60*0.60</t>
  </si>
  <si>
    <t>ACERO   3/8"  @ 0.20  A.D.</t>
  </si>
  <si>
    <t>PAÑETE INTERIOR MUROS Y FONDO</t>
  </si>
  <si>
    <t>Cotización Hormigón Industrial Resistencia 210 Kg/cm2</t>
  </si>
  <si>
    <t>CASETA DE CLORACION</t>
  </si>
  <si>
    <t>CONSTRUCCIÓN CASETA DE CLORACIÓN, PARA SISTEMA DE CLORACIÓN DE 2,000 LIBRAS.</t>
  </si>
  <si>
    <t>PRELIMINARES:</t>
  </si>
  <si>
    <t>DEMOLICION DE CASETA EXISTENTE EN BLOCK DE 6' (2.40 X 3.20 X 2.60) INCLUYE BOTE</t>
  </si>
  <si>
    <t>MOVIMIENTO DE TIERRA (INCLUYE NIVELACION)</t>
  </si>
  <si>
    <t>HORMIGÓN ARMADO (F'C=180 KG/CM²) EN:</t>
  </si>
  <si>
    <t>ZAPATA DE MURO 0.66 QQ/M3</t>
  </si>
  <si>
    <t>ZAPATA DE COLUMNA 1.15 QQ/M3</t>
  </si>
  <si>
    <t>COLUMNA 0.30 X 0.30 - 2.78 QQ/M3</t>
  </si>
  <si>
    <t>11.2.4</t>
  </si>
  <si>
    <t>VIGA  0.20X0.30 - 6.10 QQ/M3</t>
  </si>
  <si>
    <t>11.2.5</t>
  </si>
  <si>
    <t>LOSA DE TECHO 0.12 - 1.24 QQ/M3</t>
  </si>
  <si>
    <t>MURO DE BLOCK</t>
  </si>
  <si>
    <t>11.3.1</t>
  </si>
  <si>
    <t>DE  Ø6" SNP</t>
  </si>
  <si>
    <t>11.4.1</t>
  </si>
  <si>
    <t xml:space="preserve">PAÑETE EXTERIOR </t>
  </si>
  <si>
    <t>11.4.2</t>
  </si>
  <si>
    <t>11.4.3</t>
  </si>
  <si>
    <t>PAÑETE TECHO</t>
  </si>
  <si>
    <t>11.4.4</t>
  </si>
  <si>
    <t>11.4.5</t>
  </si>
  <si>
    <t>PINTURA ACRÍLICA</t>
  </si>
  <si>
    <t>11.4.6</t>
  </si>
  <si>
    <t>PISO H.S.</t>
  </si>
  <si>
    <t>11.4.7</t>
  </si>
  <si>
    <t>11.4.8</t>
  </si>
  <si>
    <t>11.4.9</t>
  </si>
  <si>
    <t>11.4.10</t>
  </si>
  <si>
    <t>ACERA EXTERIOR 0.60</t>
  </si>
  <si>
    <t>11.4.11</t>
  </si>
  <si>
    <t>SUMINISTRO DE CALICHE PARA RELLENO EN EN INTERIOR DE CASETA</t>
  </si>
  <si>
    <t>11.4.12</t>
  </si>
  <si>
    <t xml:space="preserve">RELLENO COMPACTADO C/ COMPACTADOR MECANICO EN CAPA DE 0.20 M. </t>
  </si>
  <si>
    <t>INSTALACIONES ELÉCTRICAS:</t>
  </si>
  <si>
    <t xml:space="preserve">ENTRADA ELÉCTRICA (SALIDA) </t>
  </si>
  <si>
    <t xml:space="preserve">SALIDA CENITALES (SALIDA) </t>
  </si>
  <si>
    <t>11.5.3</t>
  </si>
  <si>
    <t>INTERRUPTORES SENCILLOS</t>
  </si>
  <si>
    <t>11.5.4</t>
  </si>
  <si>
    <t>11.5.5</t>
  </si>
  <si>
    <t>LÁMPARA FLUORESCENTE 4X40W</t>
  </si>
  <si>
    <t>11.5.6</t>
  </si>
  <si>
    <t>ALIMENTACION ELÉCTRICA EXTERNA (DESGLOSAR PARTIDA)</t>
  </si>
  <si>
    <t>SISTEMA DE CLORACIÓN:</t>
  </si>
  <si>
    <t>11.6.1</t>
  </si>
  <si>
    <t>DOSIFICADOR DE CLORO APLICACIÓN AL VACIO CON RANGO DE APLICACIÓN DE 0-100</t>
  </si>
  <si>
    <t>11.6.2</t>
  </si>
  <si>
    <t>BOMBA ROMPEDORA DE PRESION TIPO BOOSTER DE 5.5 GPM</t>
  </si>
  <si>
    <t>11.6.3</t>
  </si>
  <si>
    <t>CILINDRO DE GAS CLORO 2, 000 LB LLENO, (INC. INSTALACION)</t>
  </si>
  <si>
    <t>11.6.4</t>
  </si>
  <si>
    <t>SISTEMA DE RODAJE DE CILINDRO INC. VIGA W8 X 31</t>
  </si>
  <si>
    <t>11.6.5</t>
  </si>
  <si>
    <t xml:space="preserve">CARRIL METÁLICO PARA ELEVADOR DE CILINDRO 2,000 LBS.  </t>
  </si>
  <si>
    <t>11.6.6</t>
  </si>
  <si>
    <t>DIFERENCIAL MANUAL  DE 2 TONELADAS  (CUBICAR CON FACTURA CON COMPROBANTE FISCAL )</t>
  </si>
  <si>
    <t>11.6.7</t>
  </si>
  <si>
    <t>REGISTRO EN PUNTO DE APLICACIÓN DE CLORO ( 2.00 X 1.75 X 2.65), INC, TAPA DE TOLA 1/4" DE ESPESOR Y ANGULAR (2.00 X 2.00 X 1/4) Y ESCALERA H.G. H= 1.78 M.</t>
  </si>
  <si>
    <t>11.6.8</t>
  </si>
  <si>
    <t xml:space="preserve">PIEZAS Y ASCESORIOS </t>
  </si>
  <si>
    <t>11.6.9</t>
  </si>
  <si>
    <t>DETECTOR DE CLORO</t>
  </si>
  <si>
    <t>11.6.10</t>
  </si>
  <si>
    <t xml:space="preserve">DIFUSOR DE CLORO </t>
  </si>
  <si>
    <t>11.6.11</t>
  </si>
  <si>
    <t xml:space="preserve">DESAGUE DE CASETA </t>
  </si>
  <si>
    <t>11.6.12</t>
  </si>
  <si>
    <t>H.S. 180KG/CM2</t>
  </si>
  <si>
    <t>MOV. DE TIERRA</t>
  </si>
  <si>
    <t>ZAPATA DE MURO(INC. ZAP. C1)  0.79 QQ/M3</t>
  </si>
  <si>
    <t>COLUMNA 0.20 X 0.20  4.58 QQ/M3</t>
  </si>
  <si>
    <t>VIGA V1  0.20 X 0.25   11.14 QQ/M3</t>
  </si>
  <si>
    <t>DINTEL 0.15 X 0.20   5.00 QQ/M3</t>
  </si>
  <si>
    <t>LOSA DE TECHO  e=0.13   1.06 QQ/M3</t>
  </si>
  <si>
    <t>BASE H.A. P/PLANTA  3.2 X 1.85   0.63 QQ/M3</t>
  </si>
  <si>
    <t>MURO DE BLOQUES:</t>
  </si>
  <si>
    <t>DE 6" B.N.P.</t>
  </si>
  <si>
    <t>DE 6" S.N.P.</t>
  </si>
  <si>
    <t>CALADOS</t>
  </si>
  <si>
    <t xml:space="preserve">PINTURA AZUL MANTENIMIENTO </t>
  </si>
  <si>
    <t>PISO H.S. PULIDO</t>
  </si>
  <si>
    <t>PUERTA METALICA ENROLLABLE</t>
  </si>
  <si>
    <t>SALIDA</t>
  </si>
  <si>
    <t>CASA DE GENERADOR 0-20KW</t>
  </si>
  <si>
    <t>CASETA PARA GENERADOR ELECTRICO DE 20-100 KW (ANALISIS)</t>
  </si>
  <si>
    <t>ZAPATA DE MURO .79</t>
  </si>
  <si>
    <t>ACERO + M.0 + ALAMBRE</t>
  </si>
  <si>
    <t>COLUMNA (0.20X 0.20)  4.58 QQ/M3</t>
  </si>
  <si>
    <t>VIGA ( 0.20X0.25) 11.14 QQ/M3</t>
  </si>
  <si>
    <t>ENCOFRADO</t>
  </si>
  <si>
    <t>DINTEL  (0.15 X 0.20 )  5.00 QQ/M3</t>
  </si>
  <si>
    <t>BASE PARA GENERADOR-.63QQ/M3</t>
  </si>
  <si>
    <t>LOSA DE TECHO  0.13    1.06QQ/M3</t>
  </si>
  <si>
    <t>COMUNIDAD LOS LADRILLOS</t>
  </si>
  <si>
    <t>ACOMETIDAS RURALES CON POLIETILENO  DE Ø 3" (32 UD)</t>
  </si>
  <si>
    <t>COMUNIDAD POZO HONDO</t>
  </si>
  <si>
    <t>ACOMETIDAS RURALES CON POLIETILENO  DE Ø 3" (80 UD)</t>
  </si>
  <si>
    <t>ACOMETIDAS RURALES CON POLIETILENO  DE Ø 4" (38 UD)</t>
  </si>
  <si>
    <t>ACOMETIDAS RURALES CON POLIETILENO  DE Ø 4" (20 UD)</t>
  </si>
  <si>
    <t>8.1.14</t>
  </si>
  <si>
    <t>8.3.1</t>
  </si>
  <si>
    <t>8.3.2</t>
  </si>
  <si>
    <t>8.3.3</t>
  </si>
  <si>
    <t>8.3.4</t>
  </si>
  <si>
    <t>8.3.5</t>
  </si>
  <si>
    <t>8.3.6</t>
  </si>
  <si>
    <t>8.3.7</t>
  </si>
  <si>
    <t>8.3.8</t>
  </si>
  <si>
    <t>8.3.9</t>
  </si>
  <si>
    <t>8.3.10</t>
  </si>
  <si>
    <t>8.3.11</t>
  </si>
  <si>
    <t>8.3.12</t>
  </si>
  <si>
    <t>8.3.13</t>
  </si>
  <si>
    <t>8.3.14</t>
  </si>
  <si>
    <t>8.4.7</t>
  </si>
  <si>
    <t>8.4.8</t>
  </si>
  <si>
    <t>8.4.9</t>
  </si>
  <si>
    <t>8.4.10</t>
  </si>
  <si>
    <t>8.4.11</t>
  </si>
  <si>
    <t>8.4.12</t>
  </si>
  <si>
    <t>8.4.13</t>
  </si>
  <si>
    <t>8.4.14</t>
  </si>
  <si>
    <t>23m</t>
  </si>
  <si>
    <t>m3</t>
  </si>
  <si>
    <t>m3s</t>
  </si>
  <si>
    <t>Camara septica</t>
  </si>
  <si>
    <t>Muro de Bloques  de 8"</t>
  </si>
  <si>
    <t>Camara distribucion</t>
  </si>
  <si>
    <t>Filtro Biologico</t>
  </si>
  <si>
    <t>Losa de Hormigon Fondo</t>
  </si>
  <si>
    <t>Losa de Hormigon Techo</t>
  </si>
  <si>
    <t>Excavacion</t>
  </si>
  <si>
    <t>Tapa de Hormigon</t>
  </si>
  <si>
    <t>Muro de Bloques  de 6"</t>
  </si>
  <si>
    <t>Viga de Hormigon</t>
  </si>
  <si>
    <t>CAMARA INSP., MATERIAL NO CLASIFICADO, 0.60 x 0.60 x 0.60 M. INT.:</t>
  </si>
  <si>
    <t>Excavación Material no clasificado (.8x.8x.8 M.).</t>
  </si>
  <si>
    <t>Bote Material excavado.</t>
  </si>
  <si>
    <t>HorM. 1:3:5 en losas.</t>
  </si>
  <si>
    <t>Acero 3/8" x 20' grado 40 en taPa.</t>
  </si>
  <si>
    <t>HorM. 1:3:5 en int.</t>
  </si>
  <si>
    <t>Mortero 1:2 iMPerM. (4 MM. + 20% desP.)</t>
  </si>
  <si>
    <t>SISTEMA DE DEPURACION DE AGUAS NEGRAS</t>
  </si>
  <si>
    <t>Bloques 8".</t>
  </si>
  <si>
    <t>MUROS DE BLOQUES DE 8"</t>
  </si>
  <si>
    <t>SUMINISTRO DE BLOQUES 8"</t>
  </si>
  <si>
    <t>MORTERO P/JUNTA  1.3+30%DESP.</t>
  </si>
  <si>
    <t>HORMIGON EN CAMARA +10%DESP.</t>
  </si>
  <si>
    <t>ACERO 3/8"+20%DESP.</t>
  </si>
  <si>
    <t xml:space="preserve">LLENADO DE HUECOS </t>
  </si>
  <si>
    <t>MURO DE BLOQUES DE 8" SNP</t>
  </si>
  <si>
    <t>COSTO /M2RD$</t>
  </si>
  <si>
    <t>MURO DE BLOQUES DE 8" BNP</t>
  </si>
  <si>
    <t>COSTO/M2 RD$</t>
  </si>
  <si>
    <t>MURO DE BLOQUES DE 6" SNP</t>
  </si>
  <si>
    <t>MURO DE BLOQUES DE 6" BNP</t>
  </si>
  <si>
    <t>MURO DE BLOCKS</t>
  </si>
  <si>
    <t>MURO DE BLOQUES DE 6" S.N.P. @ 0.80 M = @ 0.60</t>
  </si>
  <si>
    <t xml:space="preserve">COLOCACION BLOQUES 6" </t>
  </si>
  <si>
    <t>VIOLINADO</t>
  </si>
  <si>
    <r>
      <t xml:space="preserve">MURO DE BLOQUES DE 6" </t>
    </r>
    <r>
      <rPr>
        <b/>
        <sz val="10"/>
        <color indexed="8"/>
        <rFont val="Arial"/>
        <family val="2"/>
      </rPr>
      <t>B.N.P.</t>
    </r>
    <r>
      <rPr>
        <b/>
        <sz val="10"/>
        <rFont val="Arial"/>
        <family val="2"/>
      </rPr>
      <t xml:space="preserve">  @ 0.80 M = @ 0.60</t>
    </r>
  </si>
  <si>
    <r>
      <t xml:space="preserve">MURO DE BLOQUES DE 6" </t>
    </r>
    <r>
      <rPr>
        <b/>
        <sz val="10"/>
        <color indexed="12"/>
        <rFont val="Arial"/>
        <family val="2"/>
      </rPr>
      <t>S.N.P.</t>
    </r>
    <r>
      <rPr>
        <b/>
        <sz val="10"/>
        <rFont val="Arial"/>
        <family val="2"/>
      </rPr>
      <t xml:space="preserve">  @ 0.40 M</t>
    </r>
  </si>
  <si>
    <r>
      <t xml:space="preserve">MURO DE BLOQUES DE 6" </t>
    </r>
    <r>
      <rPr>
        <b/>
        <sz val="10"/>
        <color indexed="57"/>
        <rFont val="Arial"/>
        <family val="2"/>
      </rPr>
      <t>B.N.P.</t>
    </r>
    <r>
      <rPr>
        <b/>
        <sz val="10"/>
        <rFont val="Arial"/>
        <family val="2"/>
      </rPr>
      <t xml:space="preserve">  @ 0.40 M</t>
    </r>
  </si>
  <si>
    <r>
      <t xml:space="preserve">MURO DE BLOQUES DE 6" </t>
    </r>
    <r>
      <rPr>
        <b/>
        <sz val="10"/>
        <color indexed="10"/>
        <rFont val="Arial"/>
        <family val="2"/>
      </rPr>
      <t>S.N.P.</t>
    </r>
    <r>
      <rPr>
        <b/>
        <sz val="10"/>
        <rFont val="Arial"/>
        <family val="2"/>
      </rPr>
      <t xml:space="preserve">  @ CAMARA LLENA</t>
    </r>
  </si>
  <si>
    <r>
      <t xml:space="preserve">MURO DE BLOQUES DE 6" </t>
    </r>
    <r>
      <rPr>
        <b/>
        <sz val="10"/>
        <color indexed="17"/>
        <rFont val="Arial"/>
        <family val="2"/>
      </rPr>
      <t>B.N.P.</t>
    </r>
    <r>
      <rPr>
        <b/>
        <sz val="10"/>
        <rFont val="Arial"/>
        <family val="2"/>
      </rPr>
      <t xml:space="preserve">  @ CAMARA LLENA</t>
    </r>
  </si>
  <si>
    <t>MURO DE BLOQUES DE 4"</t>
  </si>
  <si>
    <t xml:space="preserve">POZO FILTRANTE EN TUBERIA DE 8" ACERO CON SU EXCAVACION </t>
  </si>
  <si>
    <t xml:space="preserve">PERFORACION </t>
  </si>
  <si>
    <t xml:space="preserve">ENCAMISADO (INCLUYE SOLDADURA) </t>
  </si>
  <si>
    <t xml:space="preserve">RANURADO </t>
  </si>
  <si>
    <t xml:space="preserve">SUMINISTRO DE TUBERIA </t>
  </si>
  <si>
    <t>CAMARA DISTRIBUCIO</t>
  </si>
  <si>
    <t>FILTRO BIOLOGICO</t>
  </si>
  <si>
    <t xml:space="preserve">SUMINISTRO Y COLOCACION GRAVA </t>
  </si>
  <si>
    <t>PIEZAS</t>
  </si>
  <si>
    <t>CODO 4"X 90º PVC SDR-26</t>
  </si>
  <si>
    <t>TEE 4" PVC SDR-26- SCH-80</t>
  </si>
  <si>
    <t>TAPAS DE H. A.</t>
  </si>
  <si>
    <t>TAPA DE HORMIGON ARMADO</t>
  </si>
  <si>
    <t>HORMIGON  1:3:5</t>
  </si>
  <si>
    <t>MURO  BLOQUES 6"</t>
  </si>
  <si>
    <t>ACERO 3/8 @0.20 A.D LOSA DE TECHO</t>
  </si>
  <si>
    <t>EXCAVACION Y BOTE</t>
  </si>
  <si>
    <t>PLANCHAS DE PLYWOOD (2 PLANCHAS / 4 USOS)</t>
  </si>
  <si>
    <t>RELLENO COMPACTADO  A MANO CON MATERIAL PRODUCTO DE EXCAVACION</t>
  </si>
  <si>
    <t>2.1.3</t>
  </si>
  <si>
    <t>2.1.4</t>
  </si>
  <si>
    <t>CAMPAMENTO, ( INC. ALQUILER DE SOLAR CON O SIN CASA, 2 UD DE BAÑOS MOVILES Y CASETA PARA MATERIALES)</t>
  </si>
  <si>
    <t>ELECTROBOMBA CENTRIFUGA HORIZONTAL DE EJE HORIZONTAL</t>
  </si>
  <si>
    <t>UNION UNIVERSAL Ø2"</t>
  </si>
  <si>
    <t>NIPLE Ø2" PLATILLADO EN UN EXTREMO</t>
  </si>
  <si>
    <t>VALVULA DE AIRE DE Ø1/2"</t>
  </si>
  <si>
    <t>INSTALACION MANOMETRICA</t>
  </si>
  <si>
    <t>VALVULA DE CHECK HORIZONTAL ROSCADO DE Ø2" ROSCADA , 200 PSI</t>
  </si>
  <si>
    <t xml:space="preserve">NIPLE Ø2" ROSCADO EN AMBOS EXTREMOS </t>
  </si>
  <si>
    <t>TEE ROSCADA DE Ø2"</t>
  </si>
  <si>
    <t>CODO ROSCADO DE Ø2" X90º ACERO</t>
  </si>
  <si>
    <t>ZETA</t>
  </si>
  <si>
    <t>BASE ELECTROBOMBA</t>
  </si>
  <si>
    <t>VALVULA DE CHECK VERTICAL DE Ø2", 200 PSI</t>
  </si>
  <si>
    <t>VALVULA DE COMPUERTA DE Ø2" ROSCADA, 200 PSI</t>
  </si>
  <si>
    <t>DESGLOCES</t>
  </si>
  <si>
    <t>TEE 12" X 4" ACERO SIN COSTURA CON RECUBRIMIENTO ANTICORROSIVO</t>
  </si>
  <si>
    <t>JUNTA TAPON 12" ACERO</t>
  </si>
  <si>
    <t xml:space="preserve">PISO MONOLITICO PARA INSTALACION DE BOQUILLAS </t>
  </si>
  <si>
    <t>TOBERAS  EN POLIPROPILENO INYECTADO P/LAVADO, CON RANURAS 0.30MM EN CABEZAL Y DIAMETRO DE 1"</t>
  </si>
  <si>
    <t>SUMINISTRO Y COLOCACION TUBERIA  Ø12" ACERO (SCH-30 SIN COSTURA C/ PROTECCION ANTICORROSIVA)</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</si>
  <si>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 DIÁMETRO Ø8"</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</si>
  <si>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 DIÁMETRO Ø6"</t>
  </si>
  <si>
    <t xml:space="preserve">LOSAS PREFABRICADAS PARA TOBERAS </t>
  </si>
  <si>
    <t>REGISTRO SALIDA AGUA CLARA (SEGUN DISENO)</t>
  </si>
  <si>
    <t>H.A. EN LOSA DE FONDO 0.20 - 3.88 QQ/M3</t>
  </si>
  <si>
    <t>MURO  0.25 - 3.24  QQ/M3 (1/2" @ 0.20 Y 1/2" @ 0.15)</t>
  </si>
  <si>
    <t>H.A. EN LOSA DE TECHO 0.15 - 3.61 QQ/M3</t>
  </si>
  <si>
    <t>PANETE INTERIOR PULIDO</t>
  </si>
  <si>
    <t>TAPA  0.7 X 0.70  ALUMINIO</t>
  </si>
  <si>
    <t>PASARELA Y ESCALERA A PLANTA</t>
  </si>
  <si>
    <t>TUBERIA 12" ACERO SCH-40 SIN COSTURA CON RECUBRIMIENTO ANTICORROSIVO</t>
  </si>
  <si>
    <t>VALVULA DE MARIPOSA 12" H.F. COMPLETA (INC. 2 NIPLES PLATILLADOS, 2JG, TORNILLOS Y 2 JUNTAS DRESSER</t>
  </si>
  <si>
    <t>ABRAZADERAS DE ACERO P/SOPORTE DE TUBERIAS 12"</t>
  </si>
  <si>
    <t>HORMIGON CICLOPEO EN TOLVAS  DE LOS SEDIMENTADORES</t>
  </si>
  <si>
    <t>REGISTRO PARA VALVULA DE 12"</t>
  </si>
  <si>
    <t>CASA DE QUÍMICOS</t>
  </si>
  <si>
    <t>ZAPATA DE MURO - ESP. = 0.30M - 0.53QQ/M3</t>
  </si>
  <si>
    <t>ZAPATA DE COLUMNA - ESP. = 0.25M - 0.86QQ/M3</t>
  </si>
  <si>
    <t>COLUMNA C1  0.40X0.40 - 5.04 QQ/M3</t>
  </si>
  <si>
    <t>COLUMNA C2  0.35X0.35 - 5.02 QQ/M3</t>
  </si>
  <si>
    <t>VIGA V1, V2 Y V4 (0.25X0.30) 3.19 QQ/M3</t>
  </si>
  <si>
    <t>VIGA V3 (0.25X0.30) 4.68 QQ/M3</t>
  </si>
  <si>
    <t>VIGA AMARRE N.P.  0.15X0.20 - 3.60  QQ/M3</t>
  </si>
  <si>
    <t>VIGA AMARRE  0.20X0.35 - 3.27  QQ/M3</t>
  </si>
  <si>
    <t>LOSA DE ENTREPISO  0.15 - 1.16 QQ/M3</t>
  </si>
  <si>
    <t>LOSA DE TECHO  0.15 - 1.16 QQ/M3</t>
  </si>
  <si>
    <t>LOSA FONDO TINA   0.20 - 1.76 QQ/M3</t>
  </si>
  <si>
    <t>MUROS TINA  0.15 - 3.06 QQ/M3</t>
  </si>
  <si>
    <t>ESCALERA ACCESO TINA</t>
  </si>
  <si>
    <t>BLOQUES DE 6" B.N.P.</t>
  </si>
  <si>
    <t>BLOQUES DE 6" S.N.P</t>
  </si>
  <si>
    <t xml:space="preserve">PAÑETE INTERIOR Y EXTERIOR </t>
  </si>
  <si>
    <t>ZABALETA TECHO</t>
  </si>
  <si>
    <t>PAÑETE LOSA ALREDEDOR TINA</t>
  </si>
  <si>
    <t>PAÑETE INTERIOR PULIDO MUROS TINA</t>
  </si>
  <si>
    <t>FINO FONDO PULIDO TINA</t>
  </si>
  <si>
    <t>REVESTIDO FIBRA DE VIDRIO TINA</t>
  </si>
  <si>
    <t xml:space="preserve">PISO DE MOSAICOS CORRIENTES (25 X 25 )  </t>
  </si>
  <si>
    <t xml:space="preserve">ZOCALOS  DE MOSAICOS CORRIENTES </t>
  </si>
  <si>
    <t>PUERTAS POLIMETAL (INCLUYE INSTALACION)</t>
  </si>
  <si>
    <t xml:space="preserve">PUERTA ENROLLABLE METÁLICA (1.80 X 2.40 ) </t>
  </si>
  <si>
    <t>VENTANAS</t>
  </si>
  <si>
    <t xml:space="preserve">VENTANA ALUMINIO AA </t>
  </si>
  <si>
    <t xml:space="preserve">TARIMA DE MADERA P/ SULFATO  (2.00 X 1.00 X 0.20 ) </t>
  </si>
  <si>
    <t>SUMINISTRO E INSTALACION BOMBAS DOSIFICADORAS DE SULFATO  TIPO DIAFRAGMA, CON RANGO DE APLICACION       0-10 GPM, CARCASA EN FIBRA REFORZADA CON POLIPROPILENO, CUERPO BOMBA EN PVDF DIAFRAGMA EN PTFE , POTENCIA MOTOR 1/4 HP, JUNTAS DE FPM/FKM</t>
  </si>
  <si>
    <t xml:space="preserve">DIFUSOR DE SULFATO </t>
  </si>
  <si>
    <t>BOMBA 2H.P. (INCLUYE SUMINISTRO Y COLOCACION DE ACCESORIOS)</t>
  </si>
  <si>
    <t xml:space="preserve">DESAGUE TINA SULFATO </t>
  </si>
  <si>
    <t>ESTRUCTURA METALICA ELEVADOR:</t>
  </si>
  <si>
    <t>TOLA DE 4" X 8" X 3/16"</t>
  </si>
  <si>
    <t>15.1.2</t>
  </si>
  <si>
    <t>CORTES DE TOLA</t>
  </si>
  <si>
    <t>15.1.3</t>
  </si>
  <si>
    <t>TUBO DE 2" H.G. ESPESOR GRUESO</t>
  </si>
  <si>
    <t>TUBO DE 2 1/2" H.G. ESPESOR GRUESO</t>
  </si>
  <si>
    <t>BARRA CUADRADAS 3/4" X 3/4"</t>
  </si>
  <si>
    <t>BARRA CUADRADAS 1/2" X 1/2"</t>
  </si>
  <si>
    <t>ANGULARES  2" X 2" X 1/4"</t>
  </si>
  <si>
    <t>ANGULARES 1 1/2" X 1 1/2" X 1/4"</t>
  </si>
  <si>
    <t>PLANCHAS DE MALLA DESPLEGABLE 3/4"</t>
  </si>
  <si>
    <t>CABLE DE ACERO CAP. 18,960 LBS</t>
  </si>
  <si>
    <t>GRAPAS P/ CABLE DE 1/2"</t>
  </si>
  <si>
    <t>GRILLETE DE 2 TON.</t>
  </si>
  <si>
    <t>GUARDACABO P/ CABLE DE 1/2"</t>
  </si>
  <si>
    <t>PLANCHUELAS DE 3" X 3/8"</t>
  </si>
  <si>
    <t>PERFIL " I ", CON OJAL DE SUJECION</t>
  </si>
  <si>
    <t>SPRING INDUSTRIAL DE 4" P/ SOPORTE</t>
  </si>
  <si>
    <t>MANO OBRA ESTRUCTURA METALICA Y SOLDADURA</t>
  </si>
  <si>
    <t>SUM. Y COLOC. DE DIFERENCIAL CAPAC. 1 TONELADA</t>
  </si>
  <si>
    <t xml:space="preserve">LAVAMANOS SENCILLO </t>
  </si>
  <si>
    <t xml:space="preserve">INODORO SENCILLO </t>
  </si>
  <si>
    <t>PILETAS/ AZULEJOS</t>
  </si>
  <si>
    <t>DUCHA (C/LLAVE A EMPOTRAR)</t>
  </si>
  <si>
    <t xml:space="preserve">DESAGÜE DE PISO DE 2"  </t>
  </si>
  <si>
    <t xml:space="preserve">FREGADERO DOBLE ACERO INOXIDABLE  </t>
  </si>
  <si>
    <t xml:space="preserve">TUBERÍA Y PIEZAS DE TODOS LOS APARATOS SANITARIOS </t>
  </si>
  <si>
    <t xml:space="preserve">MANO DE OBRA DE TODOS LOS APARATOS SANITARIOS </t>
  </si>
  <si>
    <t>SALIDAS CENITALES 110V</t>
  </si>
  <si>
    <t>LAMPARA MERCURIO 175W 110V</t>
  </si>
  <si>
    <t>SALIDA TOMACORRIENTE 240V</t>
  </si>
  <si>
    <t>SALIDA INTERRUPTOR SENCILLO</t>
  </si>
  <si>
    <t>PANEL DE DISTRIB. DE 6/12 ESPACIO  C/BREAKERS</t>
  </si>
  <si>
    <t>GABINETE DE PARED</t>
  </si>
  <si>
    <t>GABINETE DE PISO</t>
  </si>
  <si>
    <t>MESETA DE MARMOLITE</t>
  </si>
  <si>
    <t>EQUIPO DE LABORATORIO</t>
  </si>
  <si>
    <t xml:space="preserve">TURBIDIMETRO POTABLE 2100Q RANT 0.1000NTY </t>
  </si>
  <si>
    <t xml:space="preserve">EQUIPO DE PRUEBA DE JARRAS </t>
  </si>
  <si>
    <t>BALANZA DE SEMIPRECISION DE 2610 GRS</t>
  </si>
  <si>
    <t>TERMÓMETRO DE VIDRIO DE 20 @ 120 · C</t>
  </si>
  <si>
    <t xml:space="preserve">JARRA PLASTICA DE 2 LITROS CUADRADOS </t>
  </si>
  <si>
    <t>MATRAZ AFORADO DE 100 M VIDRIO</t>
  </si>
  <si>
    <t>MANÓMETRO MANUAL</t>
  </si>
  <si>
    <t>UTENSILIOS P/ LIMPIEZA</t>
  </si>
  <si>
    <t>COLADORES C/PALOS 3.00M</t>
  </si>
  <si>
    <t>CUBOS P/ LIMPIEZA</t>
  </si>
  <si>
    <t>RASTRILLOS DE HF(C/ DIENTES)</t>
  </si>
  <si>
    <t>LOGO Y LETRERO CASA QUIMICOS</t>
  </si>
  <si>
    <t>Nombre Presupuesto</t>
  </si>
  <si>
    <t>Nombre Memo</t>
  </si>
  <si>
    <t xml:space="preserve">Excel </t>
  </si>
  <si>
    <t>Word</t>
  </si>
  <si>
    <t xml:space="preserve"> CONSTRUCCIÓN LINEA MATRIZ, MACRO Y MICRO RED DE DISTRIBUCION DE BANI Y LINEA MATRIZ Y RED DE DISTRIBUCION DE EL FUNDO, ACUEDUCTO PERAVIA </t>
  </si>
  <si>
    <t>CONSTRUCCIÓN RED DE DISTRIBUCIÓN EL CARRETÓN Y ZONAS ALEDAÑAS PLANTA DE TRATAMIENTO- LÍNEA MATRIZ Y RED DE DISTRIBUCIÓN EN MATANZA -LÍNEA MATRIZ Y RED DE DISTRIBUCIÓN DE PAYA- LÍNEA DE CONDUCCIÓN, LÍNEA MATRIZ Y RED DE DISTRIBUCIÓN ARROYO HONDO, LOS TUMBAO Y QUIJA QUIETA, ACUEDUCTO PERAVIA</t>
  </si>
  <si>
    <t>Construcción Macro Red De Bani y Red de Distribución El Fundo, Acueducto Múltiple  Peravia</t>
  </si>
  <si>
    <t>Ampliación y Mejoramiento Redes de Distribución Matanza, Paya, Arroyo Hondo, Los Tumbaos y Quija Quieta y Carretón, Acueducto Múltiple  Peravia</t>
  </si>
  <si>
    <t>Monto (RD$)</t>
  </si>
  <si>
    <t>JUNTA HIDROFILICA</t>
  </si>
  <si>
    <t>VERJA DE MURO DE BLOCK DE 6" Y BLOCK CALADO, SEGÚN DETALLE EN PLANO</t>
  </si>
  <si>
    <t>PUERTA DE MALLA CICLONICA L= 4.00 M.</t>
  </si>
  <si>
    <t>COLUMNA PARA VERJA MALLA CICLONICA</t>
  </si>
  <si>
    <t>R.D.$/UD</t>
  </si>
  <si>
    <t>COLUMNAS C2 0.20X0.3 - 3.98 QQ/M3  F'C=210KG/CM2</t>
  </si>
  <si>
    <t>H.S. 210KG/CM2+5% DESP.</t>
  </si>
  <si>
    <t>VIGA  0.20X0.20 - 2.98 QQ/M3  F'C=210KG/CM2</t>
  </si>
  <si>
    <t>BARANDILLAS H.G. 11/2 (P/ 6 M)</t>
  </si>
  <si>
    <t>TUB.1½" H.G..</t>
  </si>
  <si>
    <t>CODO 1½"x 90º H.G</t>
  </si>
  <si>
    <t>CRUZ 1½" H.G</t>
  </si>
  <si>
    <t>TEE 1½" H.G.</t>
  </si>
  <si>
    <t>FIJACION BASE</t>
  </si>
  <si>
    <t>PINTURA OXIDO ROJO</t>
  </si>
  <si>
    <t>PINTURA MANTENIMIENTO</t>
  </si>
  <si>
    <t>M.O.  CORTE Y SOLDADURA</t>
  </si>
  <si>
    <t>COSTO TOTAL R.D$</t>
  </si>
  <si>
    <t>P/ M R.D.$</t>
  </si>
  <si>
    <t>HORMIGON COLUMNA C1</t>
  </si>
  <si>
    <t>VERJA</t>
  </si>
  <si>
    <t>CALADO</t>
  </si>
  <si>
    <t>ZAPATA DE MURO</t>
  </si>
  <si>
    <t>12.2.1</t>
  </si>
  <si>
    <t>12.2.2</t>
  </si>
  <si>
    <t>12.2.3</t>
  </si>
  <si>
    <t>12.3.1</t>
  </si>
  <si>
    <t>12.3.2</t>
  </si>
  <si>
    <t>12.3.3</t>
  </si>
  <si>
    <t>12.3.4</t>
  </si>
  <si>
    <t>12.3.5</t>
  </si>
  <si>
    <t>12.3.6</t>
  </si>
  <si>
    <t>12.3.8</t>
  </si>
  <si>
    <t>VI</t>
  </si>
  <si>
    <t>SUB-TOTAL IV</t>
  </si>
  <si>
    <t>SUB-TOTAL V</t>
  </si>
  <si>
    <t>SUB-TOTAL VI</t>
  </si>
  <si>
    <t>5.4</t>
  </si>
  <si>
    <t>SUB-TOTAL III</t>
  </si>
  <si>
    <t>SUB-TOTAL II</t>
  </si>
  <si>
    <t>SUB-TOTAL I</t>
  </si>
  <si>
    <t>VERTEDOR DE SALIDA DEL FILTRO</t>
  </si>
  <si>
    <t>COMPUTADORA - MEMORIA RAM   16 GB. DISCO DURO 500 GB. PROCESADOR I7 ÚLTIMA GENERACIÓN 3.20 GHZ. TARJETA DE VIDEO 4K. MONITOR LED, 24 PULGADAS, UPS PARA PROTECCION ELECTRICA</t>
  </si>
  <si>
    <t xml:space="preserve">COLORÍMETRO DE CLORO DIGITAL </t>
  </si>
  <si>
    <t>ILUMINACION INTERIOR EN CANALES DE DESAGUE</t>
  </si>
  <si>
    <t>VALVULA TIPO GLOBO DE Ø1 1/2"</t>
  </si>
  <si>
    <t>VALVULA TIPO GLOBO DE Ø1"</t>
  </si>
  <si>
    <t>TUBERIA DE Ø1 1/2" PVC SDR-26</t>
  </si>
  <si>
    <t>CODO DE Ø1 1/2" X 90 PVC</t>
  </si>
  <si>
    <t>TEE DE Ø1 1/2" PVC</t>
  </si>
  <si>
    <t>MOVIMIENTO DE TIERRA PARA TUBERIA</t>
  </si>
  <si>
    <t>MANO DE OBRA INSTALACION</t>
  </si>
  <si>
    <t>7.14.1</t>
  </si>
  <si>
    <t>7.14.2</t>
  </si>
  <si>
    <t>7.14.3</t>
  </si>
  <si>
    <t>7.14.4</t>
  </si>
  <si>
    <t>7.14.5</t>
  </si>
  <si>
    <t>7.14.6</t>
  </si>
  <si>
    <t>7.14.7</t>
  </si>
  <si>
    <t>SUMINISTRO Y COLOCACION DE REGLA DE MEDICION DE CAUDAL  DE SALIDA DE LA PLANTA</t>
  </si>
  <si>
    <t>INSTALACION DE TINACO PARA LA DISOLUCION DE SULFATO (CASA DE QUIMICO)</t>
  </si>
  <si>
    <t>SUMINISTRO TINACO DE 265 GLS PVC</t>
  </si>
  <si>
    <t>SUMINISTRO DE TUBERIA DE Ø1/2" PVC SCH-40, L=17.37 MTS Y PIEZAS, SEGÚN DETALLE, PARA SISTEMA DE DOSIFICACION</t>
  </si>
  <si>
    <t>MANO DE OBRA PARA INSTALACION DE TINACO, TUBERIAS Y PIEZAS.</t>
  </si>
  <si>
    <t xml:space="preserve">MANO DE OBRA  INSTALACION DE AGITADORES </t>
  </si>
  <si>
    <t>CONSTRUCCION DE TOLVA Y ESTRUCTURA METALICA (SEGUN ESPECIFICACIONES)</t>
  </si>
  <si>
    <t>RELLENO H.S.  P/ SALTO HIDRÁULICO  (INC. ENCOF.)</t>
  </si>
  <si>
    <t>SUMINISTRO E INSTALACION DE BOMBAS DOSIFICADORAS TIPO DIAFRAGMA RANGO APLICACIÓN 500-2000 GPD, 5 PIES TDH,  DE 1/2"  HP, 230 V, 60 HZ MONOFASICA, APLICACION EN LINEA. PARA APLICACIÓN DE SULFATO DE ALUMINIO CON CONCENTRACION DE 1 A 3% (SEGUN ESPECIFICACIONES REQUERIDA EN PLANOS)</t>
  </si>
  <si>
    <t>ZAPATA DE COLUMNA - ESP. = 0.45M - 0.86QQ/M3</t>
  </si>
  <si>
    <t>VIGA (0.25X0.50) 3.19 QQ/M3</t>
  </si>
  <si>
    <t>VIGA (0.25X0.40) 4.68 QQ/M3</t>
  </si>
  <si>
    <t>VIGA FUNDACION  0.30X0.45 - 3.60  QQ/M3</t>
  </si>
  <si>
    <t>SUMINISTRO Y COLOCACION TUBERIA 12" ACERO SCH-40 SIN COSTURA CON RECUBRIMIENTO ANTICORROSIVO</t>
  </si>
  <si>
    <t>DISEÑO Y SUPERVISION DE  OBRA</t>
  </si>
  <si>
    <t xml:space="preserve">ESTUDIOS (SOCIALES, AMBIENTALES, GEOTECNICO, TOPOGRAFICO, DE CALIDAD, ETC) </t>
  </si>
  <si>
    <t xml:space="preserve">MANTENIMIENTO Y OPERACION SISTEMA </t>
  </si>
  <si>
    <t xml:space="preserve">MEDIDA DE COMPENSACION AMBIENTAL </t>
  </si>
  <si>
    <t>SISTEMA DE TRATAMIENTO LODOS</t>
  </si>
  <si>
    <t>PRELIMINARES</t>
  </si>
  <si>
    <t xml:space="preserve">REPLANTEO  GENERAL </t>
  </si>
  <si>
    <t xml:space="preserve">COMPACTADO MECANICA DE RELLENO </t>
  </si>
  <si>
    <t>BOTE MECANICO DE MATERIAL EXCAVADO</t>
  </si>
  <si>
    <t>TUBERIA Ø 30" GRP</t>
  </si>
  <si>
    <t>TUBERIA Ø 20" PVC SDR-26 C/JG</t>
  </si>
  <si>
    <t>TUBERIA Ø 16" ACERO</t>
  </si>
  <si>
    <t>COLOCACION DE TUBERIA:</t>
  </si>
  <si>
    <t>TUBERIA Ø 20" PVC SDR-26</t>
  </si>
  <si>
    <t xml:space="preserve">ZAPATA DE COLUMNA 0.35 - 2.18 QQ/M3 </t>
  </si>
  <si>
    <t>ZAPATA DE MURO 0.35 - 2.80 QQ/M3</t>
  </si>
  <si>
    <t>LOSA DE FONDO  0.20- 2.60 QQ/M3</t>
  </si>
  <si>
    <t>COLUMNA CENTRAL 0.30*0.30 5.00QQ/M3</t>
  </si>
  <si>
    <t xml:space="preserve">ENCF Y DESC </t>
  </si>
  <si>
    <t>MUROS 0.25- 2.44QQ/M3</t>
  </si>
  <si>
    <t>LOSA DE TECHO 0.15- 1.57QQ/M3</t>
  </si>
  <si>
    <t>LOSA ENTREPISO 0.15- 1.64 QQ/M3</t>
  </si>
  <si>
    <t>VIGA 0.25X0.25 - 3.20QQ/M3</t>
  </si>
  <si>
    <t>CORTE PARA EXPLANACION CON EQUIPO (CLASIFICADA V=17,130.00 M3)</t>
  </si>
  <si>
    <t>RELLENO DE MATERIAL  COMPACTADO CON RODILLO VIBRADOR EN CAPAS DE 0.20</t>
  </si>
  <si>
    <t xml:space="preserve">HORMIGON CICLOPEO </t>
  </si>
  <si>
    <t>SUMINISTRO Y COLOCACION COMPUERTAS SUMERGIBLES, MARCOS MÁS DE 2" EN TOLAS DE 1/4" REFORZADAS MATERIALES STANDARD FABRICACIÓN ACERO INOXIDABLE AISI 316/304 ESPESOR TOLA ¼". VÁSTAGO EN HG 1½" DIMENSIONES 0.40M X 0.40M (HUECOS DE Ø16") SALIDA AGUA FILTRADA</t>
  </si>
  <si>
    <t>SUMINISTRO Y COLOCACION DE COMPUERTAS EN EL VERTEDOR DE SALIDA DE LOS FILTROS,TIPO CHANNEL, MARCOS DE MAS DE 3" EN TOLAS DE 1/4 (MATERIALES EN ACERO INOXIDABLE)  FABRICACION   ACERO INOXIDABLE AISI 304 ALTURA DE OPERACION 2.20 MT, SOLIDO EN ACERO INOXIDABLE (1.00x 0.40 )</t>
  </si>
  <si>
    <t>TAPA METALICA MATERIAL ALUMINIO GALVANIZADO (0.90X0.90 M), ANGULARES 1"x1"x3/8", Ocho (8) Pernos de Fijacion (TAMAÑO ACORDE A PLANO)</t>
  </si>
  <si>
    <t>TAPA METALICA MATERIAL ALUMINIO GALVANIZADO, ANGULARES 1"x1"x3/8", OCHO (8) PERNOS DE FIJACION (TAMAÑO 0.70X0.70M), PARA REGISTRO DE PRODUCCION DE FILTRO</t>
  </si>
  <si>
    <t>ACERA PERIMETRAL 0.80 MTS</t>
  </si>
  <si>
    <t xml:space="preserve">ESCALERA INTERIOR EN TOLA Y PERFILES  METÁLICOS  A=1.00 M (VER PLANOS) </t>
  </si>
  <si>
    <t>ESCALERA EXTERIOR EN TOLA Y PERFILES  METÁLICOS   (VER PLANOS) ACCESO LABORATORIO SEGUNDO NIVEL</t>
  </si>
  <si>
    <t>16.1.3</t>
  </si>
  <si>
    <t>16.1.4</t>
  </si>
  <si>
    <t>16.1.5</t>
  </si>
  <si>
    <t>16.1.6</t>
  </si>
  <si>
    <t>16.1.7</t>
  </si>
  <si>
    <t>16.1.8</t>
  </si>
  <si>
    <t>16.1.9</t>
  </si>
  <si>
    <t>16.1.10</t>
  </si>
  <si>
    <t>16.1.11</t>
  </si>
  <si>
    <t>16.1.12</t>
  </si>
  <si>
    <t>16.1.13</t>
  </si>
  <si>
    <t>16.1.14</t>
  </si>
  <si>
    <t>16.1.15</t>
  </si>
  <si>
    <t>16.1.16</t>
  </si>
  <si>
    <t>16.1.17</t>
  </si>
  <si>
    <t>16.1.18</t>
  </si>
  <si>
    <t>SISTEMA DE PRECLORACION DESDE CASETA DE CLORACION 2,000 LIBRAS</t>
  </si>
  <si>
    <t xml:space="preserve">Obra: </t>
  </si>
  <si>
    <t xml:space="preserve">Ubicación: SAN JUAN DE LA MAGUANA </t>
  </si>
  <si>
    <t>Zona : II</t>
  </si>
  <si>
    <t>PRILIMINARES</t>
  </si>
  <si>
    <t xml:space="preserve">EXCAVACION CON CLASIFICACION </t>
  </si>
  <si>
    <t xml:space="preserve">ASIENTO DE ARENA (INCLUYE ACARREO INTERNO ) </t>
  </si>
  <si>
    <t xml:space="preserve">BOTE DE MATERIAL CON CAMION (DIST.=5.0KM) INCLUYE CARGUIO Y  ESPARCIMIENTO EN BOTADERO) </t>
  </si>
  <si>
    <t>DE Ø12" ACERO SCH-40 SIN COSTURA C/ PROTECCION ANTICORROSIVA</t>
  </si>
  <si>
    <t>SUMINISTRO Y COLOCACION PIEZAS ESPECIALES</t>
  </si>
  <si>
    <t xml:space="preserve">USO BOMBA DE ACHIQUE 4"  </t>
  </si>
  <si>
    <t>DE AIRE COMBINADA Ø2" H.F. DE 150 PSI</t>
  </si>
  <si>
    <t xml:space="preserve">BOTE EN SITU </t>
  </si>
  <si>
    <t xml:space="preserve">ANCLAJE  HORMIGON ARMADO PARA PIEZAS (SEGUN DETALLE) CADA 5 M. </t>
  </si>
  <si>
    <t>BOTE DE ESCOMBROS CON CAMION (DIST. 5KM) (INCLUYE CARGUIO Y  ESPARCIMIENTO EN BOTADERO)</t>
  </si>
  <si>
    <t xml:space="preserve">HORMIGON ARMADO EN (F`C=280 KG/CM2 INDUSTRIAL) (INCLUYE VIBRADO Y ADITIVO) </t>
  </si>
  <si>
    <t>MANO DE OBRA PULIDO</t>
  </si>
  <si>
    <t>INSTALACIONES EN ENTRADA DE AGUA DESDE CASCADA AEREACION</t>
  </si>
  <si>
    <t xml:space="preserve">ANCLAJE  H.A PARA PIEZAS (SEGUN DETALLE) FC'= 180 KG/CM2 </t>
  </si>
  <si>
    <t>ANCLAJE DE HORMIGON ARMADO PARA TUBERIA EN LINEA DE ADUCCION (140 M)</t>
  </si>
  <si>
    <t xml:space="preserve">ANCLAJE CON PERFILES METALICO DENTRO DEL TUNEL PARA TUBERIA DE 12" EN LINEA DE ADUCCION (200 M) (INCLUYE MANO DE OBRA) </t>
  </si>
  <si>
    <t xml:space="preserve">REGISTRO PARA VALVULA PARA VALVULA DE 2"  </t>
  </si>
  <si>
    <t xml:space="preserve">LINEA DE ADUCCION DESDE EMPALME (PRESA ) HASTA PLANTA POTABILIZADORA DE 40 L.P.S </t>
  </si>
  <si>
    <t xml:space="preserve">DE COMPUERTA DE Ø12" H.F. DE 150 PSI PLATILLADA COMPLETA ( INCLUYE CUERPO DE LA VALVULA, JUNTA DE CERA, TORINILLOS, NIPLE, JUNTAS MECANICA TIPO DRESSER, MOVIMIENTO DE TIERRA Y MANO DE OBRA) </t>
  </si>
  <si>
    <t xml:space="preserve">DE DESAGÜE DE Ø4" H.F. DE 150 PSI PLATILLADA COMPLETA EN TUBERIA DE  Ø12" ( INCLUYE CUERPO DE LA VALVULA, JUNTA DE CERA, TORINILLOS, NIPLE, JUNTAS MECANICA TIPO DRESSER,TEE, ANCLAJES DE H.S,  MOVIMIENTO DE TIERRA Y MANO DE OBRA) </t>
  </si>
  <si>
    <t xml:space="preserve">H.S. 180KG/CM2+5% DESP. </t>
  </si>
  <si>
    <t>CODO 12'' X 90 ACERO SCH-40  S/COSTURA CON RECUBRIMIENTO ANTICORROSIVO</t>
  </si>
  <si>
    <t>TEE 12'' X 12" ACERO SCH-40  S/COSTURA CON RECUBRIMIENTO ANTICORROSIVO</t>
  </si>
  <si>
    <t>NIPLE 12'' X 3" ACERO SCH-40  S/COSTURA CON RECUBRIMIENTO ANTICORROSIVO</t>
  </si>
  <si>
    <t xml:space="preserve">NIPLE 8"X3' ACERO SCH-40 SIN COSTURA C/PROTECCION ANTICORROSIVA  </t>
  </si>
  <si>
    <t xml:space="preserve">NIPLE 4 X 3 ACERO SCH-40 SIN COSTURA C/PROTECCION ANTICORROSIVA  </t>
  </si>
  <si>
    <t xml:space="preserve">LINEA DE IMPULSION  D/CARCAMO DE BOMBEO HASTA  DEPOSITO REGULADOR DE LOS LADRILLOS </t>
  </si>
  <si>
    <t>TUBERIA Ø3" PVC SRD - 21 C/JUNTA GOMA + 2% DE PERDIDA</t>
  </si>
  <si>
    <t xml:space="preserve">REGISTRO PARA VALVULAS DE AIRE </t>
  </si>
  <si>
    <t xml:space="preserve">CODO DE 3" (DE 50º A 90º)   ACERO SCH 80 SIN COSTURA C/PROTECCION ANTICORROSIVA. </t>
  </si>
  <si>
    <t>TUBERIA Ø3" PVC SRD - 21 C/JUNTA GOMA</t>
  </si>
  <si>
    <t>ANCLAJE H,A PARA  PIEZAS ESPECIALES</t>
  </si>
  <si>
    <t xml:space="preserve">HORMIGON ARMADO EN: FC'= 210 KG/CM2  (INCLUYE VIBRADO Y ADITIVO) </t>
  </si>
  <si>
    <t xml:space="preserve">EXCAVACION  MATERIAL NO CLASIFICADO A MANO </t>
  </si>
  <si>
    <t xml:space="preserve">HORMIGON ARMADO EN : FC'= 180 KG/CM2 </t>
  </si>
  <si>
    <t xml:space="preserve">HORMIGON ARMADO EN: FC'= 180 KG/CM2 </t>
  </si>
  <si>
    <t>BOTE DE MATERIAL CON CAMION (DIST.=5.0KM) INCLUYE CARGUIO Y  ESPARCIMIENTO EN BOTADERO</t>
  </si>
  <si>
    <t xml:space="preserve">HORMIGÓN ARMADO EN: F'c=280 KG/CM2 (INCLUYE VIBRADO Y ADITIVO) </t>
  </si>
  <si>
    <t>BOTE DE ESCOMBROS CON CAMION (DIST. 5KM) (INCLUYE CARGUIO Y ESPARCIMIENTO EN BOTADERO)</t>
  </si>
  <si>
    <t>LINEA DE CONDUCCION DESDE PLANTA POTABILIZADORA HASTA DEPÓSITO REGULADOR CARRERA DE YEGUA</t>
  </si>
  <si>
    <t>DE Ø12" PVC SRD-26 C/J. G. + 4%  PERDIDA POR CAMP.</t>
  </si>
  <si>
    <t xml:space="preserve">ANCLAJE  H.S PARA PIEZAS (SEGUN DETALLE) FC'= 210 KG/CM2 </t>
  </si>
  <si>
    <t xml:space="preserve">REGISTRO PARA VALVULAS </t>
  </si>
  <si>
    <t xml:space="preserve">DE DESAGÜE DE Ø3" H.F. EN TUB. Ø3" DE 200 PSI </t>
  </si>
  <si>
    <t xml:space="preserve">DE AIRE COMBINADA DE Ø3/4" H.F. DE 200 PSI </t>
  </si>
  <si>
    <t>SUB-TOTAL B</t>
  </si>
  <si>
    <t>SUB-TOTAL FASE  H</t>
  </si>
  <si>
    <t xml:space="preserve">LECHO DE SECADO </t>
  </si>
  <si>
    <t>MUROS DE 25 CM  2.60 QQ/M3</t>
  </si>
  <si>
    <t>LOSA  20 CM 1.00 QQ/M3</t>
  </si>
  <si>
    <t>CANTO</t>
  </si>
  <si>
    <t>SUMINISTRO E INSTALACION DE:</t>
  </si>
  <si>
    <t xml:space="preserve">EXCAVACION  MATERIAL A MANO </t>
  </si>
  <si>
    <t>LINEA MATRIZ Y RED DE DISTRIBUCION  D/DEPOSITO REGULADOR A COMUNIDADES LOS LADRILLOS-POZO HONDO</t>
  </si>
  <si>
    <t xml:space="preserve">DE COMPUERTA DE Ø4" H.F. DE 150 PSI </t>
  </si>
  <si>
    <t xml:space="preserve">DE COMPUERTA DE Ø3" H.F. DE 150 PSI </t>
  </si>
  <si>
    <t xml:space="preserve">HIDRANTES </t>
  </si>
  <si>
    <t xml:space="preserve">EN TUBERIA DE 4"  </t>
  </si>
  <si>
    <t>UN</t>
  </si>
  <si>
    <t xml:space="preserve">VI-A </t>
  </si>
  <si>
    <t xml:space="preserve">HORMIGON ARMADO EN: FC'= 280 KG/CM2 </t>
  </si>
  <si>
    <t xml:space="preserve">VALVULA DE MARIPOSA  DE Ø8" H.F. </t>
  </si>
  <si>
    <t xml:space="preserve">REGISTRO EN TUBO DE H.A DE 36"  H= 2.50 M </t>
  </si>
  <si>
    <t>VI-B</t>
  </si>
  <si>
    <t xml:space="preserve">DESARENADOR </t>
  </si>
  <si>
    <t xml:space="preserve">VALVULA DE COMPPUERTA DE 6" H.F. DE 150 PSI PLATILLADA COMPLETA </t>
  </si>
  <si>
    <t>LOSA DE FONDO 25  CM  1.80 QQ/M3</t>
  </si>
  <si>
    <t xml:space="preserve">HORMIGON ARMADO  EN: FC'= 280 KG/CM2 </t>
  </si>
  <si>
    <t xml:space="preserve">CAJAS TELESCOPICAS </t>
  </si>
  <si>
    <t xml:space="preserve">MICELANEOS </t>
  </si>
  <si>
    <t xml:space="preserve">ASFALTO </t>
  </si>
  <si>
    <t xml:space="preserve">MOVIMIENTO DE TIERRA </t>
  </si>
  <si>
    <t>BOTE C/ CAMION DE CARPETA ASFALTICA 2"</t>
  </si>
  <si>
    <t>SUMINISTRO MATERIAL DE BASE D=20 KM</t>
  </si>
  <si>
    <t>RELLENO COMPACTADO C/COMPACTADOR MECANICO EN CAPA DE 0.20M. DE ESPESOR</t>
  </si>
  <si>
    <t>IMPRIMACION SENCILLA</t>
  </si>
  <si>
    <t>RIEGO ADHERENCIA</t>
  </si>
  <si>
    <t xml:space="preserve">REPOSICION DE ASFALTO 2" </t>
  </si>
  <si>
    <t xml:space="preserve">COLOCACION CARPETA  ASFALTICA 2" </t>
  </si>
  <si>
    <t>M3C</t>
  </si>
  <si>
    <t>TRANSPORTE ASFALTO (60 km)</t>
  </si>
  <si>
    <t>KM-M3E</t>
  </si>
  <si>
    <t>ACERA PERIMETRAL (0.80M)</t>
  </si>
  <si>
    <t>CONTEN</t>
  </si>
  <si>
    <t xml:space="preserve">ENCACHES 0.20 M </t>
  </si>
  <si>
    <t>4.1.5</t>
  </si>
  <si>
    <t>4.1.6</t>
  </si>
  <si>
    <t>4.1.7</t>
  </si>
  <si>
    <t>4.1.8</t>
  </si>
  <si>
    <t>4.1.9</t>
  </si>
  <si>
    <t xml:space="preserve">                   ING. NOELIA E. BOTELLO DOMINICI</t>
  </si>
  <si>
    <t xml:space="preserve">                 ING. JOEL FRANCISCO RIVERA </t>
  </si>
  <si>
    <t xml:space="preserve">         ING. PAULINO TURBI RAMIREZ  </t>
  </si>
  <si>
    <t xml:space="preserve">DE COMPUERTA DE Ø8" H.F. DE 150 PSI PLATILLADA COMPLETA ( INCLUYE CUERPO DE LA VALVULA, JUNTA DE CERA, TORINILLOS, NIPLE, JUNTAS MECANICA TIPO DRESSER, MOVIMIENTO DE TIERRA Y MANO DE OBRA) </t>
  </si>
  <si>
    <t>REGISTRO PARA VALVULA PARA VALVULA DE 8"</t>
  </si>
  <si>
    <r>
      <t>ARENA T</t>
    </r>
    <r>
      <rPr>
        <vertAlign val="subscript"/>
        <sz val="10"/>
        <rFont val="Times New Roman"/>
        <family val="1"/>
      </rPr>
      <t>10</t>
    </r>
    <r>
      <rPr>
        <sz val="10"/>
        <rFont val="Times New Roman"/>
        <family val="1"/>
      </rPr>
      <t>=0.47-0.65 MM, CU=1.50-1.70 TS=1.41 MM, TI=0,425 MM Γ= 2,600 KG/M3 CE=0.80, ESPESOR LECHO=0.80 M</t>
    </r>
  </si>
  <si>
    <t>LOSA DE FONDO 30  CM  1.60 QQ/M3</t>
  </si>
  <si>
    <t>LOSA DE FONDO 25  CM  1.60 QQ/M3</t>
  </si>
  <si>
    <t>LOSA DE FONDO 30  CM  1.80 QQ/M3</t>
  </si>
  <si>
    <t>VERJA DE MURO DE BLOCK CON PAÑO EN BLOCK CALADO</t>
  </si>
  <si>
    <t xml:space="preserve">MATERIAL COMPACTO C/EQUIPO </t>
  </si>
  <si>
    <t xml:space="preserve">MATERIAL ROCA DURA C/EQUIPO (INCLUYE EXTRACCION DE ROCA)  </t>
  </si>
  <si>
    <t>MANO DE OBRA PARA EMPALME A TUBERIA EXISTENTE, 
( INC. CORTE DE TUBERIA Y MOVIMIENTO DE TIERRA)</t>
  </si>
  <si>
    <t xml:space="preserve">PLANTA DE TRATAMIENTO DE FILTRACION RAPIDA DE 40 LPS DE CAPACIDAD </t>
  </si>
  <si>
    <t>MATERIAL ROCA DURA C/EQUIPO</t>
  </si>
  <si>
    <t>12.3.6.1</t>
  </si>
  <si>
    <t>12.3.6.2</t>
  </si>
  <si>
    <t>12.3.7</t>
  </si>
  <si>
    <t>ESCALERA METALICA DE 0.80X2.30 M (SEGUN DETALLE)</t>
  </si>
  <si>
    <t>VII</t>
  </si>
  <si>
    <t>SUB-TOTAL VII</t>
  </si>
  <si>
    <t xml:space="preserve">MATERIAL NO CLASIFICADO C/EQUIPO </t>
  </si>
  <si>
    <t>SUMINISTRO MATERIAL DE MINA (PREVIA APROBACION DE LA SUPERVISION)</t>
  </si>
  <si>
    <t xml:space="preserve">TUBERIA Ø3" PVC SRD - 21 C/JUNTA GOMA </t>
  </si>
  <si>
    <t>EXCAVACION MATERIAL NO CLASIFICADO C/EQUIPO</t>
  </si>
  <si>
    <t>SUB-TOTAL F</t>
  </si>
  <si>
    <t xml:space="preserve">EXCAVACION MATERIAL ROCA DURA C/EQUIPO (INCLUYE EXTRACCION DE ROCA)  </t>
  </si>
  <si>
    <t>SUMINISTRO MATERIAL DE MINA (PREVIA APROBACION DE LA SUPERVISION),</t>
  </si>
  <si>
    <t>DE Ø6" PVC SRD-21 C/J. G.</t>
  </si>
  <si>
    <t>DE Ø4" PVC SRD-21 C/J. G.</t>
  </si>
  <si>
    <t>DE Ø3" PVC SRD-21 C/J. G.</t>
  </si>
  <si>
    <t>USO BOMBA DE ACHIQUE Ø3" (5.5 HP)</t>
  </si>
  <si>
    <t>DE Ø12" PVC SRD-26 C/J. G.</t>
  </si>
  <si>
    <t>Presupuesto: No. 55/20  d/f 11/02/2020</t>
  </si>
  <si>
    <t>AMPLIACION ACUEDUCTO CARRERA DE YEGUA Y CONSTRUCCION ACUEDUCTO MULLTIPLE LOS LADRILLOS- POZO HONDO</t>
  </si>
  <si>
    <t>Muros 0.30m -2.47 qq/m3</t>
  </si>
  <si>
    <t>Muros 0.25m -2.81  qq/m3</t>
  </si>
  <si>
    <t>Muros 0.20m -1.27 qq/m3</t>
  </si>
  <si>
    <t>Bote de escombros con camión (dist. 5km) (incluye carguío y  esparcimiento en botadero)</t>
  </si>
  <si>
    <t>Fino losa de techo</t>
  </si>
  <si>
    <t>Pañete interior pulido</t>
  </si>
  <si>
    <t>Pañete exterior</t>
  </si>
  <si>
    <t>Acera perimetral 0.80 m</t>
  </si>
  <si>
    <t>Toberas  en polipropileno inyectado p/lavado, con ranuras 0.30mm en cabezal y diámetro de 1"</t>
  </si>
  <si>
    <t>Arena t10=0.47-0.65 mm, cu=1.50-1.70 ts=1.41 mm, ti=0,425 mm γ= 2,600 kg/m3 ce=0.80, espesor lecho=0.80 m</t>
  </si>
  <si>
    <t xml:space="preserve">Envasado </t>
  </si>
  <si>
    <t xml:space="preserve">Colocación </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</si>
  <si>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</si>
  <si>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Pintura acrílica</t>
  </si>
  <si>
    <t>Replanteo</t>
  </si>
  <si>
    <t>Columna c2  0.35x0.35 - 5.02 qq/m3</t>
  </si>
  <si>
    <t>Viga (0.25x0.50) 3.19 qq/m3</t>
  </si>
  <si>
    <t>Viga (0.25x0.40) 4.68 qq/m3</t>
  </si>
  <si>
    <t>Viga fundación  0.30x0.45 - 3.60  qq/m3</t>
  </si>
  <si>
    <t>Losa de entrepiso  0.15 - 1.16 qq/m3</t>
  </si>
  <si>
    <t>Losa de techo  0.15 - 1.16 qq/m3</t>
  </si>
  <si>
    <t xml:space="preserve">Pañete interior y exterior </t>
  </si>
  <si>
    <t>Fino techo</t>
  </si>
  <si>
    <t>Antepecho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</si>
  <si>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</si>
  <si>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</si>
  <si>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</si>
  <si>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</si>
  <si>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</si>
  <si>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</si>
  <si>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</si>
  <si>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 xml:space="preserve">Tarima de madera p/ sulfato  (2.00 x 1.00 x 0.20 ) </t>
  </si>
  <si>
    <t xml:space="preserve">Difusor de sulfato </t>
  </si>
  <si>
    <t>Piletas/ azulejos</t>
  </si>
  <si>
    <t>Ducha (c/llave a empotrar)</t>
  </si>
  <si>
    <t xml:space="preserve">Desagüe de piso de 2"  </t>
  </si>
  <si>
    <t xml:space="preserve">Fregadero doble acero inoxidable  </t>
  </si>
  <si>
    <t>Cámara de inspección</t>
  </si>
  <si>
    <t>Gabinete de pared</t>
  </si>
  <si>
    <t>Gabinete de piso</t>
  </si>
  <si>
    <t>Meseta de marmolite</t>
  </si>
  <si>
    <t>Comparador de cloro libre y combinado</t>
  </si>
  <si>
    <t xml:space="preserve">Jarra plástica de 2 litros cuadrados </t>
  </si>
  <si>
    <t>Matraz aforado de 100 m vidrio</t>
  </si>
  <si>
    <t>Manómetro manual</t>
  </si>
  <si>
    <t xml:space="preserve">Colorímetro de cloro digital </t>
  </si>
  <si>
    <t xml:space="preserve">Pala de construcción </t>
  </si>
  <si>
    <t>Cepillo de alambre</t>
  </si>
  <si>
    <t>Espátula de acero</t>
  </si>
  <si>
    <t>Machetes</t>
  </si>
  <si>
    <t>Azadas</t>
  </si>
  <si>
    <t>Manguera de alta presión 11/2"</t>
  </si>
  <si>
    <t>Detergente</t>
  </si>
  <si>
    <t>Escobillones</t>
  </si>
  <si>
    <t>Rastrillos de hojas (hojalata)</t>
  </si>
  <si>
    <t xml:space="preserve">Replanteo </t>
  </si>
  <si>
    <t xml:space="preserve">Pañete exterior </t>
  </si>
  <si>
    <t xml:space="preserve">Pañete interior </t>
  </si>
  <si>
    <t>Fino de techo</t>
  </si>
  <si>
    <t xml:space="preserve">Excavación  material no clasificado a mano </t>
  </si>
  <si>
    <t>Relleno compactado  a mano con material producto de excavación</t>
  </si>
  <si>
    <t>Bote de material con camión (dist.=5.0km) incluye esparcimiento</t>
  </si>
  <si>
    <t>Calados</t>
  </si>
  <si>
    <t>Pañete interior</t>
  </si>
  <si>
    <t>Excavación mat. No clasificado a mano</t>
  </si>
  <si>
    <t xml:space="preserve">Bloques de 4" </t>
  </si>
  <si>
    <t>Pañete</t>
  </si>
  <si>
    <t xml:space="preserve">Zócalos </t>
  </si>
  <si>
    <t>Acera perimetral 1.00 m</t>
  </si>
  <si>
    <t>Pintura</t>
  </si>
  <si>
    <t>Pileta bañera</t>
  </si>
  <si>
    <t>Inodoro completo</t>
  </si>
  <si>
    <t>Lavamanos completo</t>
  </si>
  <si>
    <t>Barra para cortina</t>
  </si>
  <si>
    <t>Ducha</t>
  </si>
  <si>
    <t>Desagüe de piso</t>
  </si>
  <si>
    <t>Trampa de grasa</t>
  </si>
  <si>
    <t>Tuberías y piezas</t>
  </si>
  <si>
    <t>Salidas cenitales</t>
  </si>
  <si>
    <t>Ventana de aluminio</t>
  </si>
  <si>
    <t xml:space="preserve">Compactado mecánica de relleno </t>
  </si>
  <si>
    <t>Muros de 25 cm  2.60 qq/m3</t>
  </si>
  <si>
    <t>Losa de fondo 30  cm  1.60 qq/m3</t>
  </si>
  <si>
    <t>Losa  20 cm 1.00 qq/m3</t>
  </si>
  <si>
    <t>Fino losa de fondo</t>
  </si>
  <si>
    <t>Losa de fondo 30  cm  1.80 qq/m3</t>
  </si>
  <si>
    <t>Alimentador eléctrico para iluminación con alambre de vinil no. 8/2</t>
  </si>
  <si>
    <t xml:space="preserve">Mano de obra eléctrica primaria  </t>
  </si>
  <si>
    <t>Centro de cargas de 8 espacios, (inc. Breakers)</t>
  </si>
  <si>
    <t xml:space="preserve">Mano de obra eléctrica  secundaria </t>
  </si>
  <si>
    <t>Mano de obra eléctrica</t>
  </si>
  <si>
    <t>M³</t>
  </si>
  <si>
    <t>M³C</t>
  </si>
  <si>
    <t>M²</t>
  </si>
  <si>
    <t>Ud</t>
  </si>
  <si>
    <t>Muro  0.25 - 3.24  qq/m3 (1/2" @ 0.20 y 1/2" @ 0.15)</t>
  </si>
  <si>
    <t>Fino de fondo pulido</t>
  </si>
  <si>
    <t>Piso monolítico para instalación de boquillas</t>
  </si>
  <si>
    <t>Tapa metálica material aluminio galvanizado (0.90x0.90 m), angulares 1"x1"x3/8", ocho (8) pernos de fijación (tamaño acorde a plano)</t>
  </si>
  <si>
    <t>Suministro y colocación tubería 12" acero SCH-40 sin costura con recubrimiento anticorrosivo</t>
  </si>
  <si>
    <t>Codo 12'' x 90 acero SCH-40  s/costura con recubrimiento anticorrosivo</t>
  </si>
  <si>
    <t>Tubería 12" acero SCH-40 sin costura con recubrimiento anticorrosivo</t>
  </si>
  <si>
    <t>Tee 12'' x 12" acero SCH-40  s/costura con recubrimiento anticorrosivo</t>
  </si>
  <si>
    <t>H.A. en losa de fondo 0.20 - 3.88 qq/m3</t>
  </si>
  <si>
    <t>H.A. en losa de techo 0.15 - 3.61 qq/m3</t>
  </si>
  <si>
    <t>NUEVAS</t>
  </si>
  <si>
    <t>COSTO/m2</t>
  </si>
  <si>
    <t>Columna C1  0.40x0.40 - 5.04 qq/m3</t>
  </si>
  <si>
    <t>Zapata de columna - esp. = 0.45m - 0.86qq/m3 -1.50x1.50</t>
  </si>
  <si>
    <t>PANEL DISTRIBUCION 8 CIRCUITOS:</t>
  </si>
  <si>
    <t xml:space="preserve">ALIMENTADOR ELECTRICO PARA ILUMINACION </t>
  </si>
  <si>
    <t>ALAMBRE DE VINIL # 8/2</t>
  </si>
  <si>
    <t>M.O .</t>
  </si>
  <si>
    <t>COSTO/M RD$</t>
  </si>
  <si>
    <r>
      <t xml:space="preserve">ALIMENTADOR ELECTRICO </t>
    </r>
    <r>
      <rPr>
        <b/>
        <sz val="10"/>
        <color indexed="10"/>
        <rFont val="Arial"/>
        <family val="2"/>
      </rPr>
      <t>DESDE</t>
    </r>
    <r>
      <rPr>
        <b/>
        <sz val="10"/>
        <rFont val="Arial"/>
        <family val="2"/>
      </rPr>
      <t xml:space="preserve"> TRANSFORMADORES </t>
    </r>
    <r>
      <rPr>
        <b/>
        <sz val="10"/>
        <color indexed="10"/>
        <rFont val="Arial"/>
        <family val="2"/>
      </rPr>
      <t>HASTA</t>
    </r>
    <r>
      <rPr>
        <b/>
        <sz val="10"/>
        <rFont val="Arial"/>
        <family val="2"/>
      </rPr>
      <t xml:space="preserve"> MAIN BREAKER</t>
    </r>
  </si>
  <si>
    <t>ALAMBRE THW # 2</t>
  </si>
  <si>
    <t>ALAMBRE THW # 4</t>
  </si>
  <si>
    <t>ALAMBRE THW # 2 A 7 HILOS TRENZADOS</t>
  </si>
  <si>
    <t xml:space="preserve">TUBERIA IMC Ø2" </t>
  </si>
  <si>
    <t xml:space="preserve">TUBERIA PVC Ø2" </t>
  </si>
  <si>
    <r>
      <t xml:space="preserve">ALIMENTADOR ELECTRICO </t>
    </r>
    <r>
      <rPr>
        <b/>
        <sz val="10"/>
        <color indexed="10"/>
        <rFont val="Arial"/>
        <family val="2"/>
      </rPr>
      <t>DESDE</t>
    </r>
    <r>
      <rPr>
        <b/>
        <sz val="10"/>
        <rFont val="Arial"/>
        <family val="2"/>
      </rPr>
      <t xml:space="preserve"> MAIN BREAKER HASTA TRANSFER SWICH</t>
    </r>
  </si>
  <si>
    <r>
      <t xml:space="preserve">ALIMENTADOR ELECTRICO </t>
    </r>
    <r>
      <rPr>
        <b/>
        <sz val="10"/>
        <color indexed="10"/>
        <rFont val="Arial"/>
        <family val="2"/>
      </rPr>
      <t>DESDE</t>
    </r>
    <r>
      <rPr>
        <b/>
        <sz val="10"/>
        <rFont val="Arial"/>
        <family val="2"/>
      </rPr>
      <t xml:space="preserve"> TRANSFER SWICH HASTA PANEL BOARD</t>
    </r>
  </si>
  <si>
    <r>
      <t xml:space="preserve">ALIMENTADOR ELECTRICO </t>
    </r>
    <r>
      <rPr>
        <b/>
        <sz val="10"/>
        <color indexed="10"/>
        <rFont val="Arial"/>
        <family val="2"/>
      </rPr>
      <t>DESDE</t>
    </r>
    <r>
      <rPr>
        <b/>
        <sz val="10"/>
        <rFont val="Arial"/>
        <family val="2"/>
      </rPr>
      <t xml:space="preserve"> PANEL BOARD HASTA ARRANCADORES DE ELECTROB. DE RETROL.</t>
    </r>
  </si>
  <si>
    <t>ALAMBRE THW # 6</t>
  </si>
  <si>
    <t>ALAMBRE THW # 8</t>
  </si>
  <si>
    <t xml:space="preserve">TUBERIA PVC Ø 1" </t>
  </si>
  <si>
    <r>
      <t xml:space="preserve">ALIMENTADOR ELECTRICO </t>
    </r>
    <r>
      <rPr>
        <b/>
        <sz val="10"/>
        <color indexed="10"/>
        <rFont val="Arial"/>
        <family val="2"/>
      </rPr>
      <t>DESDE</t>
    </r>
    <r>
      <rPr>
        <b/>
        <sz val="10"/>
        <rFont val="Arial"/>
        <family val="2"/>
      </rPr>
      <t xml:space="preserve"> ARRANCADORES HASTA ELECTROBOMBAS DE RETROL.</t>
    </r>
  </si>
  <si>
    <t>ALAMBRE THW # 10</t>
  </si>
  <si>
    <t xml:space="preserve">TUBERIA EMT Ø 3/4" </t>
  </si>
  <si>
    <t xml:space="preserve">TUBERIA L.T. Ø 3/4" </t>
  </si>
  <si>
    <r>
      <t xml:space="preserve">ALIMENTADOR ELECTRICO </t>
    </r>
    <r>
      <rPr>
        <b/>
        <sz val="10"/>
        <color indexed="10"/>
        <rFont val="Arial"/>
        <family val="2"/>
      </rPr>
      <t>DESDE</t>
    </r>
    <r>
      <rPr>
        <b/>
        <sz val="10"/>
        <rFont val="Arial"/>
        <family val="2"/>
      </rPr>
      <t xml:space="preserve"> PANEL BOARD HASTA ARRANCADORES DE ELECTROB. SUMERG.</t>
    </r>
  </si>
  <si>
    <r>
      <t xml:space="preserve">ALIMENTADOR ELECTRICO </t>
    </r>
    <r>
      <rPr>
        <b/>
        <sz val="10"/>
        <color indexed="10"/>
        <rFont val="Arial"/>
        <family val="2"/>
      </rPr>
      <t>DESDE</t>
    </r>
    <r>
      <rPr>
        <b/>
        <sz val="10"/>
        <rFont val="Arial"/>
        <family val="2"/>
      </rPr>
      <t xml:space="preserve"> ARRANCADORES HASTA ELECTROBOMBAS SUMERG.</t>
    </r>
  </si>
  <si>
    <r>
      <t xml:space="preserve">ALIMENTADOR ELECTRICO </t>
    </r>
    <r>
      <rPr>
        <b/>
        <sz val="10"/>
        <color indexed="10"/>
        <rFont val="Arial"/>
        <family val="2"/>
      </rPr>
      <t>DESDE</t>
    </r>
    <r>
      <rPr>
        <b/>
        <sz val="10"/>
        <rFont val="Arial"/>
        <family val="2"/>
      </rPr>
      <t xml:space="preserve"> PANEL BOARD HASTA CENTRO DE CARGA DE 8 E.(CASA QUIM.)</t>
    </r>
  </si>
  <si>
    <r>
      <t xml:space="preserve">ALIMENTADOR ELECTRICO </t>
    </r>
    <r>
      <rPr>
        <b/>
        <sz val="10"/>
        <color indexed="10"/>
        <rFont val="Arial"/>
        <family val="2"/>
      </rPr>
      <t>DESDE</t>
    </r>
    <r>
      <rPr>
        <b/>
        <sz val="10"/>
        <rFont val="Arial"/>
        <family val="2"/>
      </rPr>
      <t xml:space="preserve"> PANEL BOARD HASTA PANEL DE EDIFICIO DE CLORO</t>
    </r>
  </si>
  <si>
    <r>
      <t xml:space="preserve">ALIMENTADOR ELECTRICO </t>
    </r>
    <r>
      <rPr>
        <b/>
        <sz val="10"/>
        <color indexed="10"/>
        <rFont val="Arial"/>
        <family val="2"/>
      </rPr>
      <t>DESDE</t>
    </r>
    <r>
      <rPr>
        <b/>
        <sz val="10"/>
        <rFont val="Arial"/>
        <family val="2"/>
      </rPr>
      <t xml:space="preserve"> PANEL BOARD HASTA PANEL DE CASA DE OPERADOR</t>
    </r>
  </si>
  <si>
    <r>
      <t xml:space="preserve">ALIMENTADOR ELECTRICO </t>
    </r>
    <r>
      <rPr>
        <b/>
        <sz val="10"/>
        <color indexed="10"/>
        <rFont val="Arial"/>
        <family val="2"/>
      </rPr>
      <t>DESDE</t>
    </r>
    <r>
      <rPr>
        <b/>
        <sz val="10"/>
        <rFont val="Arial"/>
        <family val="2"/>
      </rPr>
      <t xml:space="preserve"> CENTRO DE CARGA DE 8 ESP. HASTA CCM. </t>
    </r>
  </si>
  <si>
    <r>
      <t xml:space="preserve">ALIMENTADOR ELECTRICO </t>
    </r>
    <r>
      <rPr>
        <b/>
        <sz val="10"/>
        <color indexed="10"/>
        <rFont val="Arial"/>
        <family val="2"/>
      </rPr>
      <t>DESDE</t>
    </r>
    <r>
      <rPr>
        <b/>
        <sz val="10"/>
        <rFont val="Arial"/>
        <family val="2"/>
      </rPr>
      <t xml:space="preserve"> CCM HASTA AGITADORES </t>
    </r>
  </si>
  <si>
    <t>ALAMBRE THW # 12</t>
  </si>
  <si>
    <r>
      <t xml:space="preserve">ALIMENTADOR ELECTRICO </t>
    </r>
    <r>
      <rPr>
        <b/>
        <sz val="10"/>
        <color indexed="10"/>
        <rFont val="Arial"/>
        <family val="2"/>
      </rPr>
      <t>DESDE</t>
    </r>
    <r>
      <rPr>
        <b/>
        <sz val="10"/>
        <rFont val="Arial"/>
        <family val="2"/>
      </rPr>
      <t xml:space="preserve"> CCM HASTA DOSIFICADORES </t>
    </r>
  </si>
  <si>
    <r>
      <t xml:space="preserve">ALIMENTADOR ELECTRICO </t>
    </r>
    <r>
      <rPr>
        <b/>
        <sz val="10"/>
        <color indexed="10"/>
        <rFont val="Arial"/>
        <family val="2"/>
      </rPr>
      <t>DESDE</t>
    </r>
    <r>
      <rPr>
        <b/>
        <sz val="10"/>
        <rFont val="Arial"/>
        <family val="2"/>
      </rPr>
      <t xml:space="preserve"> CENTRO DE CARGA DE 8 ESP. HASTA PANEL DE CONSUMO DEL EDIFICIO</t>
    </r>
  </si>
  <si>
    <r>
      <t xml:space="preserve">ALIMENTADOR ELECTRICO </t>
    </r>
    <r>
      <rPr>
        <b/>
        <sz val="10"/>
        <color indexed="10"/>
        <rFont val="Arial"/>
        <family val="2"/>
      </rPr>
      <t>DESDE</t>
    </r>
    <r>
      <rPr>
        <b/>
        <sz val="10"/>
        <rFont val="Arial"/>
        <family val="2"/>
      </rPr>
      <t xml:space="preserve"> CENTRO DE CARGA DE 8 ESP. HASTA ARRANC. DE DIFER. DE 3 TON</t>
    </r>
  </si>
  <si>
    <r>
      <t xml:space="preserve">ALIMENTADOR ELECTRICO </t>
    </r>
    <r>
      <rPr>
        <b/>
        <sz val="10"/>
        <color indexed="10"/>
        <rFont val="Arial"/>
        <family val="2"/>
      </rPr>
      <t>DESDE</t>
    </r>
    <r>
      <rPr>
        <b/>
        <sz val="10"/>
        <rFont val="Arial"/>
        <family val="2"/>
      </rPr>
      <t xml:space="preserve"> CENTRO DE CARGA HASTA ELECTROB. PARA LAVADO</t>
    </r>
  </si>
  <si>
    <r>
      <t xml:space="preserve">ALIMENTADOR ELECTRICO </t>
    </r>
    <r>
      <rPr>
        <b/>
        <sz val="10"/>
        <color indexed="10"/>
        <rFont val="Arial"/>
        <family val="2"/>
      </rPr>
      <t>DESDE</t>
    </r>
    <r>
      <rPr>
        <b/>
        <sz val="10"/>
        <rFont val="Arial"/>
        <family val="2"/>
      </rPr>
      <t xml:space="preserve"> TRANSFER SWICH HASTA PANEL DE GENERADOR ELECTRICO</t>
    </r>
  </si>
  <si>
    <t xml:space="preserve">TUBERIA EMT Ø2" </t>
  </si>
  <si>
    <t>TORNILLO CABEZA HEXAGONAL 5/8" X 10"</t>
  </si>
  <si>
    <t>TORNILLO DE ESPACIAMIENTO, 4 TUERCAS CUADRADAS, 5/8" X 14"</t>
  </si>
  <si>
    <t>GRAPA DE RETENCION DE 1/0</t>
  </si>
  <si>
    <t>TUERCA DE OJO PARA TORNILLO 5/8</t>
  </si>
  <si>
    <t>AISLADOR DE SUSPENSION TIPO CLEVIS</t>
  </si>
  <si>
    <t xml:space="preserve">ABRAZADERA PERNO DE 5/8" </t>
  </si>
  <si>
    <t>ARANDELA CUADRADA 21/4" X 21/4"</t>
  </si>
  <si>
    <t xml:space="preserve">ARANDELA DE PRESION 5/8" </t>
  </si>
  <si>
    <r>
      <t xml:space="preserve">  </t>
    </r>
    <r>
      <rPr>
        <b/>
        <sz val="10"/>
        <color indexed="12"/>
        <rFont val="Times New Roman"/>
        <family val="1"/>
      </rPr>
      <t>SNP</t>
    </r>
    <r>
      <rPr>
        <b/>
        <sz val="10"/>
        <rFont val="Times New Roman"/>
        <family val="1"/>
      </rPr>
      <t xml:space="preserve"> COSTO/M2R.D.$</t>
    </r>
  </si>
  <si>
    <t>PELOTA DE HORMIGON, GRANDE</t>
  </si>
  <si>
    <t>ANCLA AMERICANA DE 5/8" X 8</t>
  </si>
  <si>
    <t>MANGA PREFORMADA 7/16",  AMERICANA</t>
  </si>
  <si>
    <t>TUERCA DE OJO VICO DE 5/8"</t>
  </si>
  <si>
    <t>TORNILLO CABEZA HEXAGONAL 5/8" X 12"</t>
  </si>
  <si>
    <t>ARANDELA PLANA 4" X 4"</t>
  </si>
  <si>
    <t>CABLE GAY 7/16"</t>
  </si>
  <si>
    <t>CONDUCTOR No. 4 AWG, COBRE DESNUDO</t>
  </si>
  <si>
    <t>CONECTOR DE COMPRESION DE 3/0-1/0 AL 1-6 CU</t>
  </si>
  <si>
    <t>GUARDA CABLE DE PVC DE 7 X 3/16"</t>
  </si>
  <si>
    <t xml:space="preserve"> COSTO R.D.$</t>
  </si>
  <si>
    <t>ESTRUCTURA PR-101C</t>
  </si>
  <si>
    <t xml:space="preserve">VARILLA DE TIERRA 5/8" X 8 </t>
  </si>
  <si>
    <t>CONECTOR PARA VARILLA DE TIERRA</t>
  </si>
  <si>
    <t>ALAMBRE HDB No. 2, TRENSADO DESNUDO</t>
  </si>
  <si>
    <t>CONECTOR BIMETALICO DE PERNO PARTIDO No. 2</t>
  </si>
  <si>
    <t>ARANDELA PLANA 2" X 2"</t>
  </si>
  <si>
    <t>ARANDELA DE PRESION 5/8"</t>
  </si>
  <si>
    <t>MANO DE OBRA (2 HOMBRES @800.00/DIA)</t>
  </si>
  <si>
    <t>HERRAMIENTAS MENORES</t>
  </si>
  <si>
    <t xml:space="preserve"> COSTO/U    R.D.$</t>
  </si>
  <si>
    <t>MANO DE OBRA (2 HOMBRES @600.00/DIA)</t>
  </si>
  <si>
    <t>ESTRUCTURA AP-103</t>
  </si>
  <si>
    <t>TORNILLO DE MAQUINA 5/8" X 10"</t>
  </si>
  <si>
    <t>CELULA FOTOELECTRICA 240 V</t>
  </si>
  <si>
    <t>BRAZO GALVANIZADO DE 6 PIES</t>
  </si>
  <si>
    <t>LUMINARIA DE 250 W, 240 V, TIPO COBRA</t>
  </si>
  <si>
    <t>OTROS VARIOS</t>
  </si>
  <si>
    <t>Salidas tomacorriente doble 120v</t>
  </si>
  <si>
    <t>Salidas interruptor sencillo</t>
  </si>
  <si>
    <t>Salidas Panel de distrib. De 6/12 espacio  c/breakers</t>
  </si>
  <si>
    <t>MISCELANEOS</t>
  </si>
  <si>
    <t>Visita</t>
  </si>
  <si>
    <t>M³e</t>
  </si>
  <si>
    <t>M³c</t>
  </si>
  <si>
    <t>M³n</t>
  </si>
  <si>
    <t xml:space="preserve">Analisis de </t>
  </si>
  <si>
    <t>1-</t>
  </si>
  <si>
    <t>Verja Perimetral</t>
  </si>
  <si>
    <t>2-</t>
  </si>
  <si>
    <t>Area Verde</t>
  </si>
  <si>
    <t xml:space="preserve">3- </t>
  </si>
  <si>
    <t>Contenes</t>
  </si>
  <si>
    <t>4-</t>
  </si>
  <si>
    <t>Cunetas</t>
  </si>
  <si>
    <t>5-</t>
  </si>
  <si>
    <t>Capa de rodadura</t>
  </si>
  <si>
    <t>Base</t>
  </si>
  <si>
    <t>Subbase</t>
  </si>
  <si>
    <t>6-</t>
  </si>
  <si>
    <t>Aceras</t>
  </si>
  <si>
    <t>7-</t>
  </si>
  <si>
    <t>Encache en Piedras</t>
  </si>
  <si>
    <t>VIII</t>
  </si>
  <si>
    <t>Asiento de arena</t>
  </si>
  <si>
    <t>Suministro  tubería 12" acero SCH-40 sin costura</t>
  </si>
  <si>
    <t>recubrimiento anticorrosivo</t>
  </si>
  <si>
    <t>Colocación  tubería 12" acero SCH-40 sin costura</t>
  </si>
  <si>
    <t>m</t>
  </si>
  <si>
    <t>ml</t>
  </si>
  <si>
    <t>suministro Codo 12'' x 90 acero SCH-40  s/costura con recubrimiento anticorrosivo</t>
  </si>
  <si>
    <t>ud</t>
  </si>
  <si>
    <t>colocacion de codo de 12"</t>
  </si>
  <si>
    <t>Suministro y colocación tubería  ø12" acero (SCH-40 sin costura c/ protección anticorrosiva)</t>
  </si>
  <si>
    <t>Placas de material polipropileno, espesor 0.0254 m (1"). Colocación con perfiles de polipropileno de 1"x 2" con tornillos HILTI inoxidables separados a 0,50 m centro a centro. Altura según planos de diseño</t>
  </si>
  <si>
    <t>Fino fondo Pulido</t>
  </si>
  <si>
    <t>Piso H.S. pulido</t>
  </si>
  <si>
    <t>* * * INAPA * * *</t>
  </si>
  <si>
    <t>DEPARTAMENTO DE EVALUACION DE COSTOS DE OBRAS</t>
  </si>
  <si>
    <t>X</t>
  </si>
  <si>
    <t>Piso H.S. Pulido</t>
  </si>
  <si>
    <t>CANT</t>
  </si>
  <si>
    <t/>
  </si>
  <si>
    <t>SUM. ARENA</t>
  </si>
  <si>
    <t>h</t>
  </si>
  <si>
    <t>Gl</t>
  </si>
  <si>
    <t>Fraguache</t>
  </si>
  <si>
    <t>Corte de Material No Clasificado 0.37&lt;H&lt;0.65</t>
  </si>
  <si>
    <t>H prom</t>
  </si>
  <si>
    <t>Area 1</t>
  </si>
  <si>
    <t>Area 2</t>
  </si>
  <si>
    <t>Area 3</t>
  </si>
  <si>
    <t>Area 4a Corte de encache</t>
  </si>
  <si>
    <t>Area 4 fondo acota 377.50</t>
  </si>
  <si>
    <t>Area 4a cache identico Area 4a</t>
  </si>
  <si>
    <t>Encache de Area mas Profunda</t>
  </si>
  <si>
    <t>Area 5</t>
  </si>
  <si>
    <t>Volumen a cortar en relleno compactado area de planta BNP</t>
  </si>
  <si>
    <t>Long</t>
  </si>
  <si>
    <t>Planta 1</t>
  </si>
  <si>
    <t>Planta 2</t>
  </si>
  <si>
    <t>Planta 3</t>
  </si>
  <si>
    <t>Longitud+0.60 Offset</t>
  </si>
  <si>
    <t>Volumen a Cortar Espesador de Lodos BNP</t>
  </si>
  <si>
    <t>Volumen a cortar en Secador de Lodos</t>
  </si>
  <si>
    <t>************RELLENO************</t>
  </si>
  <si>
    <t>Relleno hasta cota 380</t>
  </si>
  <si>
    <t>Relleno Sobre Zapatas de Planta</t>
  </si>
  <si>
    <t>ancho</t>
  </si>
  <si>
    <t>Planta 2a</t>
  </si>
  <si>
    <t>Planta 3a</t>
  </si>
  <si>
    <t>Planta 3b</t>
  </si>
  <si>
    <t>Planta 3c</t>
  </si>
  <si>
    <t>Letrero y logo de INAPA</t>
  </si>
  <si>
    <t>Logo y letrero INAPA</t>
  </si>
  <si>
    <t>IX</t>
  </si>
  <si>
    <t>VOLUMETRIA TANQUE</t>
  </si>
  <si>
    <t>Pintura Base</t>
  </si>
  <si>
    <t>Agua</t>
  </si>
  <si>
    <t>***********CORTE*********EXPLANACION</t>
  </si>
  <si>
    <t>P²</t>
  </si>
  <si>
    <t>Lb</t>
  </si>
  <si>
    <t>Día</t>
  </si>
  <si>
    <t>T1</t>
  </si>
  <si>
    <t>Capa torpedo</t>
  </si>
  <si>
    <t>Muro de 20cm en Tina 2.45qq/m3</t>
  </si>
  <si>
    <t>Losa de Fondo de 15 pasarela a tina 1.16qq/m3 Vuelo</t>
  </si>
  <si>
    <t>CASA DE QUIMICOS</t>
  </si>
  <si>
    <t>Area en Planta</t>
  </si>
  <si>
    <t>DF</t>
  </si>
  <si>
    <t>Relleno</t>
  </si>
  <si>
    <t>Volumen de Concreto BNP</t>
  </si>
  <si>
    <t>CASA DE OPERADOR</t>
  </si>
  <si>
    <t>ZAPATA DE MUROS</t>
  </si>
  <si>
    <t>LONG</t>
  </si>
  <si>
    <t>ANCHO</t>
  </si>
  <si>
    <t>ALTURA</t>
  </si>
  <si>
    <t>VOL</t>
  </si>
  <si>
    <t>M³s</t>
  </si>
  <si>
    <t>Zapatas de Muros</t>
  </si>
  <si>
    <t>Volumen de Concreto en Zapatas</t>
  </si>
  <si>
    <t>Relleno Bajo Losa de Piso</t>
  </si>
  <si>
    <t>CONCRETO</t>
  </si>
  <si>
    <t xml:space="preserve">Muros de Bloques </t>
  </si>
  <si>
    <t>Bloques de 6" BNP</t>
  </si>
  <si>
    <t>Bloque de 6" SNP</t>
  </si>
  <si>
    <t>Hueco de Puertas</t>
  </si>
  <si>
    <t>DINTEL (0.15 x 0.20) - 5.2 qq/m³</t>
  </si>
  <si>
    <t>Ventanas</t>
  </si>
  <si>
    <t>ILUMINACIÓN PERIFERICA ( LUCES EXTERIORES )</t>
  </si>
  <si>
    <t>Centro de cargas de 4 espacios, (inc. Breakers)</t>
  </si>
  <si>
    <t>Centro de cargas de 12 espacios, (inc. Breakers)</t>
  </si>
  <si>
    <t>Centro de cargas de 16 espacios, (inc. Breakers)</t>
  </si>
  <si>
    <t>OBSERVACIONES</t>
  </si>
  <si>
    <t>Terminacion de Superficie</t>
  </si>
  <si>
    <t>Panete Interior y exterior</t>
  </si>
  <si>
    <t>OK</t>
  </si>
  <si>
    <t>ESTRUCTURA MT-101</t>
  </si>
  <si>
    <t>TORNILLO DE ESPACIAMIENTO, 4 TUERCAS CUADRADAS, 5/8" X 12"</t>
  </si>
  <si>
    <t>CONECTOR DE CONPRESION DE 3/0-1/0 AL 1-6CU</t>
  </si>
  <si>
    <t>AISLADOR TIPO CARRETE 3" X 31/8"</t>
  </si>
  <si>
    <t xml:space="preserve">ESPIGA PARA AISLADOR EN CABEZA DE POSTE DE 1" </t>
  </si>
  <si>
    <t>ESTRUCTURA MT-102</t>
  </si>
  <si>
    <t>GRAPA TERMINAL No. 2/0</t>
  </si>
  <si>
    <t>ESTRUCTURA MT-104</t>
  </si>
  <si>
    <t>ESTRUCTURA MT-301</t>
  </si>
  <si>
    <t>CRUCETA DE METAL DE 6</t>
  </si>
  <si>
    <t>FLEJES GALVANIZADOS DE 28"</t>
  </si>
  <si>
    <t xml:space="preserve">TORNILLOS FLEJES </t>
  </si>
  <si>
    <t>AISLADOR TIPO PIN 55/5, GAMMA CORONA</t>
  </si>
  <si>
    <t>TORNILLO PARA PIN EN CRUCETA</t>
  </si>
  <si>
    <t>BASE PARA CLEVIS PRIMARIO</t>
  </si>
  <si>
    <t>AISLADOR TIPO CLEVIS PRIMARIO</t>
  </si>
  <si>
    <t xml:space="preserve">  COSTO R.D.$</t>
  </si>
  <si>
    <t>ESTRUCTURA MT-302</t>
  </si>
  <si>
    <t>TORNILLO ROSCA CORRIDA 5/8" X 14"</t>
  </si>
  <si>
    <t xml:space="preserve">TUERCA DE 5/8" PARA TORNILLO ROSCA CORRIDA </t>
  </si>
  <si>
    <t>ESTRUCTURA MT-305</t>
  </si>
  <si>
    <t xml:space="preserve">TUERCA DE OJO DE 5/8" </t>
  </si>
  <si>
    <t>GRAPA TERMINAL 4/0</t>
  </si>
  <si>
    <t>ESTRUCTURA MT-307</t>
  </si>
  <si>
    <t>AISLADOR TIPO CAMPANA, GAMMA CORONA</t>
  </si>
  <si>
    <t>GRAPA TERMINAL No. 4/0</t>
  </si>
  <si>
    <t>TUERCA DE OJO</t>
  </si>
  <si>
    <t>ESTRUCTURA MT-316</t>
  </si>
  <si>
    <t xml:space="preserve">   COSTO R.D.$</t>
  </si>
  <si>
    <t>ESTRUCTURA TR-306</t>
  </si>
  <si>
    <t>TORNILLO CABEZA CUADRADA 3/8" X 2"</t>
  </si>
  <si>
    <t>TORNILLO CABEZA CUADRADA 1/2" X 10"</t>
  </si>
  <si>
    <t>TORNILLO CABEZA CUADRADA 5/8" X 8"</t>
  </si>
  <si>
    <t>TORNILLO CABEZA CUADRADA 1/2" X 2"</t>
  </si>
  <si>
    <t>ARANDELA CUADRADA 2" X 2"</t>
  </si>
  <si>
    <t>ARANDELA DE PRESION DE 3/8"</t>
  </si>
  <si>
    <t>ARANDELA DE PRESION DE 1/2"</t>
  </si>
  <si>
    <t>ARANDELA DE PRESION DE 5/8"</t>
  </si>
  <si>
    <t>PARARRAYO 9KV</t>
  </si>
  <si>
    <t>SECCIONADOR CUT-OUT 200 AMPERE</t>
  </si>
  <si>
    <t>SOPORTE DOBLE UNIDAD SECCIONADOR-PARRARAYO</t>
  </si>
  <si>
    <t xml:space="preserve">TRANSFORMADOR DE 37,5 KVA </t>
  </si>
  <si>
    <t>SOPORTE DE TRANSFORMADORES</t>
  </si>
  <si>
    <t>CONECTOR DE COMPRESION DE ACUERDO AL CALIBRE DEL CONDUCTOR</t>
  </si>
  <si>
    <t>GRAPA DE DERIVACIÓN SEGÚN CALIBRE DEL CONDUCTOR</t>
  </si>
  <si>
    <t>TERMINAL DE COMPRESION COBRE No. 2</t>
  </si>
  <si>
    <t xml:space="preserve">CONECTOR DE COMPRESIÓN DE 4 CU A 4 CU </t>
  </si>
  <si>
    <t>ESTRUCTURA TR-105</t>
  </si>
  <si>
    <t>CRUCETA SIMPLE DE ACERO PARA MEDIA TENSION</t>
  </si>
  <si>
    <t>ESPIGA TRANVERSAL EN POSTE PARA MEDIA TENSION</t>
  </si>
  <si>
    <t>CONECTOR DE COMPRESIÓN DE 3/0-1/0 AL 1/6 cu</t>
  </si>
  <si>
    <t>TERMINAR DE COMPRESIÓN COBRE NO.2</t>
  </si>
  <si>
    <t xml:space="preserve">CONECTOR DE COMPRESIÓN DE 4 cu </t>
  </si>
  <si>
    <t xml:space="preserve">TRANSFORMADOR DE 25 KVA </t>
  </si>
  <si>
    <t>CUT-OUT 200 AMPERE</t>
  </si>
  <si>
    <t>ESTRUCTURA PR-202/C</t>
  </si>
  <si>
    <t>TORNILLO CABEZA CUADRADA 3/8" X 10"</t>
  </si>
  <si>
    <t>TORNILLO CABEZA CUADRADA 3/8" X 8"</t>
  </si>
  <si>
    <t>ARANDELA CUADRADA 21/4" X 2"</t>
  </si>
  <si>
    <t>ESTRUCTURA PR-208</t>
  </si>
  <si>
    <t>CUT-OUT DE 100 AMP.</t>
  </si>
  <si>
    <t>ESTRUCTURA EQ-MT (MEDICION EN ALTA TENSIÓN)</t>
  </si>
  <si>
    <t xml:space="preserve">TRANSFORMADOR DE CORRIENTE (CTS.), TIPO INTERPERIE, 100:5A </t>
  </si>
  <si>
    <t xml:space="preserve">TRANSFORMADOR DE POTENCIA (PTS.), TIPO BOQUILLA, 70/120:1 </t>
  </si>
  <si>
    <t>SOPORTE PARA TRANSFORMADORES (CTS. Y PTS.)</t>
  </si>
  <si>
    <t>TERMINAL DE COMPRESION COBRE No. 4</t>
  </si>
  <si>
    <t>ESTRUCTURA F1-BT</t>
  </si>
  <si>
    <t>TORNILLO DE ESPACIAMIENTO, 4 TUERCA, 5/8" X 10"</t>
  </si>
  <si>
    <t>GRAPA DE RETENCION No. 1/0 AL</t>
  </si>
  <si>
    <t>TUERCA DE OJO DE 5/8"</t>
  </si>
  <si>
    <t>ESTRUCTURA F2-BT</t>
  </si>
  <si>
    <t>TORNILLO DE ESPACIAMIENTO, 4 TUERCA, 5/8" X 12"</t>
  </si>
  <si>
    <t>CONECTOR DE COMPRESION DE 3/0-1/0 AL 2/0-1/0 AL</t>
  </si>
  <si>
    <t>ESTRUCTURA SU-BT</t>
  </si>
  <si>
    <t>TORNILLO DE MAQUINA DE CABEZA CUADRADA 5/8" X 10"</t>
  </si>
  <si>
    <t>PORTA AISLADOR EN U DE 11/2" X 1/2" X 1/8"</t>
  </si>
  <si>
    <t>ESTRUCTURA AL-BT</t>
  </si>
  <si>
    <t>TORNILLO PARA AISLADOR TIPO CARRETE, 3 TUERCA, 1 ARANDELA 5/8</t>
  </si>
  <si>
    <t>ELECTRIFICACION SECUNDARIA EN PLANTA</t>
  </si>
  <si>
    <r>
      <t xml:space="preserve">ALIMENTADOR ELECTRICO </t>
    </r>
    <r>
      <rPr>
        <b/>
        <sz val="10"/>
        <color indexed="10"/>
        <rFont val="Arial"/>
        <family val="2"/>
      </rPr>
      <t>DESDE</t>
    </r>
    <r>
      <rPr>
        <b/>
        <sz val="10"/>
        <rFont val="Arial"/>
        <family val="2"/>
      </rPr>
      <t xml:space="preserve"> PANEL BOARD HASTA CENTRO DE CARGA DE 12 ESPACIOS (CASA DE CLORO)</t>
    </r>
  </si>
  <si>
    <t xml:space="preserve">TUBERIA PVC Ø 11/2" </t>
  </si>
  <si>
    <r>
      <t xml:space="preserve">ALIMENTADOR ELECTRICO </t>
    </r>
    <r>
      <rPr>
        <b/>
        <sz val="10"/>
        <color indexed="10"/>
        <rFont val="Arial"/>
        <family val="2"/>
      </rPr>
      <t>DESDE</t>
    </r>
    <r>
      <rPr>
        <b/>
        <sz val="10"/>
        <rFont val="Arial"/>
        <family val="2"/>
      </rPr>
      <t xml:space="preserve"> PANEL BOARD HASTA CENTRO DE CARGA DE 8 (PC) ESPACIOS (CASA DE CONTROLES)</t>
    </r>
  </si>
  <si>
    <r>
      <t xml:space="preserve">ALIMENTADOR ELECTRICO </t>
    </r>
    <r>
      <rPr>
        <b/>
        <sz val="10"/>
        <color indexed="10"/>
        <rFont val="Arial"/>
        <family val="2"/>
      </rPr>
      <t>DESDE</t>
    </r>
    <r>
      <rPr>
        <b/>
        <sz val="10"/>
        <rFont val="Arial"/>
        <family val="2"/>
      </rPr>
      <t xml:space="preserve"> CENTRO DE CARGA DE 8 ESPACIOS (PC) HASTA PANEL DE DISTRIBUCION 4/8 ESPACIOS (EB) </t>
    </r>
  </si>
  <si>
    <t>ALAMBRE TRIPLEX #4</t>
  </si>
  <si>
    <r>
      <t xml:space="preserve">ALIMENTADOR ELECTRICO </t>
    </r>
    <r>
      <rPr>
        <b/>
        <sz val="10"/>
        <color indexed="10"/>
        <rFont val="Arial"/>
        <family val="2"/>
      </rPr>
      <t xml:space="preserve">DESDE </t>
    </r>
    <r>
      <rPr>
        <b/>
        <sz val="10"/>
        <rFont val="Arial"/>
        <family val="2"/>
      </rPr>
      <t>PANEL DE DISTRIBUCION 4/8 ESPACIOS (EB) HASTA  CARGA DE ESTACION DE BOMBAS</t>
    </r>
  </si>
  <si>
    <t xml:space="preserve">TUBERIA PVC Ø 3/4" </t>
  </si>
  <si>
    <r>
      <t xml:space="preserve">ALIMENTADOR ELECTRICO </t>
    </r>
    <r>
      <rPr>
        <b/>
        <sz val="10"/>
        <color indexed="10"/>
        <rFont val="Arial"/>
        <family val="2"/>
      </rPr>
      <t xml:space="preserve">DESDE PANEL BOARD HASTA </t>
    </r>
    <r>
      <rPr>
        <b/>
        <sz val="10"/>
        <rFont val="Arial"/>
        <family val="2"/>
      </rPr>
      <t xml:space="preserve">CENTRO DE CARGA DE 4 ESPACIOS (PO) EN CASA DE OPERADOR  </t>
    </r>
  </si>
  <si>
    <r>
      <t xml:space="preserve">ALIMENTADOR ELECTRICO </t>
    </r>
    <r>
      <rPr>
        <b/>
        <sz val="10"/>
        <color indexed="10"/>
        <rFont val="Arial"/>
        <family val="2"/>
      </rPr>
      <t xml:space="preserve">DESDE PANEL BOARD HASTA </t>
    </r>
    <r>
      <rPr>
        <b/>
        <sz val="10"/>
        <rFont val="Arial"/>
        <family val="2"/>
      </rPr>
      <t xml:space="preserve">CENTRO DE CARGA DE 16 ESPACIOS (PQ) EN CASA DE QUIMICOS  </t>
    </r>
  </si>
  <si>
    <t>ELECTRIFICACION SECUNDARIA EN CARCAMO</t>
  </si>
  <si>
    <t>ALAMBRE THW # 2/0</t>
  </si>
  <si>
    <t>ALAMBRE # 2 A 7 HILOS TRENZADOS</t>
  </si>
  <si>
    <r>
      <t xml:space="preserve">ALIMENTADOR ELECTRICO </t>
    </r>
    <r>
      <rPr>
        <b/>
        <sz val="10"/>
        <color indexed="10"/>
        <rFont val="Arial"/>
        <family val="2"/>
      </rPr>
      <t>DESDE</t>
    </r>
    <r>
      <rPr>
        <b/>
        <sz val="10"/>
        <rFont val="Arial"/>
        <family val="2"/>
      </rPr>
      <t xml:space="preserve"> MAIN BREAKER HASTA PANEL BOARD</t>
    </r>
  </si>
  <si>
    <r>
      <t xml:space="preserve">ALIMENTADOR ELECTRICO </t>
    </r>
    <r>
      <rPr>
        <b/>
        <sz val="10"/>
        <color indexed="10"/>
        <rFont val="Arial"/>
        <family val="2"/>
      </rPr>
      <t>DESDE</t>
    </r>
    <r>
      <rPr>
        <b/>
        <sz val="10"/>
        <rFont val="Arial"/>
        <family val="2"/>
      </rPr>
      <t xml:space="preserve"> PANEL BOARD HASTA ARRANCADORES SUAVE DE ELECTROBOMBAS.</t>
    </r>
  </si>
  <si>
    <t>ALAMBRE THW # 1/0</t>
  </si>
  <si>
    <r>
      <t xml:space="preserve">ALIMENTADOR ELECTRICO </t>
    </r>
    <r>
      <rPr>
        <b/>
        <sz val="10"/>
        <color indexed="10"/>
        <rFont val="Arial"/>
        <family val="2"/>
      </rPr>
      <t>DESDE</t>
    </r>
    <r>
      <rPr>
        <b/>
        <sz val="10"/>
        <rFont val="Arial"/>
        <family val="2"/>
      </rPr>
      <t xml:space="preserve"> ARRANCADORES SUAVE HASTA ELECTROBOMBAS </t>
    </r>
  </si>
  <si>
    <r>
      <t xml:space="preserve">ALIMENTADOR ELECTRICO </t>
    </r>
    <r>
      <rPr>
        <b/>
        <sz val="10"/>
        <color indexed="10"/>
        <rFont val="Arial"/>
        <family val="2"/>
      </rPr>
      <t>DESDE</t>
    </r>
    <r>
      <rPr>
        <b/>
        <sz val="10"/>
        <rFont val="Arial"/>
        <family val="2"/>
      </rPr>
      <t xml:space="preserve"> PANEL BOARD HASTA ARRANCADORES DIRECTO A LINEA DE ELECTROBOMBAS SUMERGIBLES NO ATASCABLE.</t>
    </r>
  </si>
  <si>
    <r>
      <t xml:space="preserve">ALIMENTADOR ELECTRICO </t>
    </r>
    <r>
      <rPr>
        <b/>
        <sz val="10"/>
        <color indexed="10"/>
        <rFont val="Arial"/>
        <family val="2"/>
      </rPr>
      <t xml:space="preserve">DESDE PANEL BOARD HASTA </t>
    </r>
    <r>
      <rPr>
        <b/>
        <sz val="10"/>
        <rFont val="Arial"/>
        <family val="2"/>
      </rPr>
      <t xml:space="preserve">CENTRO DE CARGA DE 4 ESPACIOS EN CASA DE BOMBAS PARA SERVICIOS DE LA ESTACION  </t>
    </r>
  </si>
  <si>
    <t>PANEL DISTRIBUCION 4 CIRCUITOS:</t>
  </si>
  <si>
    <t>PANEL DISTRIBUCION 12 CIRCUITOS:</t>
  </si>
  <si>
    <t>PANEL DISTRIBUCION 16 CIRCUITOS:</t>
  </si>
  <si>
    <t>Registro para válvula de 12" (1.20x1.20@1.60)</t>
  </si>
  <si>
    <t>Niple de 8"X4" Soldado en tubería de 12" para tolvas</t>
  </si>
  <si>
    <t>280 INDUSTRIAL</t>
  </si>
  <si>
    <t>Completivo trasporte de Postes Eléctricos</t>
  </si>
  <si>
    <t>PORTAJES Y VENTANAS</t>
  </si>
  <si>
    <t>DEPARTAMENTO DISEÑO Y SUPERVISION PLANTAS DE TRATAMIENTO</t>
  </si>
  <si>
    <t>DIVISION DISEÑO Y SUPERVISION PLANTAS POTABILIZADORAS</t>
  </si>
  <si>
    <t>LISTADO ESPECIFICACIONES TECNICAS EQUIPOS Y MATERIALES</t>
  </si>
  <si>
    <t xml:space="preserve">PLANTA DE TRATAMIENTO FILTRACION RAPIDA ACUEDUCTO VILLARPANDO, CAP. 40 LPS </t>
  </si>
  <si>
    <t>TIPO EQUIPO</t>
  </si>
  <si>
    <t>ESPECIFICACIONES TECNICAS</t>
  </si>
  <si>
    <t>USO</t>
  </si>
  <si>
    <t>Agitadores</t>
  </si>
  <si>
    <t>Motor 1 Hp, Frecuencia 60 Hz</t>
  </si>
  <si>
    <t xml:space="preserve">  1 en Operación y otra en Stock</t>
  </si>
  <si>
    <t xml:space="preserve">Sulfato de </t>
  </si>
  <si>
    <t>Monofasico 115/240 V.</t>
  </si>
  <si>
    <t xml:space="preserve">A utilizar en Tinas para </t>
  </si>
  <si>
    <t>Aluminio</t>
  </si>
  <si>
    <t>1750 rpm con moto-reductor a 600 rpm</t>
  </si>
  <si>
    <t>preparacion solucion de</t>
  </si>
  <si>
    <t>quimico</t>
  </si>
  <si>
    <t>(Mixers)</t>
  </si>
  <si>
    <t>Vastago Ø¾" Acero Inoxidable</t>
  </si>
  <si>
    <t>Sulfato de Aluminio</t>
  </si>
  <si>
    <t>Aspas  4 Aletas Acero Inoxidable L=6'</t>
  </si>
  <si>
    <t>Bombas resistentes a Polímeros y Floculantes</t>
  </si>
  <si>
    <t>Cuerpo en Acero, teflón en Diafragma y/o Campanas</t>
  </si>
  <si>
    <t>Carga Positiva de Succión</t>
  </si>
  <si>
    <t>Tamaño de Conexión 1" a 1½"</t>
  </si>
  <si>
    <t xml:space="preserve"> 1 en Operación y otra en Stock</t>
  </si>
  <si>
    <t xml:space="preserve">Bomba  </t>
  </si>
  <si>
    <t>corriente alterna dura inversión.</t>
  </si>
  <si>
    <t>Dosificadora</t>
  </si>
  <si>
    <t>Control para Medición de Bomba:</t>
  </si>
  <si>
    <t>Encendido de Entrada 115 voltios, 60 Hz,</t>
  </si>
  <si>
    <t>Pantalla digital y control</t>
  </si>
  <si>
    <t>Capacidad  500-1,000 gpd-90 psi.</t>
  </si>
  <si>
    <t>Para aplicar Sulfato de Aluminio concentración 2-4%</t>
  </si>
  <si>
    <t xml:space="preserve">Diferencial </t>
  </si>
  <si>
    <t xml:space="preserve">Capacidad de Carga 1 Tonelada </t>
  </si>
  <si>
    <t xml:space="preserve">Eléctrico para </t>
  </si>
  <si>
    <t>Cadena para Desplazamiento a 10.00 m</t>
  </si>
  <si>
    <t>Sulfato de</t>
  </si>
  <si>
    <t>Controles con interruptores Automáticos</t>
  </si>
  <si>
    <t xml:space="preserve"> Aluminio</t>
  </si>
  <si>
    <t xml:space="preserve">Motor 3 Hp, Monofásica, Caudal 300 gpm,  </t>
  </si>
  <si>
    <t>Voltaje 110-220 V,</t>
  </si>
  <si>
    <t>Frecuencia 60 Hz</t>
  </si>
  <si>
    <t xml:space="preserve">Sistema Lavado </t>
  </si>
  <si>
    <t>Eficiencia 85%</t>
  </si>
  <si>
    <t>Planta</t>
  </si>
  <si>
    <t>TDH 15 Pies, Velocidad 1,730 rpm</t>
  </si>
  <si>
    <t>Pág.1</t>
  </si>
  <si>
    <t xml:space="preserve">PLANTA DE TRATAMIENTO FILTRACION RAPIDA ACUEDUCTO VILLARPANDO, CAPACIDAD 40 LPS </t>
  </si>
  <si>
    <r>
      <t>T</t>
    </r>
    <r>
      <rPr>
        <vertAlign val="subscript"/>
        <sz val="11"/>
        <color indexed="8"/>
        <rFont val="Times New Roman"/>
        <family val="1"/>
      </rPr>
      <t>10</t>
    </r>
    <r>
      <rPr>
        <sz val="11"/>
        <color indexed="8"/>
        <rFont val="Times New Roman"/>
        <family val="1"/>
      </rPr>
      <t xml:space="preserve">=0.47-0.65 mm, Cu=1.50-1.70 </t>
    </r>
  </si>
  <si>
    <r>
      <t>T</t>
    </r>
    <r>
      <rPr>
        <vertAlign val="subscript"/>
        <sz val="11"/>
        <color indexed="8"/>
        <rFont val="Times New Roman"/>
        <family val="1"/>
      </rPr>
      <t>s</t>
    </r>
    <r>
      <rPr>
        <sz val="11"/>
        <color indexed="8"/>
        <rFont val="Times New Roman"/>
        <family val="1"/>
      </rPr>
      <t xml:space="preserve">=1.41 mm </t>
    </r>
  </si>
  <si>
    <t>Lecho</t>
  </si>
  <si>
    <t xml:space="preserve">Arena </t>
  </si>
  <si>
    <r>
      <t>T</t>
    </r>
    <r>
      <rPr>
        <vertAlign val="subscript"/>
        <sz val="11"/>
        <color indexed="8"/>
        <rFont val="Times New Roman"/>
        <family val="1"/>
      </rPr>
      <t>i</t>
    </r>
    <r>
      <rPr>
        <sz val="11"/>
        <color indexed="8"/>
        <rFont val="Times New Roman"/>
        <family val="1"/>
      </rPr>
      <t>=0,425 mm</t>
    </r>
  </si>
  <si>
    <t>Filtrante</t>
  </si>
  <si>
    <r>
      <t>(m</t>
    </r>
    <r>
      <rPr>
        <vertAlign val="superscript"/>
        <sz val="11"/>
        <color indexed="8"/>
        <rFont val="Times New Roman"/>
        <family val="1"/>
      </rPr>
      <t>3</t>
    </r>
    <r>
      <rPr>
        <sz val="11"/>
        <color indexed="8"/>
        <rFont val="Times New Roman"/>
        <family val="1"/>
      </rPr>
      <t>)</t>
    </r>
  </si>
  <si>
    <t>γ= 2,600 Kg/m3</t>
  </si>
  <si>
    <t>Ce=0.80, Espesor Lecho=0.80 m</t>
  </si>
  <si>
    <t>Vástago Fijo, Cuadrante</t>
  </si>
  <si>
    <t>Entrada a Planta</t>
  </si>
  <si>
    <t>Diámetro 8"</t>
  </si>
  <si>
    <t xml:space="preserve">Cuerpo y Tapa en Hierro Fundido </t>
  </si>
  <si>
    <t>revestido de Epoxy</t>
  </si>
  <si>
    <t xml:space="preserve">Desagüe Floculador </t>
  </si>
  <si>
    <t>Compuerta</t>
  </si>
  <si>
    <t>Tuercas de Maniobra en Latón</t>
  </si>
  <si>
    <t>Cuerpo en Hierro Fundido (ASTM A126)</t>
  </si>
  <si>
    <t>Especificaciones AWWA E504</t>
  </si>
  <si>
    <t>Sedimentación Directa.</t>
  </si>
  <si>
    <t>Fabricación Americana o Israelí</t>
  </si>
  <si>
    <t>Compuertas</t>
  </si>
  <si>
    <t>Compuertas tipo Channel, marcos de mas de 2"</t>
  </si>
  <si>
    <t xml:space="preserve">Entrada Floculador </t>
  </si>
  <si>
    <t xml:space="preserve"> Dimensiones 0,60 m x 0,40 m</t>
  </si>
  <si>
    <t>en tolas de 1/4", Materiales Standard</t>
  </si>
  <si>
    <t>Fabricación acero inoxidable AISI 316/304</t>
  </si>
  <si>
    <t xml:space="preserve">Salida Floculador </t>
  </si>
  <si>
    <t>Espesor tola ¼". Vástago en Hg 1½"</t>
  </si>
  <si>
    <t>Cabina de 0,95 X 0,85 X 1.50 de Altura.</t>
  </si>
  <si>
    <t xml:space="preserve">Cajuela </t>
  </si>
  <si>
    <t>Piso en Tola Corrugada y Puerta para Montaje</t>
  </si>
  <si>
    <t>Metálica</t>
  </si>
  <si>
    <t>A deslizarse por dos (2) Rieles de Tubo H.G.</t>
  </si>
  <si>
    <t>Ø1½" en ambos laterales y dos (2) Resortes</t>
  </si>
  <si>
    <t>fijados en piso para amortiguar caída</t>
  </si>
  <si>
    <t>Sistema de aplicacion directa</t>
  </si>
  <si>
    <t>Caseta de Cloracion</t>
  </si>
  <si>
    <t>Sistema de</t>
  </si>
  <si>
    <t xml:space="preserve">Dosificador de Cloro, con rango de aplicación </t>
  </si>
  <si>
    <t>Desinfección</t>
  </si>
  <si>
    <t>de 0-50 lbs/día.</t>
  </si>
  <si>
    <t>Cilindros de cloro con capacidad 150 lbs</t>
  </si>
  <si>
    <t>Compuertas Sumergibles, marcos más de 2"</t>
  </si>
  <si>
    <t>Entrada Filtros</t>
  </si>
  <si>
    <t>Dimensiones 0,40 m x 0,40 m</t>
  </si>
  <si>
    <t>en tolas de 1/4" Reforzadas</t>
  </si>
  <si>
    <t>Materiales Standard</t>
  </si>
  <si>
    <t>Desagüe Retrolavado</t>
  </si>
  <si>
    <t>Filtros</t>
  </si>
  <si>
    <t>Pág.2</t>
  </si>
  <si>
    <t>Dimensiones acorde a planos</t>
  </si>
  <si>
    <t>Sedimentadores</t>
  </si>
  <si>
    <t xml:space="preserve">Paneles </t>
  </si>
  <si>
    <t>Espesor Lámina 1 mm y Tubo Hexagonal 5-10 mm</t>
  </si>
  <si>
    <t>Lamelares</t>
  </si>
  <si>
    <t>Colocación con Angulares de Tola Acero</t>
  </si>
  <si>
    <t>Esta cantidad tiene incluidos</t>
  </si>
  <si>
    <r>
      <t>(pie</t>
    </r>
    <r>
      <rPr>
        <vertAlign val="superscript"/>
        <sz val="11"/>
        <color indexed="8"/>
        <rFont val="Times New Roman"/>
        <family val="1"/>
      </rPr>
      <t>3</t>
    </r>
    <r>
      <rPr>
        <sz val="11"/>
        <color indexed="8"/>
        <rFont val="Times New Roman"/>
        <family val="1"/>
      </rPr>
      <t>)</t>
    </r>
  </si>
  <si>
    <t>Inoxidable de 2"x6"x⅜" para soporte módulos</t>
  </si>
  <si>
    <t>los desperdicios</t>
  </si>
  <si>
    <t xml:space="preserve"> con Tornillos Hilter separados a 0,50 m</t>
  </si>
  <si>
    <t xml:space="preserve"> de centro a centro</t>
  </si>
  <si>
    <t>Cumplimiento Normas NSF-361</t>
  </si>
  <si>
    <t>Material Glass Reinforced Plastic (GRP)</t>
  </si>
  <si>
    <t>Registro Canal Desagüe</t>
  </si>
  <si>
    <t xml:space="preserve"> Dimensiones ( 1.00 m x 1.00m)</t>
  </si>
  <si>
    <t xml:space="preserve"> Tapas</t>
  </si>
  <si>
    <t>Angulares 1"x1"x3/8"</t>
  </si>
  <si>
    <t>Metalicas</t>
  </si>
  <si>
    <t>Ocho (8) Pernos de Fijacion</t>
  </si>
  <si>
    <t>Registro Válvula Entrada</t>
  </si>
  <si>
    <t>Válvulas de Engranaje</t>
  </si>
  <si>
    <t>Filtración directa</t>
  </si>
  <si>
    <t xml:space="preserve"> Diametro Ø8"</t>
  </si>
  <si>
    <t>Salida Agua Filtrada</t>
  </si>
  <si>
    <t xml:space="preserve">Disco de Hierro Fundido con borde en </t>
  </si>
  <si>
    <t xml:space="preserve">Acero Inoxidable </t>
  </si>
  <si>
    <t>Refuerzo Poliéster relleno con Fibra de Vidrio</t>
  </si>
  <si>
    <t xml:space="preserve"> Diametro Ø6"</t>
  </si>
  <si>
    <t>Mariposa</t>
  </si>
  <si>
    <t>Vástago en acero inoxidable</t>
  </si>
  <si>
    <t>Entrada Aire Retrolavado</t>
  </si>
  <si>
    <t>Casquillo Superior Vástago en Poliéster</t>
  </si>
  <si>
    <t xml:space="preserve">Filtros  </t>
  </si>
  <si>
    <t>Cojinetes Internos en Acero Inoxidable</t>
  </si>
  <si>
    <t xml:space="preserve">Entrada Agua </t>
  </si>
  <si>
    <t>Diametro Ø6"</t>
  </si>
  <si>
    <t>Capacidad de trabajar Sumergidas</t>
  </si>
  <si>
    <t>Retrolavado Filtros</t>
  </si>
  <si>
    <t xml:space="preserve">Estructuras de Arriostre y articulacion cada 10' </t>
  </si>
  <si>
    <t>Articulaciones en engranaje para evitar</t>
  </si>
  <si>
    <t>Desagüe Fondo</t>
  </si>
  <si>
    <t>daños por excentricidad.</t>
  </si>
  <si>
    <r>
      <t>Placas (pie</t>
    </r>
    <r>
      <rPr>
        <vertAlign val="superscript"/>
        <sz val="11"/>
        <color indexed="8"/>
        <rFont val="Times New Roman"/>
        <family val="1"/>
      </rPr>
      <t>2</t>
    </r>
    <r>
      <rPr>
        <sz val="11"/>
        <color indexed="8"/>
        <rFont val="Times New Roman"/>
        <family val="1"/>
      </rPr>
      <t>)</t>
    </r>
  </si>
  <si>
    <t>Material Polipropileno, Espesor 0,0127 m (½").</t>
  </si>
  <si>
    <t>Floculadores</t>
  </si>
  <si>
    <t>Incluidos los desperdicios</t>
  </si>
  <si>
    <t>Colocación con Perfiles de Polipropileno de 3"x 3"</t>
  </si>
  <si>
    <t xml:space="preserve">con Tornillos Hiltii Inoxidables Separados a </t>
  </si>
  <si>
    <t>0,50 m centro a centro.</t>
  </si>
  <si>
    <t>Altura Según Planos de Diseño</t>
  </si>
  <si>
    <t>Pág.3</t>
  </si>
  <si>
    <t>Interior (Acrílico)</t>
  </si>
  <si>
    <t>Techo: Blanco 00.</t>
  </si>
  <si>
    <t xml:space="preserve">Vigas, Columnas: Azul positivo 43 tropical </t>
  </si>
  <si>
    <t>o Similar.</t>
  </si>
  <si>
    <t>Paredes: Azul alba  41 de Tropical o Similar.</t>
  </si>
  <si>
    <t xml:space="preserve">Muros Planta y </t>
  </si>
  <si>
    <t>Acorde a</t>
  </si>
  <si>
    <t>Puertas: Blanco</t>
  </si>
  <si>
    <t>Edificaciones</t>
  </si>
  <si>
    <t>Presupuesto</t>
  </si>
  <si>
    <t>Exterior (Acrílico)</t>
  </si>
  <si>
    <t>o similar.</t>
  </si>
  <si>
    <t>Barandas (m)</t>
  </si>
  <si>
    <t xml:space="preserve">Material Glass Reinforced Plastic (GRP), Ø1½" en </t>
  </si>
  <si>
    <t>Longitud Aproximada</t>
  </si>
  <si>
    <t>todas las tuberías, tanto verticales como horizontales</t>
  </si>
  <si>
    <t>Altura 1.00 m (2 tuberías horizontales separadas a</t>
  </si>
  <si>
    <t>Pasarelas</t>
  </si>
  <si>
    <t>0,50 m centro a centro)</t>
  </si>
  <si>
    <t>Unidades Planta</t>
  </si>
  <si>
    <t xml:space="preserve">Tuberías Verticales separadas a 1.00 m </t>
  </si>
  <si>
    <t>Fijadas con placas acero Esp. ⅜" 11 cms x 11 cms</t>
  </si>
  <si>
    <t>con 4 pernos Ø½"</t>
  </si>
  <si>
    <t>Generales</t>
  </si>
  <si>
    <t>Cerámica criolla en baño</t>
  </si>
  <si>
    <t>Casa Operador</t>
  </si>
  <si>
    <t>Lavamanos/inodoro blanco, pedestal  completo.</t>
  </si>
  <si>
    <t>Fregadero sencillo completo, Meseta marmolite.</t>
  </si>
  <si>
    <t>Puerta Everglass, Ventanas Aluminio.</t>
  </si>
  <si>
    <t>Piso de Baldosa de Granito</t>
  </si>
  <si>
    <t xml:space="preserve">Revestimiento Pared en  Baño y Cocina: </t>
  </si>
  <si>
    <t>Cerámica  H=2.00m</t>
  </si>
  <si>
    <t>Entrada Floculador</t>
  </si>
  <si>
    <t>Dimensiones 0,40 m x 0,50 m</t>
  </si>
  <si>
    <t>en tolas de 1/4"</t>
  </si>
  <si>
    <t>Salida Floculador</t>
  </si>
  <si>
    <t>Dimensiones 1.00 m x 0,50 m</t>
  </si>
  <si>
    <t>Pág.4</t>
  </si>
  <si>
    <t>Pág.5</t>
  </si>
  <si>
    <t>Motor ¼ Hp, monofásico, 115/230 voltios Motor ¼ Hp, monofásico, 115/230 voltios</t>
  </si>
  <si>
    <t>Puertas polimetal (incluye instalación) incluye llavín</t>
  </si>
  <si>
    <t>DESCRIPCIÓN</t>
  </si>
  <si>
    <t>TAPAS</t>
  </si>
  <si>
    <t>Trampa de Grasa</t>
  </si>
  <si>
    <t>Zapatas de Columnas</t>
  </si>
  <si>
    <t>Area</t>
  </si>
  <si>
    <t>Exc</t>
  </si>
  <si>
    <t>Vol Concreto</t>
  </si>
  <si>
    <t>Zap Col</t>
  </si>
  <si>
    <t>Zap Muro</t>
  </si>
  <si>
    <t>Bote</t>
  </si>
  <si>
    <t>Balanza electrónica para pesaje de cilindros</t>
  </si>
  <si>
    <t>Rodillos de gomas ( para apoyo de cilindro )</t>
  </si>
  <si>
    <t>Mano de obra</t>
  </si>
  <si>
    <t>INSTALACIÓN DE VIGA RIEL EN TECHO:</t>
  </si>
  <si>
    <t>Viga W 8x21 H.N., L=30 Pies</t>
  </si>
  <si>
    <t>Angular 3/8'x5"x5" H.N.</t>
  </si>
  <si>
    <t>Pernos expansivos 3/4"x4" (INC. TUERCA)</t>
  </si>
  <si>
    <t>Tornillos ( A325 ) 3/4"x 1½"  (INC. TUERCA)</t>
  </si>
  <si>
    <t>Troley Mecánico  P/diferencial de 3 TON</t>
  </si>
  <si>
    <t>Mano de Obra</t>
  </si>
  <si>
    <t>Excavación material compacto a mano</t>
  </si>
  <si>
    <t xml:space="preserve">Bote de material con camión d= 5 km (incluye esparcimiento en botadero) </t>
  </si>
  <si>
    <t>Pa</t>
  </si>
  <si>
    <t>TUBERÍAS Y PIEZAS</t>
  </si>
  <si>
    <t xml:space="preserve">Codo 3/4" x 90º  PVC </t>
  </si>
  <si>
    <t>Primer Nivel</t>
  </si>
  <si>
    <t>Segundo Nivel</t>
  </si>
  <si>
    <t>Puertas</t>
  </si>
  <si>
    <t>Perimetro Exterior</t>
  </si>
  <si>
    <t xml:space="preserve">Bloques </t>
  </si>
  <si>
    <t>SNP</t>
  </si>
  <si>
    <t>Construcción Planta Potabilizadora Acueducto Villar Pando 40 L/S</t>
  </si>
  <si>
    <t>Bote de material con camión (dist. 5km) (incluye carguío y  esparcimiento en botadero)</t>
  </si>
  <si>
    <t xml:space="preserve">Relleno de reposición </t>
  </si>
  <si>
    <t>**EXCAVACION DE CAPA VEGETAL</t>
  </si>
  <si>
    <t xml:space="preserve">REGISTRO ENTRADA AGUA CRUDA </t>
  </si>
  <si>
    <t>Losa de Fondo 0.20 - 2.08 QQ/M3</t>
  </si>
  <si>
    <t>Losa de techo 0.15 -0.97QQ/M3</t>
  </si>
  <si>
    <t>MURO DE BLOCK 6":</t>
  </si>
  <si>
    <t>Muro Bloques de 6",  3/8"@0.40mts BNP</t>
  </si>
  <si>
    <t>REGISTRO ENTRADA SEDIMENTACION DIRECTA</t>
  </si>
  <si>
    <t>Excavacion de Registros</t>
  </si>
  <si>
    <t>Registros de Entrada Cruda</t>
  </si>
  <si>
    <t>Registro de Sedimentacion Directa</t>
  </si>
  <si>
    <t>Excavación material compactado c/equipo</t>
  </si>
  <si>
    <t xml:space="preserve">Nivelación de zanja  </t>
  </si>
  <si>
    <t>Relleno compactado  c/compactador mecánico en capas de 0.20m</t>
  </si>
  <si>
    <t>Bote de escombros con camión (dist. 5km) (incluye esparcimiento en botadero)</t>
  </si>
  <si>
    <t xml:space="preserve">Relleno compactado </t>
  </si>
  <si>
    <t>Excavacion de Zapatas de Muros</t>
  </si>
  <si>
    <t>Relleno Reposicion</t>
  </si>
  <si>
    <t>Hormigon Concreto</t>
  </si>
  <si>
    <t>Zapata</t>
  </si>
  <si>
    <t>Muros de Bloques BNP</t>
  </si>
  <si>
    <t>Excavación zapatas  a mano</t>
  </si>
  <si>
    <t xml:space="preserve">Reposición material compactado </t>
  </si>
  <si>
    <t>Bote de material con camión in situ</t>
  </si>
  <si>
    <t>HORMIGÓN ARMADO EN:</t>
  </si>
  <si>
    <t>Zapata de muros (0.45 x 0.25)mts  - 0.71 qq/m3, F᾽c=180 KG/CM²</t>
  </si>
  <si>
    <t>Zapata  de  columnas  (0.60 x 0.60 x 0.25)mts - 2.08 QQ/m3 F᾽c=180 Kg/cm²</t>
  </si>
  <si>
    <t xml:space="preserve">Viga apoyo riel Puerta corrediza L=8.40M- 2.32 QQ/M3,F᾽c=240 KG/CM² </t>
  </si>
  <si>
    <t>MUROS</t>
  </si>
  <si>
    <t>Pañete en vigas y columnas</t>
  </si>
  <si>
    <t>Pintura base blanca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</si>
  <si>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</si>
  <si>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</si>
  <si>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</si>
  <si>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</si>
  <si>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ROLLO</t>
  </si>
  <si>
    <t>Excavación  material con equipo</t>
  </si>
  <si>
    <t>Volumen a ocupar por estructura</t>
  </si>
  <si>
    <t>Volumen de HA</t>
  </si>
  <si>
    <t>Losa de Piso</t>
  </si>
  <si>
    <t>long</t>
  </si>
  <si>
    <t>Ancho</t>
  </si>
  <si>
    <t>e</t>
  </si>
  <si>
    <t>Muro de HA de 0.25</t>
  </si>
  <si>
    <t>Cant</t>
  </si>
  <si>
    <t>Lateral 1 y 2</t>
  </si>
  <si>
    <t>Lateral 3</t>
  </si>
  <si>
    <t>Lateral 4</t>
  </si>
  <si>
    <t>Lateral 5 #4@20</t>
  </si>
  <si>
    <t>Muros de 25 cm  1.60 qq/m3</t>
  </si>
  <si>
    <t>Muros de 25 cm  1.90 qq/m3</t>
  </si>
  <si>
    <t>Zapatas de Muros de 0.25</t>
  </si>
  <si>
    <t>Muros de 0.25</t>
  </si>
  <si>
    <t>h=2.60</t>
  </si>
  <si>
    <t>h=1.40</t>
  </si>
  <si>
    <t>h=1.00 e=0.15</t>
  </si>
  <si>
    <t>Muros de 25 cm  2.27 qq/m3</t>
  </si>
  <si>
    <t>Panete Exterior</t>
  </si>
  <si>
    <t>Panete Interior</t>
  </si>
  <si>
    <t>PASARELA PLANTA</t>
  </si>
  <si>
    <t>Fregadero sencillo Inox</t>
  </si>
  <si>
    <t>REGISTROS TUBULARES</t>
  </si>
  <si>
    <t>Cota S</t>
  </si>
  <si>
    <t>Estructura</t>
  </si>
  <si>
    <t>Cota Inferior</t>
  </si>
  <si>
    <t>2.01-2.50</t>
  </si>
  <si>
    <t>2.50-3.00</t>
  </si>
  <si>
    <t>1.00-1.50</t>
  </si>
  <si>
    <t>4.50-5.00</t>
  </si>
  <si>
    <t>5.00-5.30</t>
  </si>
  <si>
    <t>3.00-3.50</t>
  </si>
  <si>
    <t>R-01</t>
  </si>
  <si>
    <t>R-02</t>
  </si>
  <si>
    <t>R-03</t>
  </si>
  <si>
    <t>R-04</t>
  </si>
  <si>
    <t>R-05</t>
  </si>
  <si>
    <t>R-06</t>
  </si>
  <si>
    <t>R-07</t>
  </si>
  <si>
    <t>R-08</t>
  </si>
  <si>
    <t>R-09</t>
  </si>
  <si>
    <t>R-10</t>
  </si>
  <si>
    <t>R-11</t>
  </si>
  <si>
    <t>T2</t>
  </si>
  <si>
    <t>T3</t>
  </si>
  <si>
    <t>CI</t>
  </si>
  <si>
    <t>L</t>
  </si>
  <si>
    <t>CF</t>
  </si>
  <si>
    <t>TUBERIAS DESDE PLANTA HASTA TRATAMIENTO A LODOS</t>
  </si>
  <si>
    <t>TUBERIAS DESDE TRATAMIENTO A LODOS HASTA R6</t>
  </si>
  <si>
    <t>TUBERIAS DESDE R6 HASTA CABEZAL DE DESCARGA</t>
  </si>
  <si>
    <t>ALCANTARILLADO DE VILLA VASQUEZ, PROV: MONTECRISTI - ZONA I  RED 1</t>
  </si>
  <si>
    <t>No R1</t>
  </si>
  <si>
    <t>No R2</t>
  </si>
  <si>
    <t>LONG.</t>
  </si>
  <si>
    <t>Ø TUB.</t>
  </si>
  <si>
    <t>ANCHO ZANJA</t>
  </si>
  <si>
    <t>COEF. ARENA</t>
  </si>
  <si>
    <t>H1 (tub.)</t>
  </si>
  <si>
    <t>H2(tub.)</t>
  </si>
  <si>
    <t>VOL. ROV EXCAV.</t>
  </si>
  <si>
    <t>VOL. TUBO</t>
  </si>
  <si>
    <t>VOL. ARENA</t>
  </si>
  <si>
    <t>VOL. EXCAV.</t>
  </si>
  <si>
    <t>VOL. RELLENO</t>
  </si>
  <si>
    <t>VOL. BOTE</t>
  </si>
  <si>
    <t>COTA (R1) TERREN.</t>
  </si>
  <si>
    <t>COTA (R1) REGIST.</t>
  </si>
  <si>
    <t>COTA (R2) TERREN.</t>
  </si>
  <si>
    <t>COTA (R2) REGIST.</t>
  </si>
  <si>
    <t>EXC.MAT.    &lt;1.50</t>
  </si>
  <si>
    <t>EXC.MAT.    &gt;1.50</t>
  </si>
  <si>
    <t>Niv. Fonod zanja</t>
  </si>
  <si>
    <t>DIAM</t>
  </si>
  <si>
    <t>VOL TUBO.</t>
  </si>
  <si>
    <t>NOMBRE: COLECTOR DESDE REG. 1L-A HASTA CARCAMO DE BOMBEO</t>
  </si>
  <si>
    <t>R-1L-A</t>
  </si>
  <si>
    <t>Carc.</t>
  </si>
  <si>
    <t>+4%</t>
  </si>
  <si>
    <t>Sum</t>
  </si>
  <si>
    <t>Regularizacion de fondo de zanja</t>
  </si>
  <si>
    <t>EMISOR DESDE FILTROS HASTA POZOS FILTRANTE</t>
  </si>
  <si>
    <t>Ptar</t>
  </si>
  <si>
    <t>Codo</t>
  </si>
  <si>
    <t>Tee</t>
  </si>
  <si>
    <t>Reg.1</t>
  </si>
  <si>
    <t>Reg.2</t>
  </si>
  <si>
    <t>Pozo 1</t>
  </si>
  <si>
    <t>Pozo 2</t>
  </si>
  <si>
    <t>Pozo 3</t>
  </si>
  <si>
    <t>Tub.Ø12</t>
  </si>
  <si>
    <t>Sum.</t>
  </si>
  <si>
    <t>Tub.Ø10</t>
  </si>
  <si>
    <t>+3%</t>
  </si>
  <si>
    <t>MOVIMIENTO DE TIERRA PARA AVERIAS EN REDES</t>
  </si>
  <si>
    <t>Replanteo:y control top.</t>
  </si>
  <si>
    <t>Long. Tub</t>
  </si>
  <si>
    <t>Excavación material:</t>
  </si>
  <si>
    <t>Ø8":</t>
  </si>
  <si>
    <t>Nivelación Fomdo d Zanja;</t>
  </si>
  <si>
    <t>Ø16":</t>
  </si>
  <si>
    <t>Asiemto de Arena;</t>
  </si>
  <si>
    <t>Ø20":</t>
  </si>
  <si>
    <t>Relleno Compactado:</t>
  </si>
  <si>
    <t>Bote de Material:</t>
  </si>
  <si>
    <t>Suministro de tub.:Ø8" PVC 32.5</t>
  </si>
  <si>
    <t>Colocación de tub.:Ø8" PVC 32.5</t>
  </si>
  <si>
    <t>Limpieza de registros:</t>
  </si>
  <si>
    <t>Demolición De Registros:</t>
  </si>
  <si>
    <t>Reconstrucción de Registros:</t>
  </si>
  <si>
    <t xml:space="preserve">ALCANTARILLADO SANITARIO COTUI PROV: SANCHEZ RAMIREZ - ZONA III   </t>
  </si>
  <si>
    <t>RED 1 Y RED 2</t>
  </si>
  <si>
    <t>Regado Perfilado y Nivelado c/equipo</t>
  </si>
  <si>
    <t>SISTEMA DEPURADOR DE AGUAS RESIDUALES</t>
  </si>
  <si>
    <t>MAMPOSTERIA</t>
  </si>
  <si>
    <t>Pañete Interior</t>
  </si>
  <si>
    <t>CUARTO DE CONTROL</t>
  </si>
  <si>
    <t>Muros 8" de Bloques BNP</t>
  </si>
  <si>
    <t>Acero de Techo Casa de Operador</t>
  </si>
  <si>
    <t>LOSA</t>
  </si>
  <si>
    <t>N</t>
  </si>
  <si>
    <t>S</t>
  </si>
  <si>
    <t>O</t>
  </si>
  <si>
    <t>XX</t>
  </si>
  <si>
    <t>YY</t>
  </si>
  <si>
    <t>Assx1</t>
  </si>
  <si>
    <t>Assx2</t>
  </si>
  <si>
    <t>Asyy1</t>
  </si>
  <si>
    <t>Asyy2</t>
  </si>
  <si>
    <t>Vn</t>
  </si>
  <si>
    <t>Vs</t>
  </si>
  <si>
    <t>Ve</t>
  </si>
  <si>
    <t>Vo</t>
  </si>
  <si>
    <t>Adicionales</t>
  </si>
  <si>
    <t>XX1</t>
  </si>
  <si>
    <t>XX2</t>
  </si>
  <si>
    <t>XX3</t>
  </si>
  <si>
    <t>YY1</t>
  </si>
  <si>
    <t>YY2</t>
  </si>
  <si>
    <t>Casa de control</t>
  </si>
  <si>
    <t>Excavacion Zapata de Columnas</t>
  </si>
  <si>
    <t>Zapata de Columnas</t>
  </si>
  <si>
    <t>Viga BNP</t>
  </si>
  <si>
    <t>Dintel 0.20 x 0.20   5.00 qq/m3</t>
  </si>
  <si>
    <t>DEPÓSITO REGULADOR H.A. SUPERFICIAL DE 150 M³</t>
  </si>
  <si>
    <t>PRELIMINAR</t>
  </si>
  <si>
    <t>Excavación material no clasificado c/retropala 416E o similar</t>
  </si>
  <si>
    <t>M³N</t>
  </si>
  <si>
    <t>Relleno compactado c/compactador mecánico en capa de 0.30 m</t>
  </si>
  <si>
    <t>Bote de material c/camión @5 km (inc. cargüio y esparcimiento en botadero)</t>
  </si>
  <si>
    <t>M³E</t>
  </si>
  <si>
    <t>Zapata de columna central C1 0.40 - 1.28 qq/M³</t>
  </si>
  <si>
    <t xml:space="preserve">Columna central C1 ( 0.35 x 0.35 ) -5.58 qq/M³ </t>
  </si>
  <si>
    <t>Columnas perimetral C2 ( 0.30 x 0.30 ) - 5.54 qq M³</t>
  </si>
  <si>
    <t>Muros 0.30 - 1.94 qq/M³</t>
  </si>
  <si>
    <t>Viga ( 0.25 x 0.40 ) -  3.44 qqM³</t>
  </si>
  <si>
    <t xml:space="preserve">Bordillo de H.S.  en registro de techo 0.15  </t>
  </si>
  <si>
    <t xml:space="preserve">Suministro y colocación de banda de gomas hidrofílica extensible p/construcción, impermeable 5 mm x20 mm </t>
  </si>
  <si>
    <t>Fino de losa de fondo pulido</t>
  </si>
  <si>
    <t>Fino de losa de techo</t>
  </si>
  <si>
    <t>Pintura acrílica económica ( base blanca )</t>
  </si>
  <si>
    <t xml:space="preserve">Pintura acrílica azul </t>
  </si>
  <si>
    <t>Tubería de Ø6" acero SCH-40 sin costura c/protección anticorrosivo</t>
  </si>
  <si>
    <t>9.1.3</t>
  </si>
  <si>
    <t>9.1.4</t>
  </si>
  <si>
    <t>9.1.5</t>
  </si>
  <si>
    <t>9.1.6</t>
  </si>
  <si>
    <t>9.1.7</t>
  </si>
  <si>
    <t>9.1.8</t>
  </si>
  <si>
    <t>9.1.9</t>
  </si>
  <si>
    <t>Excavación material no clasificado con retropala 416 o similar</t>
  </si>
  <si>
    <t>M³S</t>
  </si>
  <si>
    <t>9.2.4</t>
  </si>
  <si>
    <t>9.2.5</t>
  </si>
  <si>
    <t>9.3.1</t>
  </si>
  <si>
    <t>9.3.2</t>
  </si>
  <si>
    <t>Escalera exterior  H.G. , H=2.00 M</t>
  </si>
  <si>
    <t>9.3.3</t>
  </si>
  <si>
    <t>Tapa metálica en registro de techo 1.00x1.00 M</t>
  </si>
  <si>
    <t>9.3.4</t>
  </si>
  <si>
    <t>Ventilación de techo</t>
  </si>
  <si>
    <t>Acera perimetral H.S. 0.50 m, e=0.10</t>
  </si>
  <si>
    <t>Relleno compactado c/equipo en capa de 0.20m. De espesor</t>
  </si>
  <si>
    <t>SUM. VÁLVULA DE BOLA Ø2" BRONCE</t>
  </si>
  <si>
    <t>ACOMETIDAS</t>
  </si>
  <si>
    <t>ALQ. PULIDORA</t>
  </si>
  <si>
    <t>Pañete interior Pulido</t>
  </si>
  <si>
    <t>Fino losa techo</t>
  </si>
  <si>
    <t>Fino losa fondo pulido</t>
  </si>
  <si>
    <t>Niple 6" x 36" acero SCH-40</t>
  </si>
  <si>
    <t>Niple 4" x 36" acero SCH-40</t>
  </si>
  <si>
    <t>Tapa metálica 0.80 x 0.80 M</t>
  </si>
  <si>
    <t>Mano de obra de instalaciones</t>
  </si>
  <si>
    <t>PAR</t>
  </si>
  <si>
    <t>*** INAPA***</t>
  </si>
  <si>
    <t>DIRECCIÓN DE INGENIERÍA</t>
  </si>
  <si>
    <t>Presupuesto  No. xxx d/f 20/03/2021</t>
  </si>
  <si>
    <t>Obra: CONSTRUCCIÓN DEP. REG. Y LINEAS DE CONDUCCIÓN ACUEDUCTO VILLAR PANDO</t>
  </si>
  <si>
    <t>Provincia: AZUA</t>
  </si>
  <si>
    <t>No.</t>
  </si>
  <si>
    <t>D E S C R I P C I Ó N</t>
  </si>
  <si>
    <t>RD$ P.U.</t>
  </si>
  <si>
    <t>P R O C E D E N C I A</t>
  </si>
  <si>
    <t>1- MAESTRO AREA</t>
  </si>
  <si>
    <t>Resolución No. 12 -2018, M.T.</t>
  </si>
  <si>
    <t xml:space="preserve">2- OPERADOR DE 1º </t>
  </si>
  <si>
    <t xml:space="preserve">3- OPERADOR DE 2º </t>
  </si>
  <si>
    <t xml:space="preserve">4- OPERADOR DE 3º </t>
  </si>
  <si>
    <t>5- AYUDANTES</t>
  </si>
  <si>
    <t>6- TRABAJADOR CALIFICADO</t>
  </si>
  <si>
    <t>7- TRABAJADOR NO CALIFICADO</t>
  </si>
  <si>
    <t>8- BRIGADA TOPOGRAFICA</t>
  </si>
  <si>
    <t>ALQ. BOMBA DE ACHIQUE  4"</t>
  </si>
  <si>
    <t>DCP</t>
  </si>
  <si>
    <t>ALQ. RETRO PALA 80 H.P. 416E</t>
  </si>
  <si>
    <t>Cot. Cabinsa, 8-02-2021</t>
  </si>
  <si>
    <t>ALQ. RODILLO</t>
  </si>
  <si>
    <t>M.O  PLOMERO ACOMETIDAS RURALES</t>
  </si>
  <si>
    <t>Listado DCP , Oct-2019</t>
  </si>
  <si>
    <t>M.O  PLOMERO ACOMETIDAS URBANAS</t>
  </si>
  <si>
    <t>M.O. ACERO (ARMADURA EN PARRILLA DE MUROS)</t>
  </si>
  <si>
    <t>Resolución No. 22 -2017, M.T.</t>
  </si>
  <si>
    <t>M.O. ACERO VARILLA TRABAJADA</t>
  </si>
  <si>
    <t>M.O. APLICACION PINTURA ACRILICA DOS MANOS</t>
  </si>
  <si>
    <t>Resolución No. 07 -2018, M.T.</t>
  </si>
  <si>
    <t>M.O. APLICACION PINTURA OXIDO ( DOS MANOS )</t>
  </si>
  <si>
    <t>List. Precio DCP- Jun-2021</t>
  </si>
  <si>
    <t xml:space="preserve">M.O. JUNTA TAPÓN Ø03" ACERO </t>
  </si>
  <si>
    <t xml:space="preserve">M.O. JUNTA TAPÓN Ø04" ACERO </t>
  </si>
  <si>
    <t xml:space="preserve">M.O. JUNTA TAPÓN Ø10" ACERO </t>
  </si>
  <si>
    <t>M.O. PIEZAS 03" ACERO SOLDADO</t>
  </si>
  <si>
    <t>M.O. PIEZAS 04" ACERO SOLDADO</t>
  </si>
  <si>
    <t>M.O. PIEZAS 06" ACERO SOLDADO</t>
  </si>
  <si>
    <t>M.O. PIEZAS 10" ACERO SOLDADO</t>
  </si>
  <si>
    <t>M.O. TUBERÍA Ø03'' PVC SCDR-26 C/J.G.</t>
  </si>
  <si>
    <t>Resolución No. 02 -2018, M.T.</t>
  </si>
  <si>
    <t>M.O. TUBERÍA Ø04'' PVC SCDR-26 C/J.G.</t>
  </si>
  <si>
    <t>M.O. TUBERÍA Ø06'' ACERO SCH-40</t>
  </si>
  <si>
    <t>List. Precio DCP- Jun-2019</t>
  </si>
  <si>
    <t>M.O. TUBERÍA Ø06'' PVC SCDR-26 C/J.G.</t>
  </si>
  <si>
    <t>M.O. TUBERÍA Ø10'' ACERO SCH-40</t>
  </si>
  <si>
    <t>M.O. TUBERÍA Ø10'' PVC SCDR-26 C/J.G.</t>
  </si>
  <si>
    <t xml:space="preserve">M.O. VÁLVULA COMPUERTA Ø03'' HF PLATILLADA </t>
  </si>
  <si>
    <t>List. Precio DCP- Mar-2020</t>
  </si>
  <si>
    <t xml:space="preserve">M.O. VÁLVULA COMPUERTA Ø04'' HF PLATILLADA </t>
  </si>
  <si>
    <t xml:space="preserve">M.O. VÁLVULA COMPUERTA Ø06'' HF PLATILLADA </t>
  </si>
  <si>
    <t xml:space="preserve">M.O. VÁLVULA COMPUERTA Ø10'' HF PLATILLADA </t>
  </si>
  <si>
    <t>M/O/ TUBERIA Ø¾" PVC SCH-40</t>
  </si>
  <si>
    <t>SUM. ACERO</t>
  </si>
  <si>
    <t>List. Precio DCP- Feb-2021</t>
  </si>
  <si>
    <t xml:space="preserve">SUM. ADATADOR HEMBRA Ø 1/2" ROSCADO </t>
  </si>
  <si>
    <t xml:space="preserve">SUM. ADATADOR MACHO Ø 1/2" ROSCADO </t>
  </si>
  <si>
    <t>SUM. ADATADOR MACHO Ø 1/2" ROSCADO A MANGUERA</t>
  </si>
  <si>
    <t>SUM. ADITIVOS SX-PELL</t>
  </si>
  <si>
    <t>Vinaldom, cot.1412-18, d/f 11-12-2018</t>
  </si>
  <si>
    <t>SUM. AGUA</t>
  </si>
  <si>
    <t>SUM. ALAMBRE No. 18</t>
  </si>
  <si>
    <t>SUM. ANCLAJE DE H.S. (ACOMETIDAS)</t>
  </si>
  <si>
    <t>SUM. ARENA PARA PAÑETE</t>
  </si>
  <si>
    <t>SUM. BLOCK 4</t>
  </si>
  <si>
    <t>SUM. BLOCK 6</t>
  </si>
  <si>
    <t>SUM. BLOCK 8</t>
  </si>
  <si>
    <t>SUM. BLOCK CALADO</t>
  </si>
  <si>
    <t>SUM. CAJA DE ACOMETIDA PLASTICA EN POLIETILENO DE Ø 10"</t>
  </si>
  <si>
    <t>SUM. CAJA TELESCÓPICA</t>
  </si>
  <si>
    <t>Empresas Torpeso</t>
  </si>
  <si>
    <t xml:space="preserve">SUM. CARRETILLA </t>
  </si>
  <si>
    <t>SUM. CEMENTO BLANCO</t>
  </si>
  <si>
    <t>SUM. CEMENTO GRIS</t>
  </si>
  <si>
    <t xml:space="preserve">SUM. CEMENTO PVC CRIOLLO, PINTA </t>
  </si>
  <si>
    <t>PTA</t>
  </si>
  <si>
    <t>Costru Costo</t>
  </si>
  <si>
    <t>SUM. CEMENTO SOLVENTE Y TEFLON (ACOMETIDAS)</t>
  </si>
  <si>
    <t xml:space="preserve">SUM. CLAVOS CORRIENTES 2½" </t>
  </si>
  <si>
    <t>SUM. CODO 03" x 22º ACERO SCH-40</t>
  </si>
  <si>
    <t>List. Precio Herreria Gerónimo-2021</t>
  </si>
  <si>
    <t>SUM. CODO 03" x 45º ACERO SCH-40</t>
  </si>
  <si>
    <t>SUM. CODO 03" x 90º ACERO SCH-40</t>
  </si>
  <si>
    <t>SUM. CODO 04" x 22º ACERO SCH-40</t>
  </si>
  <si>
    <t>SUM. CODO 04" x 45º ACERO SCH-40</t>
  </si>
  <si>
    <t>SUM. CODO 04" x 90º ACERO SCH-40</t>
  </si>
  <si>
    <t>SUM. CODO 06" x 22º ACERO SCH-40</t>
  </si>
  <si>
    <t>SUM. CODO 06" x 45º ACERO SCH-40</t>
  </si>
  <si>
    <t>SUM. CODO 06" x 90º ACERO SCH-40</t>
  </si>
  <si>
    <t>SUM. CODO 10" x 22º ACERO SCH-40</t>
  </si>
  <si>
    <t>SUM. CODO 10" x 45º ACERO SCH-40</t>
  </si>
  <si>
    <t>SUM. CODO 10" x 90º ACERO SCH-40</t>
  </si>
  <si>
    <t>SUM. CODO Ø ½" x 90º H.G.</t>
  </si>
  <si>
    <t>SUM. COLLARIN EN POLIETILENO DE Ø 3" ( ABRAZADERA)</t>
  </si>
  <si>
    <t>SUM. COLLARIN EN POLIETILENO DE Ø 4" ( ABRAZADERA)</t>
  </si>
  <si>
    <t>SUM. COUPLING DE Ø ½" H.G.</t>
  </si>
  <si>
    <t>SUM. CRUZ 03"x03" ACERO SCH-40</t>
  </si>
  <si>
    <t>SUM. CRUZ 04"x03" ACERO SCH-40</t>
  </si>
  <si>
    <t>SUM. CRUZ 06"x06" ACERO SCH-40</t>
  </si>
  <si>
    <t xml:space="preserve">SUM. CUBETAS PARA MEDIR EL AGUA </t>
  </si>
  <si>
    <t>SUM. GRAVA</t>
  </si>
  <si>
    <t>SUM. GRAVILLA</t>
  </si>
  <si>
    <t xml:space="preserve">SUM. JUNTA TAPÓN Ø03" ACERO </t>
  </si>
  <si>
    <t xml:space="preserve">SUM. JUNTA TAPÓN Ø04" ACERO </t>
  </si>
  <si>
    <t xml:space="preserve">SUM. JUNTA TAPÓN Ø10" ACERO </t>
  </si>
  <si>
    <t>SUM. JUNTAS HIDROFILICA 5 mm x 20 mm</t>
  </si>
  <si>
    <t>Karay</t>
  </si>
  <si>
    <t xml:space="preserve">SUM. LLAVE DE CHORRO DE Ø ½" DE BONCE </t>
  </si>
  <si>
    <t>SUM. LLAVE DE PASO DE Ø 1/2"</t>
  </si>
  <si>
    <t xml:space="preserve">SUM. MADERA  2"x10"x12', </t>
  </si>
  <si>
    <t>SUM. MATERIAL DE MINA</t>
  </si>
  <si>
    <t>Sindicadto de Azua</t>
  </si>
  <si>
    <t>SUM. NIPLE DE Ø ½" H.G.</t>
  </si>
  <si>
    <t>SUM. PALAS (7 MESES DE USO)</t>
  </si>
  <si>
    <t>SUM. PEDESTAL DE H.S. ( 0.80 x 0.15) (ACOMETIDAS)</t>
  </si>
  <si>
    <t xml:space="preserve">SUM. PINTURA AZUL ACRILICA </t>
  </si>
  <si>
    <t>SUM. PINTURA BLANCA ACRILICA (BASE)</t>
  </si>
  <si>
    <t xml:space="preserve">SUM. PINTURA OXIDO ROJO </t>
  </si>
  <si>
    <t>SUM. RED. 04"x03" ACERO SCH-40</t>
  </si>
  <si>
    <t>SUM. RED. 06"x03" ACERO SCH-40</t>
  </si>
  <si>
    <t>SUM. RED. 06"x04" ACERO SCH-40</t>
  </si>
  <si>
    <t xml:space="preserve">SUM. TANQUES DE AGUA </t>
  </si>
  <si>
    <t>Simó</t>
  </si>
  <si>
    <t xml:space="preserve">SUM. TAPON HEMBRA DE 1/2" PVC </t>
  </si>
  <si>
    <t>SUM. TEE 03"x03" ACERO SCH-40</t>
  </si>
  <si>
    <t>SUM. TEE 04"x03" ACERO SCH-40</t>
  </si>
  <si>
    <t>SUM. TEE 04"x04" ACERO SCH-40</t>
  </si>
  <si>
    <t>SUM. TEE 06"x04" ACERO SCH-40</t>
  </si>
  <si>
    <t>SUM. TEE 06"x06" ACERO SCH-40</t>
  </si>
  <si>
    <t xml:space="preserve">SUM. TEFLÓN </t>
  </si>
  <si>
    <t xml:space="preserve">SUM. TUBERIA ½" H.G. PARA BASTONE (ACOMETIDAS) </t>
  </si>
  <si>
    <t xml:space="preserve">SUM. TUBERIA 1/2" SCH-40 PVC </t>
  </si>
  <si>
    <t xml:space="preserve">SUM. TUBERIA DE POLIETILENO ALTA DENSIDAD, Ø 1/2" INTERNO </t>
  </si>
  <si>
    <t>SUM. TUBERÍA Ø03'' PVC SCDR-26 C/J.G.</t>
  </si>
  <si>
    <t>Listado DCP , Corvi Feb-2021</t>
  </si>
  <si>
    <t>SUM. TUBERÍA Ø04'' PVC SCDR-26 C/J.G.</t>
  </si>
  <si>
    <t>SUM. TUBERÍA Ø06'' ACERO SCH-40</t>
  </si>
  <si>
    <t>Listado DCP , Feb-2021</t>
  </si>
  <si>
    <t>SUM. TUBERÍA Ø06'' PVC SCDR-26 C/J.G.</t>
  </si>
  <si>
    <t>SUM. TUBERIA Ø¾" PVC SCH-40</t>
  </si>
  <si>
    <t>SUM. TUBERÍA Ø10'' ACERO SCH-40</t>
  </si>
  <si>
    <t>SUM. TUBERÍA Ø10'' PVC SCDR-26 C/J.G.</t>
  </si>
  <si>
    <t>SUM. VALVULA CHECK DE ½" DE BRONCE</t>
  </si>
  <si>
    <t xml:space="preserve">SUM. VÁLVULA COMPUERTA Ø03'' HF PLATILLADA </t>
  </si>
  <si>
    <t>SUM. VÁLVULA COMPUERTA Ø04'' HF PLATILLADA</t>
  </si>
  <si>
    <t xml:space="preserve">SUM. VÁLVULA COMPUERTA Ø06'' HF PLATILLADA </t>
  </si>
  <si>
    <t xml:space="preserve">SUM. VÁLVULA COMPUERTA Ø10'' HF PLATILLADA </t>
  </si>
  <si>
    <t>SUM. VÁLVULA DE BOLA DE 0¾" H.G.</t>
  </si>
  <si>
    <t>Simó 2020</t>
  </si>
  <si>
    <t>SUM. CAL HIDRATADA</t>
  </si>
  <si>
    <t>Ministerio de Industria y Comercio</t>
  </si>
  <si>
    <t>del 16-03-21 al 19-03-2021</t>
  </si>
  <si>
    <t>M.O. OPERADOR DE EQUIPO PESADO DE 0.00-100 H.P.</t>
  </si>
  <si>
    <t>Resolución No. 11 -2017, M.T.</t>
  </si>
  <si>
    <t>M.O. OPERADOR DE EQUIPO PESADO DE 101-150 H.P.</t>
  </si>
  <si>
    <t>M.O. PRUEBA HIROSTATICAS EN TUBERIA DE Ø03" C/ACOMETIDAS</t>
  </si>
  <si>
    <t>Listado de Precios de DCP, Simó 2020</t>
  </si>
  <si>
    <t>M.O. PRUEBA HIROSTATICAS EN TUBERIA DE Ø04" C/ACOMETIDAS</t>
  </si>
  <si>
    <t>M.O. PRUEBA HIROSTATICAS EN TUBERIA DE Ø06" S/ACOMETIDAS</t>
  </si>
  <si>
    <t>M.O. PRUEBA HIROSTATICAS EN TUBERIA DE Ø10" S/ACOMETIDAS</t>
  </si>
  <si>
    <t>ALQ. COMPACTADOR MECÁNICO</t>
  </si>
  <si>
    <t>ALQ. CARGADOR FRONTAL CAT-950 (130 H.P.)</t>
  </si>
  <si>
    <t>ALQ. TRACTOR CAT-8K (300 H.P)</t>
  </si>
  <si>
    <t>SUM. PLYWOOD DE 3/4"x4'x8'</t>
  </si>
  <si>
    <t>Ferreteria luciano On lLine</t>
  </si>
  <si>
    <t xml:space="preserve">SUM. VÁLVULA DE AIRE ROSCADA COMBINADA Ø01'' </t>
  </si>
  <si>
    <t>Cot.7141 Hidrotec, 10-03-2021</t>
  </si>
  <si>
    <t xml:space="preserve">SUM. CLAMP 10" x1" ACERO </t>
  </si>
  <si>
    <t xml:space="preserve">M.O. VÁLVULA DE AIRE COMBINADA Ø01'' </t>
  </si>
  <si>
    <t>SUM. PINTURA ESMALTE (Base en aceite)</t>
  </si>
  <si>
    <t>M.O. APLICACION PINTURA ESMALTE (BASE EN ACEITE) ( DOS MANOS )</t>
  </si>
  <si>
    <t>SUM. THINNER</t>
  </si>
  <si>
    <t>SUM INPERMEABILIZANTE SUPRAWELD</t>
  </si>
  <si>
    <t>Vinaldom, cot.1412-18, d/f 11-12-2018, precio en US$</t>
  </si>
  <si>
    <t>SUM. TUBERÍA Ø4'' ACERO SCH-40</t>
  </si>
  <si>
    <t>M.O. TUBERÍA Ø4'' ACERO SCH-40</t>
  </si>
  <si>
    <t xml:space="preserve">SUM. TUBERIA ½" x 20'  H.G. </t>
  </si>
  <si>
    <t>Listado Insumo Simó</t>
  </si>
  <si>
    <t>ALQ. MOTOSOLDADORA</t>
  </si>
  <si>
    <t>Cot. Email- TOP CAT- 29-03-2021</t>
  </si>
  <si>
    <t>SUM ELECTRODOS 7010</t>
  </si>
  <si>
    <t xml:space="preserve">ALQ. TALADRO </t>
  </si>
  <si>
    <t>ALQ. GENERADOR ELECTRICO DE 5 KW</t>
  </si>
  <si>
    <t>SUM. BARRA DE ½" x ½"  20' H.N (Cuadrada)</t>
  </si>
  <si>
    <t>Listado Casa Rodriguez Oct-2020</t>
  </si>
  <si>
    <t xml:space="preserve">SUM. ZINC ACANALADO, 3'x6', CAL. 26 </t>
  </si>
  <si>
    <t xml:space="preserve">SUM. CLAVO DE ZINC 2 1/2" </t>
  </si>
  <si>
    <t>SUM. BISAGRAS "STANLEY" 3 1/2"x3 1/2", TIPO LIBRO, DORADAS 82-100</t>
  </si>
  <si>
    <t>SUM. PESTILLO 60 MM CORRIENTE BICROMADO 384-60</t>
  </si>
  <si>
    <t>SUM. PORTACANDADO 4" CORRIENTE</t>
  </si>
  <si>
    <t xml:space="preserve">SUM. CANDADO 50 mm </t>
  </si>
  <si>
    <t>M.O. INTERRIPTOR SENCILLO (Eléctrica)</t>
  </si>
  <si>
    <t>M.O. LUZ CENITAL (El\ectrica)</t>
  </si>
  <si>
    <t>M.O. TOMACORRIENTE DOBLE (Eléctrica)</t>
  </si>
  <si>
    <t>SUM. ACCESORIO (INTERRUPTOR) (Eléctrica)</t>
  </si>
  <si>
    <t>Mundo Eléctrico</t>
  </si>
  <si>
    <t>SUM. ACCESORIO (TOMACORRIENTE) (Eléctrica)</t>
  </si>
  <si>
    <t>SUM. ALAMBRE #12 TW (Eléctrica)</t>
  </si>
  <si>
    <t>SUM. CAJA OCTAGONAL (Eléctrica)</t>
  </si>
  <si>
    <t>SUM. CAJA RECTANGULAR ½" ( Eléctrica )</t>
  </si>
  <si>
    <t>SUM. CEMENTO PVC + 30% DESP. (¼ GL.) (Eléctrica)</t>
  </si>
  <si>
    <t>SUM. CINTA ADHESIVA "3M" (ROLLO) (Eléctrica)</t>
  </si>
  <si>
    <t>SUM. CODOS PLÁSTICOS ½" (Eléctrica)</t>
  </si>
  <si>
    <t>SUM. ROSETA DE PORCELANA (Eléctrica)</t>
  </si>
  <si>
    <t>SUM. TUBO ½"x20' PVC SDR-26 + 15% DESP.(Eléctrica)</t>
  </si>
  <si>
    <t>SUM. PLANCHUELA DE ¼" x 2" x 20' H.N</t>
  </si>
  <si>
    <t>SUM. BARRA DE ½" x 20' H.N (Redonda)</t>
  </si>
  <si>
    <t>M.O. CONFECCIÓN DE MOLDE COL. &gt;0.30 &lt; 0.40</t>
  </si>
  <si>
    <t>Resolución No. 01 -2018, M.T.</t>
  </si>
  <si>
    <t>M.O. INSTALACIÓN DE MOLDE COL. &gt;0.30 &lt; 0.40</t>
  </si>
  <si>
    <t>M.O. DESENCOFRADO EN COLUMNA</t>
  </si>
  <si>
    <t xml:space="preserve">TRA. TRANSPORTE DE CAMIÓN DE 6 M3 </t>
  </si>
  <si>
    <t>VIAJE</t>
  </si>
  <si>
    <t>Listado Constru-Costos 2019</t>
  </si>
  <si>
    <t>M.O. CONFECCIÓN DE MOLDE MUROS</t>
  </si>
  <si>
    <t>M.O. INSTALACIÓN DE MOLDE MUROS</t>
  </si>
  <si>
    <t>M.O. DESENCOFRADO EN MUROS</t>
  </si>
  <si>
    <t>M.O. DESENCOFRADO EN VIGA</t>
  </si>
  <si>
    <t>M.O. CONFECCIÓN E INSTALACIÓN DE MOLDE DE VIGA 0.25x0.40</t>
  </si>
  <si>
    <t>M.O. HECHURA DE FALSO PISO .&gt; 2.75 M</t>
  </si>
  <si>
    <t>M.O. DESENCOFRADO EN FALSO PISO</t>
  </si>
  <si>
    <t>M.O. HECHURA DE FALSO PISO .&lt;= 2.75 M</t>
  </si>
  <si>
    <t xml:space="preserve">SUM. PINTURA OXIGARD NO TOXICA </t>
  </si>
  <si>
    <t>ALQ. LIGADORA DE 2 FUNDA</t>
  </si>
  <si>
    <t>Ingeteca</t>
  </si>
  <si>
    <t xml:space="preserve">SUM. VÁLVULA DE AIRE ROSCADA COMBINADA Ø02'' </t>
  </si>
  <si>
    <t>List. Precio DCP- Mar-2021</t>
  </si>
  <si>
    <t xml:space="preserve">SUM. CLAMP 10" x 2" ACERO </t>
  </si>
  <si>
    <t xml:space="preserve">M.O. VÁLVULA DE AIRE COMBINADA Ø02'' </t>
  </si>
  <si>
    <t>SUM. TUBERÍA Ø2'' ACERO SCG-160</t>
  </si>
  <si>
    <t>SUM. EPOXICO ET HP 22  (CARTUCHO DE 22 ONZA )</t>
  </si>
  <si>
    <t>Cot. Karay 1274- 23-03-2021</t>
  </si>
  <si>
    <t xml:space="preserve">SUM. APLICADOR PARA EPOXICO ET HP 22 </t>
  </si>
  <si>
    <t>SUM. NIPLE ROSCADO GALVANIZADO 1"x12"</t>
  </si>
  <si>
    <t>Ferreteria Ochoa  On Line 07-04-2021</t>
  </si>
  <si>
    <t>M.O. CONFECCIÓN DE MOLDE VIGA DE AMARRE 0.15 Ó 0.20 , H=0.20</t>
  </si>
  <si>
    <t xml:space="preserve">M.O. DESENCOFRADO DE VIGA </t>
  </si>
  <si>
    <t>M.O. CORTE Y AMARRE DE VARILLA EN MURO DE BLOQUE</t>
  </si>
  <si>
    <t>Resolución No. 03 -2020, M.T.</t>
  </si>
  <si>
    <t>SUM. TUBERÍA Ø08'' PVC SCDR-26 C/J.G.</t>
  </si>
  <si>
    <t>M.O. TUBERÍA Ø08'' PVC SCDR-26 C/J.G.</t>
  </si>
  <si>
    <t>SUM. TAPA DE POLIPROPILENO DE 1.00x1.00 M</t>
  </si>
  <si>
    <t>Cot. Feray LF072- 13-04-2021</t>
  </si>
  <si>
    <t>M.O RANURADO EN TUBERIA DE Ø8" PVC</t>
  </si>
  <si>
    <t>SUM TAPÓN DE Ø4" PVC</t>
  </si>
  <si>
    <t>Listado piezas Corvi</t>
  </si>
  <si>
    <t>M.O. TAPÓN DE Ø4" PVC</t>
  </si>
  <si>
    <t>SUM. ESCALERA EN ACERO INOX. PARA INTERIOR</t>
  </si>
  <si>
    <t>Cot. RAPALMARE1780- 05-02-2021</t>
  </si>
  <si>
    <t xml:space="preserve">SUM. TAPA 0.80 x 0.80 M EN ALUMINIO FUNDIDO </t>
  </si>
  <si>
    <t>Cot. FUNDICIONES CIBAO Enmail 13-04-2021</t>
  </si>
  <si>
    <t xml:space="preserve">SUM. TAPA 1.00 x 1.00 M EN ALUMINIO FUNDIDO </t>
  </si>
  <si>
    <t>SUM, DISCO DE CORTE PARA METAL</t>
  </si>
  <si>
    <t>Ferreteria Ochoa On lLine</t>
  </si>
  <si>
    <t>Excavación material  a mano</t>
  </si>
  <si>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</si>
  <si>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</si>
  <si>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</si>
  <si>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</si>
  <si>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</si>
  <si>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</si>
  <si>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</si>
  <si>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</si>
  <si>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Pañete en techo ( inc. vuelo )</t>
  </si>
  <si>
    <t xml:space="preserve">Fino losa de techo  </t>
  </si>
  <si>
    <t xml:space="preserve">Cantos </t>
  </si>
  <si>
    <t>Pintura acrílica (incluye Base Blanca)</t>
  </si>
  <si>
    <t>Acera perimetral 0.60 M</t>
  </si>
  <si>
    <t>INSTALACIONES (SUMINISTRO Y COLOCACIÓN)</t>
  </si>
  <si>
    <t xml:space="preserve">Puerta doble de tola (2.70 x 2.00)m </t>
  </si>
  <si>
    <t>Ventana Salomónicas de aluminio</t>
  </si>
  <si>
    <t>ELÉCTRICA</t>
  </si>
  <si>
    <t>Salidas luces cenitales en PVC</t>
  </si>
  <si>
    <t>Salida interruptores sencillo</t>
  </si>
  <si>
    <t>Salida toma corriente doble 120V  PVC</t>
  </si>
  <si>
    <t>SUMINISTRO E INSTALACIÓN DE EQUIPOS, TUBERIAS Y PIEZAS:</t>
  </si>
  <si>
    <t>Bomba de Servicio 1 HP</t>
  </si>
  <si>
    <t xml:space="preserve">Tubería  Ø2" PVC SDR-26 </t>
  </si>
  <si>
    <t>Movimiento de tierra p/tuberías</t>
  </si>
  <si>
    <t>Logo y  letrero de INAPA</t>
  </si>
  <si>
    <t xml:space="preserve">CASETA  DE BOMBAS </t>
  </si>
  <si>
    <t>Muro Canal entrada 0.10</t>
  </si>
  <si>
    <t>Muros 0.15m -2.8 qq/m3</t>
  </si>
  <si>
    <t>Mes</t>
  </si>
  <si>
    <t>P³</t>
  </si>
  <si>
    <t>Tubería colectora 6" PVC L=2.64, c/orificio de Ø¾" @ 0.14m</t>
  </si>
  <si>
    <t>Relleno compactado con  material de excavación.</t>
  </si>
  <si>
    <t xml:space="preserve">Tubería ø3/4"  PVC (SCH-40)  </t>
  </si>
  <si>
    <t xml:space="preserve">Tubería acero ø12" SCH-40 </t>
  </si>
  <si>
    <t>Tubería acero ø8" SCH-40</t>
  </si>
  <si>
    <t xml:space="preserve">M.O. JUNTA MECÁNICA TIPO Dresser Ø03" ACERO </t>
  </si>
  <si>
    <t xml:space="preserve">M.O. JUNTA MECÁNICA TIPO Dresser Ø04" ACERO </t>
  </si>
  <si>
    <t xml:space="preserve">M.O. JUNTA MECÁNICA TIPO Dresser Ø06" ACERO </t>
  </si>
  <si>
    <t xml:space="preserve">M.O. JUNTA MECÁNICA TIPO Dresser Ø10" ACERO </t>
  </si>
  <si>
    <t>M.O. PIEZAS 03" ACERO x Dresser</t>
  </si>
  <si>
    <t>M.O. PIEZAS 04" ACERO x Dresser</t>
  </si>
  <si>
    <t>M.O. PIEZAS 06" ACERO x Dresser</t>
  </si>
  <si>
    <t>M.O. PIEZAS 10" ACERO x Dresser</t>
  </si>
  <si>
    <t xml:space="preserve">SUM. JUNTA MECÁNICA TIPO Dresser Ø03" ACERO </t>
  </si>
  <si>
    <t xml:space="preserve">SUM. JUNTA MECÁNICA TIPO Dresser Ø04" ACERO </t>
  </si>
  <si>
    <t xml:space="preserve">SUM. JUNTA MECÁNICA TIPO Dresser Ø06" ACERO </t>
  </si>
  <si>
    <t xml:space="preserve">SUM. JUNTA MECÁNICA TIPO Dresser Ø10" ACERO </t>
  </si>
  <si>
    <t>Válvula de Compuerta con cuadrante 12" H.F. completa (inc. 2 niples platillados, 2 juegos tornillos y 2 juntas Dresser</t>
  </si>
  <si>
    <t xml:space="preserve">Junta mecánica tipo Dresser Ø6" </t>
  </si>
  <si>
    <t>Junta mecánica tipo Dresser Ø6"</t>
  </si>
  <si>
    <t>Junta mecánica tipo Dresser Ø4"</t>
  </si>
  <si>
    <t>Codo ø12" x 90° PVC drenaje</t>
  </si>
  <si>
    <t>Codo ø8" x 45° PVC drenaje</t>
  </si>
  <si>
    <t>Yee ø12" x ø8" PVC drenaje</t>
  </si>
  <si>
    <t>Yee ø8" x ø8" PVC drenaje</t>
  </si>
  <si>
    <t>Sifón 2", PVC.</t>
  </si>
  <si>
    <t>Sifón 4", PVC dren.</t>
  </si>
  <si>
    <t>Sifón 1 ½", PVC.</t>
  </si>
  <si>
    <t>Arandela PVC 4", para fijar inodoro.</t>
  </si>
  <si>
    <t>Cemento PVC criollo, PINTA + 25% desp..</t>
  </si>
  <si>
    <t>Desagüe doble para fregadero, PVC.</t>
  </si>
  <si>
    <t>IMBORNALES</t>
  </si>
  <si>
    <t>Imbornal de 1 parrilla sin filtrante c/ muros de bloques</t>
  </si>
  <si>
    <t>&lt;?xml version="1.0" encoding="utf-8"?&gt;_x000D_
&lt;QuantityLinks Version="3"&gt;_x000D_
  &lt;Links /&gt;_x000D_
  &lt;Filesets /&gt;_x000D_
  &lt;Guids /&gt;_x000D_
&lt;/QuantityLinks&gt;</t>
  </si>
  <si>
    <t>Replanteo y topografía</t>
  </si>
  <si>
    <t>SUMINISTRO TUBERÍA PVC SDR-26</t>
  </si>
  <si>
    <t>COLOCACIÓN TUBERÍA PVC SDR-26</t>
  </si>
  <si>
    <t>SUMINISTRO E INSTALACIÓN PIEZAS DE PVC PRESIÓN</t>
  </si>
  <si>
    <t xml:space="preserve">Mano de obra plomero </t>
  </si>
  <si>
    <t>Codo ø12" x 45° PVC drenaje</t>
  </si>
  <si>
    <t>Zapata de muro - 0.79 qq/m3</t>
  </si>
  <si>
    <t>Zapata de Columnas Z1- 2.33 qq/m3</t>
  </si>
  <si>
    <t>Columna 0.30 x 0.30  4.16 qq/m3</t>
  </si>
  <si>
    <t>Viga B.N.P  0.20 x 0.20  2.95 qq/m3</t>
  </si>
  <si>
    <t>Viga V1  0.40 x 0.25  4.32 qq/m3</t>
  </si>
  <si>
    <t>Losa de techo  e=0.12  2.12 qq/m3</t>
  </si>
  <si>
    <t>De 8" B.N.P Ø3/8 @ 0.60 m</t>
  </si>
  <si>
    <t>De 8" S.N.P Ø3/8" @ 0.60 m</t>
  </si>
  <si>
    <t>Cantos y Mochetas</t>
  </si>
  <si>
    <t>Sabaleta techo</t>
  </si>
  <si>
    <t>Sabaleta en techo</t>
  </si>
  <si>
    <t>Sabaleta</t>
  </si>
  <si>
    <t>Sabaleta H.S.</t>
  </si>
  <si>
    <t>Sabaleta DE 20"</t>
  </si>
  <si>
    <t>Desagüe de techo en tubería de Ø3 PVC SDR-26</t>
  </si>
  <si>
    <t>SUMINISTRO E INSTALACIÓN DE:</t>
  </si>
  <si>
    <t>Puerta metálica (2.10 X 1.50) M</t>
  </si>
  <si>
    <t>Salida Panel de Distribución de 2/4 espacio  c/breakers</t>
  </si>
  <si>
    <t>SUMINISTRO E INSTALACIÓN PIEZAS DE PVC DRENAJE</t>
  </si>
  <si>
    <t xml:space="preserve">Tee ø4" x ø3" </t>
  </si>
  <si>
    <t xml:space="preserve">Tee ø4" x ø2" </t>
  </si>
  <si>
    <t>DRENAJE SANITARIO</t>
  </si>
  <si>
    <t>TERMINACIÓN DE SUPERFICIE EN PLANTA:</t>
  </si>
  <si>
    <t>Zapata de columna - esp. = 0.30m - 0.86qq/m3</t>
  </si>
  <si>
    <t>Zapata de Muro</t>
  </si>
  <si>
    <t>Relleno Losa de Piso</t>
  </si>
  <si>
    <t>Acero en Losa Casa de Quimicos Entrepiso</t>
  </si>
  <si>
    <t>Refuerzos Planos</t>
  </si>
  <si>
    <t>Volumen de Losa</t>
  </si>
  <si>
    <t>qq/m3</t>
  </si>
  <si>
    <t>Acero en Losa Casa de Quimicos Losa de Techo</t>
  </si>
  <si>
    <t>Perchas 15%</t>
  </si>
  <si>
    <t>caja de escalera</t>
  </si>
  <si>
    <t>SUMINISTRO DE ESCALERAS, TAPA Y VENTILACIÓN DE TECHO</t>
  </si>
  <si>
    <t>SUMINISTRO E INSTALACIÓN DE TUBERÍAS DE ENTRADA, SALIDA, BY-PASS, REBOSE Y DESAGUE</t>
  </si>
  <si>
    <t xml:space="preserve">Reducción ø2" x ø1" PVC </t>
  </si>
  <si>
    <t>Codo ø2" x 45° PVC drenaje</t>
  </si>
  <si>
    <t>Yee ø2" x ø2" PVC drenaje</t>
  </si>
  <si>
    <t>Reducción ø4" x ø2"</t>
  </si>
  <si>
    <t>Contén</t>
  </si>
  <si>
    <t>Piso c/malla electrosoldada (Inc. pulido)</t>
  </si>
  <si>
    <t>Bote de material c/camión @5 km (inc. carguío y esparcimiento en botadero)</t>
  </si>
  <si>
    <t>Relleno compactado c/compactador mecánico en capa de 0.20 m</t>
  </si>
  <si>
    <t xml:space="preserve">Acrílica azul turquesa en vigas y columnas </t>
  </si>
  <si>
    <t>Interconexión con EDESUR</t>
  </si>
  <si>
    <t>Pintura acrílica (incluye base blanca)</t>
  </si>
  <si>
    <t>Honorarios Profesionales</t>
  </si>
  <si>
    <t xml:space="preserve"> Supervisión de INAPA</t>
  </si>
  <si>
    <t>Gastos Administrativos</t>
  </si>
  <si>
    <t>Seguro, Pólizas y Fianzas</t>
  </si>
  <si>
    <t>Gastos Transporte</t>
  </si>
  <si>
    <t>Ley 6-86</t>
  </si>
  <si>
    <t>Mantenimiento y Operación de Sistema INAPA</t>
  </si>
  <si>
    <t xml:space="preserve">Medida de Compensación Ambiental </t>
  </si>
  <si>
    <t>Imprevistos</t>
  </si>
  <si>
    <t>Tramitación de Planos Eléctricos EDESUR</t>
  </si>
  <si>
    <t>Excavaciones para fundación</t>
  </si>
  <si>
    <t>Tapa Aluminio Galvanizado 1.20 x 1.20 m</t>
  </si>
  <si>
    <t>REGISTROS DESAGÜE FLOCULADOR (INCL. SUMINISTRO Y COLOCACIÓN ):</t>
  </si>
  <si>
    <t xml:space="preserve">Tubería 8" Acero SCH-30 c/protección anticorrosiva </t>
  </si>
  <si>
    <t xml:space="preserve">Niple 8"x12" Acero SCH-40 c/protección anticorrosiva </t>
  </si>
  <si>
    <t xml:space="preserve">Codo 8'' x 45° Acero SCH-30   c/protección anticorrosiva </t>
  </si>
  <si>
    <t>Compuerta  tipo Mural (0.50 m x 0.70) m, marcos de más de 2" en tolas de 1/4" reforzadas materiales standard fabricación Acero Inoxidable 316/304 espesor tola ¼". vástago en HG 1½")</t>
  </si>
  <si>
    <t xml:space="preserve">HORMIGON CICLÓPEO </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</si>
  <si>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</si>
  <si>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Junta tapón 12" acero con recubrimiento anticorrosivo</t>
  </si>
  <si>
    <t xml:space="preserve">Tapón Ø6" PVC </t>
  </si>
  <si>
    <t xml:space="preserve">Orificios de Ø6" </t>
  </si>
  <si>
    <t>Niple 12'' x 12" acero SCH-40  s/costura con recubrimiento anticorrosivo</t>
  </si>
  <si>
    <t>SUMINISTRO Y COLOCACIÓN DE:</t>
  </si>
  <si>
    <t xml:space="preserve">Niple 4" x 3" acero SCH-40 c/protección anticorrosiva  </t>
  </si>
  <si>
    <t>Tee 12" x 8" acero sin costura con recubrimiento anticorrosivo</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</si>
  <si>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</si>
  <si>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</si>
  <si>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</si>
  <si>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</si>
  <si>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Compuerta sumergible dimensiones 0.40m x 0.30m, marcos de más de 2" en Tolas de 1/4" reforzadas materiales standard fabricación Acero Inoxidable AISI 316/304 espesor tola ¼". vástago en HG 1½"  (huecos de Ø16") Salida Agua Filtrada</t>
  </si>
  <si>
    <t>Compuerta   tipo Channel (1.00x 0.40 )m  en el vertedor de Salida de los Filtros, marcos de más de 3" en tolas de 1/4 (materiales en Acero Inoxidable según  AISI 304 altura de operación 2.20 m)</t>
  </si>
  <si>
    <t>INSTALACIONES EN REGISTROS:</t>
  </si>
  <si>
    <t>Tapa  1.00 x 1.00  Aluminio</t>
  </si>
  <si>
    <t xml:space="preserve">Tubería 12" Acero SCH-30 sin costura </t>
  </si>
  <si>
    <t>Movimiento de tierra p/Tubería</t>
  </si>
  <si>
    <t>Rejilla de Acero inoxidable (0.70 x 0.70)m</t>
  </si>
  <si>
    <t>Tapa metálica material aluminio (0.70x0.70) m</t>
  </si>
  <si>
    <t xml:space="preserve">SUMINISTRO E INSTALACIÓN DE MECANISMOS Y PEDESTALES PARA VÁLVULAS CON TUBOS DE 1 1/2" ACERO INOXIDABLE  (15 PIES ) </t>
  </si>
  <si>
    <t>De 8"  Entrada Filtro</t>
  </si>
  <si>
    <t>Bloques de 6" SNP</t>
  </si>
  <si>
    <t>Puerta doble en tola de 1/4" (1.62 x 2.10) m (ver detalle)</t>
  </si>
  <si>
    <t>Ventana Salomónicas de Aluminio con palanca</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</si>
  <si>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</si>
  <si>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</si>
  <si>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</si>
  <si>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Tubería PVC ø1" x 19' SDR-26 + 3% perdida</t>
  </si>
  <si>
    <t>Tubería PVC ø1" x 19' SDR-26</t>
  </si>
  <si>
    <t>Tubería PVC ø4" x 19' SDR-26 + 4% perdida</t>
  </si>
  <si>
    <t>Tubería PVC ø2" x 19' SDR-26 + 3% perdida</t>
  </si>
  <si>
    <t xml:space="preserve">Tubería PVC ø2" x 19' SDR-26 </t>
  </si>
  <si>
    <t xml:space="preserve">Tubería PVC ø4" x 19' SDR-26 </t>
  </si>
  <si>
    <t>Salidas cenitales 110V</t>
  </si>
  <si>
    <t xml:space="preserve">Turbidimetro Potable 2100Q RANT 0.1000 NTY </t>
  </si>
  <si>
    <t xml:space="preserve">Equipo de prueba de Jarras </t>
  </si>
  <si>
    <t>Balanza de semiprecisión de 2610 GRS</t>
  </si>
  <si>
    <t>Termómetro de vidrio de 20 @ 120 C</t>
  </si>
  <si>
    <t xml:space="preserve">Banqueta de pino </t>
  </si>
  <si>
    <t>Escritorio Secretarial de metal laminado</t>
  </si>
  <si>
    <t>Sillón Secretarial sistema neumático</t>
  </si>
  <si>
    <t>Archivo de tres Gavetas</t>
  </si>
  <si>
    <t>Coladores con palos 3.00m</t>
  </si>
  <si>
    <t>Cubos para limpieza</t>
  </si>
  <si>
    <t>Rastrillos de H.F. (con  dientes)</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</si>
  <si>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</si>
  <si>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</si>
  <si>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</si>
  <si>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</si>
  <si>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</si>
  <si>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</si>
  <si>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</si>
  <si>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</si>
  <si>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Salidas tomacorriente doble 120V</t>
  </si>
  <si>
    <t xml:space="preserve">Bloques de 6" BNP </t>
  </si>
  <si>
    <t>Piso granito corriente</t>
  </si>
  <si>
    <t>Tinaco de 250 Gls</t>
  </si>
  <si>
    <t xml:space="preserve">Tubería PVC ø1" x 19' SDR-26 </t>
  </si>
  <si>
    <t>Codo ø1" x 90° PVC SCH-40</t>
  </si>
  <si>
    <t>Codo ø1" x 45° PVC SCH-40</t>
  </si>
  <si>
    <t>Tee ø1" PVC  SCH-40</t>
  </si>
  <si>
    <t>Tubería PVC ø1.1/2" x 19' SDR-26 + 3% perdida</t>
  </si>
  <si>
    <t>Tubería PVC ø1.1/2" x 19' SDR-26</t>
  </si>
  <si>
    <t>Sabaleta de piso</t>
  </si>
  <si>
    <t>De 8'' S.N.P @0.60mt</t>
  </si>
  <si>
    <t>De 8'' B.N.P @0.60mt</t>
  </si>
  <si>
    <t xml:space="preserve">Bomba 2 HP para llenado de Tina y Sistema de limpieza </t>
  </si>
  <si>
    <t>Tanque Hidroneumático en Fibra, capacidad 75 GLS.</t>
  </si>
  <si>
    <t>Codo 2"x90ᵒ</t>
  </si>
  <si>
    <t>Codo 2"x45ᵒ</t>
  </si>
  <si>
    <t>Tee 2"x2"</t>
  </si>
  <si>
    <t>Yee 2"x2"</t>
  </si>
  <si>
    <t xml:space="preserve">Adaptador Ø2"  </t>
  </si>
  <si>
    <t>Manguera de 5/8"x75'</t>
  </si>
  <si>
    <t xml:space="preserve">Mano de obra instalación </t>
  </si>
  <si>
    <t>SUB-TOTAL VIII</t>
  </si>
  <si>
    <t>Postes en H.A.,V 40´ 800 DAM</t>
  </si>
  <si>
    <t>Postes en H.A.,V 40´ 500 DAM</t>
  </si>
  <si>
    <t>Alambre  AAAC No. 2/0</t>
  </si>
  <si>
    <t>Estructura MT-101</t>
  </si>
  <si>
    <t xml:space="preserve">Postes H.A. V, 30´ 300 DAM </t>
  </si>
  <si>
    <t>Suministro e instalación de lámpara H.P.S tipo Cobra /250 W, 220 V</t>
  </si>
  <si>
    <t>Estructura MT-102</t>
  </si>
  <si>
    <t>Estructura MT-104</t>
  </si>
  <si>
    <t>Estructura MT-105</t>
  </si>
  <si>
    <t>Estructura PR-101</t>
  </si>
  <si>
    <t>Estructura AP-103</t>
  </si>
  <si>
    <t>Estructura TR-105</t>
  </si>
  <si>
    <t>Estructura F1-BT</t>
  </si>
  <si>
    <t>Estructura F2-BT</t>
  </si>
  <si>
    <t>Estructura SU-BT</t>
  </si>
  <si>
    <t>Estructura AL-BT</t>
  </si>
  <si>
    <t>Instalación de Postes</t>
  </si>
  <si>
    <t>Hoyo para Postes</t>
  </si>
  <si>
    <t>SUMINISTRO E INSTALACIÓN PARA CONEXIÓN GENERADOR ELÉCTRICO</t>
  </si>
  <si>
    <t>Zapata de Muro 0.35 - 1.68 qq/M³</t>
  </si>
  <si>
    <t>Losa de Fondo 0.20 -  2.73 qq/M³</t>
  </si>
  <si>
    <t>Losa de Techo 0.12 - 2.65 qqM³</t>
  </si>
  <si>
    <t>HORMIGÓN ARMADO F'C=280 KG/CM²</t>
  </si>
  <si>
    <r>
      <t>Hormigón de limpieza F</t>
    </r>
    <r>
      <rPr>
        <sz val="11"/>
        <rFont val="Calibri"/>
        <family val="2"/>
      </rPr>
      <t>´</t>
    </r>
    <r>
      <rPr>
        <sz val="10"/>
        <rFont val="Arial"/>
        <family val="2"/>
      </rPr>
      <t>C</t>
    </r>
    <r>
      <rPr>
        <sz val="12.65"/>
        <rFont val="Arial"/>
        <family val="2"/>
      </rPr>
      <t>=</t>
    </r>
    <r>
      <rPr>
        <sz val="11"/>
        <rFont val="Arial"/>
        <family val="2"/>
      </rPr>
      <t>180 kg/CM²</t>
    </r>
  </si>
  <si>
    <t>Tubería de Ø6" PVC SDR-26 c/J.G.</t>
  </si>
  <si>
    <t xml:space="preserve">Niple de Ø6" x 36" acero SCH-40, c/ protección anticorrosiva </t>
  </si>
  <si>
    <t>Codo de Ø6" x 90º acero SCH-40, c/protección anticorrosiva soldado</t>
  </si>
  <si>
    <t>Tee de 6""x 6º acero SCH-40, c/protección anticorrosiva soldado</t>
  </si>
  <si>
    <t>Anclaje para piezas (según diseño)</t>
  </si>
  <si>
    <t>Válvula Compuerta Ø6" platillada H.F.</t>
  </si>
  <si>
    <t>MOVIMIENTO DE TIERRA PARA TUBERÍAS:</t>
  </si>
  <si>
    <t xml:space="preserve">Alimentador eléctrico desde transformadores hasta Main Breaker con 2 conductores THW No.2, 1 conductor THW No.4 y 1 conductor no.2 a 7 hilos trenzados en tuberías IMC y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</si>
  <si>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</si>
  <si>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</si>
  <si>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</si>
  <si>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</si>
  <si>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</si>
  <si>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</si>
  <si>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</si>
  <si>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</si>
  <si>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</si>
  <si>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Registro en bloque de 6" para eléctricos (0.6*0.6*0.6)m</t>
  </si>
  <si>
    <t>Tape plástico 3M Scotch</t>
  </si>
  <si>
    <t>Tape de goma 3M Scotch</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</si>
  <si>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</si>
  <si>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</si>
  <si>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</si>
  <si>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 xml:space="preserve">Block 6"  BNP, ø3/8"@0.60mt  </t>
  </si>
  <si>
    <t>VARIOS:</t>
  </si>
  <si>
    <t>TERMINACIÓN SUPERFICIE:</t>
  </si>
  <si>
    <t>HORMIGON ARMADO FC'= 210 KG/CM2 EN:</t>
  </si>
  <si>
    <t>EQUIPOS :</t>
  </si>
  <si>
    <t>MOVIMIENTO  DE TIERRA</t>
  </si>
  <si>
    <t>HORMIGON ARMADO  FC'= 210 KG/CM2 EN :</t>
  </si>
  <si>
    <t xml:space="preserve">HORMIGON ARMADO FC'= 180 KG/CM2 EN: </t>
  </si>
  <si>
    <t>HORMIGÓN ARMADO  210 KG/CM2 EN:</t>
  </si>
  <si>
    <t xml:space="preserve">HORMIGON ARMADO FC'= 280 KG/CM2 EN: </t>
  </si>
  <si>
    <t>HORMIGON ARMADO   FC'= 280 KG/CM2 EN:</t>
  </si>
  <si>
    <t xml:space="preserve">Registro H= 2.50 m </t>
  </si>
  <si>
    <t xml:space="preserve">Registro  H=3.00 m </t>
  </si>
  <si>
    <t xml:space="preserve">Registro  H=3.50 m </t>
  </si>
  <si>
    <t xml:space="preserve">Registro H=5.50 m </t>
  </si>
  <si>
    <t>REGISTROS DE H.A PREFABRICADOS DE D=1.20 M (SEGÚN DISEÑO)</t>
  </si>
  <si>
    <t>Registro  H=1.50 m</t>
  </si>
  <si>
    <t xml:space="preserve">Encache 0.20 m </t>
  </si>
  <si>
    <t>Registro de Block para Válvula de Compuerta (según diseño)</t>
  </si>
  <si>
    <t>Escalera interior acero Inox. H= 2.70 M</t>
  </si>
  <si>
    <t xml:space="preserve">Impermeabilizante sellador de superficie </t>
  </si>
  <si>
    <t>Tubería PVC ø8" SDR-26 c/J.G.</t>
  </si>
  <si>
    <t xml:space="preserve">Excavación a mano </t>
  </si>
  <si>
    <t>SUMINISTRO TUBERÍA:</t>
  </si>
  <si>
    <t>Tubería PVC ø12" SDR-26 c/J.G.+ 4% perdida</t>
  </si>
  <si>
    <t>Tubería acero ø8" SCH-40 C/protección anticorrosiva</t>
  </si>
  <si>
    <t>Tubería acero ø12" SCH-40 C/protección anticorrosiva</t>
  </si>
  <si>
    <t xml:space="preserve">Tubería PVC ø12" SDR-26 c/J.G. </t>
  </si>
  <si>
    <t>COLOCACIÓN TUBERÍA :</t>
  </si>
  <si>
    <t>Válvula Compuerta ø12" platillada (inc. Niple acople)</t>
  </si>
  <si>
    <t>Válvula Compuerta ø8" platillada (inc. Niple acople)</t>
  </si>
  <si>
    <t xml:space="preserve">Junta Mecánica Tipo Dresser Ø8" </t>
  </si>
  <si>
    <r>
      <t>Registro para V</t>
    </r>
    <r>
      <rPr>
        <sz val="11"/>
        <rFont val="Calibri"/>
        <family val="2"/>
      </rPr>
      <t>á</t>
    </r>
    <r>
      <rPr>
        <sz val="11"/>
        <rFont val="Arial"/>
        <family val="2"/>
      </rPr>
      <t>lvula de Ø8" (según diseño)</t>
    </r>
  </si>
  <si>
    <t>Compuertas Entrada tipo Channel, marcos de más de 2" en tolas de 1/4", materiales standard, fabricación acero inoxidable AISI 316/304 espesor tola ¼". Vástago en HG 1½" (salida) (dimensiones 0.40m x 0.50m)</t>
  </si>
  <si>
    <t>Compuerta Salida tipo Channel, marcos de más de 2" en tolas de 1/4", materiales standard, fabricación acero inoxidable AISI 316/304 espesor tola ¼". Vástago en HG 1½" (entrada ) (dimensiones 1.00m x 0.50m)</t>
  </si>
  <si>
    <t>Muro de bloques 6"  ( 3/8"@0.60 ) B.N.P</t>
  </si>
  <si>
    <t>Muro de bloques 6"  ( 3/8"@0.60 ) S.N.P</t>
  </si>
  <si>
    <r>
      <t>M</t>
    </r>
    <r>
      <rPr>
        <sz val="10"/>
        <rFont val="Calibri"/>
        <family val="2"/>
      </rPr>
      <t>²</t>
    </r>
  </si>
  <si>
    <t>Zapata de Muro ( 0.45 x 0.25 ) - 0.85 qq/m³</t>
  </si>
  <si>
    <t>Viga  de Amarre BNP (0.20 x 0.15 ) - 3.70 qq/m³</t>
  </si>
  <si>
    <t>Viga de Amarre  V1 (0.30 x 0.30 ) - 3.50 qq/m³</t>
  </si>
  <si>
    <t>Viga de Amarre  V2 (0.30 x 0.30 ) - 6.65 qq/m³</t>
  </si>
  <si>
    <t>Losa de Fondo 0.10 c/malla electrosoldada</t>
  </si>
  <si>
    <r>
      <t>M</t>
    </r>
    <r>
      <rPr>
        <sz val="10"/>
        <rFont val="Calibri"/>
        <family val="2"/>
      </rPr>
      <t>³</t>
    </r>
  </si>
  <si>
    <t>Zapata de Columnas (1.20x1.20),e= 0.30-1.17 qq/m³</t>
  </si>
  <si>
    <t>Salida Cenitales</t>
  </si>
  <si>
    <t>Salida Interruptores Doble</t>
  </si>
  <si>
    <t>Salida Tomacorriente 120 V doble</t>
  </si>
  <si>
    <t>MOVIMIENTO DE TIERRRA:</t>
  </si>
  <si>
    <t>Losa de Fondo 0.25 -0.79 qq/m3</t>
  </si>
  <si>
    <t>Viga 0.30 x 0.20 -2.25 qq/m3</t>
  </si>
  <si>
    <t>Losa de Techo 0.12-2.23 qq/m3</t>
  </si>
  <si>
    <t>Fino de Techo</t>
  </si>
  <si>
    <t>MATERIAL DE FILTRO BIOLOGICO:</t>
  </si>
  <si>
    <t xml:space="preserve">Grava de Ø2" @ 3" </t>
  </si>
  <si>
    <t xml:space="preserve">Grava de Ø1" @ 2" </t>
  </si>
  <si>
    <t xml:space="preserve">Cámara de Inspección (0.70 x 0.70)m </t>
  </si>
  <si>
    <t>Pozo Filtrante Ø8" (según detalle)</t>
  </si>
  <si>
    <t>Registro  1.5m x 1.5m. (según detalle)</t>
  </si>
  <si>
    <t>Registro  1.0m x 1.0m. (según detalle)</t>
  </si>
  <si>
    <t>Registro 2.00mx 3.50m (según detalle)</t>
  </si>
  <si>
    <t>Suministro y colocación asiento de arena, H=0.10m</t>
  </si>
  <si>
    <t>Bote de material  c/camión,  distancia de 5Km (incluye esparcimiento en botadero)</t>
  </si>
  <si>
    <t xml:space="preserve">SUMINISTRO E INSTALACIÓN VÁLVULAS Y PIEZAS ESPECIALES: </t>
  </si>
  <si>
    <t>Codo ø12" x 90° acero SCH-40 C/protección anticorrosiva</t>
  </si>
  <si>
    <t>Tee ø12" x ø8" acero SCH-40 C/protección anticorrosiva</t>
  </si>
  <si>
    <t>Yee ø12" x ø12" acero SCH-40 C/protección anticorrosiva</t>
  </si>
  <si>
    <t>Codo ø12" x 45° acero SCH-40 C/protección anticorrosiva</t>
  </si>
  <si>
    <t>Reducción ø12" x ø8" C/protección anticorrosiva</t>
  </si>
  <si>
    <t xml:space="preserve">Junta mecánica tipo Dresser ø12" </t>
  </si>
  <si>
    <t xml:space="preserve">Junta mecánica tipo Dresser ø8" </t>
  </si>
  <si>
    <t>Mano de obra piezas de PVC</t>
  </si>
  <si>
    <t>Registro H=5.00 m</t>
  </si>
  <si>
    <t>Suministro material de mina</t>
  </si>
  <si>
    <t xml:space="preserve">Imprimación Sencilla </t>
  </si>
  <si>
    <t>PAVIMENTO</t>
  </si>
  <si>
    <t>VERJA PERIMETRAL EN BLOQUES DE 6" VIOLINADOS,  L=240.25 M</t>
  </si>
  <si>
    <t xml:space="preserve">Block 6" SNP,  ø3/8"@0.60mt, violinados </t>
  </si>
  <si>
    <t>PARTIDA</t>
  </si>
  <si>
    <t>DESCRIPICIÓN</t>
  </si>
  <si>
    <t>MONTO (RD$)</t>
  </si>
  <si>
    <t>EXPLANACIÓN CON EQUIPO VOL = 4,880.00 M³</t>
  </si>
  <si>
    <t>4.3.1</t>
  </si>
  <si>
    <t>4.3.2</t>
  </si>
  <si>
    <t>4.3.3</t>
  </si>
  <si>
    <t>4.3.4</t>
  </si>
  <si>
    <t>5.3.1</t>
  </si>
  <si>
    <t>5.3.2</t>
  </si>
  <si>
    <t>5.3.3</t>
  </si>
  <si>
    <t>5.3.4</t>
  </si>
  <si>
    <t>Muros 0.20m soportes apoyo de Losa Prefabricada -2.0qq/m3</t>
  </si>
  <si>
    <t>Muros 0.45m soportes apoyo de Losa Prefabricada -1.35qq/m3</t>
  </si>
  <si>
    <t>Muros 0.30m Contra-Fuerte -0.51 qq/m3</t>
  </si>
  <si>
    <t>Muros 0.20m  Canal de Entrada  1.44 qq/m3</t>
  </si>
  <si>
    <t>Muros 0.20m  Canal Entrada Sedimentadores- 2.59 qq/m3</t>
  </si>
  <si>
    <t>Muros 0.20m Registros -4.24 qq/m3</t>
  </si>
  <si>
    <t>Muros 0.20m Apoyo de Losa Prefabricada -2.11 qq/m3</t>
  </si>
  <si>
    <t>Muros 0.15m Vertedor -2.25 qq/m3</t>
  </si>
  <si>
    <t>Losa de Fondo 0.35m -1.37 qq/m3</t>
  </si>
  <si>
    <t>Losa de Fondo 0.20m -3.73 qq/m3</t>
  </si>
  <si>
    <t>Losa de Fondo Registro 0.20m -1.32 qq/m3</t>
  </si>
  <si>
    <t>Losa de Fondo Registro de Entrada 0.20m -1.16 qq/m3</t>
  </si>
  <si>
    <t>Losa de Fondo 0.15m -1.55 qq/m3</t>
  </si>
  <si>
    <t>Losa de Fondo 0.10m -1.70 qq/m3</t>
  </si>
  <si>
    <t>Zapata de muro Canal de Entrada (0.90x0.35)m -0.87 qq/m3</t>
  </si>
  <si>
    <t>Zapata de muro Contra Fuerte (0.90x0.35)m -1.37 qq/m3</t>
  </si>
  <si>
    <t>Losa de techo 0.15m Pasarela -1.27 qq/m3</t>
  </si>
  <si>
    <t>Losa de techo 0.15m Registro -1.89 qq/m3</t>
  </si>
  <si>
    <t>HORMIGÓN ARMADO F`C=210 KG/CM2 EN:</t>
  </si>
  <si>
    <t>HORMIGÓN ARMADO F`C=280 KG/CM2, INDUSTRIAL EN:</t>
  </si>
  <si>
    <t>SEDIMENTACIÓN DIRECTA</t>
  </si>
  <si>
    <t xml:space="preserve">MOVIMIENTO DE TIERRA  PARATUBERÍAS ENTRADA AGUA CRUDA </t>
  </si>
  <si>
    <t>9.2.6</t>
  </si>
  <si>
    <t>Hormigón ciclópeo en tolvas  de los Sedimentadores</t>
  </si>
  <si>
    <t>10.3.1</t>
  </si>
  <si>
    <t>10.3.2</t>
  </si>
  <si>
    <t>10.3.3</t>
  </si>
  <si>
    <t>10.3.4</t>
  </si>
  <si>
    <t>10.3.5</t>
  </si>
  <si>
    <t>10.3.6</t>
  </si>
  <si>
    <t>10.3.7</t>
  </si>
  <si>
    <t>10.3.8</t>
  </si>
  <si>
    <t>10.3.9</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</si>
  <si>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</si>
  <si>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</si>
  <si>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11.3.2</t>
  </si>
  <si>
    <t>11.3.3</t>
  </si>
  <si>
    <t>11.3.4</t>
  </si>
  <si>
    <t xml:space="preserve">Suministro de material de relleno  </t>
  </si>
  <si>
    <t>Bote de material con camión (dist.=5.0km) incluye esparcimiento en botadero</t>
  </si>
  <si>
    <t>INSTALACIÓN DE AGUA POTABLE</t>
  </si>
  <si>
    <r>
      <t xml:space="preserve">MOVIMIENTO DE TIERRA </t>
    </r>
    <r>
      <rPr>
        <sz val="10"/>
        <rFont val="Arial"/>
        <family val="2"/>
      </rPr>
      <t xml:space="preserve"> (incl. Excavación, relleno compactado, asiento de arena y bote de material)</t>
    </r>
  </si>
  <si>
    <t>10.5.1</t>
  </si>
  <si>
    <t>Tee ø1" PVC SCH-40</t>
  </si>
  <si>
    <t>Tee ø2" PVC SCH-40</t>
  </si>
  <si>
    <t>Mano de obra plomero  para piezas</t>
  </si>
  <si>
    <t>Cámara de Inspección</t>
  </si>
  <si>
    <t>15.3.1</t>
  </si>
  <si>
    <t>15.5.1</t>
  </si>
  <si>
    <t>15.5.2</t>
  </si>
  <si>
    <t>15.5.3</t>
  </si>
  <si>
    <t>15.5.4</t>
  </si>
  <si>
    <t>15.5.5</t>
  </si>
  <si>
    <t>15.6.1</t>
  </si>
  <si>
    <t>15.6.2</t>
  </si>
  <si>
    <t>15.6.3</t>
  </si>
  <si>
    <t>15.6.3.1</t>
  </si>
  <si>
    <t>15.6.3.2</t>
  </si>
  <si>
    <t>15.6.4</t>
  </si>
  <si>
    <t>15.6.4.1</t>
  </si>
  <si>
    <t>15.6.4.2</t>
  </si>
  <si>
    <t>15.6.5</t>
  </si>
  <si>
    <t>15.6.5.1</t>
  </si>
  <si>
    <t>15.6.5.2</t>
  </si>
  <si>
    <t>15.6.5.3</t>
  </si>
  <si>
    <t>15.6.5.4</t>
  </si>
  <si>
    <t>15.6.5.5</t>
  </si>
  <si>
    <t>15.6.5.6</t>
  </si>
  <si>
    <t>15.6.5.7</t>
  </si>
  <si>
    <t xml:space="preserve">Relleno de reposición compactado  a mano </t>
  </si>
  <si>
    <t>Desagüe de techo  Ø3" PVC SDR-26</t>
  </si>
  <si>
    <t>INSTALACIÓN ELÉCTRICA:</t>
  </si>
  <si>
    <t>Entrada Eléctrica ( Panel de Distribución de 2/4" circuitos )</t>
  </si>
  <si>
    <t xml:space="preserve">Mano de obra </t>
  </si>
  <si>
    <t>Dado de apoyo (0.15 x 0.30 x 0.40)m-2.67qq/m3</t>
  </si>
  <si>
    <t>Losa de techo 0.10m-1.71qq/m3</t>
  </si>
  <si>
    <t xml:space="preserve">Zapata de muros- 0.50 qq/m3 </t>
  </si>
  <si>
    <t>Dintel (0.15 x 0.20)m -5.2 qq/m3</t>
  </si>
  <si>
    <t>Corte de Material con equipo (Inc. Capa vegetal)</t>
  </si>
  <si>
    <t xml:space="preserve">SUMINISTRO AGUA POTABLE </t>
  </si>
  <si>
    <t>14.3.1</t>
  </si>
  <si>
    <t>14.4.1</t>
  </si>
  <si>
    <t>14.5.1</t>
  </si>
  <si>
    <t>14.5.2</t>
  </si>
  <si>
    <t>14.5.3</t>
  </si>
  <si>
    <t>14.5.4</t>
  </si>
  <si>
    <t>14.6.1</t>
  </si>
  <si>
    <t>14.6.2</t>
  </si>
  <si>
    <t>14.6.3</t>
  </si>
  <si>
    <t>14.6.3.1</t>
  </si>
  <si>
    <t>14.6.3.2</t>
  </si>
  <si>
    <t>14.6.3.4</t>
  </si>
  <si>
    <t>14.6.4</t>
  </si>
  <si>
    <t>14.6.4.1</t>
  </si>
  <si>
    <t>14.6.4.2</t>
  </si>
  <si>
    <t>14.6.4.4</t>
  </si>
  <si>
    <t>14.6.5</t>
  </si>
  <si>
    <t>14.6.5.1</t>
  </si>
  <si>
    <t>14.6.5.2</t>
  </si>
  <si>
    <t xml:space="preserve">Codo ø1.1/2" x 90° PVC </t>
  </si>
  <si>
    <t xml:space="preserve">Codo ø2" x 90° PVC </t>
  </si>
  <si>
    <t xml:space="preserve">Codo ø4" x 90° PVC </t>
  </si>
  <si>
    <t xml:space="preserve">Yee ø4" x ø2" PVC </t>
  </si>
  <si>
    <t xml:space="preserve">Mano de obra colocación de Piezas </t>
  </si>
  <si>
    <t>14.6.5.3</t>
  </si>
  <si>
    <t>14.6.5.4</t>
  </si>
  <si>
    <t>14.6.5.5</t>
  </si>
  <si>
    <t>15.3.2</t>
  </si>
  <si>
    <t>15.3.3</t>
  </si>
  <si>
    <t>15.4.1</t>
  </si>
  <si>
    <t>Desagüe de techo  de Ø3" PVC SDR-26</t>
  </si>
  <si>
    <t>1.2.1</t>
  </si>
  <si>
    <t>1.2.2</t>
  </si>
  <si>
    <t>1.2.3</t>
  </si>
  <si>
    <t>1.3.1</t>
  </si>
  <si>
    <t>1.3.2</t>
  </si>
  <si>
    <t>1.3.3</t>
  </si>
  <si>
    <t>1.3.4</t>
  </si>
  <si>
    <t>Replanteo y control topográfico en general (incluye Unidad de Tratamiento de Lodos y Depósito Regulador)</t>
  </si>
  <si>
    <t>Relleno de Reposición Compactado</t>
  </si>
  <si>
    <t>1.1.1</t>
  </si>
  <si>
    <t>1.1.2</t>
  </si>
  <si>
    <t>1.1.3</t>
  </si>
  <si>
    <t>1.2.4</t>
  </si>
  <si>
    <t>2.2.1</t>
  </si>
  <si>
    <t>2.2.2</t>
  </si>
  <si>
    <t>2.2.3</t>
  </si>
  <si>
    <t>2.2.4</t>
  </si>
  <si>
    <t>2.2.5</t>
  </si>
  <si>
    <t>2.3.1</t>
  </si>
  <si>
    <t>2.3.2</t>
  </si>
  <si>
    <t>2.3.3</t>
  </si>
  <si>
    <t>2.3.4</t>
  </si>
  <si>
    <t>Tubería PVC ø8" SDR-26 c/J.G. +4% perdida</t>
  </si>
  <si>
    <t>ÁREA EXTERIOR</t>
  </si>
  <si>
    <t>SUBTOTAL IX</t>
  </si>
  <si>
    <t>ELECTRIFICACIÓN</t>
  </si>
  <si>
    <t>Hoyo para Viento</t>
  </si>
  <si>
    <t>Estructura HA-100B</t>
  </si>
  <si>
    <t>SUB-TOTAL X</t>
  </si>
  <si>
    <t>XI</t>
  </si>
  <si>
    <t>SUB-TOTAL XI</t>
  </si>
  <si>
    <t>XII</t>
  </si>
  <si>
    <t>SUB-TOTAL XII</t>
  </si>
  <si>
    <t>XIII</t>
  </si>
  <si>
    <t>SUBTOTAL XIII</t>
  </si>
  <si>
    <t>ITBIS( Ley 07-2007)</t>
  </si>
  <si>
    <t>Completivo de Transporte Material Filtrante</t>
  </si>
  <si>
    <t>Campamento, (inc. Alquiler de solar o casa  y caseta para materiales)</t>
  </si>
  <si>
    <t>Computadora Dell XPS 8930 W10PRO, INTEL I7-8700 (3.2GHZ/12MB CACHÉ/6 CORE) 64GB DDR4-2666GHZ Wireless-N, DVD+/-RW, 2TB SATA 7200 RPM+256GB SSD PCE M.2, USB Keyboarb &amp; Mouse NVI, DIA GTX1060 6GB Graphics, Windows 10 PRO (incluye Monitor y UPS)</t>
  </si>
  <si>
    <t>Tapas selladas H.S. (0.70x0.70)m</t>
  </si>
  <si>
    <t>ELECTRIFICACIÓN PRIMARIA :</t>
  </si>
  <si>
    <t>ELECTRIFICACIÓN SECUNDARIA :</t>
  </si>
  <si>
    <t>DESAGÜE DE  LODOS, DRENAJE PLUVIAL Y DESAGUE EXTERIOR DE LA PLANTA</t>
  </si>
  <si>
    <t>TOTAL GENERAL (RD$)</t>
  </si>
  <si>
    <t>TOTAL A CONTRATAR (RD$)</t>
  </si>
  <si>
    <t>Valla anunciando Obra,  de 16'x 10', impresión Full Color, conteniendo logo de INAPA, nombre del proyecto y contratista. Estructura en tubos galvanizados 1 1/2 x 1 1/2 y soportes en tubo cuadrado 4"x4"</t>
  </si>
  <si>
    <t xml:space="preserve">Puesta en marcha y Operación de la Planta (incluye el costo del personal para la puesta en marcha y la elaboración del Manual de Operación de la Planta)  </t>
  </si>
  <si>
    <t xml:space="preserve">Limpieza final y continua </t>
  </si>
  <si>
    <t>Columnas de amarre (0.20 X 0.20)m - 4.36 QQ/M3, F᾽c=210 KG/CM²</t>
  </si>
  <si>
    <t>Viga de amarre  BNP (0.15 X 0.20)m -3.22 QQ/M3, F᾽c=210 KG/CM²</t>
  </si>
  <si>
    <t>Viga de amarre SNP (0.20 X 0.20)m - 2.45 QQ/M3, F᾽c=210 KG/CM²</t>
  </si>
  <si>
    <t>Pie</t>
  </si>
  <si>
    <r>
      <rPr>
        <sz val="11"/>
        <rFont val="Arial"/>
        <family val="2"/>
      </rPr>
      <t xml:space="preserve">Zona </t>
    </r>
    <r>
      <rPr>
        <b/>
        <sz val="11"/>
        <rFont val="Arial"/>
        <family val="2"/>
      </rPr>
      <t>: II</t>
    </r>
  </si>
  <si>
    <r>
      <t xml:space="preserve">Ubicación: </t>
    </r>
    <r>
      <rPr>
        <b/>
        <sz val="11"/>
        <rFont val="Arial"/>
        <family val="2"/>
      </rPr>
      <t>Provincia Azua</t>
    </r>
  </si>
  <si>
    <r>
      <t xml:space="preserve">Presupuesto: </t>
    </r>
    <r>
      <rPr>
        <b/>
        <sz val="11"/>
        <rFont val="Arial"/>
        <family val="2"/>
      </rPr>
      <t>No. 118/21  d/f 01/03/2021</t>
    </r>
  </si>
  <si>
    <t>M³/km</t>
  </si>
  <si>
    <t xml:space="preserve"> Embellecimiento con gravilla </t>
  </si>
  <si>
    <t>Transporte de Asfalto, distancia aproximada de 75 km</t>
  </si>
  <si>
    <t xml:space="preserve">Zapata de Muro - esp= 0.30 m - 0.75 qq/m3 </t>
  </si>
  <si>
    <t xml:space="preserve">Zapata de Columna Z1- esp= 0.30 m  (1.00 x 1.00) - 1.25 qq/m3 </t>
  </si>
  <si>
    <t xml:space="preserve">Zapata de Escalera-1.12 qq/m3 </t>
  </si>
  <si>
    <t>Columna CA (0.20 x 0.20) - 4.19 qq/m3</t>
  </si>
  <si>
    <t>Columna C1 (0.30 x 0.30) - 4.30 qq/m3</t>
  </si>
  <si>
    <t>Columna C2 (0.35 x 0.20) - 4.52 qq/m3</t>
  </si>
  <si>
    <t>Columna C3 (0.30 x 0.30) - 5.73 qq/m3</t>
  </si>
  <si>
    <t>Viga B.N.P (0.20 x 0.20)m - 3.90 qq/m3</t>
  </si>
  <si>
    <t>Viga V1 (0.25 x 0.50)m - 4.32 qq/m3</t>
  </si>
  <si>
    <t>Viga V2 (0.25 x 0.50)m - 2.88 qq/m3</t>
  </si>
  <si>
    <t>Viga de Amarre (0.20 x 0.20)m - 3.28 qq/m3</t>
  </si>
  <si>
    <t>Dintel 0.25 x 0.20  3.70 qq/m3</t>
  </si>
  <si>
    <t>Losa de fondo en Tina esp.= 0.20m - 1.76 qq/m3</t>
  </si>
  <si>
    <t>Pasarela Tina esp.= 0.15 m - 1.04 qq/m3</t>
  </si>
  <si>
    <t>Muros en Tina de 0.20 1.41 qq/m3</t>
  </si>
  <si>
    <t>Muros Tina de 0.15 1.81 qq/m3</t>
  </si>
  <si>
    <t>Losa de Entrepiso  esp.=0.12 m - 1.70 qq/m3</t>
  </si>
  <si>
    <t>Losa de Techo  esp.=0.12 m - 1.70 qq/m3</t>
  </si>
  <si>
    <t>Losa de Techo Caja de Escalera esp.=0.12 m - 1.16 qq/m3</t>
  </si>
  <si>
    <t>Losa de Piso c/malla electrosoldada</t>
  </si>
  <si>
    <t>Rampa de Escalera (incluye descanso) y escalones 0.15 - 3.79 qq/m3</t>
  </si>
  <si>
    <t xml:space="preserve">Muros bloques de 8" BNP @ 0.60 </t>
  </si>
  <si>
    <t xml:space="preserve">Muros bloques de 8" SNP @ 0.60 </t>
  </si>
  <si>
    <t xml:space="preserve">Muros bloques de 6" SNP @ 0.60 </t>
  </si>
  <si>
    <t>Suministro e instalación Bombas Dosificadoras de Sulfato  tipo Diafragma, con rango de aplicación 0-400 LT/H, carcasa en fibra reforzada con Polipropileno, cuerpo Bomba en PVDF diafragma en PTFE, potencia motor 1/2 HP, juntas de FPM/FKM</t>
  </si>
  <si>
    <t xml:space="preserve">Desagüe en PVC para Tina Sulfato </t>
  </si>
  <si>
    <t>Tola de 4" x 8" x 3/16"</t>
  </si>
  <si>
    <t>Cortes de tola</t>
  </si>
  <si>
    <t>Tubo de 2" H.G espesor grueso</t>
  </si>
  <si>
    <t>Tubo de 2 1/2" H.G. espesor grueso</t>
  </si>
  <si>
    <t>Barra cuadradas 3/4" x 3/4"</t>
  </si>
  <si>
    <t>Barra cuadradas 1/2" x 1/2"</t>
  </si>
  <si>
    <t>Angulares  2" x 2" x 1/4"</t>
  </si>
  <si>
    <t>Angulares 1 1/2" x 1 1/2" x 1/4"</t>
  </si>
  <si>
    <t>Planchas de malla desplegable 3/4"</t>
  </si>
  <si>
    <t>Cable de Acero capacidad 18,960 lbs</t>
  </si>
  <si>
    <t>Grapas p/ cable de 1/2"</t>
  </si>
  <si>
    <t>Grillete de 2 Ton.</t>
  </si>
  <si>
    <t>Guardacabo p/ cable de 1/2"</t>
  </si>
  <si>
    <r>
      <t>Planchuelas de 3" x 3/8" x 20</t>
    </r>
    <r>
      <rPr>
        <sz val="11"/>
        <rFont val="Calibri"/>
        <family val="2"/>
      </rPr>
      <t>'</t>
    </r>
  </si>
  <si>
    <t>Perfil " I ", con ojal de sujeción</t>
  </si>
  <si>
    <t>Spring industrial de 4" p/ soporte</t>
  </si>
  <si>
    <t>Mano obra Estructura Metálica y soldadura</t>
  </si>
  <si>
    <t>Suministro y colocación de Diferencial capacidad 1 Ton</t>
  </si>
  <si>
    <t xml:space="preserve">Salidas Cenitales </t>
  </si>
  <si>
    <t>Salida Tomacorriente Doble 120V</t>
  </si>
  <si>
    <t>Salida Interruptor Sencillo</t>
  </si>
  <si>
    <t>Salida Interruptor Triple</t>
  </si>
  <si>
    <t>Salida Panel de Distribución. de 6/12 espacio  c/Breakers</t>
  </si>
  <si>
    <t xml:space="preserve">Colocación carpeta  Asfáltica 2" </t>
  </si>
  <si>
    <t>Canaleta encachada en 10cm</t>
  </si>
  <si>
    <t xml:space="preserve">Ornamentación :Palma Enana (10 Ud), Arbusto con flores(10Ud), Flor de Jamaica (10 Ud) </t>
  </si>
  <si>
    <t>Estudios (Sociales, Ambientales, Geotécnico, Topográfico, de Calidad, etc.)</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</si>
  <si>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</si>
  <si>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De 12" Desagüe Sedimentador</t>
  </si>
  <si>
    <t>De 6" Desagüe Filtros</t>
  </si>
  <si>
    <t>De 12" Desagüe Retrolavado</t>
  </si>
  <si>
    <t>Suape</t>
  </si>
  <si>
    <t>Suministro y compactación material para relleno en interior de caseta</t>
  </si>
  <si>
    <t>Columnas C1 ( 0.30 x 0.30 ) (6u)  - 4.16 qq/m³</t>
  </si>
  <si>
    <t>Losa de Techo  e=0.12 - 2.12 qq/m³</t>
  </si>
  <si>
    <t>Dosificador de Cloro aplicación por solución con rango  de 0-150 Lb. /día (inc. Inyector de Cloro y Regulador de Flujo y Cabezal)</t>
  </si>
  <si>
    <t>Cilindro de Cloro 2,000 Lb, (lleno)</t>
  </si>
  <si>
    <t>Válvula de Paso 2"</t>
  </si>
  <si>
    <t xml:space="preserve">Alimentador eléctrico desde Main Breaker hasta Transfer Stich con 2 conductores THW No.2, 1 conductor THW No.4 y 1 conductor No.2 a 7 hilos trenzados en tubería PVC de 2" con accesorios. </t>
  </si>
  <si>
    <t>Charrancha y replanteo</t>
  </si>
  <si>
    <t>Charrancha y Replanteo</t>
  </si>
  <si>
    <t>Construcción Planta Potabilizadora Acueducto Villarpando 40 L/S</t>
  </si>
  <si>
    <t>Visitas</t>
  </si>
  <si>
    <t>Tapa  1.00 m x 1.00 m  Aluminio</t>
  </si>
  <si>
    <t xml:space="preserve">Turbidimetro Portable 2100Q RANT 0.1000 NTY </t>
  </si>
  <si>
    <t>Puerta doble de tola (2.70 x 2.00)m espesor =1/4"</t>
  </si>
  <si>
    <t>Relleno compactado de reposición c/compactador mecánico en capa de 0.30 m</t>
  </si>
  <si>
    <t>Meses</t>
  </si>
  <si>
    <t>OBRA DE TOMA</t>
  </si>
  <si>
    <t>Hora</t>
  </si>
  <si>
    <t>EMPALME A CANAL YSURA CON OBRA DE TOMA</t>
  </si>
  <si>
    <t>Excavación material compactado con Retropala 416 o similar</t>
  </si>
  <si>
    <t>Relleno compactado c/compactador mecánico en capas de 0.20m</t>
  </si>
  <si>
    <t>Bote de material  c/camión (d= 5 km) incl. esparcimiento en botadero</t>
  </si>
  <si>
    <t xml:space="preserve"> TUBERÍA CON PROTECCIÓN ANTICORROSIVA</t>
  </si>
  <si>
    <t xml:space="preserve">Suministro de tubería Ø12"  acero SCH-40, sin costura </t>
  </si>
  <si>
    <t xml:space="preserve">Colocación de tubería Ø12"  acero SCH-40, sin costura </t>
  </si>
  <si>
    <t>Rejilla  de acero inoxidable de (0.30x0.50)m</t>
  </si>
  <si>
    <t>Registro   de hormigón armado para Válvula,   incluy. escalera de hierro galvanizado y tapa de hormigón simple (según diseño)</t>
  </si>
  <si>
    <t>CÁRCAMO  Y CASETA DE BOMBEO</t>
  </si>
  <si>
    <t>Replanteo y control topográfico</t>
  </si>
  <si>
    <t xml:space="preserve">Excavación con equipo en material no clasificado  </t>
  </si>
  <si>
    <t>Relleno compactado c/compactador mecanico en capas de 0.20m</t>
  </si>
  <si>
    <t>Bote de  material en sitio</t>
  </si>
  <si>
    <t>Viga  W10-26.</t>
  </si>
  <si>
    <t xml:space="preserve">MURO DE BLOCK </t>
  </si>
  <si>
    <t>Muro de block de 8" (Caseta de Bombeo)</t>
  </si>
  <si>
    <t xml:space="preserve">TERMINACIÓN DE SUPERFICIE </t>
  </si>
  <si>
    <t>Fino de fondo  pulido</t>
  </si>
  <si>
    <t>Pañete interior  pulido</t>
  </si>
  <si>
    <t xml:space="preserve">Fino de techo </t>
  </si>
  <si>
    <t>Piso de hormigón simple pulido</t>
  </si>
  <si>
    <t xml:space="preserve">APLICACIÓN DE:  </t>
  </si>
  <si>
    <t>Impermeabilizante  Tipo Pintura para superficie exterior</t>
  </si>
  <si>
    <t>Suministro y colocación de bandas  de Goma  Hidrofílica extensible para construcción impermeable 5mm x 20mm</t>
  </si>
  <si>
    <t>Tapa  metálica  de  (0.90 x 0.90) m  (losa de techo)</t>
  </si>
  <si>
    <t>Tapa  metálica  de (0.75 x 0.75) m (losa de entrepiso)</t>
  </si>
  <si>
    <t>Ventanas  de Celocias de Aluminio</t>
  </si>
  <si>
    <t xml:space="preserve">Puerta de tola de 2 hojas  (1.50x3.22)m </t>
  </si>
  <si>
    <t>SUMINISTRO E INSTALACIÓN EQUIPO DE BOMBEO</t>
  </si>
  <si>
    <t xml:space="preserve">ELECTRIFICACIÓN PRIMARIA EN CÁRCAMO </t>
  </si>
  <si>
    <t>Postes en H.A,V 40´ 800 Dam</t>
  </si>
  <si>
    <t>Postes en H.A,V 40´ 500 Dam</t>
  </si>
  <si>
    <t>Alambre AAAC No. 2/0</t>
  </si>
  <si>
    <t>Estructura MT-301</t>
  </si>
  <si>
    <t>Estructura MT-302</t>
  </si>
  <si>
    <t>Estructura MT-305</t>
  </si>
  <si>
    <t>Estructura MT-307</t>
  </si>
  <si>
    <t>Estructura MT-316</t>
  </si>
  <si>
    <t>Estructura PR-208</t>
  </si>
  <si>
    <t>Estructura PR-202</t>
  </si>
  <si>
    <t>Estructura EQ-MT</t>
  </si>
  <si>
    <t>Estructura TR-306</t>
  </si>
  <si>
    <t>Hoyo para Vientos</t>
  </si>
  <si>
    <t xml:space="preserve">Mano de obra Eléctrica Primaria  </t>
  </si>
  <si>
    <t>ELECTRIFICACIÓN SECUNDARIA  EN CÁRCAMO</t>
  </si>
  <si>
    <t xml:space="preserve">Alimentador eléctrico desde transformadores hasta Main Breaker con 3 conductores THW No.2/0 (fases), 1 conductor THW No.2 (neutro) y 1 conductor No.2 a 7 hilos trenzados (tierra) en tuberías IMC y PVC de 2" con accesorios. </t>
  </si>
  <si>
    <t xml:space="preserve">Alimentador eléctrico desde Main Breaker hasta panel board con 3 conductores THW No.2/0 (fases), 1 conductor  THW No.2 (neutro) y 1 conductor No.2 a 7 hilos trenzado (tierra) en tuberías IMC y PVC de 2" con accesorios.  </t>
  </si>
  <si>
    <t xml:space="preserve">Alimentador eléctrico desde Panel Board hasta arrancadores suave de electrobombas con 3 conductores  THW No.1/0 (fases) y 2 conductores  THW No.4 (neutro y tierra) en tubería PVC de 11/2" con accesorios.  </t>
  </si>
  <si>
    <t xml:space="preserve">Alimentador eléctrico desde arrancadores suave de electrobombas hasta electrobombas con 3 conductores  THW No.1/0 (fases) y 2 conductores   THW No.4 (neutro y tierra) en tubería PVC de 11/2" con accesorios.  </t>
  </si>
  <si>
    <t xml:space="preserve">Alimentador eléctrico desde Panel Board hasta arrancadores directo a linea de electrobombas sumergibles no atascable con 3 conductores THW No.1/0 (fases) y 2 conductores  THW No.4 (neutro y tierra) en tubería PVC de 11/2" con accesorios.  </t>
  </si>
  <si>
    <t xml:space="preserve">Alimentador eléctrico desde Panel Board hasta centro de carga de 4 espacios en Casa de Bombas para servicios de la estacion  con 2 conductores  THW No.8 y 2 conductores THW No.10 en tubería PVC de 1".  </t>
  </si>
  <si>
    <t>Main Breaker 175/3 Amp, 240 Volts, Enclosure Nema 3R</t>
  </si>
  <si>
    <t>Panel Board barra de 200 Amp. con Main Breaker 175/3 Amperes, 240 Volts, 1ø, inc. 2 Breakers 150/3 Amp., 1 Breaker 100/3 amperes, 1 Breaker 40/2 amperes y 1 Breaker 30/2 amperes.</t>
  </si>
  <si>
    <t>Centro de Cargas de 4 espacios, (inc. Breakers)</t>
  </si>
  <si>
    <t xml:space="preserve">Mano de Obra Eléctrica  Secundaria </t>
  </si>
  <si>
    <t xml:space="preserve">Registro en bloque de 6" para eléctricos (0.6*0.6*0.6m) </t>
  </si>
  <si>
    <t>SUMINISTRO E INSTALACIÓN DE ELECTROBOMBA TURBINA DE EJE VERTICAL</t>
  </si>
  <si>
    <t>Instalación de electrobomba</t>
  </si>
  <si>
    <t>Suministro de arrancador suave, Enclosure Nema 3R, 460V, 3ø.</t>
  </si>
  <si>
    <t>Niple de 6" x 12" platillado en un extremo</t>
  </si>
  <si>
    <t>Niple de 4" x 6" platillado en un extremo</t>
  </si>
  <si>
    <t>Junta mecánica autoportante 6"</t>
  </si>
  <si>
    <t>Válvula de Compuerta con vástago ascendente de 6" platillada a 250 PSI</t>
  </si>
  <si>
    <t>Válvula de compuerta con vástago ascendente de 4" platillada a 250 PSI</t>
  </si>
  <si>
    <t>Válvula Antiretorno,Check horizontal de 6" a 250 PSI</t>
  </si>
  <si>
    <t>Válvula de aire de 1" a 250 PSI</t>
  </si>
  <si>
    <t>Instalación manométrica completa</t>
  </si>
  <si>
    <t>Tee de 6" x 6"</t>
  </si>
  <si>
    <t>Tee de 6"  x 4"</t>
  </si>
  <si>
    <t xml:space="preserve">Reducción de 10" @ 6" </t>
  </si>
  <si>
    <t>Construcción Mainford de descarga de 6"</t>
  </si>
  <si>
    <t>Pintura azul para descarga (oxido)</t>
  </si>
  <si>
    <t xml:space="preserve">Soporte de hormigón para motor y descarga </t>
  </si>
  <si>
    <t xml:space="preserve">Suministro y colocación Tubería de 6'' acero, SCH-40 con protección anticorrosiva </t>
  </si>
  <si>
    <t>Suministro Electrobombas Sumergible no atascable para lodo de 3 HP, monofásica, 240V, 100 GPM y 50 pies de TDH.</t>
  </si>
  <si>
    <t>Arrancador directo a Línea para motor de 3HP, 240V, 60HZ.</t>
  </si>
  <si>
    <t>Tubería de polietileno de 3" para electrobombas de Lodo.</t>
  </si>
  <si>
    <t xml:space="preserve">GARITA DE VIGILANTE </t>
  </si>
  <si>
    <t xml:space="preserve">B.N.P  de 6¨  </t>
  </si>
  <si>
    <t xml:space="preserve">S.N.P de  6¨  </t>
  </si>
  <si>
    <t xml:space="preserve">Block calados </t>
  </si>
  <si>
    <t>Pintura general acrílica (incluye base blanca)</t>
  </si>
  <si>
    <t>Zabaleta</t>
  </si>
  <si>
    <t>Pisos de hormigón Pulido (con malla electosoldada de D2.30xD2.30)</t>
  </si>
  <si>
    <t>Acera perimetral de 0.80 m (ancho)</t>
  </si>
  <si>
    <t>Puerta Polimetal (2.10 x 1.00) m (incluye suministro e instalación y llavín tipo palanca )</t>
  </si>
  <si>
    <t>SANITARIA</t>
  </si>
  <si>
    <t>Lavamanos sencillos</t>
  </si>
  <si>
    <t>Inodoro</t>
  </si>
  <si>
    <t xml:space="preserve">Cámara de inspección </t>
  </si>
  <si>
    <t xml:space="preserve">Séptico (1.90 m x 1.10 m) </t>
  </si>
  <si>
    <t>Desagüe de techo</t>
  </si>
  <si>
    <t>Columna de ventilación ø3"</t>
  </si>
  <si>
    <t>Tubería y piezas</t>
  </si>
  <si>
    <t>Mano de obra instalación</t>
  </si>
  <si>
    <t xml:space="preserve">ELECTRIFICACIÓN  </t>
  </si>
  <si>
    <t>Salidas Cenitales</t>
  </si>
  <si>
    <t>Panel de Distribución  8-16 circuito</t>
  </si>
  <si>
    <t>Salida Tomacorrientes Doble 120 V</t>
  </si>
  <si>
    <t>Limpieza continua y final</t>
  </si>
  <si>
    <t>Excavación material compactado c/ equipo</t>
  </si>
  <si>
    <t>Relleno compactado c/compactador mecánico capas de 0.20m</t>
  </si>
  <si>
    <t>Bote de material  c/camión  d=5km (incluye esparcimiento en botadero)</t>
  </si>
  <si>
    <t>SUMINISTRO DE TUBERÍA CON PROTECCIÓN ANTICORROSIVA</t>
  </si>
  <si>
    <t>de Ø10"  acero SCH-40 , sin costura</t>
  </si>
  <si>
    <t>SUMINISTRO Y COLOCACIÓN DE PIEZAS ESPECIALES  CON PROTECCIÓN ANTICORROSIVA</t>
  </si>
  <si>
    <t>SUMINISTRO Y COLOCACIÓN DE VÁLVULAS</t>
  </si>
  <si>
    <t>De Aire  Combinada de  Ø2" 250 PSI</t>
  </si>
  <si>
    <t>De  Desagüe de Ø4"</t>
  </si>
  <si>
    <t xml:space="preserve">Limpieza continua  y final de la Obra </t>
  </si>
  <si>
    <t xml:space="preserve">CONVERSIÓN DE PLANTA  A DEPÓSITO REGULADOR </t>
  </si>
  <si>
    <t>EXTRACCIÓN MATERIAL FILTRANTE</t>
  </si>
  <si>
    <t>Arena y grava</t>
  </si>
  <si>
    <t xml:space="preserve">Limpieza de los módulos luego de extraído el material filtrante </t>
  </si>
  <si>
    <t>Extracción y bote de Drenes existentes en tub. 6" H.S.</t>
  </si>
  <si>
    <t xml:space="preserve">Fino pulido losa de fondo </t>
  </si>
  <si>
    <t>TUBERÍA DE REBOSE</t>
  </si>
  <si>
    <t>REBOSE 1</t>
  </si>
  <si>
    <t>Excavación material  no casificado a mano</t>
  </si>
  <si>
    <t>Suministro y colocación de tubería de Ø10" acero SCH-40 con protección anticorrosivo sin costura</t>
  </si>
  <si>
    <t>Suministro y colocación Codo 10" x90° acero SCH-40 con protección anticorrosiva</t>
  </si>
  <si>
    <t>REBOSE 2</t>
  </si>
  <si>
    <t>Suministro y colocación de tubería de Ø10" acero SCH-40 con protección anticorrosivo,sin costura</t>
  </si>
  <si>
    <t>Suministro y colocacion Codo 10" x 90° acero SCH-40 con protección anticorrosiva</t>
  </si>
  <si>
    <t>Suministro y colocación Tee 10" x 10" acero SCH-40 con protección anticorrosiva</t>
  </si>
  <si>
    <t>TUBERIA DESAGÜE</t>
  </si>
  <si>
    <t>Bote de material  c/camión d=5km (incl. esparcimiento en botadero)</t>
  </si>
  <si>
    <t>Suministro y colocación de tubería de Ø10" acero SCH-40 con protección anticorrosiva, sin costura</t>
  </si>
  <si>
    <t>Suministro y colocación Codo 10" x 70° acero SCH-40 con protección anticorrosiva</t>
  </si>
  <si>
    <t>TUBERÍA ENTRADA</t>
  </si>
  <si>
    <t>Suministro y colocación de Tubería de Ø10" acero SCH-40 con protección anticorrosiva</t>
  </si>
  <si>
    <t>TUBERÍA SALIDA</t>
  </si>
  <si>
    <t>Bote de material  c/camión d= 5 km (incl. esparcimiento en botadero)</t>
  </si>
  <si>
    <t>Suministro y colocación de tubería de Ø10" acero SCH-40 con protección anticorrosiva</t>
  </si>
  <si>
    <t>Suministro y colocación de tuberia de Ø10" acero SCH-40 con protección anticorrosiva</t>
  </si>
  <si>
    <t>Suministro y colocación de Válvula de Compuerta 10" H.F 150 PSI completa</t>
  </si>
  <si>
    <t>Registro para valvula de Ø10" (1.50x1.50x1.50)m  inc. Escalera y tapa de hormigón (según diseño)</t>
  </si>
  <si>
    <t>Pintura general acrílica  área exterior Depósito (inc. rapillado)</t>
  </si>
  <si>
    <t>Limpieza general del área de  Depósito  (incluye bote)</t>
  </si>
  <si>
    <t>TECHADO DE PLANTA</t>
  </si>
  <si>
    <t>Libra</t>
  </si>
  <si>
    <t xml:space="preserve">Columna tipo H W8x 31 </t>
  </si>
  <si>
    <t>Placa 11 13/16" x 14"5/8"</t>
  </si>
  <si>
    <t>15.1.4</t>
  </si>
  <si>
    <t>Anclajes W14" x 30# " @ Muro de HA</t>
  </si>
  <si>
    <t>15.1.5</t>
  </si>
  <si>
    <t>Viga W 14" x 30# x 30.90m</t>
  </si>
  <si>
    <t>15.1.6</t>
  </si>
  <si>
    <t>Correas C 8" x 3/32" x  23.10m</t>
  </si>
  <si>
    <t>15.1.7</t>
  </si>
  <si>
    <t>Pernos  expansivos   Ø3/8"x 3-3/4[ Hilti KB3</t>
  </si>
  <si>
    <t>15.1.8</t>
  </si>
  <si>
    <t xml:space="preserve">Pernos expansivo Ø3/4"x  10" Hilti -HY 200-HAS-E  </t>
  </si>
  <si>
    <t>15.1.9</t>
  </si>
  <si>
    <t>15.1.10</t>
  </si>
  <si>
    <t>Pintura azul mantenimiento (con andamios)</t>
  </si>
  <si>
    <t>MANO DE OBRA Y EQUIPOS:</t>
  </si>
  <si>
    <t>15.3.3.1</t>
  </si>
  <si>
    <t xml:space="preserve">Equipo de corte </t>
  </si>
  <si>
    <t xml:space="preserve">Día </t>
  </si>
  <si>
    <t>15.3.3.2</t>
  </si>
  <si>
    <t>Equipo de soldadura  (incluye  Motosoldadora , Soldador (2 Ud) y Ayudante (2 Ud)</t>
  </si>
  <si>
    <t>ALUZINC:</t>
  </si>
  <si>
    <t>Aluzinc acanalado preparado  Calibre 26 de 25´x42"</t>
  </si>
  <si>
    <t>Aluzinc acanalado  preparado Calibre 26 de  30´x42"</t>
  </si>
  <si>
    <t>Caballete desarrollo calibre 26  longitud 10´</t>
  </si>
  <si>
    <t>15.2.4</t>
  </si>
  <si>
    <t xml:space="preserve">Tornillos autobarrenables </t>
  </si>
  <si>
    <t>MANO DE OBRA COLOCACIÓN:</t>
  </si>
  <si>
    <t>Escalera de acero inoxidable long=3.50m</t>
  </si>
  <si>
    <t>Logo y letrero de INAPA</t>
  </si>
  <si>
    <t>Limpieza final</t>
  </si>
  <si>
    <t xml:space="preserve">CAMINO DE ACCESO A OBRA DE TOMA </t>
  </si>
  <si>
    <t xml:space="preserve">Ingeniería </t>
  </si>
  <si>
    <t>Desmonte  con equipo</t>
  </si>
  <si>
    <t xml:space="preserve">Corte de material no clasificado c/equipo </t>
  </si>
  <si>
    <t xml:space="preserve">RELLENO PARA CONFORMAR LA RASANTE DEL CAMINO Y CONFORMACIÓN DE LA BASE DEL CAMINO </t>
  </si>
  <si>
    <t>Suministro de material de mina para relleno</t>
  </si>
  <si>
    <t xml:space="preserve">Regado, nivelado y perfilado </t>
  </si>
  <si>
    <t xml:space="preserve">Compactado y mojado </t>
  </si>
  <si>
    <t>Conformación de cuneta</t>
  </si>
  <si>
    <t>CUNETAS  DE PIEDRAS ENCACHADAS</t>
  </si>
  <si>
    <t>Excavación material no clasificado con equipo</t>
  </si>
  <si>
    <t>Suministro material de base</t>
  </si>
  <si>
    <t>5.2.4</t>
  </si>
  <si>
    <t>5.2.5</t>
  </si>
  <si>
    <t>Encache  0.20m</t>
  </si>
  <si>
    <t xml:space="preserve">Imprimación  sencilla </t>
  </si>
  <si>
    <t>Transporte de asfalto dist= 60 km</t>
  </si>
  <si>
    <t>M³/KM</t>
  </si>
  <si>
    <t>Excavación material compacto c/Retro pala 416 E ó similar</t>
  </si>
  <si>
    <t>SUMINISTRO DE TUBERÍA</t>
  </si>
  <si>
    <t>Tubería de Ø10" acero SCH-40 sin costura. c/protección anticorrosiva</t>
  </si>
  <si>
    <t>COLOCACIÓN DE TUBERÍA</t>
  </si>
  <si>
    <t>SUMINISTRO Y COLOCACIÓN DE PIEZAS ESPECIALES C/PROTECCIÓN ANTICORROSIVA</t>
  </si>
  <si>
    <t xml:space="preserve">SUMINISTRO Y COLOCACIÓN DE VÁLVULAS </t>
  </si>
  <si>
    <t>Válvula de Aire Combinada Ø2" H.F.</t>
  </si>
  <si>
    <t>Excavación material compacto c/Retro pala 416E ó similar</t>
  </si>
  <si>
    <t>Válvula de Aire Combinada Ø2" HF</t>
  </si>
  <si>
    <t>LINEA DE CONDUCCIÓN DESDE PLANTA A CONVERTIR EN DEPÓSITO HASTA EMPALME DE REDES</t>
  </si>
  <si>
    <t>Tubería de Ø10" PVC SDR-26, c/J.G.</t>
  </si>
  <si>
    <t>Junta tapón Ø10' acero SCH-40</t>
  </si>
  <si>
    <t>Junta mecánica tipo Dresser Ø10"</t>
  </si>
  <si>
    <t>Anclajes H.S. para piezas</t>
  </si>
  <si>
    <t>CRUCE DE PUENTE</t>
  </si>
  <si>
    <t>EN TUBERÍA DE Ø10" ACERO SCH-40 ,  L= 19.60 M</t>
  </si>
  <si>
    <t>6.1.2</t>
  </si>
  <si>
    <t>Suministro de tuberia de Ø10" acero s/costura c/protección anticorrosiva</t>
  </si>
  <si>
    <t>6.1.3</t>
  </si>
  <si>
    <t>Suministro de codos de Ø10" x 45º acero c/protección anticorrosiva</t>
  </si>
  <si>
    <t>6.1.4</t>
  </si>
  <si>
    <t>Suministro de junta mecánicas tipo Dresser Ø10"</t>
  </si>
  <si>
    <t>6.1.5</t>
  </si>
  <si>
    <t>Anclajes de hormigón armado</t>
  </si>
  <si>
    <t>6.1.6</t>
  </si>
  <si>
    <t>Válvula de Aire ø1" combinada (inc. niple y clamp)</t>
  </si>
  <si>
    <t>6.1.7</t>
  </si>
  <si>
    <t>6.1.8</t>
  </si>
  <si>
    <t>Pernos ( barras de ø½" H.N.)</t>
  </si>
  <si>
    <t>6.1.9</t>
  </si>
  <si>
    <t>6.1.10</t>
  </si>
  <si>
    <t xml:space="preserve">Epóxico para perforaciones pernos </t>
  </si>
  <si>
    <t>Onza</t>
  </si>
  <si>
    <t>6.1.11</t>
  </si>
  <si>
    <t>6.1.12</t>
  </si>
  <si>
    <t>Pintura azul esmalte (base en aceite)</t>
  </si>
  <si>
    <t>6.1.13</t>
  </si>
  <si>
    <t>PRUEBA HIDROSTÁTICA EN</t>
  </si>
  <si>
    <t>LÍNEA DE CONDUCCIÓN DESDE PLANTA POTABILIZADORA A CONTRUIR A DEPÓSITO REGULADOR H.A. SUPERFICIAL DE 150 M3</t>
  </si>
  <si>
    <t>Excavación material no clasificado c/Retro pala 416E ó similar</t>
  </si>
  <si>
    <t>Rellenoi compactado c/compactador mecánico en capa de 0.20 m</t>
  </si>
  <si>
    <t>Bote de material c/camión @5 km (inc. cargío y esparcimiento en botadero)</t>
  </si>
  <si>
    <t>Tee 6"x6" acero SCH-40</t>
  </si>
  <si>
    <t>Tee 6"x4" acero SCH-40</t>
  </si>
  <si>
    <t>Cruz de 6"x6" acero SCH-40</t>
  </si>
  <si>
    <t>Válvula de compuerta de Ø6" H.F. 150 psi, platillada, completa</t>
  </si>
  <si>
    <t>Caja telescópica H.F p/ válvulas</t>
  </si>
  <si>
    <t>CÁMARA ROMPEDORA DE PRESIÓN:</t>
  </si>
  <si>
    <t>Excavación de material no clasificado a mano</t>
  </si>
  <si>
    <t>Losa de Fondo 0.15m - 2.27 qq/m³</t>
  </si>
  <si>
    <t>7.3.2</t>
  </si>
  <si>
    <t>Muro 0.15 - 3.19 qq/m³</t>
  </si>
  <si>
    <t>7.3.3</t>
  </si>
  <si>
    <t>Losa de Techo 0.12m - 1.42 qq/m³</t>
  </si>
  <si>
    <t>7.4.1</t>
  </si>
  <si>
    <t>7.4.2</t>
  </si>
  <si>
    <t>7.4.3</t>
  </si>
  <si>
    <t>7.4.4</t>
  </si>
  <si>
    <t>7.4.5</t>
  </si>
  <si>
    <t>7.4.6</t>
  </si>
  <si>
    <t>7.4.7</t>
  </si>
  <si>
    <t>APLICACIONES</t>
  </si>
  <si>
    <t>7.5.1</t>
  </si>
  <si>
    <t xml:space="preserve">Suministro y colocación de banda de goma hidrofílica extensible p/construcción, impermeable 5 mm x20 mm </t>
  </si>
  <si>
    <t>7.5.2</t>
  </si>
  <si>
    <t>Impermeabilizante</t>
  </si>
  <si>
    <t>7.6.1</t>
  </si>
  <si>
    <t>7.6.2</t>
  </si>
  <si>
    <t>7.6.3</t>
  </si>
  <si>
    <t>Válvula de Compuerta de Ø6" H.F. 150 PSI, platillada, completa</t>
  </si>
  <si>
    <t>7.6.4</t>
  </si>
  <si>
    <t>Válvula de Compuerta de Ø4" H.F. 150 PSI, platillada, completa</t>
  </si>
  <si>
    <t>7.6.5</t>
  </si>
  <si>
    <t>Tuberia Ø4" acero SCH-40 s/costura  c/proteción anticorrosiva.</t>
  </si>
  <si>
    <t>7.6.6</t>
  </si>
  <si>
    <t>Tubería de Ø4" PVC, SDR-26  c/J.G. p/descarga</t>
  </si>
  <si>
    <t>7.6.7</t>
  </si>
  <si>
    <t>Tee 4" x 4" acero SCH-40 ,c/protección anticorosiva</t>
  </si>
  <si>
    <t>7.6.8</t>
  </si>
  <si>
    <t>Caja telescópica H.F.  p/ válvulas</t>
  </si>
  <si>
    <t>7.6.9</t>
  </si>
  <si>
    <t>Codo 6" x 90º acero SCH-40 c/protección anticorrosiva</t>
  </si>
  <si>
    <t>7.6.10</t>
  </si>
  <si>
    <t>Codo 4" x 90º acero SCH-40 c/protección anticorrosiva</t>
  </si>
  <si>
    <t>7.6.11</t>
  </si>
  <si>
    <t>7.6.12</t>
  </si>
  <si>
    <t>7.6.13</t>
  </si>
  <si>
    <t>Escalera de ½"  H.G. ; h=1.30 M</t>
  </si>
  <si>
    <t>7.6.14</t>
  </si>
  <si>
    <t>7.6.15</t>
  </si>
  <si>
    <t>Tubería de Ø6" PVC, SDR-26  c/J.G.</t>
  </si>
  <si>
    <t>CARPETA ASFÁLTICA</t>
  </si>
  <si>
    <t>ASFALTO, L= 315.85 M</t>
  </si>
  <si>
    <t>Corte de carpeta asfáltica</t>
  </si>
  <si>
    <t>Suministro de material base para relleno</t>
  </si>
  <si>
    <t>Relleno compactado c/compactador mecánico en capa de 0.20 m.</t>
  </si>
  <si>
    <t>Bote de carpeta asfáltica  c/camión d= 5 km ( incl. esparcimiento en botadero)</t>
  </si>
  <si>
    <t>Suministro y colocación de imprimación</t>
  </si>
  <si>
    <t>Suministro y colocación de asfálto caliente  e= 2" (incluye Riego de Adherencia)</t>
  </si>
  <si>
    <t>Transporte de asfálto caliente (50.00 km)</t>
  </si>
  <si>
    <t>Transporte material de base ( 50.00 km)</t>
  </si>
  <si>
    <t>Control y manejo de tránsito ( incluye uso de letreros, uso de de conos refractarios y hombres con banderolas)</t>
  </si>
  <si>
    <t>Señalización, manejo de tránsito y seguridad en la vía</t>
  </si>
  <si>
    <t>REDES DE DISTRIBUCIÓN</t>
  </si>
  <si>
    <t>Tubería de Ø4" PVC, SDR-26  C/J.G.+3% perdida por campana</t>
  </si>
  <si>
    <t>Tubería de Ø3" PVC, SDR-26  C/J.G.+2% perdida por campana</t>
  </si>
  <si>
    <t>Tubería de Ø4" PVC, SDR-26  C/J.G.</t>
  </si>
  <si>
    <t>Tubería de Ø3" PVC, SDR-26  C/J.G.</t>
  </si>
  <si>
    <t>Válvula de Compuerta de Ø4" H.F. 150 PSI</t>
  </si>
  <si>
    <t>Válvula de Compuerta de Ø3" H.F. 150 PSI</t>
  </si>
  <si>
    <t>Caja Telescópica  H.F.  p/Válvulas</t>
  </si>
  <si>
    <t>Tubería de Ø4" PVC, SDR-26  c/j.g.</t>
  </si>
  <si>
    <t>Tubería de Ø3" PVC, SDR-26  c/j.g.</t>
  </si>
  <si>
    <t>ASFALTO, L=1,787.04 M</t>
  </si>
  <si>
    <t>Extracción de carpeta asfáltica</t>
  </si>
  <si>
    <t>Suministro y colocacóon de asfálto caliente+25% desp. e= 2" (incluye riego ligante)</t>
  </si>
  <si>
    <t>Transporte de asfálto caliente ( 50.00 km )</t>
  </si>
  <si>
    <t>Transporte material de base ( 50.00 km )</t>
  </si>
  <si>
    <t>Control y Manejo de Tránsito ( incluye uso de letreros, uso de de conos refractarios y hombres con banderolas)</t>
  </si>
  <si>
    <t>Senalización, Manejo de Tránsito y Seguridad en la Vía</t>
  </si>
  <si>
    <t>CÁRCAMO DE BOMBEO Y LÍNEA DE IMPULSIÓN</t>
  </si>
  <si>
    <t>LÍNEA DE IMPULSIÓN DE DESDE ESTACIÓN  E:0+100.00 HASTA PLANTA POTABILIZADORA FILTRACIÓN RÁPIDA DE 40 LPS A CONSTRUIR</t>
  </si>
  <si>
    <t>A-1</t>
  </si>
  <si>
    <t>SUB-TOTAL  FASE A-1</t>
  </si>
  <si>
    <t>A-2</t>
  </si>
  <si>
    <t>SUB-TOTAL  FASE A-2</t>
  </si>
  <si>
    <t>A-3</t>
  </si>
  <si>
    <t>SUB-TOTAL  FASE A-3</t>
  </si>
  <si>
    <t>A-4</t>
  </si>
  <si>
    <t>SUB-TOTAL  A-4</t>
  </si>
  <si>
    <t>A-5</t>
  </si>
  <si>
    <t>SUB-TOTAL  FASE A-5</t>
  </si>
  <si>
    <t>A-6</t>
  </si>
  <si>
    <t>SUB-TOTAL A-7</t>
  </si>
  <si>
    <t>A-8</t>
  </si>
  <si>
    <t>SUB-TOTAL A-8</t>
  </si>
  <si>
    <t>SUB-TOTAL A</t>
  </si>
  <si>
    <t>B-1</t>
  </si>
  <si>
    <t>SUB-TOTAL B-1</t>
  </si>
  <si>
    <t>B-2</t>
  </si>
  <si>
    <t>SUB-TOTAL B-2</t>
  </si>
  <si>
    <t>B-3</t>
  </si>
  <si>
    <t>SUB-TOTAL B-3</t>
  </si>
  <si>
    <t>B-4</t>
  </si>
  <si>
    <t>SUB-TOTAL B-4</t>
  </si>
  <si>
    <t>B-5</t>
  </si>
  <si>
    <t>SUB-TOTAL B-5</t>
  </si>
  <si>
    <t>B-6</t>
  </si>
  <si>
    <t>SUB-TOTAL B-6</t>
  </si>
  <si>
    <t>B-7</t>
  </si>
  <si>
    <t>SUB-TOTAL B-7</t>
  </si>
  <si>
    <t>B-8</t>
  </si>
  <si>
    <t>SUB-TOTAL B-8</t>
  </si>
  <si>
    <t>B-9</t>
  </si>
  <si>
    <t>SUBTOTAL B-9</t>
  </si>
  <si>
    <t>B-10</t>
  </si>
  <si>
    <t>SUB-TOTAL B-10</t>
  </si>
  <si>
    <t>B-11</t>
  </si>
  <si>
    <t>SUB-TOTAL B-11</t>
  </si>
  <si>
    <t>B-12</t>
  </si>
  <si>
    <t>SUB-TOTAL B-12</t>
  </si>
  <si>
    <t>C-1</t>
  </si>
  <si>
    <t>LÍNEA DE IMPULSIÓN, LÍNEAS DE CONDUCCIÓN Y LÍNEA MATRIZ</t>
  </si>
  <si>
    <t>C-2</t>
  </si>
  <si>
    <t>C-3</t>
  </si>
  <si>
    <t>C-4</t>
  </si>
  <si>
    <t>C-5</t>
  </si>
  <si>
    <t>C-6</t>
  </si>
  <si>
    <t>SUB-TOTAL  C</t>
  </si>
  <si>
    <t>SUBTOTAL E</t>
  </si>
  <si>
    <t>Transporte de Equipo Pesado (Ida y Vuelta) (1Ud)</t>
  </si>
  <si>
    <t>LÍNEA DE IMPULSIÓN DESDE CÁRCAMO HASTA ESTACIÓN 0+113.20</t>
  </si>
  <si>
    <r>
      <t>Dintel (0.15 x 0.20)m -5.2 qq/m</t>
    </r>
    <r>
      <rPr>
        <vertAlign val="superscript"/>
        <sz val="11"/>
        <rFont val="Arial"/>
        <family val="2"/>
      </rPr>
      <t>3</t>
    </r>
  </si>
  <si>
    <r>
      <t>Losa de techo 0.10m-1.71qq/m</t>
    </r>
    <r>
      <rPr>
        <vertAlign val="superscript"/>
        <sz val="11"/>
        <rFont val="Arial"/>
        <family val="2"/>
      </rPr>
      <t>3</t>
    </r>
  </si>
  <si>
    <r>
      <t>Dado de apoyo (0.15 x 0.30 x 0.40)m-2.67qq/m</t>
    </r>
    <r>
      <rPr>
        <vertAlign val="superscript"/>
        <sz val="11"/>
        <rFont val="Arial"/>
        <family val="2"/>
      </rPr>
      <t>3</t>
    </r>
  </si>
  <si>
    <t>TERMINACIÓN  DE SUPERFICIE</t>
  </si>
  <si>
    <t>SUMINISTRO E INSTALACIÓN SANITARIA</t>
  </si>
  <si>
    <t>MAMPOSTERÍA</t>
  </si>
  <si>
    <t>MATERIAL DE FILTRO BIOLÓGICO:</t>
  </si>
  <si>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</si>
  <si>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</si>
  <si>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</si>
  <si>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</si>
  <si>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</si>
  <si>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De 8'' B.N.P @0.60 m</t>
  </si>
  <si>
    <t>De 8'' S.N.P @0.60 m</t>
  </si>
  <si>
    <t>SUMINISTRO E INSTALACIÓN DE EQUIPOS, TUBERÍAS Y PIEZAS:</t>
  </si>
  <si>
    <r>
      <t>Muros de 0.25 m  1.60 qq/m</t>
    </r>
    <r>
      <rPr>
        <vertAlign val="superscript"/>
        <sz val="11"/>
        <rFont val="Arial"/>
        <family val="2"/>
      </rPr>
      <t>3</t>
    </r>
  </si>
  <si>
    <r>
      <t>Muros de 0.25 m  2.60 qq/m</t>
    </r>
    <r>
      <rPr>
        <vertAlign val="superscript"/>
        <sz val="11"/>
        <rFont val="Arial"/>
        <family val="2"/>
      </rPr>
      <t>3</t>
    </r>
  </si>
  <si>
    <r>
      <t>Losa de fondo 0.30 m  1.60 qq/m</t>
    </r>
    <r>
      <rPr>
        <vertAlign val="superscript"/>
        <sz val="11"/>
        <rFont val="Arial"/>
        <family val="2"/>
      </rPr>
      <t>3</t>
    </r>
  </si>
  <si>
    <r>
      <t>Losa  0.20 m 1.00 qq/m</t>
    </r>
    <r>
      <rPr>
        <vertAlign val="superscript"/>
        <sz val="11"/>
        <rFont val="Arial"/>
        <family val="2"/>
      </rPr>
      <t>3</t>
    </r>
  </si>
  <si>
    <t>Zapatas de Muros de 0.25 m</t>
  </si>
  <si>
    <r>
      <t>Muros de 0.25 m  2.27 qq/m</t>
    </r>
    <r>
      <rPr>
        <vertAlign val="superscript"/>
        <sz val="11"/>
        <rFont val="Arial"/>
        <family val="2"/>
      </rPr>
      <t>3</t>
    </r>
  </si>
  <si>
    <r>
      <t>Muros de 0.25 m  1.90 qq/m</t>
    </r>
    <r>
      <rPr>
        <vertAlign val="superscript"/>
        <sz val="11"/>
        <rFont val="Arial"/>
        <family val="2"/>
      </rPr>
      <t>3</t>
    </r>
  </si>
  <si>
    <r>
      <t>Losa de fondo 0.30 m  1.80 qq/m</t>
    </r>
    <r>
      <rPr>
        <vertAlign val="superscript"/>
        <sz val="11"/>
        <rFont val="Arial"/>
        <family val="2"/>
      </rPr>
      <t>3</t>
    </r>
  </si>
  <si>
    <t>Válvula Compuerta ø12" platillada (Incluye Niple acople)</t>
  </si>
  <si>
    <t>Válvula Compuerta ø8" platillada ((Incluye Niple acople)</t>
  </si>
  <si>
    <t>Reducción ø12" x ø8" c/protección anticorrosiva</t>
  </si>
  <si>
    <t>ILUMINACIÓN PERIFÉRICA ( LUCES EXTERIORES )</t>
  </si>
  <si>
    <t>HORMIGÓN ARMADO F'c=280 KG/CM²</t>
  </si>
  <si>
    <t>MISCELÁNEOS</t>
  </si>
  <si>
    <r>
      <t>Zapata de muros (0.45 x 0.25) m  - 0.71 qq/m</t>
    </r>
    <r>
      <rPr>
        <vertAlign val="superscript"/>
        <sz val="11"/>
        <rFont val="Arial"/>
        <family val="2"/>
      </rPr>
      <t>3</t>
    </r>
    <r>
      <rPr>
        <sz val="11"/>
        <rFont val="Arial"/>
        <family val="2"/>
      </rPr>
      <t>, F᾽c=180 kg/cm²</t>
    </r>
  </si>
  <si>
    <r>
      <t>Zapata  de  columnas  (0.60 x 0.60 x 0.25) m - 2.08 qq/m</t>
    </r>
    <r>
      <rPr>
        <vertAlign val="superscript"/>
        <sz val="11"/>
        <rFont val="Arial"/>
        <family val="2"/>
      </rPr>
      <t>3</t>
    </r>
    <r>
      <rPr>
        <sz val="11"/>
        <rFont val="Arial"/>
        <family val="2"/>
      </rPr>
      <t xml:space="preserve"> F᾽c=180 Kg/cm²</t>
    </r>
  </si>
  <si>
    <r>
      <t>Columnas de amarre (0.20 X 0.20)m - 4.36 qq/m</t>
    </r>
    <r>
      <rPr>
        <vertAlign val="superscript"/>
        <sz val="11"/>
        <rFont val="Arial"/>
        <family val="2"/>
      </rPr>
      <t>3</t>
    </r>
    <r>
      <rPr>
        <sz val="11"/>
        <rFont val="Arial"/>
        <family val="2"/>
      </rPr>
      <t>, F᾽c=210 KG/CM²</t>
    </r>
  </si>
  <si>
    <r>
      <t>Viga de amarre  BNP (0.15 X 0.20)m -3.22 qq/m</t>
    </r>
    <r>
      <rPr>
        <vertAlign val="superscript"/>
        <sz val="11"/>
        <rFont val="Arial"/>
        <family val="2"/>
      </rPr>
      <t>3</t>
    </r>
    <r>
      <rPr>
        <sz val="11"/>
        <rFont val="Arial"/>
        <family val="2"/>
      </rPr>
      <t>, F᾽c=210 KG/CM²</t>
    </r>
  </si>
  <si>
    <r>
      <t>Viga apoyo riel Puerta corrediza L=8.40M- 2.32 qq/m</t>
    </r>
    <r>
      <rPr>
        <vertAlign val="superscript"/>
        <sz val="11"/>
        <rFont val="Arial"/>
        <family val="2"/>
      </rPr>
      <t>3</t>
    </r>
    <r>
      <rPr>
        <sz val="11"/>
        <rFont val="Arial"/>
        <family val="2"/>
      </rPr>
      <t xml:space="preserve">,F᾽c=240 kg/cm² </t>
    </r>
  </si>
  <si>
    <t xml:space="preserve">Block 6" SNP,  ø3/8"@0.60 m, violinados </t>
  </si>
  <si>
    <t xml:space="preserve">Block 6"  BNP, ø3/8"@0.60 m  </t>
  </si>
  <si>
    <t>Codo de 10" x 10º acero SCH-40, Soldado</t>
  </si>
  <si>
    <t>Codo de 10" x 15º acero SCH-40, Soldado</t>
  </si>
  <si>
    <t>Codo de 10" x 20º acero SCH-40, Soldado</t>
  </si>
  <si>
    <t>Codo de 10" x 25º acero SCH-40, Soldado</t>
  </si>
  <si>
    <t>Codo de 10" x 30º acero SCH-40, Soldado</t>
  </si>
  <si>
    <t>Codo de 10" x 35º acero SCH-40, Soldado</t>
  </si>
  <si>
    <t>Codo de 10" x 40º acero SCH-40, Soldado</t>
  </si>
  <si>
    <t>Codo de 10" x 45º acero SCH-40, Soldado</t>
  </si>
  <si>
    <t>Registro block para Válvula de Aire (Según detalle )</t>
  </si>
  <si>
    <t>LÍNEA DE CONDUCCIÓN DESDE PLANTA POTABILIZADORA A CONSTRUIR HASTA PLANTA A CONVERTIR EN DEPÓSITO</t>
  </si>
  <si>
    <t>Excavación material compacto c/retropala 416E ó similar</t>
  </si>
  <si>
    <t>Codo de 10" x 60º acero SCH-40, Soldado</t>
  </si>
  <si>
    <t>Anclajes H.S para piezas</t>
  </si>
  <si>
    <t>Registro block para Válvula de Aire (ver detalle )</t>
  </si>
  <si>
    <t>Codo de 10" x 15º acero SCH-40</t>
  </si>
  <si>
    <t>Codo de 10" x 10º acero SCH-40</t>
  </si>
  <si>
    <t>Codo de 10" x 20º acero SCH-40</t>
  </si>
  <si>
    <t>Codo de 10" x 25º acero SCH-40</t>
  </si>
  <si>
    <t>Codo de 10" x 30º acero SCH-40</t>
  </si>
  <si>
    <t>Codo de 10" x 35º acero SCH-40</t>
  </si>
  <si>
    <t>Codo de 10" x 40º acero SCH-40</t>
  </si>
  <si>
    <t>Codo de 10" x 45º acero SCH-40</t>
  </si>
  <si>
    <t>Codo de 10" x 50º acero SCH-40</t>
  </si>
  <si>
    <t>Abrazaderas metálica (planchuelas de ¼" x 2", H.N..)</t>
  </si>
  <si>
    <t>Junta de goma</t>
  </si>
  <si>
    <t>Pintura óxido rojo</t>
  </si>
  <si>
    <t>Bordillo de H.A. ( 0.20 x 0.20 ) m, L=16.00 m</t>
  </si>
  <si>
    <t>Codo de 6" x 10º acero SCH-40</t>
  </si>
  <si>
    <t>Codo de 6" x 15º  acero SCH-40</t>
  </si>
  <si>
    <t>Codo de 6" x 20º acero SCH-40</t>
  </si>
  <si>
    <t>Codo de 6" x 25º acero SCH-40</t>
  </si>
  <si>
    <t>Codo de 6" x 30º acero SCH-40</t>
  </si>
  <si>
    <t>Codo de 6" x 35º acero SCH-40</t>
  </si>
  <si>
    <t>Codo de 6" x 40º acero SCH-40</t>
  </si>
  <si>
    <t>Codo de 6" x 45º acero SCH-40</t>
  </si>
  <si>
    <t>Codo de 6" x 50º acero SCH-40</t>
  </si>
  <si>
    <t>Codo de 6" x 60º acero SCH-40</t>
  </si>
  <si>
    <t>HORMIGÓN ARMADO F'c=210 KG/CM²</t>
  </si>
  <si>
    <t>INSTALACIONES: (Suministros)</t>
  </si>
  <si>
    <t>Extracción de carpeta asfáltica c/retropala 416 ó similar</t>
  </si>
  <si>
    <t>Seguros, Pólizas y Fianzas</t>
  </si>
  <si>
    <t>ITBIS de honorarios profesionales ( Ley 07-2007)</t>
  </si>
  <si>
    <t>Campamento, (incluye alquiler de solar o casa  y caseta para materiales) (4 Ud)</t>
  </si>
  <si>
    <r>
      <t>Codo de 6" en 45</t>
    </r>
    <r>
      <rPr>
        <sz val="11"/>
        <rFont val="Calibri"/>
        <family val="2"/>
      </rPr>
      <t>ᵒ</t>
    </r>
    <r>
      <rPr>
        <sz val="11"/>
        <rFont val="Arial"/>
        <family val="2"/>
      </rPr>
      <t xml:space="preserve">  soldado a Mainford</t>
    </r>
  </si>
  <si>
    <r>
      <t>Codo de 4" en 90</t>
    </r>
    <r>
      <rPr>
        <sz val="11"/>
        <rFont val="Calibri"/>
        <family val="2"/>
      </rPr>
      <t>ᵒ</t>
    </r>
    <r>
      <rPr>
        <sz val="11"/>
        <rFont val="Arial"/>
        <family val="2"/>
      </rPr>
      <t xml:space="preserve"> soldado a Mainford</t>
    </r>
  </si>
  <si>
    <r>
      <t>HORMIGÓN ARMADO  210 KG/CM</t>
    </r>
    <r>
      <rPr>
        <b/>
        <vertAlign val="superscript"/>
        <sz val="11"/>
        <rFont val="Arial"/>
        <family val="2"/>
      </rPr>
      <t>2</t>
    </r>
    <r>
      <rPr>
        <b/>
        <sz val="11"/>
        <rFont val="Arial"/>
        <family val="2"/>
      </rPr>
      <t xml:space="preserve"> EN:</t>
    </r>
  </si>
  <si>
    <r>
      <t>HORMIGÓN ARMADO F'c= 280 KG/CM</t>
    </r>
    <r>
      <rPr>
        <b/>
        <vertAlign val="superscript"/>
        <sz val="11"/>
        <rFont val="Arial"/>
        <family val="2"/>
      </rPr>
      <t>2</t>
    </r>
    <r>
      <rPr>
        <b/>
        <sz val="11"/>
        <rFont val="Arial"/>
        <family val="2"/>
      </rPr>
      <t xml:space="preserve"> EN: </t>
    </r>
  </si>
  <si>
    <r>
      <t>HORMIGÓN ARMADO   F'c= 280 KG/CM</t>
    </r>
    <r>
      <rPr>
        <b/>
        <vertAlign val="superscript"/>
        <sz val="11"/>
        <rFont val="Arial"/>
        <family val="2"/>
      </rPr>
      <t>2</t>
    </r>
    <r>
      <rPr>
        <b/>
        <sz val="11"/>
        <rFont val="Arial"/>
        <family val="2"/>
      </rPr>
      <t xml:space="preserve"> EN:</t>
    </r>
  </si>
  <si>
    <r>
      <t>Hormigón de limpieza F</t>
    </r>
    <r>
      <rPr>
        <sz val="11"/>
        <rFont val="Calibri"/>
        <family val="2"/>
      </rPr>
      <t>´</t>
    </r>
    <r>
      <rPr>
        <sz val="11"/>
        <rFont val="Arial"/>
        <family val="2"/>
      </rPr>
      <t>c=180 kg/cm²</t>
    </r>
  </si>
  <si>
    <r>
      <t>Zapata de Columnas Z1- 2.33 qq/m</t>
    </r>
    <r>
      <rPr>
        <vertAlign val="superscript"/>
        <sz val="11"/>
        <rFont val="Arial"/>
        <family val="2"/>
      </rPr>
      <t>3</t>
    </r>
  </si>
  <si>
    <r>
      <t>Zapata de muro - 0.79 qq/m</t>
    </r>
    <r>
      <rPr>
        <vertAlign val="superscript"/>
        <sz val="11"/>
        <rFont val="Arial"/>
        <family val="2"/>
      </rPr>
      <t>3</t>
    </r>
  </si>
  <si>
    <r>
      <t>Viga V1  0.40 x 0.25 m  4.32 qq/m</t>
    </r>
    <r>
      <rPr>
        <vertAlign val="superscript"/>
        <sz val="11"/>
        <rFont val="Arial"/>
        <family val="2"/>
      </rPr>
      <t>3</t>
    </r>
  </si>
  <si>
    <r>
      <t>Columna 0.30 x 0.30 m  4.16 qq/m</t>
    </r>
    <r>
      <rPr>
        <vertAlign val="superscript"/>
        <sz val="11"/>
        <rFont val="Arial"/>
        <family val="2"/>
      </rPr>
      <t>3</t>
    </r>
  </si>
  <si>
    <r>
      <t>Viga B.N.P  0.20 x 0.20 m  2.95 qq/m</t>
    </r>
    <r>
      <rPr>
        <vertAlign val="superscript"/>
        <sz val="11"/>
        <rFont val="Arial"/>
        <family val="2"/>
      </rPr>
      <t>3</t>
    </r>
  </si>
  <si>
    <r>
      <t>Dintel 0.20 x 0.20 m  5.00 qq/m</t>
    </r>
    <r>
      <rPr>
        <vertAlign val="superscript"/>
        <sz val="11"/>
        <rFont val="Arial"/>
        <family val="2"/>
      </rPr>
      <t>3</t>
    </r>
  </si>
  <si>
    <r>
      <t>Losa de techo  e=0.12 m  2.12 qq/m</t>
    </r>
    <r>
      <rPr>
        <vertAlign val="superscript"/>
        <sz val="11"/>
        <rFont val="Arial"/>
        <family val="2"/>
      </rPr>
      <t>3</t>
    </r>
  </si>
  <si>
    <t>CASETA DE CLORACIÓN</t>
  </si>
  <si>
    <r>
      <t>HORMIGON ARMADO F'c= 210 KG/CM</t>
    </r>
    <r>
      <rPr>
        <b/>
        <vertAlign val="superscript"/>
        <sz val="11"/>
        <rFont val="Arial"/>
        <family val="2"/>
      </rPr>
      <t>2</t>
    </r>
    <r>
      <rPr>
        <b/>
        <sz val="11"/>
        <rFont val="Arial"/>
        <family val="2"/>
      </rPr>
      <t xml:space="preserve"> EN:</t>
    </r>
  </si>
  <si>
    <r>
      <t>Zapata de Muro - esp= 0.30 m - 0.75 qq/m</t>
    </r>
    <r>
      <rPr>
        <vertAlign val="superscript"/>
        <sz val="11"/>
        <rFont val="Arial"/>
        <family val="2"/>
      </rPr>
      <t>3</t>
    </r>
    <r>
      <rPr>
        <sz val="11"/>
        <rFont val="Arial"/>
        <family val="2"/>
      </rPr>
      <t xml:space="preserve"> </t>
    </r>
  </si>
  <si>
    <r>
      <t>Zapata de Columna Z1- esp= 0.30 m  (1.00 x 1.00) - 1.25 qq/m</t>
    </r>
    <r>
      <rPr>
        <vertAlign val="superscript"/>
        <sz val="11"/>
        <rFont val="Arial"/>
        <family val="2"/>
      </rPr>
      <t xml:space="preserve">3 </t>
    </r>
  </si>
  <si>
    <r>
      <t>Zapata de Escalera-1.12 qq/m</t>
    </r>
    <r>
      <rPr>
        <vertAlign val="superscript"/>
        <sz val="11"/>
        <rFont val="Arial"/>
        <family val="2"/>
      </rPr>
      <t>3</t>
    </r>
    <r>
      <rPr>
        <sz val="11"/>
        <rFont val="Arial"/>
        <family val="2"/>
      </rPr>
      <t xml:space="preserve"> </t>
    </r>
  </si>
  <si>
    <r>
      <t>Columna CA (0.20 x 0.20)m - 4.19 qq/m</t>
    </r>
    <r>
      <rPr>
        <vertAlign val="superscript"/>
        <sz val="11"/>
        <rFont val="Arial"/>
        <family val="2"/>
      </rPr>
      <t>3</t>
    </r>
  </si>
  <si>
    <r>
      <t>Columna C1 (0.30 x 0.30)m - 4.30 qq/m</t>
    </r>
    <r>
      <rPr>
        <vertAlign val="superscript"/>
        <sz val="11"/>
        <rFont val="Arial"/>
        <family val="2"/>
      </rPr>
      <t>3</t>
    </r>
  </si>
  <si>
    <r>
      <t>Columna C2 (0.35 x 0.20)m - 4.52 qq/m</t>
    </r>
    <r>
      <rPr>
        <vertAlign val="superscript"/>
        <sz val="11"/>
        <rFont val="Arial"/>
        <family val="2"/>
      </rPr>
      <t>3</t>
    </r>
  </si>
  <si>
    <r>
      <t>Columna C3 (0.30 x 0.30)m - 5.73 qq/m</t>
    </r>
    <r>
      <rPr>
        <vertAlign val="superscript"/>
        <sz val="11"/>
        <rFont val="Arial"/>
        <family val="2"/>
      </rPr>
      <t>3</t>
    </r>
  </si>
  <si>
    <r>
      <t>Viga B.N.P (0.20 x 0.20)m - 3.90 qq/m</t>
    </r>
    <r>
      <rPr>
        <vertAlign val="superscript"/>
        <sz val="11"/>
        <rFont val="Arial"/>
        <family val="2"/>
      </rPr>
      <t>3</t>
    </r>
  </si>
  <si>
    <r>
      <t>Viga V1 (0.25 x 0.50)m - 4.32 qq/m</t>
    </r>
    <r>
      <rPr>
        <vertAlign val="superscript"/>
        <sz val="11"/>
        <rFont val="Arial"/>
        <family val="2"/>
      </rPr>
      <t>3</t>
    </r>
  </si>
  <si>
    <r>
      <t>Viga V2 (0.25 x 0.50)m - 2.88 qq/m</t>
    </r>
    <r>
      <rPr>
        <vertAlign val="superscript"/>
        <sz val="11"/>
        <rFont val="Arial"/>
        <family val="2"/>
      </rPr>
      <t>3</t>
    </r>
  </si>
  <si>
    <r>
      <t>Viga de Amarre (0.20 x 0.20)m - 3.28 qq/m</t>
    </r>
    <r>
      <rPr>
        <vertAlign val="superscript"/>
        <sz val="11"/>
        <rFont val="Arial"/>
        <family val="2"/>
      </rPr>
      <t>3</t>
    </r>
  </si>
  <si>
    <r>
      <t>Dintel 0.25 x 0.20 m 3.70 qq/m</t>
    </r>
    <r>
      <rPr>
        <vertAlign val="superscript"/>
        <sz val="11"/>
        <rFont val="Arial"/>
        <family val="2"/>
      </rPr>
      <t>3</t>
    </r>
  </si>
  <si>
    <r>
      <t>Losa de fondo en Tina esp.= 0.20m - 1.76 qq/m</t>
    </r>
    <r>
      <rPr>
        <vertAlign val="superscript"/>
        <sz val="11"/>
        <rFont val="Arial"/>
        <family val="2"/>
      </rPr>
      <t>3</t>
    </r>
  </si>
  <si>
    <r>
      <t>Pasarela Tina esp.= 0.15 m - 1.04 qq/m</t>
    </r>
    <r>
      <rPr>
        <vertAlign val="superscript"/>
        <sz val="11"/>
        <rFont val="Arial"/>
        <family val="2"/>
      </rPr>
      <t>3</t>
    </r>
  </si>
  <si>
    <r>
      <t>Muros en Tina de 0.20 m - 1.41 qq/m</t>
    </r>
    <r>
      <rPr>
        <vertAlign val="superscript"/>
        <sz val="11"/>
        <rFont val="Arial"/>
        <family val="2"/>
      </rPr>
      <t>3</t>
    </r>
  </si>
  <si>
    <r>
      <t>Muros Tina de 0.15 m - 1.81 qq/m</t>
    </r>
    <r>
      <rPr>
        <vertAlign val="superscript"/>
        <sz val="11"/>
        <rFont val="Arial"/>
        <family val="2"/>
      </rPr>
      <t>3</t>
    </r>
  </si>
  <si>
    <r>
      <t>Losa de Entrepiso  esp.=0.12 m - 1.70 qq/m</t>
    </r>
    <r>
      <rPr>
        <vertAlign val="superscript"/>
        <sz val="11"/>
        <rFont val="Arial"/>
        <family val="2"/>
      </rPr>
      <t>3</t>
    </r>
  </si>
  <si>
    <r>
      <t>Losa de Techo  esp.=0.12 m - 1.70 qq/m</t>
    </r>
    <r>
      <rPr>
        <vertAlign val="superscript"/>
        <sz val="11"/>
        <rFont val="Arial"/>
        <family val="2"/>
      </rPr>
      <t>3</t>
    </r>
  </si>
  <si>
    <r>
      <t>Losa de Techo Caja de Escalera esp.=0.12 m - 1.16 qq/m</t>
    </r>
    <r>
      <rPr>
        <vertAlign val="superscript"/>
        <sz val="11"/>
        <rFont val="Arial"/>
        <family val="2"/>
      </rPr>
      <t>3</t>
    </r>
  </si>
  <si>
    <r>
      <t>Rampa de Escalera (incluye descanso) y escalones 0.15 m - 3.79 qq/m</t>
    </r>
    <r>
      <rPr>
        <vertAlign val="superscript"/>
        <sz val="11"/>
        <rFont val="Arial"/>
        <family val="2"/>
      </rPr>
      <t>3</t>
    </r>
  </si>
  <si>
    <t>Muros bloques de 8" BNP @ 0.60 m</t>
  </si>
  <si>
    <t>Muros bloques de 8" SNP @ 0.60 m</t>
  </si>
  <si>
    <t>Muros bloques de 6" SNP @ 0.60 m</t>
  </si>
  <si>
    <t xml:space="preserve">Tarima de madera p/ sulfato  (2.00 x 1.00 x 0.20) m </t>
  </si>
  <si>
    <t xml:space="preserve">HORMIGÓN CICLÓPEO </t>
  </si>
  <si>
    <t>REGISTROS DESAGÜE FLOCULADOR (INCLUYE SUMINISTROS Y COLOCACIÓN ):</t>
  </si>
  <si>
    <t>Registro para válvula de Ø12" (1.20x1.20x1.60)</t>
  </si>
  <si>
    <t>Válvula de Compuerta con cuadrante 12" H.F. completa (incluye 2 niples platillados, 2 juegos tornillos y 2 juntas Dresser</t>
  </si>
  <si>
    <t>Muro Canal entrada 0.10 m</t>
  </si>
  <si>
    <r>
      <t>Muros 0.20m soportes apoyo de Losa Prefabricada -2.0qq/m</t>
    </r>
    <r>
      <rPr>
        <vertAlign val="superscript"/>
        <sz val="11"/>
        <rFont val="Arial"/>
        <family val="2"/>
      </rPr>
      <t>3</t>
    </r>
  </si>
  <si>
    <r>
      <t>Muros 0.45m soportes apoyo de Losa Prefabricada -1.35qq/m</t>
    </r>
    <r>
      <rPr>
        <vertAlign val="superscript"/>
        <sz val="11"/>
        <rFont val="Arial"/>
        <family val="2"/>
      </rPr>
      <t>3</t>
    </r>
  </si>
  <si>
    <r>
      <t>Muros 0.30m -2.47 qq/m</t>
    </r>
    <r>
      <rPr>
        <vertAlign val="superscript"/>
        <sz val="11"/>
        <rFont val="Arial"/>
        <family val="2"/>
      </rPr>
      <t>3</t>
    </r>
  </si>
  <si>
    <r>
      <t>Muros 0.30m Contra-Fuerte -0.51 qq/m</t>
    </r>
    <r>
      <rPr>
        <vertAlign val="superscript"/>
        <sz val="11"/>
        <rFont val="Arial"/>
        <family val="2"/>
      </rPr>
      <t>3</t>
    </r>
  </si>
  <si>
    <r>
      <t>Muros 0.25m -2.81  qq/m</t>
    </r>
    <r>
      <rPr>
        <vertAlign val="superscript"/>
        <sz val="11"/>
        <rFont val="Arial"/>
        <family val="2"/>
      </rPr>
      <t>3</t>
    </r>
  </si>
  <si>
    <r>
      <t>Muros 0.20m  Canal de Entrada  1.44 qq/m</t>
    </r>
    <r>
      <rPr>
        <vertAlign val="superscript"/>
        <sz val="11"/>
        <rFont val="Arial"/>
        <family val="2"/>
      </rPr>
      <t>3</t>
    </r>
  </si>
  <si>
    <r>
      <t>Muros 0.20m  Canal Entrada Sedimentadores- 2.59 qq/m</t>
    </r>
    <r>
      <rPr>
        <vertAlign val="superscript"/>
        <sz val="11"/>
        <rFont val="Arial"/>
        <family val="2"/>
      </rPr>
      <t>3</t>
    </r>
  </si>
  <si>
    <r>
      <t>Muros 0.20m Registros -4.24 qq/m</t>
    </r>
    <r>
      <rPr>
        <vertAlign val="superscript"/>
        <sz val="11"/>
        <rFont val="Arial"/>
        <family val="2"/>
      </rPr>
      <t>3</t>
    </r>
  </si>
  <si>
    <r>
      <t>Muros 0.20m Apoyo de Losa Prefabricada -2.11 qq/m</t>
    </r>
    <r>
      <rPr>
        <vertAlign val="superscript"/>
        <sz val="11"/>
        <rFont val="Arial"/>
        <family val="2"/>
      </rPr>
      <t>3</t>
    </r>
  </si>
  <si>
    <r>
      <t>Muros 0.20m -1.27 qq/m</t>
    </r>
    <r>
      <rPr>
        <vertAlign val="superscript"/>
        <sz val="11"/>
        <rFont val="Arial"/>
        <family val="2"/>
      </rPr>
      <t>3</t>
    </r>
  </si>
  <si>
    <r>
      <t>Muros 0.15m -2.8 qq/m</t>
    </r>
    <r>
      <rPr>
        <vertAlign val="superscript"/>
        <sz val="11"/>
        <rFont val="Arial"/>
        <family val="2"/>
      </rPr>
      <t>3</t>
    </r>
  </si>
  <si>
    <r>
      <t>Muros 0.15m Vertedor -2.25 qq/m</t>
    </r>
    <r>
      <rPr>
        <vertAlign val="superscript"/>
        <sz val="11"/>
        <rFont val="Arial"/>
        <family val="2"/>
      </rPr>
      <t>3</t>
    </r>
  </si>
  <si>
    <r>
      <t>Losa de Fondo 0.35m -1.37 qq/m</t>
    </r>
    <r>
      <rPr>
        <vertAlign val="superscript"/>
        <sz val="11"/>
        <rFont val="Arial"/>
        <family val="2"/>
      </rPr>
      <t>3</t>
    </r>
  </si>
  <si>
    <r>
      <t>Losa de Fondo 0.20m -3.73 qq/m</t>
    </r>
    <r>
      <rPr>
        <vertAlign val="superscript"/>
        <sz val="11"/>
        <rFont val="Arial"/>
        <family val="2"/>
      </rPr>
      <t>3</t>
    </r>
  </si>
  <si>
    <r>
      <t>Losa de Fondo Registro 0.20m -1.32 qq/m</t>
    </r>
    <r>
      <rPr>
        <vertAlign val="superscript"/>
        <sz val="11"/>
        <rFont val="Arial"/>
        <family val="2"/>
      </rPr>
      <t>3</t>
    </r>
  </si>
  <si>
    <r>
      <t>Losa de Fondo Registro de Entrada 0.20m -1.16 qq/m</t>
    </r>
    <r>
      <rPr>
        <vertAlign val="superscript"/>
        <sz val="11"/>
        <rFont val="Arial"/>
        <family val="2"/>
      </rPr>
      <t>3</t>
    </r>
  </si>
  <si>
    <r>
      <t>Losa de Fondo 0.15m -1.55 qq/m</t>
    </r>
    <r>
      <rPr>
        <vertAlign val="superscript"/>
        <sz val="11"/>
        <rFont val="Arial"/>
        <family val="2"/>
      </rPr>
      <t>3</t>
    </r>
  </si>
  <si>
    <r>
      <t>Losa de Fondo 0.10m -1.70 qq/m</t>
    </r>
    <r>
      <rPr>
        <vertAlign val="superscript"/>
        <sz val="11"/>
        <rFont val="Arial"/>
        <family val="2"/>
      </rPr>
      <t>3</t>
    </r>
  </si>
  <si>
    <r>
      <t>Zapata de muro Canal de Entrada (0.90x0.35)m -0.87 qq/m</t>
    </r>
    <r>
      <rPr>
        <vertAlign val="superscript"/>
        <sz val="11"/>
        <rFont val="Arial"/>
        <family val="2"/>
      </rPr>
      <t>3</t>
    </r>
  </si>
  <si>
    <r>
      <t>Zapata de muro Contra Fuerte (0.90x0.35)m -1.37 qq/m</t>
    </r>
    <r>
      <rPr>
        <vertAlign val="superscript"/>
        <sz val="11"/>
        <rFont val="Arial"/>
        <family val="2"/>
      </rPr>
      <t>3</t>
    </r>
  </si>
  <si>
    <r>
      <t>Losa de techo 0.15m Pasarela -1.27 qq/m</t>
    </r>
    <r>
      <rPr>
        <vertAlign val="superscript"/>
        <sz val="11"/>
        <rFont val="Arial"/>
        <family val="2"/>
      </rPr>
      <t>3</t>
    </r>
  </si>
  <si>
    <r>
      <t>Losa de techo 0.15m Registro -1.89 qq/m</t>
    </r>
    <r>
      <rPr>
        <vertAlign val="superscript"/>
        <sz val="11"/>
        <rFont val="Arial"/>
        <family val="2"/>
      </rPr>
      <t>3</t>
    </r>
  </si>
  <si>
    <r>
      <t>HORMIGÓN ARMADO F`c=210 KG/CM</t>
    </r>
    <r>
      <rPr>
        <b/>
        <vertAlign val="superscript"/>
        <sz val="11"/>
        <rFont val="Arial"/>
        <family val="2"/>
      </rPr>
      <t>2</t>
    </r>
    <r>
      <rPr>
        <b/>
        <sz val="11"/>
        <rFont val="Arial"/>
        <family val="2"/>
      </rPr>
      <t xml:space="preserve"> EN:</t>
    </r>
  </si>
  <si>
    <t xml:space="preserve">PLANTA DE TRATAMIENTO DE FILTRACIÓN RÁPIDA DE 40 LPS DE CAPACIDAD </t>
  </si>
  <si>
    <t xml:space="preserve">Pintura de óxido rojo (con andamios) </t>
  </si>
  <si>
    <t xml:space="preserve">ESTRUCTURA METáLICA  </t>
  </si>
  <si>
    <t>Suministro y colocación Codo 10" x 90° acero SCH-40 con protección anticorrosiva</t>
  </si>
  <si>
    <t>COLOCACIÓN DE TUBERÍA CON PROTECCIÓN ANTICORROSIVA</t>
  </si>
  <si>
    <t>Registro para Valvula de Aire (1.40x1.40x1.40) m, Según diseño</t>
  </si>
  <si>
    <t>Ventana de celocías de aluminio (incluye colocación)</t>
  </si>
  <si>
    <r>
      <t>Zapata de muro ( incluye zapata C1) 0.85 qq/m</t>
    </r>
    <r>
      <rPr>
        <vertAlign val="superscript"/>
        <sz val="11"/>
        <rFont val="Arial"/>
        <family val="2"/>
      </rPr>
      <t>3</t>
    </r>
  </si>
  <si>
    <r>
      <t>Viga de amarre a NP 0.15 m x 0.20 m - 3.71 qq/m</t>
    </r>
    <r>
      <rPr>
        <vertAlign val="superscript"/>
        <sz val="11"/>
        <rFont val="Arial"/>
        <family val="2"/>
      </rPr>
      <t>3</t>
    </r>
  </si>
  <si>
    <r>
      <t>Viga de amarre a NT  0.15 m x 0.20 m - 3.37 qq/m</t>
    </r>
    <r>
      <rPr>
        <vertAlign val="superscript"/>
        <sz val="11"/>
        <rFont val="Arial"/>
        <family val="2"/>
      </rPr>
      <t>3</t>
    </r>
  </si>
  <si>
    <r>
      <t>Dintel D1 (0.15 x 0.30 )m - 2.99 qq/m</t>
    </r>
    <r>
      <rPr>
        <vertAlign val="superscript"/>
        <sz val="11"/>
        <rFont val="Arial"/>
        <family val="2"/>
      </rPr>
      <t>3</t>
    </r>
  </si>
  <si>
    <r>
      <t>Viga dintel D2 - 2.38 qq/m</t>
    </r>
    <r>
      <rPr>
        <vertAlign val="superscript"/>
        <sz val="11"/>
        <rFont val="Arial"/>
        <family val="2"/>
      </rPr>
      <t>3</t>
    </r>
  </si>
  <si>
    <r>
      <t>Columna 0.30 m x 0.15 m - 3.03 qq/m</t>
    </r>
    <r>
      <rPr>
        <vertAlign val="superscript"/>
        <sz val="11"/>
        <rFont val="Arial"/>
        <family val="2"/>
      </rPr>
      <t>3</t>
    </r>
  </si>
  <si>
    <r>
      <t>Losa de techo  0.12m - 1.34 qq/m</t>
    </r>
    <r>
      <rPr>
        <vertAlign val="superscript"/>
        <sz val="11"/>
        <rFont val="Arial"/>
        <family val="2"/>
      </rPr>
      <t>3</t>
    </r>
  </si>
  <si>
    <r>
      <t>HORMIGÓN ARMADO F'c= 280 KG/CM</t>
    </r>
    <r>
      <rPr>
        <b/>
        <vertAlign val="superscript"/>
        <sz val="11"/>
        <rFont val="Arial"/>
        <family val="2"/>
      </rPr>
      <t>2</t>
    </r>
    <r>
      <rPr>
        <b/>
        <sz val="11"/>
        <rFont val="Arial"/>
        <family val="2"/>
      </rPr>
      <t xml:space="preserve"> EN:</t>
    </r>
  </si>
  <si>
    <t>Nº</t>
  </si>
  <si>
    <t xml:space="preserve">Explanación con  Gredar 120-G  (incluye operador y combustible) </t>
  </si>
  <si>
    <t>PLANTA DE TRATAMIENTO DE FILTRACIÓN RÁPIDA DE 40 LPS DE CAPACIDAD Y DEPÓSITO REGULADOR H.A. SUPERFICIAL DE 150 M³</t>
  </si>
  <si>
    <t>Uso de Bomba de Achique de 6" (18HP)</t>
  </si>
  <si>
    <t>Suministro y colocación Válvula de Compuerta   12" 150 PSI</t>
  </si>
  <si>
    <t>Demolición  Hormigón Armado  en muro (9 huecos)( inc. resane)</t>
  </si>
  <si>
    <t>BY-PASS</t>
  </si>
  <si>
    <t xml:space="preserve">SUMINISTRO TUBERÍA </t>
  </si>
  <si>
    <t>Tubería PVC ø1" x 19' SCH-40 + 3% perdida</t>
  </si>
  <si>
    <t xml:space="preserve">COLOCACIÓN TUBERÍA </t>
  </si>
  <si>
    <t xml:space="preserve">Tubería PVC ø1" x 19' SCH-40 </t>
  </si>
  <si>
    <t>Tubería PVC ø2" x 19' SDR-41 + 3% perdida</t>
  </si>
  <si>
    <t>Tubería PVC ø4" x 19' SDR-41 + 4% perdida</t>
  </si>
  <si>
    <t>Tee ø4" x ø3"  drenaje</t>
  </si>
  <si>
    <t>Tee ø4" x ø2"  drenaje</t>
  </si>
  <si>
    <t>Reducción ø4" x ø2" drenaje</t>
  </si>
  <si>
    <t>Replanteo (inc. charrancha)</t>
  </si>
  <si>
    <r>
      <t>HORMIGON ARMADO ( F</t>
    </r>
    <r>
      <rPr>
        <b/>
        <sz val="10"/>
        <rFont val="Calibri"/>
        <family val="2"/>
      </rPr>
      <t>´</t>
    </r>
    <r>
      <rPr>
        <b/>
        <sz val="10"/>
        <rFont val="Arial"/>
        <family val="2"/>
      </rPr>
      <t>C=210 KG/cM² ) EN :</t>
    </r>
  </si>
  <si>
    <r>
      <t xml:space="preserve">Zapata de Muro ( 0.45 x 0.25 ) - 0.85 qq/m³  </t>
    </r>
    <r>
      <rPr>
        <sz val="10"/>
        <rFont val="Arial"/>
        <family val="2"/>
      </rPr>
      <t>( F´C=180 KG/cM² )</t>
    </r>
  </si>
  <si>
    <t>Zapata de Columnas (1.20x1.20),e= 0.30-1.17 qq/m³   ( F´C=180 KG/cM² )</t>
  </si>
  <si>
    <t xml:space="preserve">Desagüe de techo  Ø3" PVC </t>
  </si>
  <si>
    <t>Codo 3/4" x 90º  PVC  SHC-40</t>
  </si>
  <si>
    <r>
      <t>Zapata de muros- 0.50 qq/m</t>
    </r>
    <r>
      <rPr>
        <vertAlign val="superscript"/>
        <sz val="11"/>
        <rFont val="Arial"/>
        <family val="2"/>
      </rPr>
      <t>3</t>
    </r>
    <r>
      <rPr>
        <sz val="11"/>
        <rFont val="Arial"/>
        <family val="2"/>
      </rPr>
      <t xml:space="preserve">    (</t>
    </r>
    <r>
      <rPr>
        <sz val="10"/>
        <rFont val="Arial"/>
        <family val="2"/>
      </rPr>
      <t>F'c= 180 KG/CM2)</t>
    </r>
  </si>
  <si>
    <r>
      <t>HORMIGÓN ARMADO F'c=210 KG/CM</t>
    </r>
    <r>
      <rPr>
        <b/>
        <vertAlign val="superscript"/>
        <sz val="11"/>
        <rFont val="Arial"/>
        <family val="2"/>
      </rPr>
      <t>2</t>
    </r>
    <r>
      <rPr>
        <b/>
        <sz val="11"/>
        <rFont val="Arial"/>
        <family val="2"/>
      </rPr>
      <t xml:space="preserve"> EN: </t>
    </r>
  </si>
  <si>
    <t>Desagüe de techo en tubería de Ø3 PVC</t>
  </si>
  <si>
    <t>Fregadero sencillo Inoxidable</t>
  </si>
  <si>
    <t>Tubería PVC ø1" x 19' SCH-40</t>
  </si>
  <si>
    <t>Tubería PVC ø1.1/2" x 19' SCH-41 + 3% perdida</t>
  </si>
  <si>
    <t>Tubería PVC ø2" x 19' SCH-41 + 3% perdida</t>
  </si>
  <si>
    <t>Tubería PVC ø4" x 19' SCH-41 + 4% perdida</t>
  </si>
  <si>
    <t xml:space="preserve">Tubería PVC ø1.1/2" x 19' SCH-41 </t>
  </si>
  <si>
    <t xml:space="preserve">Tubería PVC ø2" x 19' SCH-41 </t>
  </si>
  <si>
    <t xml:space="preserve">Tubería PVC ø4" x 19' SCH-41 </t>
  </si>
  <si>
    <t>Codo ø1.1/2" x 90° PVC  drenaje</t>
  </si>
  <si>
    <t>Codo ø2" x 90° PVC  drenaje</t>
  </si>
  <si>
    <t>Codo ø4" x 90° PVC  drenaje</t>
  </si>
  <si>
    <t>Yee ø4" x ø2" PVC  drenaje</t>
  </si>
  <si>
    <t>Cámara de Inspección (0.70 x 0.70)m  (según detalle)</t>
  </si>
  <si>
    <t xml:space="preserve">Desagüe de techo  de Ø3" PVC </t>
  </si>
  <si>
    <t>Tubería  Ø2" PVC SCH-40</t>
  </si>
  <si>
    <t>Codo 2"x90ᵒ PVC SCH-40</t>
  </si>
  <si>
    <t>Codo 2"x45ᵒ PVC SCH-40</t>
  </si>
  <si>
    <t>Tee 2"x2" PVC SCH-40</t>
  </si>
  <si>
    <t>Yee 2"x2" PVC SCH-40</t>
  </si>
  <si>
    <t>Válvula Compuerta Ø6" platillada H.F. 150 PSI</t>
  </si>
  <si>
    <t>Urbanas (según detalle de Planos)</t>
  </si>
  <si>
    <t>Rurales (según detalle de Planos)</t>
  </si>
  <si>
    <r>
      <t>M</t>
    </r>
    <r>
      <rPr>
        <vertAlign val="superscript"/>
        <sz val="10"/>
        <rFont val="Arial"/>
        <family val="2"/>
      </rPr>
      <t>3</t>
    </r>
  </si>
  <si>
    <r>
      <t>M</t>
    </r>
    <r>
      <rPr>
        <vertAlign val="superscript"/>
        <sz val="10"/>
        <rFont val="Arial"/>
        <family val="2"/>
      </rPr>
      <t>2</t>
    </r>
  </si>
  <si>
    <r>
      <rPr>
        <b/>
        <sz val="10"/>
        <rFont val="Arial"/>
        <family val="2"/>
      </rPr>
      <t xml:space="preserve">MOVIMIENTO DE TIERRA </t>
    </r>
    <r>
      <rPr>
        <sz val="11"/>
        <rFont val="Arial"/>
        <family val="2"/>
      </rPr>
      <t>(incluye excavación de zapatas, reposición de material compactado y bote de material sobrante)</t>
    </r>
  </si>
  <si>
    <r>
      <t>HORMIGÓN ARMADO (210 KG/CM</t>
    </r>
    <r>
      <rPr>
        <b/>
        <vertAlign val="superscript"/>
        <sz val="10"/>
        <rFont val="Arial"/>
        <family val="2"/>
      </rPr>
      <t>2</t>
    </r>
    <r>
      <rPr>
        <b/>
        <sz val="10"/>
        <rFont val="Arial"/>
        <family val="2"/>
      </rPr>
      <t>)</t>
    </r>
  </si>
  <si>
    <r>
      <rPr>
        <b/>
        <sz val="10"/>
        <rFont val="Arial"/>
        <family val="2"/>
      </rPr>
      <t xml:space="preserve">MOVIMIENTO DE TIERRA </t>
    </r>
    <r>
      <rPr>
        <sz val="10"/>
        <rFont val="Arial"/>
        <family val="2"/>
      </rPr>
      <t xml:space="preserve"> </t>
    </r>
    <r>
      <rPr>
        <sz val="11"/>
        <rFont val="Arial"/>
        <family val="2"/>
      </rPr>
      <t>(incl. Excavación, relleno compactado, asiento de arena y bote de material)</t>
    </r>
  </si>
  <si>
    <r>
      <rPr>
        <b/>
        <sz val="10"/>
        <rFont val="Arial"/>
        <family val="2"/>
      </rPr>
      <t>MOVIMIENTO DE TIERRA</t>
    </r>
    <r>
      <rPr>
        <b/>
        <sz val="11"/>
        <rFont val="Arial"/>
        <family val="2"/>
      </rPr>
      <t xml:space="preserve"> </t>
    </r>
    <r>
      <rPr>
        <sz val="11"/>
        <rFont val="Arial"/>
        <family val="2"/>
      </rPr>
      <t xml:space="preserve"> (incl. Excavación, relleno compactado, asiento de arena y bote de material)</t>
    </r>
  </si>
  <si>
    <t>SUMINISTRO TUBERÍA</t>
  </si>
  <si>
    <t>Tubería de Ø6" PVC, SDR-26  C/J.G.</t>
  </si>
  <si>
    <r>
      <t>HORMIGÓN ARMADO F`c=280 KG/CM</t>
    </r>
    <r>
      <rPr>
        <b/>
        <vertAlign val="superscript"/>
        <sz val="10"/>
        <rFont val="Arial"/>
        <family val="2"/>
      </rPr>
      <t>2</t>
    </r>
    <r>
      <rPr>
        <b/>
        <sz val="10"/>
        <rFont val="Arial"/>
        <family val="2"/>
      </rPr>
      <t>, INDUSTRIAL EN:</t>
    </r>
  </si>
  <si>
    <r>
      <t>HORMIGON ARMADO  F'c= 210 KG/CM</t>
    </r>
    <r>
      <rPr>
        <b/>
        <vertAlign val="superscript"/>
        <sz val="10"/>
        <rFont val="Arial"/>
        <family val="2"/>
      </rPr>
      <t xml:space="preserve">2 </t>
    </r>
    <r>
      <rPr>
        <b/>
        <sz val="10"/>
        <rFont val="Arial"/>
        <family val="2"/>
      </rPr>
      <t>EN :</t>
    </r>
  </si>
  <si>
    <t>Codo 4" x 90º  PVC SCH-40</t>
  </si>
  <si>
    <t>Codo 4" x 45º  PVC SCH-40</t>
  </si>
  <si>
    <t>Codo 3" x 90º  PVC SCH-40</t>
  </si>
  <si>
    <t>Codo 3" x 45º  PVC SCH-40</t>
  </si>
  <si>
    <t>Tee 4 x 4" PVC SCH-40</t>
  </si>
  <si>
    <t>Tee 3 x 3" PVC SCH-40</t>
  </si>
  <si>
    <t>Tapón de Ø4" PVC SCH-40</t>
  </si>
  <si>
    <t>Tapón de Ø3" PVC SCH-40</t>
  </si>
  <si>
    <t>Juntas Mecánicas tipo dresser Ø6"</t>
  </si>
  <si>
    <t>Juntas Mecánicas tipo dresser Ø4"</t>
  </si>
  <si>
    <t>Juntas Mecánicas tipo dresser Ø3"</t>
  </si>
  <si>
    <t>Red 4" x 3" PVC ACH-40</t>
  </si>
  <si>
    <r>
      <t>Losa de fondo 0.45-1.40 qq/m</t>
    </r>
    <r>
      <rPr>
        <vertAlign val="superscript"/>
        <sz val="11"/>
        <rFont val="Arial"/>
        <family val="2"/>
      </rPr>
      <t xml:space="preserve">3 </t>
    </r>
  </si>
  <si>
    <r>
      <t>Losa de  entrepiso 0.20-1.51 qq/m</t>
    </r>
    <r>
      <rPr>
        <vertAlign val="superscript"/>
        <sz val="11"/>
        <rFont val="Arial"/>
        <family val="2"/>
      </rPr>
      <t>3</t>
    </r>
    <r>
      <rPr>
        <sz val="11"/>
        <rFont val="Arial"/>
        <family val="2"/>
      </rPr>
      <t xml:space="preserve"> </t>
    </r>
  </si>
  <si>
    <r>
      <t>Losa de techo 0.15-1.30 qq/m</t>
    </r>
    <r>
      <rPr>
        <vertAlign val="superscript"/>
        <sz val="11"/>
        <rFont val="Arial"/>
        <family val="2"/>
      </rPr>
      <t>3</t>
    </r>
    <r>
      <rPr>
        <sz val="11"/>
        <rFont val="Arial"/>
        <family val="2"/>
      </rPr>
      <t xml:space="preserve"> </t>
    </r>
  </si>
  <si>
    <r>
      <t>Columna 0.30x0.30-3.54 qq/m</t>
    </r>
    <r>
      <rPr>
        <vertAlign val="superscript"/>
        <sz val="11"/>
        <rFont val="Arial"/>
        <family val="2"/>
      </rPr>
      <t>3</t>
    </r>
    <r>
      <rPr>
        <sz val="11"/>
        <rFont val="Arial"/>
        <family val="2"/>
      </rPr>
      <t xml:space="preserve"> </t>
    </r>
  </si>
  <si>
    <r>
      <t>Muros H.A. 0.30-4.18 qq/m</t>
    </r>
    <r>
      <rPr>
        <vertAlign val="superscript"/>
        <sz val="11"/>
        <rFont val="Arial"/>
        <family val="2"/>
      </rPr>
      <t>3</t>
    </r>
  </si>
  <si>
    <r>
      <t>Viga 1 (0.20x0.50)m  3.44qq/m</t>
    </r>
    <r>
      <rPr>
        <vertAlign val="superscript"/>
        <sz val="11"/>
        <rFont val="Arial"/>
        <family val="2"/>
      </rPr>
      <t>3</t>
    </r>
  </si>
  <si>
    <r>
      <t>Viga (0.30x0.50)m  3.48qq/m</t>
    </r>
    <r>
      <rPr>
        <vertAlign val="superscript"/>
        <sz val="11"/>
        <rFont val="Arial"/>
        <family val="2"/>
      </rPr>
      <t>3</t>
    </r>
  </si>
  <si>
    <r>
      <t>Hormigón de nivelación e=0.05 m  180kg/m</t>
    </r>
    <r>
      <rPr>
        <vertAlign val="superscript"/>
        <sz val="11"/>
        <rFont val="Arial"/>
        <family val="2"/>
      </rPr>
      <t>2</t>
    </r>
  </si>
  <si>
    <t>SUMINISTRO DE ELECTROBOMBAS SUMERGIBLE NO ATASCABLE PARA LODO. (NO INSTALADAS) (USO OCASIONAL)</t>
  </si>
  <si>
    <t>Suministro e instalación Tinaco -150 Gl</t>
  </si>
  <si>
    <t>Codo de Ø10"x35° Acero SCH 40</t>
  </si>
  <si>
    <t>Codo de Ø10"x20° Acero SCH- 40</t>
  </si>
  <si>
    <t>Codo de Ø10"x15° Acero SCH-40</t>
  </si>
  <si>
    <t>Codo de Ø10"x10° Acero SCH- 40</t>
  </si>
  <si>
    <t>Caja telescópica (ver detalle)</t>
  </si>
  <si>
    <t>Suministro y colocación  de tubería de  12" PVC  SDR-32.5 en  muro long= 0.35 m  (inclluye corte, hormigón simple y mano de obra )</t>
  </si>
  <si>
    <t>Bote de material  c/camión (d= 5 km) inclluye esparcimiento en botadero</t>
  </si>
  <si>
    <t>Bote de material  c/camión d= 5 km (inclluye esparcimiento en botadero)</t>
  </si>
  <si>
    <t>Columna  4"x4" DE 3/16"</t>
  </si>
  <si>
    <t xml:space="preserve">Aluzinc (incluye corte y soldadura) </t>
  </si>
  <si>
    <t>Caballete  (incluye corte y soldadura )</t>
  </si>
  <si>
    <t>Relleno con material de corte (regado y nivelado)</t>
  </si>
  <si>
    <t>Bote de material  c/camión d=5 km (incluyeesparcimiento en botadero)</t>
  </si>
  <si>
    <r>
      <t>MOVIMIENTO DE TIERRA ( V= 64.26 M</t>
    </r>
    <r>
      <rPr>
        <b/>
        <vertAlign val="superscript"/>
        <sz val="10"/>
        <rFont val="Arial"/>
        <family val="2"/>
      </rPr>
      <t>3</t>
    </r>
    <r>
      <rPr>
        <b/>
        <sz val="10"/>
        <rFont val="Arial"/>
        <family val="2"/>
      </rPr>
      <t xml:space="preserve">) </t>
    </r>
  </si>
  <si>
    <t>Bote de material  c/camión d= 5 km (incluye esparcimiento en botadero)</t>
  </si>
  <si>
    <t>Suministro y colocación  de Asfalto 2" (incluye riego de adherencia)</t>
  </si>
  <si>
    <t>Corte de Material con equipo (Incluye capa vegetal)</t>
  </si>
  <si>
    <t xml:space="preserve">SUMINISTRO Y COLOCACIÓN DE PIEZAS ESPECIALES </t>
  </si>
  <si>
    <t>Codo 6" x 60º Acero SCH-40 ,Soldado c/protección anticorrosiiva</t>
  </si>
  <si>
    <t>Tee 6" x 6" Acero SCH-40 Soldado, c/protección anticorrosiva</t>
  </si>
  <si>
    <t>Tee 6" x 6" Acero, SCH-40 , c/protección anticorrosiva</t>
  </si>
  <si>
    <t>Red 6" x 4" Acero sch-40 Soldado, c/protección anticorrosiva</t>
  </si>
  <si>
    <t>Red 6" x 3" Acero sch-40 Soldado, c/protección anticorrosiva</t>
  </si>
  <si>
    <t>Kg</t>
  </si>
  <si>
    <t>Cemento solvente para piezas de PVC</t>
  </si>
  <si>
    <r>
      <t>Homigón simple   F'c= 180 kg/cm</t>
    </r>
    <r>
      <rPr>
        <vertAlign val="superscript"/>
        <sz val="11"/>
        <rFont val="Arial"/>
        <family val="2"/>
      </rPr>
      <t>2</t>
    </r>
    <r>
      <rPr>
        <sz val="11"/>
        <rFont val="Arial"/>
        <family val="2"/>
      </rPr>
      <t xml:space="preserve"> en losa de fondo e=0.08m</t>
    </r>
  </si>
  <si>
    <t>Transporte y manipulacion hasta puesta en obra</t>
  </si>
  <si>
    <t xml:space="preserve">Ascensor montacarga dos paradas, hidráulico 240 v ac  para manejo de insumos capacidad de carga 1 tonelada </t>
  </si>
  <si>
    <t>Detector Multigas Altair 4XR</t>
  </si>
  <si>
    <t>Salidas cenitales con abanico de techo</t>
  </si>
  <si>
    <t>Salidas interruptor doble</t>
  </si>
  <si>
    <t>MUEBLES DE COCINA (En MDF hidrófugo laqueado color blanco, incluye herrajes , suministro e instalacion)</t>
  </si>
  <si>
    <t>Gabinetes de pared</t>
  </si>
  <si>
    <t>11.6.3.1</t>
  </si>
  <si>
    <t>11.6.3.2</t>
  </si>
  <si>
    <t>11.6.3.3</t>
  </si>
  <si>
    <t>11.6.4.1</t>
  </si>
  <si>
    <t>11.6.4.2</t>
  </si>
  <si>
    <t>11.6.4.4</t>
  </si>
  <si>
    <t>11.6.5.1</t>
  </si>
  <si>
    <t>11.6.5.2</t>
  </si>
  <si>
    <t>11.6.5.3</t>
  </si>
  <si>
    <t>11.6.5.4</t>
  </si>
  <si>
    <t>11.6.5.5</t>
  </si>
  <si>
    <t>12.4.1</t>
  </si>
  <si>
    <t>12.5.1</t>
  </si>
  <si>
    <t>12.5.2</t>
  </si>
  <si>
    <t>12.5.3</t>
  </si>
  <si>
    <t>12.5.4</t>
  </si>
  <si>
    <t>12.5.5</t>
  </si>
  <si>
    <t>12.6.1</t>
  </si>
  <si>
    <t>12.6.2</t>
  </si>
  <si>
    <t>Pintura general acrílica calidad superior (incluye primer fresh cement y andamios)</t>
  </si>
  <si>
    <t>Valla anunciando Obra de 20'x 10', impresión Full Color, conteniendo logo de INAPA, nombre del proyecto y contratista. Estructura en tubos galvanizados 1 1/2" x 1 1/2" y soportes en tubo cuadrado de 4"x4"</t>
  </si>
  <si>
    <t>Estudios y Diseños</t>
  </si>
  <si>
    <t>Suministro electrobombas turbina de eje vertical de 75 HP, trifásica, 460V, 634  GPM y 253 pies de TDH. (una bomba para dejar en stock)</t>
  </si>
  <si>
    <t>Transporte de asfálto caliente (70.00 km)</t>
  </si>
  <si>
    <t>Suministro y colocación de asfálto caliente  e= 2" (incluye Riego de Adherencia) para bacheo de roturas por averias (Sujeto a aprovación por la Supervisión)</t>
  </si>
  <si>
    <t>Gabinetes de piso con tope de granito natural económico incluido</t>
  </si>
  <si>
    <r>
      <t>LINEA MATRIZ DESDE DEPÓSITO REGULADOR 150 M</t>
    </r>
    <r>
      <rPr>
        <b/>
        <vertAlign val="superscript"/>
        <sz val="10"/>
        <rFont val="Arial"/>
        <family val="2"/>
      </rPr>
      <t>3</t>
    </r>
    <r>
      <rPr>
        <b/>
        <sz val="10"/>
        <rFont val="Arial"/>
        <family val="2"/>
      </rPr>
      <t>. HASTA NUDO 43</t>
    </r>
  </si>
  <si>
    <r>
      <rPr>
        <b/>
        <sz val="10"/>
        <rFont val="Arial"/>
        <family val="2"/>
      </rPr>
      <t>SUMINISTRO Y COLOCACIÓN VÁLVULAS DE COMPUERTA</t>
    </r>
    <r>
      <rPr>
        <b/>
        <sz val="11"/>
        <rFont val="Arial"/>
        <family val="2"/>
      </rPr>
      <t xml:space="preserve"> (inc. Válvula, junta de goma, tornillos, niples platiillado en un extremo y juntas mec;anicas tipo dresser</t>
    </r>
  </si>
  <si>
    <r>
      <rPr>
        <b/>
        <sz val="10"/>
        <rFont val="Arial"/>
        <family val="2"/>
      </rPr>
      <t>SUMINISTRO Y COLOCACIÓN DE VÁLVULAS</t>
    </r>
    <r>
      <rPr>
        <b/>
        <sz val="11"/>
        <rFont val="Arial"/>
        <family val="2"/>
      </rPr>
      <t xml:space="preserve"> (inc. Junta de Goma, Tornillos, Niples platiillado en un extremo y Juntas mecánicas tipo Dresser</t>
    </r>
  </si>
  <si>
    <t>CONSTRUCCIÓN ACUEDUCTO VILLARPANDO</t>
  </si>
  <si>
    <t xml:space="preserve">Ubicación: </t>
  </si>
  <si>
    <t>PROVINCIA AZUA</t>
  </si>
  <si>
    <r>
      <rPr>
        <sz val="10"/>
        <rFont val="Arial"/>
        <family val="2"/>
      </rPr>
      <t xml:space="preserve">Zona </t>
    </r>
    <r>
      <rPr>
        <b/>
        <sz val="10"/>
        <rFont val="Arial"/>
        <family val="2"/>
      </rPr>
      <t>: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</si>
</sst>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5">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RD$&quot;#,##0.00_);\(&quot;RD$&quot;#,##0.00\)"/>
    <numFmt numFmtId="165" formatCode="_(&quot;RD$&quot;* #,##0.00_);_(&quot;RD$&quot;* \(#,##0.00\);_(&quot;RD$&quot;* &quot;-&quot;??_);_(@_)"/>
    <numFmt numFmtId="166" formatCode="#,##0.00\ &quot;€&quot;;\-#,##0.00\ &quot;€&quot;"/>
    <numFmt numFmtId="167" formatCode="#,##0.00\ &quot;€&quot;;[Red]\-#,##0.00\ &quot;€&quot;"/>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0.00;[Red]#,##0.00"/>
    <numFmt numFmtId="173" formatCode="_-* #,##0.00_-;\-* #,##0.00_-;_-* &quot;-&quot;??_-;_-@_-"/>
    <numFmt numFmtId="174" formatCode="0.0000"/>
    <numFmt numFmtId="175" formatCode="0.000"/>
    <numFmt numFmtId="176" formatCode="&quot;Sí&quot;;&quot;Sí&quot;;&quot;No&quot;"/>
    <numFmt numFmtId="177" formatCode="#,##0.000;[Red]#,##0.000"/>
    <numFmt numFmtId="178" formatCode="#,##0.0000;[Red]#,##0.0000"/>
    <numFmt numFmtId="179" formatCode="#,##0.0000"/>
    <numFmt numFmtId="180" formatCode="#,##0.000"/>
    <numFmt numFmtId="181" formatCode="#,##0.00000;[Red]#,##0.00000"/>
    <numFmt numFmtId="182" formatCode="#,##0.00_ ;\-#,##0.00\ "/>
    <numFmt numFmtId="183" formatCode="0.00_)"/>
    <numFmt numFmtId="184" formatCode="#,##0;\-#,##0"/>
    <numFmt numFmtId="185" formatCode="#,##0.0;\-#,##0.0"/>
    <numFmt numFmtId="186" formatCode="#,##0.00;\-#,##0.00"/>
    <numFmt numFmtId="187" formatCode="#.0"/>
    <numFmt numFmtId="188" formatCode="_(* #,##0.0_);_(* \(#,##0.0\);_(* &quot;-&quot;??_);_(@_)"/>
    <numFmt numFmtId="189" formatCode="_(* #,##0_);_(* \(#,##0\);_(* &quot;-&quot;??_);_(@_)"/>
    <numFmt numFmtId="190" formatCode="&quot;$&quot;#,##0.00;[Red]\-&quot;$&quot;#,##0.00"/>
    <numFmt numFmtId="191" formatCode="General_)"/>
    <numFmt numFmtId="192" formatCode="#,##0.0"/>
    <numFmt numFmtId="193" formatCode="_(* #,##0.000_);_(* \(#,##0.000\);_(* &quot;-&quot;??_);_(@_)"/>
    <numFmt numFmtId="194" formatCode="0.0"/>
    <numFmt numFmtId="195" formatCode="&quot;$&quot;#,##0.00;\-&quot;$&quot;#,##0.00"/>
    <numFmt numFmtId="196" formatCode="_-* #,##0.0000_-;\-* #,##0.0000_-;_-* &quot;-&quot;??_-;_-@_-"/>
    <numFmt numFmtId="197" formatCode="#,##0.00000"/>
    <numFmt numFmtId="198" formatCode="#,##0.0_);\(#,##0.0\)"/>
    <numFmt numFmtId="199" formatCode="#,##0.000_);\(#,##0.000\)"/>
    <numFmt numFmtId="200" formatCode="#.00&quot; M3/HR&quot;#"/>
    <numFmt numFmtId="201" formatCode="#,##0.00000000000000000"/>
    <numFmt numFmtId="202" formatCode="#,##0.0_ ;\-#,##0.0\ "/>
    <numFmt numFmtId="203" formatCode="[$€]#,##0.00;[Red]\-[$€]#,##0.00"/>
    <numFmt numFmtId="204" formatCode="_([$€]* #,##0.00_);_([$€]* \(#,##0.00\);_([$€]* &quot;-&quot;??_);_(@_)"/>
    <numFmt numFmtId="205" formatCode="_-[$€-2]* #,##0.00_-;\-[$€-2]* #,##0.00_-;_-[$€-2]* &quot;-&quot;??_-"/>
    <numFmt numFmtId="206" formatCode="#."/>
    <numFmt numFmtId="207" formatCode="_-* #,##0.00\ &quot;Pts&quot;_-;\-* #,##0.00\ &quot;Pts&quot;_-;_-* &quot;-&quot;??\ &quot;Pts&quot;_-;_-@_-"/>
    <numFmt numFmtId="208" formatCode="_-* #,##0.00\ _P_t_s_-;\-* #,##0.00\ _P_t_s_-;_-* &quot;-&quot;??\ _P_t_s_-;_-@_-"/>
    <numFmt numFmtId="209" formatCode="_(* #,##0.00_);_(* \(#,##0.00\);_(* \-??_);_(@_)"/>
    <numFmt numFmtId="210" formatCode="_-* #,##0.00\ [$€]_-;\-* #,##0.00\ [$€]_-;_-* &quot;-&quot;??\ [$€]_-;_-@_-"/>
    <numFmt numFmtId="211" formatCode="#,##0.0000_);\(#,##0.0000\)"/>
    <numFmt numFmtId="212" formatCode="_-&quot;$&quot;* #,##0.00_-;\-&quot;$&quot;* #,##0.00_-;_-&quot;$&quot;* &quot;-&quot;??_-;_-@_-"/>
    <numFmt numFmtId="213" formatCode="&quot;Activado&quot;;&quot;Activado&quot;;&quot;Desactivado&quot;"/>
    <numFmt numFmtId="214" formatCode="0.00000"/>
    <numFmt numFmtId="215" formatCode="_-* #,##0.00\ _R_D_$_-;\-* #,##0.00\ _R_D_$_-;_-* &quot;-&quot;??\ _R_D_$_-;_-@_-"/>
    <numFmt numFmtId="216" formatCode="[$$-409]#,##0.00"/>
    <numFmt numFmtId="217" formatCode="0_)"/>
    <numFmt numFmtId="218" formatCode="#,##0.00\ _€"/>
    <numFmt numFmtId="219" formatCode="#,##0.00\ &quot;/m3&quot;"/>
    <numFmt numFmtId="220" formatCode="_-* #,##0.00\ _$_-;_-* #,##0.00\ _$\-;_-* &quot;-&quot;??\ _$_-;_-@_-"/>
    <numFmt numFmtId="221" formatCode="&quot;$&quot;#,##0;\-&quot;$&quot;#,##0"/>
    <numFmt numFmtId="222" formatCode="_([$€-2]* #,##0.00_);_([$€-2]* \(#,##0.00\);_([$€-2]* &quot;-&quot;??_)"/>
    <numFmt numFmtId="223" formatCode="&quot; &quot;#,##0.00&quot; &quot;;&quot; (&quot;#,##0.00&quot;)&quot;;&quot; -&quot;#&quot; &quot;;&quot; &quot;@&quot; &quot;"/>
    <numFmt numFmtId="224" formatCode="[$-409]General"/>
    <numFmt numFmtId="225" formatCode="#,##0.00\ &quot;M³S&quot;"/>
    <numFmt numFmtId="226" formatCode="#,##0.00\ &quot;KM&quot;"/>
    <numFmt numFmtId="227" formatCode="_-&quot;RD$&quot;* #,##0.00_-;\-&quot;RD$&quot;* #,##0.00_-;_-&quot;RD$&quot;* &quot;-&quot;??_-;_-@_-"/>
    <numFmt numFmtId="228" formatCode="_(* #,##0\ &quot;pta&quot;_);_(* \(#,##0\ &quot;pta&quot;\);_(* &quot;-&quot;??\ &quot;pta&quot;_);_(@_)"/>
    <numFmt numFmtId="229" formatCode="0.0%"/>
    <numFmt numFmtId="230" formatCode="#,##0.0000\ _€;\-#,##0.0000\ _€"/>
    <numFmt numFmtId="231" formatCode="_-* #,##0_-;\-* #,##0_-;_-* &quot;-&quot;_-;_-@_-"/>
    <numFmt numFmtId="232" formatCode="#.00"/>
    <numFmt numFmtId="233" formatCode="_-* #,##0.0\ _€_-;\-* #,##0.0\ _€_-;_-* &quot;-&quot;??\ _€_-;_-@_-"/>
    <numFmt numFmtId="234" formatCode="_-[$€]* #,##0.00_-;\-[$€]* #,##0.00_-;_-[$€]* &quot;-&quot;??_-;_-@_-"/>
    <numFmt numFmtId="235" formatCode="m/d/yyyy;@"/>
    <numFmt numFmtId="236" formatCode="_-* #,##0.00000_-;\-* #,##0.00000_-;_-* &quot;-&quot;??_-;_-@_-"/>
    <numFmt numFmtId="237" formatCode="#,##0.00000_);\(#,##0.00000\)"/>
    <numFmt numFmtId="238" formatCode="_-* #,##0.000_-;\-* #,##0.000_-;_-* &quot;-&quot;??_-;_-@_-"/>
    <numFmt numFmtId="239" formatCode="0.000%"/>
    <numFmt numFmtId="240" formatCode="0.00;[Red]0.00"/>
    <numFmt numFmtId="241" formatCode="#,##0\ _€;\-#,##0\ _€"/>
    <numFmt numFmtId="242" formatCode="#,##0.0\ _€;\-#,##0.0\ _€"/>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u/>
      <sz val="10"/>
      <color indexed="36"/>
      <name val="Arial"/>
      <family val="2"/>
    </font>
    <font>
      <sz val="10"/>
      <color indexed="8"/>
      <name val="Arial"/>
      <family val="2"/>
    </font>
    <font>
      <b/>
      <sz val="10"/>
      <color indexed="8"/>
      <name val="Arial"/>
      <family val="2"/>
    </font>
    <font>
      <sz val="10"/>
      <name val="Tms Rmn"/>
    </font>
    <font>
      <sz val="12"/>
      <name val="Courier"/>
      <family val="3"/>
    </font>
    <font>
      <sz val="10"/>
      <color indexed="10"/>
      <name val="Arial"/>
      <family val="2"/>
    </font>
    <font>
      <sz val="12"/>
      <name val="Arial"/>
      <family val="2"/>
    </font>
    <font>
      <b/>
      <sz val="16"/>
      <color indexed="10"/>
      <name val="Arial"/>
      <family val="2"/>
    </font>
    <font>
      <b/>
      <sz val="10"/>
      <color indexed="10"/>
      <name val="Arial"/>
      <family val="2"/>
    </font>
    <font>
      <b/>
      <u/>
      <sz val="14"/>
      <name val="Arial"/>
      <family val="2"/>
    </font>
    <font>
      <b/>
      <sz val="12"/>
      <name val="Arial"/>
      <family val="2"/>
    </font>
    <font>
      <b/>
      <u/>
      <sz val="12"/>
      <name val="Arial"/>
      <family val="2"/>
    </font>
    <font>
      <b/>
      <sz val="8"/>
      <color indexed="81"/>
      <name val="Tahoma"/>
      <family val="2"/>
    </font>
    <font>
      <sz val="8"/>
      <color indexed="81"/>
      <name val="Tahoma"/>
      <family val="2"/>
    </font>
    <font>
      <b/>
      <sz val="10"/>
      <color indexed="12"/>
      <name val="Arial"/>
      <family val="2"/>
    </font>
    <font>
      <b/>
      <u/>
      <sz val="10"/>
      <color indexed="12"/>
      <name val="Arial"/>
      <family val="2"/>
    </font>
    <font>
      <b/>
      <u/>
      <sz val="10"/>
      <name val="Arial"/>
      <family val="2"/>
    </font>
    <font>
      <sz val="10"/>
      <name val="Times New Roman"/>
      <family val="1"/>
    </font>
    <font>
      <b/>
      <sz val="10"/>
      <name val="Times New Roman"/>
      <family val="1"/>
    </font>
    <font>
      <b/>
      <u/>
      <sz val="16"/>
      <name val="Arial"/>
      <family val="2"/>
    </font>
    <font>
      <b/>
      <sz val="9"/>
      <name val="Arial"/>
      <family val="2"/>
    </font>
    <font>
      <sz val="9"/>
      <name val="Arial"/>
      <family val="2"/>
    </font>
    <font>
      <sz val="8"/>
      <name val="Times New Roman"/>
      <family val="1"/>
    </font>
    <font>
      <sz val="10"/>
      <color indexed="8"/>
      <name val="Times New Roman"/>
      <family val="1"/>
    </font>
    <font>
      <b/>
      <sz val="10"/>
      <color indexed="8"/>
      <name val="Times New Roman"/>
      <family val="1"/>
    </font>
    <font>
      <b/>
      <sz val="8"/>
      <name val="Times New Roman"/>
      <family val="1"/>
    </font>
    <font>
      <b/>
      <u/>
      <sz val="10"/>
      <name val="Times New Roman"/>
      <family val="1"/>
    </font>
    <font>
      <b/>
      <u/>
      <sz val="16"/>
      <name val="Times New Roman"/>
      <family val="1"/>
    </font>
    <font>
      <b/>
      <sz val="14"/>
      <name val="Times New Roman"/>
      <family val="1"/>
    </font>
    <font>
      <b/>
      <sz val="12"/>
      <name val="Times New Roman"/>
      <family val="1"/>
    </font>
    <font>
      <sz val="9"/>
      <name val="Times New Roman"/>
      <family val="1"/>
    </font>
    <font>
      <sz val="10"/>
      <name val="MS Sans Serif"/>
      <family val="2"/>
    </font>
    <font>
      <b/>
      <sz val="8"/>
      <name val="Arial"/>
      <family val="2"/>
    </font>
    <font>
      <b/>
      <sz val="10"/>
      <color indexed="63"/>
      <name val="Arial"/>
      <family val="2"/>
    </font>
    <font>
      <sz val="10"/>
      <color indexed="63"/>
      <name val="Arial"/>
      <family val="2"/>
    </font>
    <font>
      <b/>
      <sz val="12"/>
      <color indexed="63"/>
      <name val="Arial"/>
      <family val="2"/>
    </font>
    <font>
      <sz val="10"/>
      <color indexed="14"/>
      <name val="Arial"/>
      <family val="2"/>
    </font>
    <font>
      <b/>
      <sz val="10"/>
      <color indexed="14"/>
      <name val="Arial"/>
      <family val="2"/>
    </font>
    <font>
      <sz val="8"/>
      <color indexed="8"/>
      <name val="Arial"/>
      <family val="2"/>
    </font>
    <font>
      <b/>
      <u/>
      <sz val="8"/>
      <name val="Arial"/>
      <family val="2"/>
    </font>
    <font>
      <b/>
      <sz val="8"/>
      <color indexed="63"/>
      <name val="Arial"/>
      <family val="2"/>
    </font>
    <font>
      <sz val="9"/>
      <color indexed="8"/>
      <name val="Arial"/>
      <family val="2"/>
    </font>
    <font>
      <b/>
      <u/>
      <sz val="16"/>
      <color indexed="10"/>
      <name val="Arial"/>
      <family val="2"/>
    </font>
    <font>
      <sz val="9"/>
      <color indexed="81"/>
      <name val="Tahoma"/>
      <family val="2"/>
    </font>
    <font>
      <b/>
      <sz val="9"/>
      <color indexed="81"/>
      <name val="Tahoma"/>
      <family val="2"/>
    </font>
    <font>
      <b/>
      <sz val="11"/>
      <color indexed="8"/>
      <name val="Square721 BT"/>
      <family val="2"/>
    </font>
    <font>
      <b/>
      <sz val="10"/>
      <color indexed="8"/>
      <name val="Square721 BT"/>
      <family val="2"/>
    </font>
    <font>
      <sz val="10"/>
      <color indexed="8"/>
      <name val="Square721 BT"/>
      <family val="2"/>
    </font>
    <font>
      <sz val="9"/>
      <color indexed="8"/>
      <name val="Square721 BT"/>
      <family val="2"/>
    </font>
    <font>
      <b/>
      <sz val="11"/>
      <name val="Arial"/>
      <family val="2"/>
    </font>
    <font>
      <b/>
      <sz val="9"/>
      <color indexed="8"/>
      <name val="Times New Roman"/>
      <family val="1"/>
    </font>
    <font>
      <b/>
      <sz val="9"/>
      <name val="Times New Roman"/>
      <family val="1"/>
    </font>
    <font>
      <sz val="9"/>
      <color indexed="8"/>
      <name val="Times New Roman"/>
      <family val="1"/>
    </font>
    <font>
      <b/>
      <sz val="10"/>
      <color indexed="62"/>
      <name val="Times New Roman"/>
      <family val="1"/>
    </font>
    <font>
      <sz val="10"/>
      <color indexed="62"/>
      <name val="Times New Roman"/>
      <family val="1"/>
    </font>
    <font>
      <sz val="10"/>
      <color indexed="23"/>
      <name val="Arial"/>
      <family val="2"/>
    </font>
    <font>
      <b/>
      <sz val="10"/>
      <color indexed="23"/>
      <name val="Arial"/>
      <family val="2"/>
    </font>
    <font>
      <b/>
      <u/>
      <sz val="8"/>
      <name val="Times New Roman"/>
      <family val="1"/>
    </font>
    <font>
      <b/>
      <sz val="9"/>
      <color indexed="8"/>
      <name val="Arial"/>
      <family val="2"/>
    </font>
    <font>
      <sz val="11"/>
      <name val="Arial"/>
      <family val="2"/>
    </font>
    <font>
      <b/>
      <sz val="10"/>
      <color indexed="57"/>
      <name val="Arial"/>
      <family val="2"/>
    </font>
    <font>
      <b/>
      <sz val="10"/>
      <color indexed="17"/>
      <name val="Arial"/>
      <family val="2"/>
    </font>
    <font>
      <sz val="11"/>
      <color indexed="8"/>
      <name val="Calibri"/>
      <family val="2"/>
    </font>
    <font>
      <b/>
      <sz val="18"/>
      <color indexed="56"/>
      <name val="Cambria"/>
      <family val="2"/>
    </font>
    <font>
      <b/>
      <sz val="11"/>
      <color indexed="8"/>
      <name val="Calibri"/>
      <family val="2"/>
    </font>
    <font>
      <sz val="10"/>
      <color indexed="8"/>
      <name val="Verdana"/>
      <family val="2"/>
    </font>
    <font>
      <b/>
      <sz val="10"/>
      <color indexed="8"/>
      <name val="Verdana"/>
      <family val="2"/>
    </font>
    <font>
      <sz val="10"/>
      <color indexed="8"/>
      <name val="Arial"/>
      <family val="2"/>
    </font>
    <font>
      <sz val="11"/>
      <color indexed="8"/>
      <name val="Calibri"/>
      <family val="2"/>
    </font>
    <font>
      <sz val="10"/>
      <color indexed="10"/>
      <name val="Arial"/>
      <family val="2"/>
    </font>
    <font>
      <sz val="11"/>
      <color indexed="8"/>
      <name val="Times New Roman"/>
      <family val="1"/>
    </font>
    <font>
      <b/>
      <sz val="11"/>
      <color indexed="8"/>
      <name val="Times New Roman"/>
      <family val="1"/>
    </font>
    <font>
      <b/>
      <sz val="11"/>
      <color indexed="8"/>
      <name val="Calibri"/>
      <family val="2"/>
    </font>
    <font>
      <b/>
      <i/>
      <sz val="12"/>
      <color indexed="8"/>
      <name val="Verdana"/>
      <family val="2"/>
    </font>
    <font>
      <b/>
      <i/>
      <sz val="10"/>
      <color indexed="8"/>
      <name val="Verdana"/>
      <family val="2"/>
    </font>
    <font>
      <sz val="10"/>
      <color indexed="8"/>
      <name val="Verdana"/>
      <family val="2"/>
    </font>
    <font>
      <b/>
      <sz val="10"/>
      <color indexed="8"/>
      <name val="Verdana"/>
      <family val="2"/>
    </font>
    <font>
      <b/>
      <sz val="8"/>
      <color indexed="10"/>
      <name val="Arial"/>
      <family val="2"/>
    </font>
    <font>
      <b/>
      <sz val="10"/>
      <color indexed="10"/>
      <name val="Arial"/>
      <family val="2"/>
    </font>
    <font>
      <sz val="10"/>
      <color indexed="8"/>
      <name val="Times New Roman"/>
      <family val="1"/>
    </font>
    <font>
      <sz val="10"/>
      <color indexed="62"/>
      <name val="Arial"/>
      <family val="2"/>
    </font>
    <font>
      <sz val="8"/>
      <color indexed="10"/>
      <name val="Arial"/>
      <family val="2"/>
    </font>
    <font>
      <sz val="11"/>
      <color indexed="9"/>
      <name val="Calibri"/>
      <family val="2"/>
    </font>
    <font>
      <sz val="11"/>
      <color indexed="20"/>
      <name val="Calibri"/>
      <family val="2"/>
    </font>
    <font>
      <sz val="11"/>
      <color indexed="16"/>
      <name val="Calibri"/>
      <family val="2"/>
    </font>
    <font>
      <sz val="11"/>
      <color indexed="17"/>
      <name val="Calibri"/>
      <family val="2"/>
    </font>
    <font>
      <b/>
      <sz val="11"/>
      <color indexed="52"/>
      <name val="Calibri"/>
      <family val="2"/>
    </font>
    <font>
      <b/>
      <sz val="11"/>
      <color indexed="19"/>
      <name val="Calibri"/>
      <family val="2"/>
    </font>
    <font>
      <b/>
      <sz val="11"/>
      <color indexed="10"/>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
      <color indexed="16"/>
      <name val="Courier"/>
      <family val="3"/>
    </font>
    <font>
      <sz val="1"/>
      <color indexed="16"/>
      <name val="Courier"/>
      <family val="3"/>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sz val="11"/>
      <color indexed="63"/>
      <name val="Calibri"/>
      <family val="2"/>
    </font>
    <font>
      <sz val="11"/>
      <color indexed="19"/>
      <name val="Calibri"/>
      <family val="2"/>
    </font>
    <font>
      <sz val="11"/>
      <color indexed="10"/>
      <name val="Calibri"/>
      <family val="2"/>
    </font>
    <font>
      <sz val="10"/>
      <name val="Courier"/>
      <family val="3"/>
    </font>
    <font>
      <b/>
      <i/>
      <sz val="16"/>
      <name val="Helv"/>
    </font>
    <font>
      <sz val="12"/>
      <name val="Courier New"/>
      <family val="3"/>
    </font>
    <font>
      <b/>
      <sz val="11"/>
      <color indexed="63"/>
      <name val="Calibri"/>
      <family val="2"/>
    </font>
    <font>
      <b/>
      <sz val="18"/>
      <color indexed="62"/>
      <name val="Cambria"/>
      <family val="2"/>
    </font>
    <font>
      <sz val="10"/>
      <color indexed="9"/>
      <name val="Verdana"/>
      <family val="2"/>
    </font>
    <font>
      <sz val="10"/>
      <color indexed="36"/>
      <name val="MS Sans Serif"/>
      <family val="2"/>
    </font>
    <font>
      <u/>
      <sz val="10"/>
      <color indexed="12"/>
      <name val="Arial"/>
      <family val="2"/>
    </font>
    <font>
      <sz val="10"/>
      <color indexed="8"/>
      <name val="Times New Roman"/>
      <family val="1"/>
    </font>
    <font>
      <sz val="11"/>
      <color indexed="8"/>
      <name val="Calibri"/>
      <family val="2"/>
      <charset val="204"/>
    </font>
    <font>
      <sz val="11"/>
      <color indexed="8"/>
      <name val="Calibri"/>
      <family val="2"/>
      <charset val="204"/>
    </font>
    <font>
      <sz val="10"/>
      <color indexed="64"/>
      <name val="Arial"/>
      <family val="2"/>
    </font>
    <font>
      <sz val="11"/>
      <color indexed="60"/>
      <name val="Calibri"/>
      <family val="2"/>
    </font>
    <font>
      <vertAlign val="subscript"/>
      <sz val="10"/>
      <name val="Times New Roman"/>
      <family val="1"/>
    </font>
    <font>
      <sz val="10"/>
      <color theme="1"/>
      <name val="Arial1"/>
    </font>
    <font>
      <sz val="11"/>
      <color indexed="19"/>
      <name val="Calibri"/>
      <family val="2"/>
      <scheme val="minor"/>
    </font>
    <font>
      <sz val="11"/>
      <color theme="1"/>
      <name val="Calibri"/>
      <family val="2"/>
      <scheme val="minor"/>
    </font>
    <font>
      <sz val="10"/>
      <color rgb="FF000000"/>
      <name val="Times New Roman"/>
      <family val="1"/>
    </font>
    <font>
      <sz val="11"/>
      <color rgb="FF000000"/>
      <name val="Calibri"/>
      <family val="2"/>
      <charset val="204"/>
    </font>
    <font>
      <b/>
      <sz val="11"/>
      <color theme="1"/>
      <name val="Calibri"/>
      <family val="2"/>
      <scheme val="minor"/>
    </font>
    <font>
      <sz val="10"/>
      <color rgb="FFFF0000"/>
      <name val="Arial"/>
      <family val="2"/>
    </font>
    <font>
      <sz val="12"/>
      <name val="Times New Roman"/>
      <family val="1"/>
    </font>
    <font>
      <b/>
      <sz val="10"/>
      <color rgb="FFFF0000"/>
      <name val="Arial"/>
      <family val="2"/>
    </font>
    <font>
      <b/>
      <sz val="10"/>
      <color indexed="12"/>
      <name val="Times New Roman"/>
      <family val="1"/>
    </font>
    <font>
      <sz val="10"/>
      <color theme="1"/>
      <name val="Arial"/>
      <family val="2"/>
    </font>
    <font>
      <sz val="10"/>
      <color indexed="12"/>
      <name val="Arial"/>
      <family val="2"/>
    </font>
    <font>
      <strike/>
      <sz val="10"/>
      <color indexed="8"/>
      <name val="Arial"/>
      <family val="2"/>
    </font>
    <font>
      <u/>
      <sz val="10"/>
      <color indexed="8"/>
      <name val="Arial"/>
      <family val="2"/>
    </font>
    <font>
      <sz val="10"/>
      <color theme="6" tint="-0.499984740745262"/>
      <name val="Arial"/>
      <family val="2"/>
    </font>
    <font>
      <b/>
      <u/>
      <sz val="10"/>
      <color indexed="8"/>
      <name val="Arial"/>
      <family val="2"/>
    </font>
    <font>
      <b/>
      <sz val="10"/>
      <color theme="1"/>
      <name val="Arial"/>
      <family val="2"/>
    </font>
    <font>
      <b/>
      <sz val="10"/>
      <color rgb="FF0066FF"/>
      <name val="Arial"/>
      <family val="2"/>
    </font>
    <font>
      <b/>
      <sz val="10"/>
      <color rgb="FF0000FF"/>
      <name val="Arial"/>
      <family val="2"/>
    </font>
    <font>
      <b/>
      <sz val="10"/>
      <color theme="3" tint="-0.249977111117893"/>
      <name val="Arial"/>
      <family val="2"/>
    </font>
    <font>
      <b/>
      <sz val="10"/>
      <color rgb="FF000099"/>
      <name val="Arial"/>
      <family val="2"/>
    </font>
    <font>
      <b/>
      <sz val="10"/>
      <color rgb="FF0033CC"/>
      <name val="Arial"/>
      <family val="2"/>
    </font>
    <font>
      <sz val="10"/>
      <name val="Calibri"/>
      <family val="2"/>
    </font>
    <font>
      <b/>
      <sz val="10"/>
      <name val="Calibri"/>
      <family val="2"/>
    </font>
    <font>
      <i/>
      <sz val="10"/>
      <name val="Arial"/>
      <family val="2"/>
    </font>
    <font>
      <b/>
      <sz val="11"/>
      <color rgb="FFFF0000"/>
      <name val="Arial"/>
      <family val="2"/>
    </font>
    <font>
      <sz val="11"/>
      <color rgb="FFFF0000"/>
      <name val="Arial"/>
      <family val="2"/>
    </font>
    <font>
      <b/>
      <sz val="12"/>
      <color theme="1"/>
      <name val="Times New Roman"/>
      <family val="1"/>
    </font>
    <font>
      <b/>
      <sz val="12"/>
      <color indexed="8"/>
      <name val="Times New Roman"/>
      <family val="1"/>
    </font>
    <font>
      <sz val="11"/>
      <color theme="1"/>
      <name val="Times New Roman"/>
      <family val="1"/>
    </font>
    <font>
      <b/>
      <sz val="11"/>
      <color theme="1"/>
      <name val="Times New Roman"/>
      <family val="1"/>
    </font>
    <font>
      <vertAlign val="subscript"/>
      <sz val="11"/>
      <color indexed="8"/>
      <name val="Times New Roman"/>
      <family val="1"/>
    </font>
    <font>
      <vertAlign val="superscript"/>
      <sz val="11"/>
      <color indexed="8"/>
      <name val="Times New Roman"/>
      <family val="1"/>
    </font>
    <font>
      <sz val="12"/>
      <color theme="1"/>
      <name val="Times New Roman"/>
      <family val="1"/>
    </font>
    <font>
      <i/>
      <sz val="11"/>
      <name val="Arial"/>
      <family val="2"/>
    </font>
    <font>
      <b/>
      <sz val="11"/>
      <color rgb="FF002060"/>
      <name val="Arial"/>
      <family val="2"/>
    </font>
    <font>
      <b/>
      <sz val="11"/>
      <color indexed="12"/>
      <name val="Arial"/>
      <family val="2"/>
    </font>
    <font>
      <b/>
      <sz val="11"/>
      <color indexed="10"/>
      <name val="Arial"/>
      <family val="2"/>
    </font>
    <font>
      <b/>
      <sz val="11"/>
      <color indexed="8"/>
      <name val="Arial"/>
      <family val="2"/>
    </font>
    <font>
      <sz val="14"/>
      <name val="Arial"/>
      <family val="2"/>
    </font>
    <font>
      <sz val="14"/>
      <color indexed="8"/>
      <name val="Arial"/>
      <family val="2"/>
    </font>
    <font>
      <b/>
      <sz val="12"/>
      <color rgb="FFFF0000"/>
      <name val="Arial"/>
      <family val="2"/>
    </font>
    <font>
      <b/>
      <sz val="8"/>
      <color indexed="53"/>
      <name val="Tahoma"/>
      <family val="2"/>
    </font>
    <font>
      <b/>
      <sz val="11"/>
      <color rgb="FF0070C0"/>
      <name val="Arial"/>
      <family val="2"/>
    </font>
    <font>
      <sz val="10"/>
      <color rgb="FF0070C0"/>
      <name val="Arial"/>
      <family val="2"/>
    </font>
    <font>
      <sz val="11"/>
      <color indexed="8"/>
      <name val="Arial"/>
      <family val="2"/>
    </font>
    <font>
      <sz val="11"/>
      <color theme="1"/>
      <name val="Arial"/>
      <family val="2"/>
    </font>
    <font>
      <b/>
      <sz val="11"/>
      <color theme="1"/>
      <name val="Arial"/>
      <family val="2"/>
    </font>
    <font>
      <sz val="10"/>
      <name val="MS Sans Serif"/>
    </font>
    <font>
      <sz val="10"/>
      <color rgb="FF000000"/>
      <name val="Arial"/>
      <family val="2"/>
    </font>
    <font>
      <vertAlign val="superscript"/>
      <sz val="11"/>
      <name val="Arial"/>
      <family val="2"/>
    </font>
    <font>
      <b/>
      <vertAlign val="superscript"/>
      <sz val="11"/>
      <name val="Arial"/>
      <family val="2"/>
    </font>
    <font>
      <sz val="11"/>
      <name val="Calibri"/>
      <family val="2"/>
    </font>
    <font>
      <sz val="11"/>
      <name val="Calibri"/>
      <family val="2"/>
      <scheme val="minor"/>
    </font>
    <font>
      <sz val="11"/>
      <color rgb="FF000000"/>
      <name val="Arial"/>
      <family val="2"/>
    </font>
    <font>
      <sz val="12.65"/>
      <name val="Arial"/>
      <family val="2"/>
    </font>
    <font>
      <sz val="11"/>
      <name val="Times New Roman"/>
      <family val="1"/>
    </font>
    <font>
      <b/>
      <sz val="11"/>
      <name val="Calibri"/>
      <family val="2"/>
      <scheme val="minor"/>
    </font>
    <font>
      <sz val="11"/>
      <color rgb="FF0070C0"/>
      <name val="Arial"/>
      <family val="2"/>
    </font>
    <font>
      <sz val="10"/>
      <name val="Calibri"/>
      <family val="2"/>
      <scheme val="minor"/>
    </font>
    <font>
      <vertAlign val="superscript"/>
      <sz val="10"/>
      <name val="Arial"/>
      <family val="2"/>
    </font>
    <font>
      <b/>
      <vertAlign val="superscript"/>
      <sz val="10"/>
      <name val="Arial"/>
      <family val="2"/>
    </font>
    <font>
      <sz val="10"/>
      <color theme="1"/>
      <name val="Calibri"/>
      <family val="2"/>
      <scheme val="minor"/>
    </font>
    <font>
      <strike/>
      <sz val="10"/>
      <name val="Arial"/>
      <family val="2"/>
    </font>
  </fonts>
  <fills count="8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56"/>
      </patternFill>
    </fill>
    <fill>
      <patternFill patternType="solid">
        <fgColor indexed="30"/>
        <bgColor indexed="30"/>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7"/>
      </patternFill>
    </fill>
    <fill>
      <patternFill patternType="solid">
        <fgColor indexed="42"/>
        <bgColor indexed="42"/>
      </patternFill>
    </fill>
    <fill>
      <patternFill patternType="solid">
        <fgColor indexed="51"/>
        <bgColor indexed="51"/>
      </patternFill>
    </fill>
    <fill>
      <patternFill patternType="solid">
        <fgColor indexed="45"/>
        <bgColor indexed="45"/>
      </patternFill>
    </fill>
    <fill>
      <patternFill patternType="solid">
        <fgColor indexed="54"/>
      </patternFill>
    </fill>
    <fill>
      <patternFill patternType="solid">
        <fgColor indexed="54"/>
        <bgColor indexed="54"/>
      </patternFill>
    </fill>
    <fill>
      <patternFill patternType="solid">
        <fgColor indexed="49"/>
        <bgColor indexed="49"/>
      </patternFill>
    </fill>
    <fill>
      <patternFill patternType="solid">
        <fgColor indexed="43"/>
        <bgColor indexed="43"/>
      </patternFill>
    </fill>
    <fill>
      <patternFill patternType="solid">
        <fgColor indexed="29"/>
        <bgColor indexed="29"/>
      </patternFill>
    </fill>
    <fill>
      <patternFill patternType="solid">
        <fgColor indexed="22"/>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11"/>
        <bgColor indexed="8"/>
      </patternFill>
    </fill>
    <fill>
      <patternFill patternType="solid">
        <fgColor indexed="13"/>
        <bgColor indexed="8"/>
      </patternFill>
    </fill>
    <fill>
      <patternFill patternType="solid">
        <fgColor indexed="55"/>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41"/>
        <bgColor indexed="64"/>
      </patternFill>
    </fill>
    <fill>
      <patternFill patternType="solid">
        <fgColor indexed="8"/>
        <bgColor indexed="64"/>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
      <patternFill patternType="solid">
        <fgColor rgb="FF7030A0"/>
        <bgColor indexed="64"/>
      </patternFill>
    </fill>
    <fill>
      <patternFill patternType="solid">
        <fgColor theme="4" tint="0.79998168889431442"/>
        <bgColor indexed="64"/>
      </patternFill>
    </fill>
  </fills>
  <borders count="2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30"/>
      </bottom>
      <diagonal/>
    </border>
    <border>
      <left/>
      <right/>
      <top/>
      <bottom style="thick">
        <color indexed="56"/>
      </bottom>
      <diagonal/>
    </border>
    <border>
      <left/>
      <right/>
      <top/>
      <bottom style="thick">
        <color indexed="22"/>
      </bottom>
      <diagonal/>
    </border>
    <border>
      <left/>
      <right/>
      <top/>
      <bottom style="thick">
        <color indexed="44"/>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57"/>
      </left>
      <right style="medium">
        <color indexed="57"/>
      </right>
      <top style="medium">
        <color indexed="57"/>
      </top>
      <bottom style="medium">
        <color indexed="57"/>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double">
        <color indexed="64"/>
      </left>
      <right style="thin">
        <color indexed="64"/>
      </right>
      <top style="double">
        <color indexed="64"/>
      </top>
      <bottom/>
      <diagonal/>
    </border>
    <border>
      <left style="thin">
        <color indexed="18"/>
      </left>
      <right style="thin">
        <color indexed="64"/>
      </right>
      <top/>
      <bottom style="double">
        <color indexed="18"/>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style="double">
        <color indexed="64"/>
      </top>
      <bottom style="double">
        <color indexed="64"/>
      </bottom>
      <diagonal/>
    </border>
    <border>
      <left style="medium">
        <color indexed="18"/>
      </left>
      <right style="medium">
        <color indexed="18"/>
      </right>
      <top style="medium">
        <color indexed="18"/>
      </top>
      <bottom style="medium">
        <color indexed="18"/>
      </bottom>
      <diagonal/>
    </border>
    <border>
      <left/>
      <right/>
      <top/>
      <bottom style="thin">
        <color indexed="8"/>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18"/>
      </left>
      <right style="thin">
        <color indexed="64"/>
      </right>
      <top/>
      <bottom style="thin">
        <color indexed="64"/>
      </bottom>
      <diagonal/>
    </border>
    <border>
      <left style="thin">
        <color indexed="18"/>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style="thin">
        <color rgb="FF0070C0"/>
      </left>
      <right/>
      <top/>
      <bottom/>
      <diagonal/>
    </border>
    <border>
      <left style="double">
        <color rgb="FF0070C0"/>
      </left>
      <right/>
      <top/>
      <bottom/>
      <diagonal/>
    </border>
    <border>
      <left/>
      <right style="thin">
        <color rgb="FF0070C0"/>
      </right>
      <top/>
      <bottom/>
      <diagonal/>
    </border>
    <border>
      <left style="thin">
        <color rgb="FF0070C0"/>
      </left>
      <right style="thin">
        <color rgb="FF0070C0"/>
      </right>
      <top style="thin">
        <color indexed="64"/>
      </top>
      <bottom style="thin">
        <color rgb="FF0070C0"/>
      </bottom>
      <diagonal/>
    </border>
    <border>
      <left style="thin">
        <color rgb="FF0070C0"/>
      </left>
      <right/>
      <top style="thin">
        <color rgb="FF0070C0"/>
      </top>
      <bottom/>
      <diagonal/>
    </border>
    <border>
      <left style="double">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indexed="64"/>
      </right>
      <top style="thin">
        <color rgb="FF0070C0"/>
      </top>
      <bottom/>
      <diagonal/>
    </border>
    <border>
      <left style="thin">
        <color rgb="FF0070C0"/>
      </left>
      <right style="thin">
        <color indexed="64"/>
      </right>
      <top/>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indexed="64"/>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double">
        <color indexed="64"/>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bottom style="double">
        <color indexed="52"/>
      </bottom>
      <diagonal/>
    </border>
    <border>
      <left/>
      <right/>
      <top/>
      <bottom style="double">
        <color indexed="10"/>
      </bottom>
      <diagonal/>
    </border>
    <border>
      <left/>
      <right/>
      <top/>
      <bottom style="double">
        <color indexed="29"/>
      </bottom>
      <diagonal/>
    </border>
    <border>
      <left style="thin">
        <color auto="1"/>
      </left>
      <right style="thin">
        <color auto="1"/>
      </right>
      <top/>
      <bottom style="thin">
        <color theme="0" tint="-0.249977111117893"/>
      </bottom>
      <diagonal/>
    </border>
    <border>
      <left/>
      <right style="thin">
        <color auto="1"/>
      </right>
      <top/>
      <bottom style="thin">
        <color theme="0" tint="-0.249977111117893"/>
      </bottom>
      <diagonal/>
    </border>
    <border>
      <left style="thin">
        <color auto="1"/>
      </left>
      <right/>
      <top/>
      <bottom style="thin">
        <color theme="0" tint="-0.249977111117893"/>
      </bottom>
      <diagonal/>
    </border>
    <border>
      <left style="thin">
        <color theme="0" tint="-0.249977111117893"/>
      </left>
      <right style="thin">
        <color auto="1"/>
      </right>
      <top/>
      <bottom style="thin">
        <color theme="0" tint="-0.249977111117893"/>
      </bottom>
      <diagonal/>
    </border>
    <border>
      <left style="thin">
        <color indexed="64"/>
      </left>
      <right style="thin">
        <color indexed="64"/>
      </right>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thin">
        <color indexed="64"/>
      </right>
      <top/>
      <bottom style="thin">
        <color theme="1"/>
      </bottom>
      <diagonal/>
    </border>
  </borders>
  <cellStyleXfs count="2029">
    <xf numFmtId="0" fontId="0" fillId="0" borderId="0"/>
    <xf numFmtId="0" fontId="9"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4"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6"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216" fontId="75" fillId="3" borderId="0" applyNumberFormat="0" applyBorder="0" applyAlignment="0" applyProtection="0"/>
    <xf numFmtId="216" fontId="75" fillId="3" borderId="0" applyNumberFormat="0" applyBorder="0" applyAlignment="0" applyProtection="0"/>
    <xf numFmtId="216" fontId="75" fillId="3" borderId="0" applyNumberFormat="0" applyBorder="0" applyAlignment="0" applyProtection="0"/>
    <xf numFmtId="216" fontId="75" fillId="3" borderId="0" applyNumberFormat="0" applyBorder="0" applyAlignment="0" applyProtection="0"/>
    <xf numFmtId="0" fontId="75" fillId="4"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0" fontId="75" fillId="6"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0" fontId="75" fillId="8" borderId="0" applyNumberFormat="0" applyBorder="0" applyAlignment="0" applyProtection="0"/>
    <xf numFmtId="216" fontId="75" fillId="9" borderId="0" applyNumberFormat="0" applyBorder="0" applyAlignment="0" applyProtection="0"/>
    <xf numFmtId="216" fontId="75" fillId="9" borderId="0" applyNumberFormat="0" applyBorder="0" applyAlignment="0" applyProtection="0"/>
    <xf numFmtId="216" fontId="75" fillId="9" borderId="0" applyNumberFormat="0" applyBorder="0" applyAlignment="0" applyProtection="0"/>
    <xf numFmtId="216" fontId="75" fillId="9" borderId="0" applyNumberFormat="0" applyBorder="0" applyAlignment="0" applyProtection="0"/>
    <xf numFmtId="0"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0" fontId="75" fillId="9"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0" fontId="75" fillId="3" borderId="0" applyNumberFormat="0" applyBorder="0" applyAlignment="0" applyProtection="0"/>
    <xf numFmtId="0" fontId="75" fillId="10"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10" borderId="0" applyNumberFormat="0" applyBorder="0" applyAlignment="0" applyProtection="0"/>
    <xf numFmtId="0" fontId="75" fillId="3"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4"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4" borderId="0" applyNumberFormat="0" applyBorder="0" applyAlignment="0" applyProtection="0"/>
    <xf numFmtId="0" fontId="75" fillId="8" borderId="0" applyNumberFormat="0" applyBorder="0" applyAlignment="0" applyProtection="0"/>
    <xf numFmtId="0" fontId="75" fillId="3" borderId="0" applyNumberFormat="0" applyBorder="0" applyAlignment="0" applyProtection="0"/>
    <xf numFmtId="0" fontId="75" fillId="10"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10" borderId="0" applyNumberFormat="0" applyBorder="0" applyAlignment="0" applyProtection="0"/>
    <xf numFmtId="0" fontId="75" fillId="3" borderId="0" applyNumberFormat="0" applyBorder="0" applyAlignment="0" applyProtection="0"/>
    <xf numFmtId="0" fontId="75" fillId="13" borderId="0" applyNumberFormat="0" applyBorder="0" applyAlignment="0" applyProtection="0"/>
    <xf numFmtId="0" fontId="75" fillId="7"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7" borderId="0" applyNumberFormat="0" applyBorder="0" applyAlignment="0" applyProtection="0"/>
    <xf numFmtId="0" fontId="75" fillId="13" borderId="0" applyNumberFormat="0" applyBorder="0" applyAlignment="0" applyProtection="0"/>
    <xf numFmtId="0" fontId="75" fillId="3"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0" fontId="75" fillId="5"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216" fontId="75" fillId="5" borderId="0" applyNumberFormat="0" applyBorder="0" applyAlignment="0" applyProtection="0"/>
    <xf numFmtId="0" fontId="75" fillId="11" borderId="0" applyNumberFormat="0" applyBorder="0" applyAlignment="0" applyProtection="0"/>
    <xf numFmtId="216" fontId="75" fillId="12" borderId="0" applyNumberFormat="0" applyBorder="0" applyAlignment="0" applyProtection="0"/>
    <xf numFmtId="216" fontId="75" fillId="12" borderId="0" applyNumberFormat="0" applyBorder="0" applyAlignment="0" applyProtection="0"/>
    <xf numFmtId="216" fontId="75" fillId="12" borderId="0" applyNumberFormat="0" applyBorder="0" applyAlignment="0" applyProtection="0"/>
    <xf numFmtId="216" fontId="75" fillId="12" borderId="0" applyNumberFormat="0" applyBorder="0" applyAlignment="0" applyProtection="0"/>
    <xf numFmtId="0" fontId="75" fillId="8" borderId="0" applyNumberFormat="0" applyBorder="0" applyAlignment="0" applyProtection="0"/>
    <xf numFmtId="216" fontId="75" fillId="4" borderId="0" applyNumberFormat="0" applyBorder="0" applyAlignment="0" applyProtection="0"/>
    <xf numFmtId="216" fontId="75" fillId="4" borderId="0" applyNumberFormat="0" applyBorder="0" applyAlignment="0" applyProtection="0"/>
    <xf numFmtId="216" fontId="75" fillId="4" borderId="0" applyNumberFormat="0" applyBorder="0" applyAlignment="0" applyProtection="0"/>
    <xf numFmtId="216" fontId="75" fillId="4" borderId="0" applyNumberFormat="0" applyBorder="0" applyAlignment="0" applyProtection="0"/>
    <xf numFmtId="0" fontId="75" fillId="3"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216" fontId="75" fillId="10" borderId="0" applyNumberFormat="0" applyBorder="0" applyAlignment="0" applyProtection="0"/>
    <xf numFmtId="0" fontId="75" fillId="13"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216" fontId="75" fillId="7" borderId="0" applyNumberFormat="0" applyBorder="0" applyAlignment="0" applyProtection="0"/>
    <xf numFmtId="0" fontId="95" fillId="14" borderId="0" applyNumberFormat="0" applyBorder="0" applyAlignment="0" applyProtection="0"/>
    <xf numFmtId="0" fontId="95" fillId="10"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0" borderId="0" applyNumberFormat="0" applyBorder="0" applyAlignment="0" applyProtection="0"/>
    <xf numFmtId="0" fontId="95" fillId="14" borderId="0" applyNumberFormat="0" applyBorder="0" applyAlignment="0" applyProtection="0"/>
    <xf numFmtId="0" fontId="95" fillId="5" borderId="0" applyNumberFormat="0" applyBorder="0" applyAlignment="0" applyProtection="0"/>
    <xf numFmtId="0" fontId="95" fillId="1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15" borderId="0" applyNumberFormat="0" applyBorder="0" applyAlignment="0" applyProtection="0"/>
    <xf numFmtId="0" fontId="95" fillId="5"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1" borderId="0" applyNumberFormat="0" applyBorder="0" applyAlignment="0" applyProtection="0"/>
    <xf numFmtId="0" fontId="95" fillId="16" borderId="0" applyNumberFormat="0" applyBorder="0" applyAlignment="0" applyProtection="0"/>
    <xf numFmtId="0" fontId="95" fillId="4"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4"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0"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0"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5"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5" borderId="0" applyNumberFormat="0" applyBorder="0" applyAlignment="0" applyProtection="0"/>
    <xf numFmtId="0" fontId="95" fillId="18" borderId="0" applyNumberFormat="0" applyBorder="0" applyAlignment="0" applyProtection="0"/>
    <xf numFmtId="0" fontId="95" fillId="14"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0" fontId="95" fillId="5"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0" fontId="95" fillId="11"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0" fontId="95" fillId="16" borderId="0" applyNumberFormat="0" applyBorder="0" applyAlignment="0" applyProtection="0"/>
    <xf numFmtId="216" fontId="95" fillId="4" borderId="0" applyNumberFormat="0" applyBorder="0" applyAlignment="0" applyProtection="0"/>
    <xf numFmtId="216" fontId="95" fillId="4" borderId="0" applyNumberFormat="0" applyBorder="0" applyAlignment="0" applyProtection="0"/>
    <xf numFmtId="216" fontId="95" fillId="4" borderId="0" applyNumberFormat="0" applyBorder="0" applyAlignment="0" applyProtection="0"/>
    <xf numFmtId="216" fontId="95" fillId="4" borderId="0" applyNumberFormat="0" applyBorder="0" applyAlignment="0" applyProtection="0"/>
    <xf numFmtId="0" fontId="95" fillId="17"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216" fontId="95" fillId="10" borderId="0" applyNumberFormat="0" applyBorder="0" applyAlignment="0" applyProtection="0"/>
    <xf numFmtId="0" fontId="95" fillId="18" borderId="0" applyNumberFormat="0" applyBorder="0" applyAlignment="0" applyProtection="0"/>
    <xf numFmtId="216" fontId="95" fillId="5" borderId="0" applyNumberFormat="0" applyBorder="0" applyAlignment="0" applyProtection="0"/>
    <xf numFmtId="216" fontId="95" fillId="5" borderId="0" applyNumberFormat="0" applyBorder="0" applyAlignment="0" applyProtection="0"/>
    <xf numFmtId="216" fontId="95" fillId="5" borderId="0" applyNumberFormat="0" applyBorder="0" applyAlignment="0" applyProtection="0"/>
    <xf numFmtId="216" fontId="95" fillId="5" borderId="0" applyNumberFormat="0" applyBorder="0" applyAlignment="0" applyProtection="0"/>
    <xf numFmtId="0" fontId="9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8" fillId="20" borderId="0" applyNumberFormat="0" applyBorder="0" applyAlignment="0" applyProtection="0"/>
    <xf numFmtId="0" fontId="75" fillId="22" borderId="0" applyNumberFormat="0" applyBorder="0" applyAlignment="0" applyProtection="0"/>
    <xf numFmtId="0" fontId="75" fillId="21" borderId="0" applyNumberFormat="0" applyBorder="0" applyAlignment="0" applyProtection="0"/>
    <xf numFmtId="0" fontId="78" fillId="22" borderId="0" applyNumberFormat="0" applyBorder="0" applyAlignment="0" applyProtection="0"/>
    <xf numFmtId="0" fontId="95" fillId="23" borderId="0" applyNumberFormat="0" applyBorder="0" applyAlignment="0" applyProtection="0"/>
    <xf numFmtId="0" fontId="95" fillId="22" borderId="0" applyNumberFormat="0" applyBorder="0" applyAlignment="0" applyProtection="0"/>
    <xf numFmtId="0" fontId="122" fillId="23"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19"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26" borderId="0" applyNumberFormat="0" applyBorder="0" applyAlignment="0" applyProtection="0"/>
    <xf numFmtId="0" fontId="75" fillId="20" borderId="0" applyNumberFormat="0" applyBorder="0" applyAlignment="0" applyProtection="0"/>
    <xf numFmtId="0" fontId="75" fillId="27" borderId="0" applyNumberFormat="0" applyBorder="0" applyAlignment="0" applyProtection="0"/>
    <xf numFmtId="0" fontId="78" fillId="20" borderId="0" applyNumberFormat="0" applyBorder="0" applyAlignment="0" applyProtection="0"/>
    <xf numFmtId="0" fontId="75" fillId="28" borderId="0" applyNumberFormat="0" applyBorder="0" applyAlignment="0" applyProtection="0"/>
    <xf numFmtId="0" fontId="78" fillId="28" borderId="0" applyNumberFormat="0" applyBorder="0" applyAlignment="0" applyProtection="0"/>
    <xf numFmtId="0" fontId="95" fillId="29" borderId="0" applyNumberFormat="0" applyBorder="0" applyAlignment="0" applyProtection="0"/>
    <xf numFmtId="0" fontId="122" fillId="29"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30" borderId="0" applyNumberFormat="0" applyBorder="0" applyAlignment="0" applyProtection="0"/>
    <xf numFmtId="0" fontId="95" fillId="26"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31" borderId="0" applyNumberFormat="0" applyBorder="0" applyAlignment="0" applyProtection="0"/>
    <xf numFmtId="0" fontId="75" fillId="20" borderId="0" applyNumberFormat="0" applyBorder="0" applyAlignment="0" applyProtection="0"/>
    <xf numFmtId="0" fontId="75" fillId="27" borderId="0" applyNumberFormat="0" applyBorder="0" applyAlignment="0" applyProtection="0"/>
    <xf numFmtId="0" fontId="78" fillId="20" borderId="0" applyNumberFormat="0" applyBorder="0" applyAlignment="0" applyProtection="0"/>
    <xf numFmtId="0" fontId="75" fillId="20" borderId="0" applyNumberFormat="0" applyBorder="0" applyAlignment="0" applyProtection="0"/>
    <xf numFmtId="0" fontId="75" fillId="32" borderId="0" applyNumberFormat="0" applyBorder="0" applyAlignment="0" applyProtection="0"/>
    <xf numFmtId="0" fontId="78" fillId="20" borderId="0" applyNumberFormat="0" applyBorder="0" applyAlignment="0" applyProtection="0"/>
    <xf numFmtId="0" fontId="95" fillId="28" borderId="0" applyNumberFormat="0" applyBorder="0" applyAlignment="0" applyProtection="0"/>
    <xf numFmtId="0" fontId="122" fillId="28"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33" borderId="0" applyNumberFormat="0" applyBorder="0" applyAlignment="0" applyProtection="0"/>
    <xf numFmtId="0" fontId="95" fillId="31"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1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8" fillId="20" borderId="0" applyNumberFormat="0" applyBorder="0" applyAlignment="0" applyProtection="0"/>
    <xf numFmtId="0" fontId="75" fillId="28" borderId="0" applyNumberFormat="0" applyBorder="0" applyAlignment="0" applyProtection="0"/>
    <xf numFmtId="0" fontId="78" fillId="28" borderId="0" applyNumberFormat="0" applyBorder="0" applyAlignment="0" applyProtection="0"/>
    <xf numFmtId="0" fontId="95" fillId="34" borderId="0" applyNumberFormat="0" applyBorder="0" applyAlignment="0" applyProtection="0"/>
    <xf numFmtId="0" fontId="95" fillId="28" borderId="0" applyNumberFormat="0" applyBorder="0" applyAlignment="0" applyProtection="0"/>
    <xf numFmtId="0" fontId="122"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6" borderId="0" applyNumberFormat="0" applyBorder="0" applyAlignment="0" applyProtection="0"/>
    <xf numFmtId="0" fontId="95" fillId="16"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75" fillId="20" borderId="0" applyNumberFormat="0" applyBorder="0" applyAlignment="0" applyProtection="0"/>
    <xf numFmtId="0" fontId="75" fillId="23" borderId="0" applyNumberFormat="0" applyBorder="0" applyAlignment="0" applyProtection="0"/>
    <xf numFmtId="0" fontId="78" fillId="20" borderId="0" applyNumberFormat="0" applyBorder="0" applyAlignment="0" applyProtection="0"/>
    <xf numFmtId="0" fontId="75" fillId="23" borderId="0" applyNumberFormat="0" applyBorder="0" applyAlignment="0" applyProtection="0"/>
    <xf numFmtId="0" fontId="75" fillId="21" borderId="0" applyNumberFormat="0" applyBorder="0" applyAlignment="0" applyProtection="0"/>
    <xf numFmtId="0" fontId="78" fillId="23" borderId="0" applyNumberFormat="0" applyBorder="0" applyAlignment="0" applyProtection="0"/>
    <xf numFmtId="0" fontId="95" fillId="23" borderId="0" applyNumberFormat="0" applyBorder="0" applyAlignment="0" applyProtection="0"/>
    <xf numFmtId="0" fontId="95" fillId="22" borderId="0" applyNumberFormat="0" applyBorder="0" applyAlignment="0" applyProtection="0"/>
    <xf numFmtId="0" fontId="122" fillId="23" borderId="0" applyNumberFormat="0" applyBorder="0" applyAlignment="0" applyProtection="0"/>
    <xf numFmtId="0" fontId="95" fillId="37"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75" fillId="20" borderId="0" applyNumberFormat="0" applyBorder="0" applyAlignment="0" applyProtection="0"/>
    <xf numFmtId="0" fontId="75" fillId="27" borderId="0" applyNumberFormat="0" applyBorder="0" applyAlignment="0" applyProtection="0"/>
    <xf numFmtId="0" fontId="78" fillId="20" borderId="0" applyNumberFormat="0" applyBorder="0" applyAlignment="0" applyProtection="0"/>
    <xf numFmtId="0" fontId="75" fillId="27" borderId="0" applyNumberFormat="0" applyBorder="0" applyAlignment="0" applyProtection="0"/>
    <xf numFmtId="0" fontId="75" fillId="20" borderId="0" applyNumberFormat="0" applyBorder="0" applyAlignment="0" applyProtection="0"/>
    <xf numFmtId="0" fontId="78" fillId="27" borderId="0" applyNumberFormat="0" applyBorder="0" applyAlignment="0" applyProtection="0"/>
    <xf numFmtId="0" fontId="95" fillId="38" borderId="0" applyNumberFormat="0" applyBorder="0" applyAlignment="0" applyProtection="0"/>
    <xf numFmtId="0" fontId="95" fillId="20" borderId="0" applyNumberFormat="0" applyBorder="0" applyAlignment="0" applyProtection="0"/>
    <xf numFmtId="0" fontId="122" fillId="38"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39" borderId="0" applyNumberFormat="0" applyBorder="0" applyAlignment="0" applyProtection="0"/>
    <xf numFmtId="0" fontId="95" fillId="1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6" fillId="4" borderId="0" applyNumberFormat="0" applyBorder="0" applyAlignment="0" applyProtection="0"/>
    <xf numFmtId="0" fontId="97" fillId="27" borderId="0" applyNumberFormat="0" applyBorder="0" applyAlignment="0" applyProtection="0"/>
    <xf numFmtId="0" fontId="96" fillId="4"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4" borderId="0" applyNumberFormat="0" applyBorder="0" applyAlignment="0" applyProtection="0"/>
    <xf numFmtId="0" fontId="98" fillId="6" borderId="0" applyNumberFormat="0" applyBorder="0" applyAlignment="0" applyProtection="0"/>
    <xf numFmtId="216" fontId="98" fillId="10" borderId="0" applyNumberFormat="0" applyBorder="0" applyAlignment="0" applyProtection="0"/>
    <xf numFmtId="216" fontId="98" fillId="10" borderId="0" applyNumberFormat="0" applyBorder="0" applyAlignment="0" applyProtection="0"/>
    <xf numFmtId="216" fontId="98" fillId="10" borderId="0" applyNumberFormat="0" applyBorder="0" applyAlignment="0" applyProtection="0"/>
    <xf numFmtId="216" fontId="98" fillId="10" borderId="0" applyNumberFormat="0" applyBorder="0" applyAlignment="0" applyProtection="0"/>
    <xf numFmtId="0" fontId="99" fillId="40" borderId="1" applyNumberFormat="0" applyAlignment="0" applyProtection="0"/>
    <xf numFmtId="0" fontId="100" fillId="41" borderId="1" applyNumberFormat="0" applyAlignment="0" applyProtection="0"/>
    <xf numFmtId="0" fontId="99" fillId="40" borderId="1" applyNumberFormat="0" applyAlignment="0" applyProtection="0"/>
    <xf numFmtId="0" fontId="101" fillId="42" borderId="1" applyNumberFormat="0" applyAlignment="0" applyProtection="0"/>
    <xf numFmtId="0" fontId="101" fillId="42" borderId="1" applyNumberFormat="0" applyAlignment="0" applyProtection="0"/>
    <xf numFmtId="0" fontId="99" fillId="40" borderId="1" applyNumberFormat="0" applyAlignment="0" applyProtection="0"/>
    <xf numFmtId="0" fontId="99" fillId="40" borderId="1" applyNumberFormat="0" applyAlignment="0" applyProtection="0"/>
    <xf numFmtId="216" fontId="101" fillId="42" borderId="1" applyNumberFormat="0" applyAlignment="0" applyProtection="0"/>
    <xf numFmtId="216" fontId="101" fillId="42" borderId="1" applyNumberFormat="0" applyAlignment="0" applyProtection="0"/>
    <xf numFmtId="216" fontId="101" fillId="42" borderId="1" applyNumberFormat="0" applyAlignment="0" applyProtection="0"/>
    <xf numFmtId="216" fontId="101" fillId="42" borderId="1" applyNumberFormat="0" applyAlignment="0" applyProtection="0"/>
    <xf numFmtId="0" fontId="102" fillId="43" borderId="2" applyNumberFormat="0" applyAlignment="0" applyProtection="0"/>
    <xf numFmtId="216" fontId="102" fillId="43" borderId="2" applyNumberFormat="0" applyAlignment="0" applyProtection="0"/>
    <xf numFmtId="216" fontId="102" fillId="43" borderId="2" applyNumberFormat="0" applyAlignment="0" applyProtection="0"/>
    <xf numFmtId="216" fontId="102" fillId="43" borderId="2" applyNumberFormat="0" applyAlignment="0" applyProtection="0"/>
    <xf numFmtId="216" fontId="102" fillId="43" borderId="2" applyNumberFormat="0" applyAlignment="0" applyProtection="0"/>
    <xf numFmtId="0" fontId="103" fillId="0" borderId="3" applyNumberFormat="0" applyFill="0" applyAlignment="0" applyProtection="0"/>
    <xf numFmtId="216" fontId="116" fillId="0" borderId="4" applyNumberFormat="0" applyFill="0" applyAlignment="0" applyProtection="0"/>
    <xf numFmtId="216" fontId="116" fillId="0" borderId="4" applyNumberFormat="0" applyFill="0" applyAlignment="0" applyProtection="0"/>
    <xf numFmtId="216" fontId="116" fillId="0" borderId="4" applyNumberFormat="0" applyFill="0" applyAlignment="0" applyProtection="0"/>
    <xf numFmtId="216" fontId="116" fillId="0" borderId="4" applyNumberFormat="0" applyFill="0" applyAlignment="0" applyProtection="0"/>
    <xf numFmtId="0" fontId="102" fillId="43" borderId="2" applyNumberFormat="0" applyAlignment="0" applyProtection="0"/>
    <xf numFmtId="0" fontId="102" fillId="29" borderId="2" applyNumberFormat="0" applyAlignment="0" applyProtection="0"/>
    <xf numFmtId="217" fontId="9" fillId="0" borderId="0" applyFont="0" applyFill="0" applyBorder="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169" fontId="9" fillId="0" borderId="0" applyFont="0" applyFill="0" applyBorder="0" applyAlignment="0" applyProtection="0"/>
    <xf numFmtId="43" fontId="81" fillId="0" borderId="0" applyFont="0" applyFill="0" applyBorder="0" applyAlignment="0" applyProtection="0"/>
    <xf numFmtId="220" fontId="9" fillId="0" borderId="0" applyFont="0" applyFill="0" applyBorder="0" applyAlignment="0" applyProtection="0"/>
    <xf numFmtId="43" fontId="81" fillId="0" borderId="0" applyFont="0" applyFill="0" applyBorder="0" applyAlignment="0" applyProtection="0"/>
    <xf numFmtId="174" fontId="9" fillId="0" borderId="0" applyFont="0" applyFill="0" applyBorder="0" applyAlignment="0" applyProtection="0"/>
    <xf numFmtId="171" fontId="7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208" fontId="9"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44" fontId="9" fillId="0" borderId="0" applyFont="0" applyFill="0" applyAlignment="0" applyProtection="0"/>
    <xf numFmtId="217"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44" fontId="9" fillId="0" borderId="0" applyFont="0" applyFill="0" applyAlignment="0" applyProtection="0"/>
    <xf numFmtId="5" fontId="9" fillId="0" borderId="0" applyFont="0" applyFill="0" applyBorder="0" applyAlignment="0" applyProtection="0"/>
    <xf numFmtId="44" fontId="9" fillId="0" borderId="0" applyFont="0" applyFill="0" applyAlignment="0" applyProtection="0"/>
    <xf numFmtId="5"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8"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18" fontId="9" fillId="0" borderId="0" applyFont="0" applyFill="0" applyBorder="0" applyAlignment="0" applyProtection="0"/>
    <xf numFmtId="196"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3" fontId="44" fillId="0" borderId="0" applyFont="0" applyFill="0" applyBorder="0" applyAlignment="0" applyProtection="0"/>
    <xf numFmtId="165" fontId="9" fillId="0" borderId="0" applyFont="0" applyFill="0" applyBorder="0" applyAlignment="0" applyProtection="0"/>
    <xf numFmtId="212" fontId="9" fillId="0" borderId="0" applyFont="0" applyFill="0" applyBorder="0" applyAlignment="0" applyProtection="0"/>
    <xf numFmtId="165" fontId="9" fillId="0" borderId="0" applyFont="0" applyFill="0" applyBorder="0" applyAlignment="0" applyProtection="0"/>
    <xf numFmtId="212" fontId="9" fillId="0" borderId="0" applyFont="0" applyFill="0" applyBorder="0" applyAlignment="0" applyProtection="0"/>
    <xf numFmtId="0" fontId="77" fillId="44" borderId="0" applyNumberFormat="0" applyBorder="0" applyAlignment="0" applyProtection="0"/>
    <xf numFmtId="0" fontId="79"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9" fillId="45" borderId="0" applyNumberFormat="0" applyBorder="0" applyAlignment="0" applyProtection="0"/>
    <xf numFmtId="0" fontId="77" fillId="47" borderId="0" applyNumberFormat="0" applyBorder="0" applyAlignment="0" applyProtection="0"/>
    <xf numFmtId="0" fontId="79" fillId="47" borderId="0" applyNumberFormat="0" applyBorder="0" applyAlignment="0" applyProtection="0"/>
    <xf numFmtId="0" fontId="109" fillId="0" borderId="5" applyNumberFormat="0" applyFill="0" applyAlignment="0" applyProtection="0"/>
    <xf numFmtId="0" fontId="104" fillId="0" borderId="0" applyNumberFormat="0" applyFill="0" applyBorder="0" applyAlignment="0" applyProtection="0"/>
    <xf numFmtId="216" fontId="113" fillId="0" borderId="0" applyNumberFormat="0" applyFill="0" applyBorder="0" applyAlignment="0" applyProtection="0"/>
    <xf numFmtId="216" fontId="113" fillId="0" borderId="0" applyNumberFormat="0" applyFill="0" applyBorder="0" applyAlignment="0" applyProtection="0"/>
    <xf numFmtId="216" fontId="113" fillId="0" borderId="0" applyNumberFormat="0" applyFill="0" applyBorder="0" applyAlignment="0" applyProtection="0"/>
    <xf numFmtId="216" fontId="113" fillId="0" borderId="0" applyNumberFormat="0" applyFill="0" applyBorder="0" applyAlignment="0" applyProtection="0"/>
    <xf numFmtId="0" fontId="77" fillId="44"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95" fillId="22"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216" fontId="95" fillId="24" borderId="0" applyNumberFormat="0" applyBorder="0" applyAlignment="0" applyProtection="0"/>
    <xf numFmtId="216" fontId="95" fillId="24" borderId="0" applyNumberFormat="0" applyBorder="0" applyAlignment="0" applyProtection="0"/>
    <xf numFmtId="216" fontId="95" fillId="24" borderId="0" applyNumberFormat="0" applyBorder="0" applyAlignment="0" applyProtection="0"/>
    <xf numFmtId="216" fontId="95" fillId="24"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95" fillId="29"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216" fontId="95" fillId="1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75" fillId="27" borderId="0" applyNumberFormat="0" applyBorder="0" applyAlignment="0" applyProtection="0"/>
    <xf numFmtId="0" fontId="75" fillId="32"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216" fontId="95" fillId="13"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75" fillId="21" borderId="0" applyNumberFormat="0" applyBorder="0" applyAlignment="0" applyProtection="0"/>
    <xf numFmtId="0" fontId="75" fillId="28" borderId="0" applyNumberFormat="0" applyBorder="0" applyAlignment="0" applyProtection="0"/>
    <xf numFmtId="0" fontId="95" fillId="28"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216" fontId="95" fillId="35" borderId="0" applyNumberFormat="0" applyBorder="0" applyAlignment="0" applyProtection="0"/>
    <xf numFmtId="216" fontId="95" fillId="35" borderId="0" applyNumberFormat="0" applyBorder="0" applyAlignment="0" applyProtection="0"/>
    <xf numFmtId="216" fontId="95" fillId="35" borderId="0" applyNumberFormat="0" applyBorder="0" applyAlignment="0" applyProtection="0"/>
    <xf numFmtId="216" fontId="95" fillId="35"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75" fillId="23" borderId="0" applyNumberFormat="0" applyBorder="0" applyAlignment="0" applyProtection="0"/>
    <xf numFmtId="0" fontId="75" fillId="21" borderId="0" applyNumberFormat="0" applyBorder="0" applyAlignment="0" applyProtection="0"/>
    <xf numFmtId="0" fontId="95" fillId="22"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216" fontId="95" fillId="17" borderId="0" applyNumberFormat="0" applyBorder="0" applyAlignment="0" applyProtection="0"/>
    <xf numFmtId="216" fontId="95" fillId="17" borderId="0" applyNumberFormat="0" applyBorder="0" applyAlignment="0" applyProtection="0"/>
    <xf numFmtId="216" fontId="95" fillId="17" borderId="0" applyNumberFormat="0" applyBorder="0" applyAlignment="0" applyProtection="0"/>
    <xf numFmtId="216"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75" fillId="27" borderId="0" applyNumberFormat="0" applyBorder="0" applyAlignment="0" applyProtection="0"/>
    <xf numFmtId="0" fontId="75" fillId="20" borderId="0" applyNumberFormat="0" applyBorder="0" applyAlignment="0" applyProtection="0"/>
    <xf numFmtId="0" fontId="95" fillId="20"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216" fontId="95" fillId="26" borderId="0" applyNumberFormat="0" applyBorder="0" applyAlignment="0" applyProtection="0"/>
    <xf numFmtId="216" fontId="95" fillId="26" borderId="0" applyNumberFormat="0" applyBorder="0" applyAlignment="0" applyProtection="0"/>
    <xf numFmtId="216" fontId="95" fillId="26" borderId="0" applyNumberFormat="0" applyBorder="0" applyAlignment="0" applyProtection="0"/>
    <xf numFmtId="216" fontId="95" fillId="26"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105" fillId="9" borderId="1" applyNumberFormat="0" applyAlignment="0" applyProtection="0"/>
    <xf numFmtId="216" fontId="105" fillId="12" borderId="1" applyNumberFormat="0" applyAlignment="0" applyProtection="0"/>
    <xf numFmtId="216" fontId="105" fillId="12" borderId="1" applyNumberFormat="0" applyAlignment="0" applyProtection="0"/>
    <xf numFmtId="216" fontId="105" fillId="12" borderId="1" applyNumberFormat="0" applyAlignment="0" applyProtection="0"/>
    <xf numFmtId="216" fontId="105" fillId="12" borderId="1" applyNumberFormat="0" applyAlignment="0" applyProtection="0"/>
    <xf numFmtId="203" fontId="44" fillId="0" borderId="0" applyFont="0" applyFill="0" applyBorder="0" applyAlignment="0" applyProtection="0"/>
    <xf numFmtId="20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5" fontId="9"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205" fontId="9" fillId="0" borderId="0" applyFont="0" applyFill="0" applyBorder="0" applyAlignment="0" applyProtection="0"/>
    <xf numFmtId="165"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22" fontId="9" fillId="0" borderId="0" applyFont="0" applyFill="0" applyBorder="0" applyAlignment="0" applyProtection="0"/>
    <xf numFmtId="205" fontId="9" fillId="0" borderId="0" applyFont="0" applyFill="0" applyBorder="0" applyAlignment="0" applyProtection="0"/>
    <xf numFmtId="0" fontId="9" fillId="0" borderId="0" applyFont="0" applyFill="0" applyBorder="0" applyAlignment="0" applyProtection="0"/>
    <xf numFmtId="222" fontId="19"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203" fontId="44" fillId="0" borderId="0" applyFont="0" applyFill="0" applyBorder="0" applyAlignment="0" applyProtection="0"/>
    <xf numFmtId="223" fontId="131" fillId="0" borderId="0"/>
    <xf numFmtId="224" fontId="131" fillId="0" borderId="0"/>
    <xf numFmtId="0" fontId="106" fillId="0" borderId="0" applyNumberFormat="0" applyFill="0" applyBorder="0" applyAlignment="0" applyProtection="0"/>
    <xf numFmtId="0" fontId="106" fillId="0" borderId="0" applyNumberFormat="0" applyFill="0" applyBorder="0" applyAlignment="0" applyProtection="0"/>
    <xf numFmtId="206" fontId="107" fillId="0" borderId="0">
      <protection locked="0"/>
    </xf>
    <xf numFmtId="206" fontId="107" fillId="0" borderId="0">
      <protection locked="0"/>
    </xf>
    <xf numFmtId="206" fontId="107"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206" fontId="108" fillId="0" borderId="0">
      <protection locked="0"/>
    </xf>
    <xf numFmtId="0" fontId="13" fillId="0" borderId="0" applyNumberFormat="0" applyFill="0" applyBorder="0" applyAlignment="0" applyProtection="0">
      <alignment vertical="top"/>
      <protection locked="0"/>
    </xf>
    <xf numFmtId="0" fontId="98" fillId="6" borderId="0" applyNumberFormat="0" applyBorder="0" applyAlignment="0" applyProtection="0"/>
    <xf numFmtId="0" fontId="98" fillId="32" borderId="0" applyNumberFormat="0" applyBorder="0" applyAlignment="0" applyProtection="0"/>
    <xf numFmtId="0" fontId="98" fillId="6" borderId="0" applyNumberFormat="0" applyBorder="0" applyAlignment="0" applyProtection="0"/>
    <xf numFmtId="0" fontId="98" fillId="10" borderId="0" applyNumberFormat="0" applyBorder="0" applyAlignment="0" applyProtection="0"/>
    <xf numFmtId="0" fontId="98" fillId="6" borderId="0" applyNumberFormat="0" applyBorder="0" applyAlignment="0" applyProtection="0"/>
    <xf numFmtId="0" fontId="109" fillId="0" borderId="5" applyNumberFormat="0" applyFill="0" applyAlignment="0" applyProtection="0"/>
    <xf numFmtId="0" fontId="110" fillId="0" borderId="6" applyNumberFormat="0" applyFill="0" applyAlignment="0" applyProtection="0"/>
    <xf numFmtId="0" fontId="109" fillId="0" borderId="5" applyNumberFormat="0" applyFill="0" applyAlignment="0" applyProtection="0"/>
    <xf numFmtId="0" fontId="110" fillId="0" borderId="7" applyNumberFormat="0" applyFill="0" applyAlignment="0" applyProtection="0"/>
    <xf numFmtId="0" fontId="110" fillId="0" borderId="7" applyNumberFormat="0" applyFill="0" applyAlignment="0" applyProtection="0"/>
    <xf numFmtId="0" fontId="109" fillId="0" borderId="5" applyNumberFormat="0" applyFill="0" applyAlignment="0" applyProtection="0"/>
    <xf numFmtId="0" fontId="111" fillId="0" borderId="8" applyNumberFormat="0" applyFill="0" applyAlignment="0" applyProtection="0"/>
    <xf numFmtId="0" fontId="112" fillId="0" borderId="9" applyNumberFormat="0" applyFill="0" applyAlignment="0" applyProtection="0"/>
    <xf numFmtId="0" fontId="111" fillId="0" borderId="8" applyNumberFormat="0" applyFill="0" applyAlignment="0" applyProtection="0"/>
    <xf numFmtId="0" fontId="112" fillId="0" borderId="10" applyNumberFormat="0" applyFill="0" applyAlignment="0" applyProtection="0"/>
    <xf numFmtId="0" fontId="112" fillId="0" borderId="10" applyNumberFormat="0" applyFill="0" applyAlignment="0" applyProtection="0"/>
    <xf numFmtId="0" fontId="111" fillId="0" borderId="8" applyNumberFormat="0" applyFill="0" applyAlignment="0" applyProtection="0"/>
    <xf numFmtId="0" fontId="104" fillId="0" borderId="11" applyNumberFormat="0" applyFill="0" applyAlignment="0" applyProtection="0"/>
    <xf numFmtId="0" fontId="113" fillId="0" borderId="12"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13" fillId="0" borderId="12" applyNumberFormat="0" applyFill="0" applyAlignment="0" applyProtection="0"/>
    <xf numFmtId="0" fontId="104" fillId="0" borderId="11" applyNumberFormat="0" applyFill="0" applyAlignment="0" applyProtection="0"/>
    <xf numFmtId="0" fontId="104" fillId="0" borderId="0" applyNumberFormat="0" applyFill="0" applyBorder="0" applyAlignment="0" applyProtection="0"/>
    <xf numFmtId="0" fontId="113" fillId="0" borderId="0" applyNumberFormat="0" applyFill="0" applyBorder="0" applyAlignment="0" applyProtection="0"/>
    <xf numFmtId="0" fontId="104" fillId="0" borderId="0" applyNumberFormat="0" applyFill="0" applyBorder="0" applyAlignment="0" applyProtection="0"/>
    <xf numFmtId="0" fontId="113" fillId="0" borderId="0" applyNumberFormat="0" applyFill="0" applyBorder="0" applyAlignment="0" applyProtection="0"/>
    <xf numFmtId="0" fontId="104" fillId="0" borderId="0" applyNumberFormat="0" applyFill="0" applyBorder="0" applyAlignment="0" applyProtection="0"/>
    <xf numFmtId="216" fontId="123" fillId="0" borderId="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6" fillId="4" borderId="0" applyNumberFormat="0" applyBorder="0" applyAlignment="0" applyProtection="0"/>
    <xf numFmtId="216" fontId="96" fillId="8" borderId="0" applyNumberFormat="0" applyBorder="0" applyAlignment="0" applyProtection="0"/>
    <xf numFmtId="216" fontId="96" fillId="8" borderId="0" applyNumberFormat="0" applyBorder="0" applyAlignment="0" applyProtection="0"/>
    <xf numFmtId="216" fontId="96" fillId="8" borderId="0" applyNumberFormat="0" applyBorder="0" applyAlignment="0" applyProtection="0"/>
    <xf numFmtId="216" fontId="96" fillId="8" borderId="0" applyNumberFormat="0" applyBorder="0" applyAlignment="0" applyProtection="0"/>
    <xf numFmtId="0" fontId="105" fillId="9" borderId="1" applyNumberFormat="0" applyAlignment="0" applyProtection="0"/>
    <xf numFmtId="0" fontId="114" fillId="38" borderId="1" applyNumberFormat="0" applyAlignment="0" applyProtection="0"/>
    <xf numFmtId="0" fontId="105" fillId="9" borderId="1" applyNumberFormat="0" applyAlignment="0" applyProtection="0"/>
    <xf numFmtId="0" fontId="105" fillId="12" borderId="1" applyNumberFormat="0" applyAlignment="0" applyProtection="0"/>
    <xf numFmtId="0" fontId="105" fillId="9" borderId="1" applyNumberFormat="0" applyAlignment="0" applyProtection="0"/>
    <xf numFmtId="0" fontId="103" fillId="0" borderId="3" applyNumberFormat="0" applyFill="0" applyAlignment="0" applyProtection="0"/>
    <xf numFmtId="0" fontId="115" fillId="0" borderId="13" applyNumberFormat="0" applyFill="0" applyAlignment="0" applyProtection="0"/>
    <xf numFmtId="0" fontId="103" fillId="0" borderId="3" applyNumberFormat="0" applyFill="0" applyAlignment="0" applyProtection="0"/>
    <xf numFmtId="0" fontId="116" fillId="0" borderId="4" applyNumberFormat="0" applyFill="0" applyAlignment="0" applyProtection="0"/>
    <xf numFmtId="0" fontId="103" fillId="0" borderId="3" applyNumberFormat="0" applyFill="0" applyAlignment="0" applyProtection="0"/>
    <xf numFmtId="43" fontId="9" fillId="0" borderId="0" applyFont="0" applyFill="0" applyBorder="0" applyAlignment="0" applyProtection="0"/>
    <xf numFmtId="41" fontId="30"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44" fillId="0" borderId="0" applyFont="0" applyFill="0" applyBorder="0" applyAlignment="0" applyProtection="0"/>
    <xf numFmtId="173" fontId="9" fillId="0" borderId="0" applyFont="0" applyFill="0" applyBorder="0" applyAlignment="0" applyProtection="0"/>
    <xf numFmtId="43" fontId="12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208" fontId="9" fillId="0" borderId="0" applyFont="0" applyFill="0" applyBorder="0" applyAlignment="0" applyProtection="0"/>
    <xf numFmtId="171" fontId="81"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173"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173" fontId="11"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21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87" fontId="9" fillId="0" borderId="0" applyFill="0" applyBorder="0" applyAlignment="0" applyProtection="0"/>
    <xf numFmtId="0" fontId="9" fillId="0" borderId="0" applyFont="0" applyFill="0" applyBorder="0" applyAlignment="0" applyProtection="0"/>
    <xf numFmtId="196" fontId="9" fillId="0" borderId="0" applyFont="0" applyFill="0" applyBorder="0" applyAlignment="0" applyProtection="0"/>
    <xf numFmtId="175" fontId="9" fillId="0" borderId="0" applyFont="0" applyFill="0" applyBorder="0" applyAlignment="0" applyProtection="0"/>
    <xf numFmtId="196"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96"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96" fontId="9" fillId="0" borderId="0" applyFont="0" applyFill="0" applyBorder="0" applyAlignment="0" applyProtection="0"/>
    <xf numFmtId="171" fontId="30" fillId="0" borderId="0" applyFont="0" applyFill="0" applyBorder="0" applyAlignment="0" applyProtection="0"/>
    <xf numFmtId="173" fontId="9" fillId="0" borderId="0" applyFont="0" applyFill="0" applyBorder="0" applyAlignment="0" applyProtection="0"/>
    <xf numFmtId="171"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215" fontId="9" fillId="0" borderId="0" applyFont="0" applyFill="0" applyBorder="0" applyAlignment="0" applyProtection="0"/>
    <xf numFmtId="43" fontId="3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3" fontId="81" fillId="0" borderId="0" applyFont="0" applyFill="0" applyBorder="0" applyAlignment="0" applyProtection="0"/>
    <xf numFmtId="43" fontId="81" fillId="0" borderId="0" applyFont="0" applyFill="0" applyBorder="0" applyAlignment="0" applyProtection="0"/>
    <xf numFmtId="20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43" fontId="81"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0" fontId="9" fillId="0" borderId="0" applyFont="0" applyFill="0" applyBorder="0" applyAlignment="0" applyProtection="0"/>
    <xf numFmtId="232" fontId="9" fillId="0" borderId="0" applyFont="0" applyFill="0" applyBorder="0" applyAlignment="0" applyProtection="0"/>
    <xf numFmtId="175" fontId="9" fillId="0" borderId="0" applyFont="0" applyFill="0" applyBorder="0" applyAlignment="0" applyProtection="0"/>
    <xf numFmtId="208" fontId="9" fillId="0" borderId="0" applyFont="0" applyFill="0" applyBorder="0" applyAlignment="0" applyProtection="0"/>
    <xf numFmtId="43" fontId="126" fillId="0" borderId="0" applyFont="0" applyFill="0" applyBorder="0" applyAlignment="0" applyProtection="0"/>
    <xf numFmtId="231" fontId="9" fillId="0" borderId="0" applyFont="0" applyFill="0" applyBorder="0" applyAlignment="0" applyProtection="0"/>
    <xf numFmtId="196" fontId="9" fillId="0" borderId="0" applyFont="0" applyFill="0" applyBorder="0" applyAlignment="0" applyProtection="0"/>
    <xf numFmtId="23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75" fillId="0" borderId="0" applyFont="0" applyFill="0" applyBorder="0" applyAlignment="0" applyProtection="0"/>
    <xf numFmtId="196" fontId="9" fillId="0" borderId="0" applyFont="0" applyFill="0" applyBorder="0" applyAlignment="0" applyProtection="0"/>
    <xf numFmtId="175"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9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43" fontId="75" fillId="0" borderId="0" applyFont="0" applyFill="0" applyBorder="0" applyAlignment="0" applyProtection="0"/>
    <xf numFmtId="196" fontId="9" fillId="0" borderId="0" applyFont="0" applyFill="0" applyBorder="0" applyAlignment="0" applyProtection="0"/>
    <xf numFmtId="167" fontId="9" fillId="0" borderId="0" applyFont="0" applyFill="0" applyBorder="0" applyAlignment="0" applyProtection="0"/>
    <xf numFmtId="173" fontId="9" fillId="0" borderId="0" applyFont="0" applyFill="0" applyBorder="0" applyAlignment="0" applyProtection="0"/>
    <xf numFmtId="43" fontId="1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8"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1" fontId="9" fillId="0" borderId="0" applyFont="0" applyFill="0" applyBorder="0" applyAlignment="0" applyProtection="0"/>
    <xf numFmtId="173" fontId="9" fillId="0" borderId="0" applyFont="0" applyFill="0" applyBorder="0" applyAlignment="0" applyProtection="0"/>
    <xf numFmtId="43" fontId="126" fillId="0" borderId="0" applyFont="0" applyFill="0" applyBorder="0" applyAlignment="0" applyProtection="0"/>
    <xf numFmtId="43" fontId="128"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8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6" fontId="9" fillId="0" borderId="0" applyFont="0" applyFill="0" applyBorder="0" applyAlignment="0" applyProtection="0"/>
    <xf numFmtId="171" fontId="9" fillId="0" borderId="0" applyFont="0" applyFill="0" applyBorder="0" applyAlignment="0" applyProtection="0"/>
    <xf numFmtId="43" fontId="36" fillId="0" borderId="0" applyFont="0" applyFill="0" applyBorder="0" applyAlignment="0" applyProtection="0"/>
    <xf numFmtId="196" fontId="9" fillId="0" borderId="0" applyFont="0" applyFill="0" applyBorder="0" applyAlignment="0" applyProtection="0"/>
    <xf numFmtId="171" fontId="9" fillId="0" borderId="0" applyFont="0" applyFill="0" applyBorder="0" applyAlignment="0" applyProtection="0"/>
    <xf numFmtId="209" fontId="9" fillId="0" borderId="0" applyFill="0" applyBorder="0" applyAlignment="0" applyProtection="0"/>
    <xf numFmtId="43"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71" fontId="9" fillId="0" borderId="0" applyFont="0" applyFill="0" applyBorder="0" applyAlignment="0" applyProtection="0"/>
    <xf numFmtId="8" fontId="9" fillId="0" borderId="0" applyFont="0" applyFill="0" applyBorder="0" applyAlignment="0" applyProtection="0"/>
    <xf numFmtId="5"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5" fontId="9" fillId="0" borderId="0" applyFill="0" applyBorder="0" applyAlignment="0" applyProtection="0"/>
    <xf numFmtId="43" fontId="36" fillId="0" borderId="0" applyFont="0" applyFill="0" applyBorder="0" applyAlignment="0" applyProtection="0"/>
    <xf numFmtId="171" fontId="75" fillId="0" borderId="0" applyFont="0" applyFill="0" applyBorder="0" applyAlignment="0" applyProtection="0"/>
    <xf numFmtId="210" fontId="9" fillId="0" borderId="0" applyFont="0" applyFill="0" applyBorder="0" applyAlignment="0" applyProtection="0"/>
    <xf numFmtId="43" fontId="9" fillId="0" borderId="0" applyFont="0" applyFill="0" applyBorder="0" applyAlignment="0" applyProtection="0"/>
    <xf numFmtId="21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173"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0" fontId="9" fillId="0" borderId="0" applyFont="0" applyFill="0" applyBorder="0" applyAlignment="0" applyProtection="0"/>
    <xf numFmtId="217" fontId="9" fillId="0" borderId="0" applyFont="0" applyFill="0" applyBorder="0" applyAlignment="0" applyProtection="0"/>
    <xf numFmtId="0" fontId="9" fillId="0" borderId="0" applyFont="0" applyFill="0" applyBorder="0" applyAlignment="0" applyProtection="0"/>
    <xf numFmtId="173" fontId="9" fillId="0" borderId="0" applyFont="0" applyFill="0" applyBorder="0" applyAlignment="0" applyProtection="0"/>
    <xf numFmtId="43" fontId="75"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92" fontId="9" fillId="0" borderId="0" applyFont="0" applyFill="0" applyBorder="0" applyAlignment="0" applyProtection="0"/>
    <xf numFmtId="43" fontId="75"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230" fontId="9" fillId="0" borderId="0" applyFont="0" applyFill="0" applyBorder="0" applyAlignment="0" applyProtection="0"/>
    <xf numFmtId="43" fontId="9" fillId="0" borderId="0" applyFont="0" applyFill="0" applyBorder="0" applyAlignment="0" applyProtection="0"/>
    <xf numFmtId="230" fontId="9" fillId="0" borderId="0" applyFont="0" applyFill="0" applyBorder="0" applyAlignment="0" applyProtection="0"/>
    <xf numFmtId="206" fontId="9" fillId="0" borderId="0" applyFont="0" applyFill="0" applyBorder="0" applyAlignment="0" applyProtection="0"/>
    <xf numFmtId="176" fontId="9" fillId="0" borderId="0" applyFont="0" applyFill="0" applyBorder="0" applyAlignment="0" applyProtection="0"/>
    <xf numFmtId="206" fontId="9" fillId="0" borderId="0" applyFont="0" applyFill="0" applyBorder="0" applyAlignment="0" applyProtection="0"/>
    <xf numFmtId="43" fontId="81" fillId="0" borderId="0" applyFont="0" applyFill="0" applyBorder="0" applyAlignment="0" applyProtection="0"/>
    <xf numFmtId="17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11" fillId="0" borderId="0" applyFont="0" applyFill="0" applyBorder="0" applyAlignment="0" applyProtection="0"/>
    <xf numFmtId="196"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225"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1"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44" fontId="9" fillId="0" borderId="0" applyFont="0" applyFill="0" applyBorder="0" applyAlignment="0" applyProtection="0"/>
    <xf numFmtId="226" fontId="44" fillId="0" borderId="0" applyFont="0" applyFill="0" applyBorder="0" applyAlignment="0" applyProtection="0"/>
    <xf numFmtId="196" fontId="9" fillId="0" borderId="0" applyFont="0" applyFill="0" applyBorder="0" applyAlignment="0" applyProtection="0"/>
    <xf numFmtId="226" fontId="44" fillId="0" borderId="0" applyFont="0" applyFill="0" applyBorder="0" applyAlignment="0" applyProtection="0"/>
    <xf numFmtId="196" fontId="9" fillId="0" borderId="0" applyFont="0" applyFill="0" applyBorder="0" applyAlignment="0" applyProtection="0"/>
    <xf numFmtId="165" fontId="81" fillId="0" borderId="0" applyFont="0" applyFill="0" applyBorder="0" applyAlignment="0" applyProtection="0"/>
    <xf numFmtId="212" fontId="81" fillId="0" borderId="0" applyFont="0" applyFill="0" applyBorder="0" applyAlignment="0" applyProtection="0"/>
    <xf numFmtId="165" fontId="81" fillId="0" borderId="0" applyFont="0" applyFill="0" applyBorder="0" applyAlignment="0" applyProtection="0"/>
    <xf numFmtId="196" fontId="9" fillId="0" borderId="0" applyFont="0" applyFill="0" applyBorder="0" applyAlignment="0" applyProtection="0"/>
    <xf numFmtId="0" fontId="9" fillId="0" borderId="0" applyFill="0" applyBorder="0" applyAlignment="0" applyProtection="0"/>
    <xf numFmtId="212"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44" fontId="9" fillId="0" borderId="0" applyFont="0" applyFill="0" applyBorder="0" applyAlignment="0" applyProtection="0"/>
    <xf numFmtId="196" fontId="9" fillId="0" borderId="0" applyFont="0" applyFill="0" applyBorder="0" applyAlignment="0" applyProtection="0"/>
    <xf numFmtId="227" fontId="9" fillId="0" borderId="0" applyFont="0" applyFill="0" applyBorder="0" applyAlignment="0" applyProtection="0"/>
    <xf numFmtId="165" fontId="126" fillId="0" borderId="0" applyFont="0" applyFill="0" applyBorder="0" applyAlignment="0" applyProtection="0"/>
    <xf numFmtId="227" fontId="9" fillId="0" borderId="0" applyFont="0" applyFill="0" applyBorder="0" applyAlignment="0" applyProtection="0"/>
    <xf numFmtId="44"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44" fontId="75" fillId="0" borderId="0" applyFont="0" applyFill="0" applyBorder="0" applyAlignment="0" applyProtection="0"/>
    <xf numFmtId="228" fontId="9" fillId="0" borderId="0" applyFont="0" applyFill="0" applyBorder="0" applyAlignment="0" applyProtection="0"/>
    <xf numFmtId="165" fontId="81" fillId="0" borderId="0" applyFont="0" applyFill="0" applyBorder="0" applyAlignment="0" applyProtection="0"/>
    <xf numFmtId="0" fontId="115" fillId="38" borderId="0" applyNumberFormat="0" applyBorder="0" applyAlignment="0" applyProtection="0"/>
    <xf numFmtId="0" fontId="129" fillId="12" borderId="0" applyNumberFormat="0" applyBorder="0" applyAlignment="0" applyProtection="0"/>
    <xf numFmtId="0" fontId="132" fillId="64" borderId="0" applyNumberFormat="0" applyBorder="0" applyAlignment="0" applyProtection="0"/>
    <xf numFmtId="216" fontId="115" fillId="12" borderId="0" applyNumberFormat="0" applyBorder="0" applyAlignment="0" applyProtection="0"/>
    <xf numFmtId="216" fontId="115" fillId="12" borderId="0" applyNumberFormat="0" applyBorder="0" applyAlignment="0" applyProtection="0"/>
    <xf numFmtId="216" fontId="115" fillId="12" borderId="0" applyNumberFormat="0" applyBorder="0" applyAlignment="0" applyProtection="0"/>
    <xf numFmtId="216" fontId="115" fillId="12" borderId="0" applyNumberFormat="0" applyBorder="0" applyAlignment="0" applyProtection="0"/>
    <xf numFmtId="0" fontId="117" fillId="0" borderId="0"/>
    <xf numFmtId="0" fontId="117" fillId="0" borderId="0"/>
    <xf numFmtId="183" fontId="118" fillId="0" borderId="0"/>
    <xf numFmtId="0" fontId="9" fillId="0" borderId="0"/>
    <xf numFmtId="0" fontId="9" fillId="0" borderId="0"/>
    <xf numFmtId="0" fontId="9" fillId="0" borderId="0"/>
    <xf numFmtId="39" fontId="17" fillId="0" borderId="0"/>
    <xf numFmtId="0" fontId="9" fillId="0" borderId="0"/>
    <xf numFmtId="199" fontId="19" fillId="0" borderId="0"/>
    <xf numFmtId="0" fontId="44" fillId="0" borderId="0"/>
    <xf numFmtId="39" fontId="17" fillId="0" borderId="0"/>
    <xf numFmtId="0" fontId="9" fillId="0" borderId="0"/>
    <xf numFmtId="0" fontId="9" fillId="0" borderId="0"/>
    <xf numFmtId="216" fontId="75" fillId="0" borderId="0"/>
    <xf numFmtId="0" fontId="9" fillId="0" borderId="0"/>
    <xf numFmtId="39" fontId="16" fillId="0" borderId="0"/>
    <xf numFmtId="0" fontId="133" fillId="0" borderId="0"/>
    <xf numFmtId="0" fontId="133" fillId="0" borderId="0"/>
    <xf numFmtId="39" fontId="17" fillId="0" borderId="0"/>
    <xf numFmtId="0" fontId="9" fillId="0" borderId="0"/>
    <xf numFmtId="0" fontId="133" fillId="0" borderId="0"/>
    <xf numFmtId="199" fontId="19" fillId="0" borderId="0"/>
    <xf numFmtId="216" fontId="75" fillId="0" borderId="0"/>
    <xf numFmtId="0" fontId="133" fillId="0" borderId="0"/>
    <xf numFmtId="0" fontId="9"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216" fontId="75" fillId="0" borderId="0"/>
    <xf numFmtId="0" fontId="133" fillId="0" borderId="0"/>
    <xf numFmtId="0" fontId="9"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216" fontId="75" fillId="0" borderId="0"/>
    <xf numFmtId="0" fontId="133" fillId="0" borderId="0"/>
    <xf numFmtId="0" fontId="133" fillId="0" borderId="0"/>
    <xf numFmtId="216" fontId="75" fillId="0" borderId="0"/>
    <xf numFmtId="0" fontId="133" fillId="0" borderId="0"/>
    <xf numFmtId="0" fontId="133" fillId="0" borderId="0"/>
    <xf numFmtId="0" fontId="133" fillId="0" borderId="0"/>
    <xf numFmtId="0" fontId="133" fillId="0" borderId="0"/>
    <xf numFmtId="216" fontId="75" fillId="0" borderId="0"/>
    <xf numFmtId="0" fontId="44" fillId="0" borderId="0"/>
    <xf numFmtId="0" fontId="134" fillId="0" borderId="0"/>
    <xf numFmtId="0" fontId="133" fillId="0" borderId="0"/>
    <xf numFmtId="0" fontId="133" fillId="0" borderId="0"/>
    <xf numFmtId="216" fontId="75" fillId="0" borderId="0"/>
    <xf numFmtId="0" fontId="133" fillId="0" borderId="0"/>
    <xf numFmtId="0" fontId="133" fillId="0" borderId="0"/>
    <xf numFmtId="216" fontId="75" fillId="0" borderId="0"/>
    <xf numFmtId="0" fontId="134" fillId="0" borderId="0"/>
    <xf numFmtId="0" fontId="133" fillId="0" borderId="0"/>
    <xf numFmtId="0" fontId="133" fillId="0" borderId="0"/>
    <xf numFmtId="216" fontId="75" fillId="0" borderId="0"/>
    <xf numFmtId="0" fontId="133" fillId="0" borderId="0"/>
    <xf numFmtId="0" fontId="133" fillId="0" borderId="0"/>
    <xf numFmtId="216" fontId="75" fillId="0" borderId="0"/>
    <xf numFmtId="216" fontId="75" fillId="0" borderId="0"/>
    <xf numFmtId="39" fontId="17" fillId="0" borderId="0"/>
    <xf numFmtId="0" fontId="9" fillId="0" borderId="0"/>
    <xf numFmtId="39" fontId="17" fillId="0" borderId="0"/>
    <xf numFmtId="216" fontId="133" fillId="0" borderId="0"/>
    <xf numFmtId="0" fontId="134" fillId="0" borderId="0"/>
    <xf numFmtId="0" fontId="9" fillId="0" borderId="0"/>
    <xf numFmtId="216" fontId="133" fillId="0" borderId="0"/>
    <xf numFmtId="0" fontId="9" fillId="0" borderId="0"/>
    <xf numFmtId="0" fontId="9" fillId="0" borderId="0"/>
    <xf numFmtId="0" fontId="9" fillId="0" borderId="0"/>
    <xf numFmtId="0" fontId="128" fillId="0" borderId="0"/>
    <xf numFmtId="0" fontId="9" fillId="0" borderId="0"/>
    <xf numFmtId="0" fontId="9" fillId="0" borderId="0"/>
    <xf numFmtId="0" fontId="133" fillId="0" borderId="0"/>
    <xf numFmtId="0" fontId="9" fillId="0" borderId="0"/>
    <xf numFmtId="0" fontId="9" fillId="0" borderId="0"/>
    <xf numFmtId="0" fontId="133" fillId="0" borderId="0"/>
    <xf numFmtId="0" fontId="133" fillId="0" borderId="0"/>
    <xf numFmtId="0" fontId="135" fillId="0" borderId="0"/>
    <xf numFmtId="0" fontId="128" fillId="0" borderId="0"/>
    <xf numFmtId="0" fontId="9" fillId="0" borderId="0"/>
    <xf numFmtId="0" fontId="9" fillId="0" borderId="0"/>
    <xf numFmtId="0" fontId="9" fillId="0" borderId="0"/>
    <xf numFmtId="0" fontId="135" fillId="0" borderId="0"/>
    <xf numFmtId="0" fontId="19" fillId="0" borderId="0"/>
    <xf numFmtId="229" fontId="19" fillId="0" borderId="0"/>
    <xf numFmtId="0" fontId="9" fillId="0" borderId="0"/>
    <xf numFmtId="0" fontId="133" fillId="0" borderId="0"/>
    <xf numFmtId="0" fontId="9" fillId="0" borderId="0"/>
    <xf numFmtId="0" fontId="133" fillId="0" borderId="0"/>
    <xf numFmtId="0" fontId="127" fillId="0" borderId="0"/>
    <xf numFmtId="0" fontId="127"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9" fillId="0" borderId="0"/>
    <xf numFmtId="216" fontId="133" fillId="0" borderId="0"/>
    <xf numFmtId="0" fontId="133" fillId="0" borderId="0"/>
    <xf numFmtId="0" fontId="134" fillId="0" borderId="0"/>
    <xf numFmtId="216" fontId="133" fillId="0" borderId="0"/>
    <xf numFmtId="0" fontId="9" fillId="0" borderId="0"/>
    <xf numFmtId="216" fontId="9" fillId="0" borderId="0"/>
    <xf numFmtId="0" fontId="134" fillId="0" borderId="0"/>
    <xf numFmtId="216" fontId="9" fillId="0" borderId="0"/>
    <xf numFmtId="0" fontId="9" fillId="0" borderId="0"/>
    <xf numFmtId="0" fontId="9" fillId="0" borderId="0"/>
    <xf numFmtId="0" fontId="133" fillId="0" borderId="0"/>
    <xf numFmtId="0" fontId="9" fillId="0" borderId="0"/>
    <xf numFmtId="0" fontId="9" fillId="0" borderId="0"/>
    <xf numFmtId="0" fontId="44" fillId="0" borderId="0"/>
    <xf numFmtId="0" fontId="133" fillId="0" borderId="0"/>
    <xf numFmtId="0" fontId="133" fillId="0" borderId="0"/>
    <xf numFmtId="0" fontId="9" fillId="0" borderId="0"/>
    <xf numFmtId="0" fontId="133" fillId="0" borderId="0"/>
    <xf numFmtId="0" fontId="9" fillId="0" borderId="0"/>
    <xf numFmtId="0" fontId="133" fillId="0" borderId="0"/>
    <xf numFmtId="0" fontId="135" fillId="0" borderId="0"/>
    <xf numFmtId="0" fontId="9" fillId="0" borderId="0"/>
    <xf numFmtId="0" fontId="133" fillId="0" borderId="0"/>
    <xf numFmtId="183" fontId="19" fillId="0" borderId="0"/>
    <xf numFmtId="0" fontId="135" fillId="0" borderId="0"/>
    <xf numFmtId="0" fontId="44" fillId="0" borderId="0"/>
    <xf numFmtId="0" fontId="11" fillId="0" borderId="0"/>
    <xf numFmtId="0" fontId="135" fillId="0" borderId="0"/>
    <xf numFmtId="199" fontId="19" fillId="0" borderId="0"/>
    <xf numFmtId="0" fontId="133" fillId="0" borderId="0"/>
    <xf numFmtId="0" fontId="11" fillId="0" borderId="0"/>
    <xf numFmtId="0" fontId="9" fillId="0" borderId="0"/>
    <xf numFmtId="39" fontId="17" fillId="0" borderId="0"/>
    <xf numFmtId="0" fontId="9" fillId="0" borderId="0"/>
    <xf numFmtId="39" fontId="16" fillId="0" borderId="0"/>
    <xf numFmtId="0" fontId="133" fillId="0" borderId="0"/>
    <xf numFmtId="0" fontId="133" fillId="0" borderId="0"/>
    <xf numFmtId="0" fontId="133" fillId="0" borderId="0"/>
    <xf numFmtId="0" fontId="133" fillId="0" borderId="0"/>
    <xf numFmtId="180" fontId="117" fillId="0" borderId="0"/>
    <xf numFmtId="213" fontId="119" fillId="0" borderId="0"/>
    <xf numFmtId="0" fontId="133" fillId="0" borderId="0"/>
    <xf numFmtId="0" fontId="30" fillId="0" borderId="0"/>
    <xf numFmtId="0" fontId="30" fillId="0" borderId="0"/>
    <xf numFmtId="0" fontId="75" fillId="0" borderId="0"/>
    <xf numFmtId="180" fontId="117" fillId="0" borderId="0"/>
    <xf numFmtId="0" fontId="9" fillId="0" borderId="0"/>
    <xf numFmtId="0" fontId="133" fillId="0" borderId="0"/>
    <xf numFmtId="0" fontId="117" fillId="0" borderId="0"/>
    <xf numFmtId="229" fontId="19" fillId="0" borderId="0"/>
    <xf numFmtId="0" fontId="133" fillId="0" borderId="0"/>
    <xf numFmtId="0" fontId="133" fillId="0" borderId="0"/>
    <xf numFmtId="39" fontId="17" fillId="0" borderId="0"/>
    <xf numFmtId="0" fontId="133" fillId="0" borderId="0"/>
    <xf numFmtId="0" fontId="133" fillId="0" borderId="0"/>
    <xf numFmtId="0" fontId="133" fillId="0" borderId="0"/>
    <xf numFmtId="0" fontId="133" fillId="0" borderId="0"/>
    <xf numFmtId="0" fontId="133" fillId="0" borderId="0"/>
    <xf numFmtId="0" fontId="9" fillId="0" borderId="0"/>
    <xf numFmtId="0" fontId="133" fillId="0" borderId="0"/>
    <xf numFmtId="0" fontId="9" fillId="0" borderId="0"/>
    <xf numFmtId="0" fontId="9" fillId="0" borderId="0"/>
    <xf numFmtId="0" fontId="9" fillId="0" borderId="0"/>
    <xf numFmtId="199" fontId="19" fillId="0" borderId="0"/>
    <xf numFmtId="0" fontId="9" fillId="0" borderId="0"/>
    <xf numFmtId="0" fontId="135" fillId="0" borderId="0"/>
    <xf numFmtId="0" fontId="128" fillId="0" borderId="0"/>
    <xf numFmtId="0" fontId="9" fillId="0" borderId="0"/>
    <xf numFmtId="0" fontId="9" fillId="0" borderId="0"/>
    <xf numFmtId="0" fontId="133" fillId="0" borderId="0"/>
    <xf numFmtId="0" fontId="133" fillId="0" borderId="0"/>
    <xf numFmtId="0" fontId="9"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9" fillId="0" borderId="0"/>
    <xf numFmtId="0" fontId="133" fillId="0" borderId="0"/>
    <xf numFmtId="0" fontId="133" fillId="0" borderId="0"/>
    <xf numFmtId="216" fontId="44" fillId="0" borderId="0"/>
    <xf numFmtId="0" fontId="133" fillId="0" borderId="0"/>
    <xf numFmtId="0" fontId="133" fillId="0" borderId="0"/>
    <xf numFmtId="0" fontId="133" fillId="0" borderId="0"/>
    <xf numFmtId="0" fontId="133" fillId="0" borderId="0"/>
    <xf numFmtId="0" fontId="133" fillId="0" borderId="0"/>
    <xf numFmtId="0" fontId="30" fillId="0" borderId="0"/>
    <xf numFmtId="0" fontId="133" fillId="0" borderId="0"/>
    <xf numFmtId="0" fontId="75" fillId="0" borderId="0"/>
    <xf numFmtId="0" fontId="133" fillId="0" borderId="0"/>
    <xf numFmtId="216" fontId="44" fillId="0" borderId="0"/>
    <xf numFmtId="0" fontId="36" fillId="0" borderId="0"/>
    <xf numFmtId="0" fontId="9"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44" fillId="0" borderId="0"/>
    <xf numFmtId="216" fontId="44" fillId="0" borderId="0"/>
    <xf numFmtId="216" fontId="44" fillId="0" borderId="0"/>
    <xf numFmtId="216" fontId="44" fillId="0" borderId="0"/>
    <xf numFmtId="216" fontId="44" fillId="0" borderId="0"/>
    <xf numFmtId="196" fontId="19" fillId="0" borderId="0"/>
    <xf numFmtId="39" fontId="16" fillId="0" borderId="0"/>
    <xf numFmtId="191" fontId="117" fillId="0" borderId="0"/>
    <xf numFmtId="0" fontId="9" fillId="0" borderId="0"/>
    <xf numFmtId="0" fontId="133" fillId="0" borderId="0"/>
    <xf numFmtId="216" fontId="44" fillId="0" borderId="0"/>
    <xf numFmtId="0" fontId="75" fillId="0" borderId="0"/>
    <xf numFmtId="0" fontId="133" fillId="0" borderId="0"/>
    <xf numFmtId="0" fontId="133" fillId="0" borderId="0"/>
    <xf numFmtId="216" fontId="44" fillId="0" borderId="0"/>
    <xf numFmtId="0" fontId="133" fillId="0" borderId="0"/>
    <xf numFmtId="0" fontId="133" fillId="0" borderId="0"/>
    <xf numFmtId="216" fontId="44" fillId="0" borderId="0"/>
    <xf numFmtId="0" fontId="133" fillId="0" borderId="0"/>
    <xf numFmtId="216" fontId="44" fillId="0" borderId="0"/>
    <xf numFmtId="216" fontId="44" fillId="0" borderId="0"/>
    <xf numFmtId="216" fontId="44" fillId="0" borderId="0"/>
    <xf numFmtId="216" fontId="44" fillId="0" borderId="0"/>
    <xf numFmtId="216" fontId="44" fillId="0" borderId="0"/>
    <xf numFmtId="216" fontId="44" fillId="0" borderId="0"/>
    <xf numFmtId="0" fontId="17" fillId="0" borderId="0"/>
    <xf numFmtId="0" fontId="9" fillId="0" borderId="0"/>
    <xf numFmtId="0" fontId="9" fillId="0" borderId="0"/>
    <xf numFmtId="0" fontId="9" fillId="0" borderId="0"/>
    <xf numFmtId="0" fontId="9" fillId="0" borderId="0"/>
    <xf numFmtId="0" fontId="133" fillId="0" borderId="0"/>
    <xf numFmtId="0" fontId="75" fillId="0" borderId="0"/>
    <xf numFmtId="0" fontId="133" fillId="0" borderId="0"/>
    <xf numFmtId="0" fontId="133" fillId="0" borderId="0"/>
    <xf numFmtId="0" fontId="9"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9" fillId="0" borderId="0"/>
    <xf numFmtId="193" fontId="75" fillId="0" borderId="0"/>
    <xf numFmtId="0" fontId="36" fillId="0" borderId="0"/>
    <xf numFmtId="39" fontId="16" fillId="0" borderId="0"/>
    <xf numFmtId="0" fontId="133" fillId="0" borderId="0"/>
    <xf numFmtId="0" fontId="9" fillId="0" borderId="0"/>
    <xf numFmtId="0" fontId="9" fillId="0" borderId="0"/>
    <xf numFmtId="0" fontId="9" fillId="0" borderId="0"/>
    <xf numFmtId="180" fontId="117" fillId="0" borderId="0"/>
    <xf numFmtId="216" fontId="75" fillId="0" borderId="0"/>
    <xf numFmtId="180" fontId="117" fillId="0" borderId="0"/>
    <xf numFmtId="0" fontId="11" fillId="0" borderId="0"/>
    <xf numFmtId="0" fontId="133" fillId="0" borderId="0"/>
    <xf numFmtId="0" fontId="9" fillId="0" borderId="0"/>
    <xf numFmtId="0" fontId="133" fillId="0" borderId="0"/>
    <xf numFmtId="232" fontId="117" fillId="0" borderId="0"/>
    <xf numFmtId="0" fontId="9" fillId="0" borderId="0"/>
    <xf numFmtId="0" fontId="133" fillId="0" borderId="0"/>
    <xf numFmtId="216" fontId="9" fillId="0" borderId="0"/>
    <xf numFmtId="232" fontId="117" fillId="0" borderId="0"/>
    <xf numFmtId="0" fontId="133" fillId="0" borderId="0"/>
    <xf numFmtId="0" fontId="9" fillId="0" borderId="0"/>
    <xf numFmtId="183" fontId="19" fillId="0" borderId="0"/>
    <xf numFmtId="0" fontId="9" fillId="0" borderId="0"/>
    <xf numFmtId="0" fontId="9" fillId="0" borderId="0"/>
    <xf numFmtId="0" fontId="9" fillId="0" borderId="0"/>
    <xf numFmtId="39" fontId="17" fillId="0" borderId="0"/>
    <xf numFmtId="183" fontId="19" fillId="0" borderId="0"/>
    <xf numFmtId="39" fontId="17" fillId="0" borderId="0"/>
    <xf numFmtId="0" fontId="9" fillId="0" borderId="0"/>
    <xf numFmtId="0" fontId="9" fillId="0" borderId="0"/>
    <xf numFmtId="0" fontId="17"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39" fontId="17" fillId="0" borderId="0"/>
    <xf numFmtId="0" fontId="9" fillId="0" borderId="0"/>
    <xf numFmtId="0" fontId="9" fillId="0" borderId="0"/>
    <xf numFmtId="39" fontId="16" fillId="0" borderId="0"/>
    <xf numFmtId="39" fontId="17" fillId="0" borderId="0"/>
    <xf numFmtId="0" fontId="9" fillId="0" borderId="0"/>
    <xf numFmtId="39" fontId="17" fillId="0" borderId="0"/>
    <xf numFmtId="39" fontId="17" fillId="0" borderId="0"/>
    <xf numFmtId="0" fontId="9" fillId="0" borderId="0"/>
    <xf numFmtId="0" fontId="9" fillId="7" borderId="14" applyNumberFormat="0" applyFont="0" applyAlignment="0" applyProtection="0"/>
    <xf numFmtId="0" fontId="9" fillId="7" borderId="14" applyNumberFormat="0" applyFont="0" applyAlignment="0" applyProtection="0"/>
    <xf numFmtId="216" fontId="44" fillId="7" borderId="14" applyNumberFormat="0" applyFont="0" applyAlignment="0" applyProtection="0"/>
    <xf numFmtId="216" fontId="44" fillId="7" borderId="14" applyNumberFormat="0" applyFont="0" applyAlignment="0" applyProtection="0"/>
    <xf numFmtId="216" fontId="44" fillId="7" borderId="14" applyNumberFormat="0" applyFont="0" applyAlignment="0" applyProtection="0"/>
    <xf numFmtId="216" fontId="44" fillId="7" borderId="14" applyNumberFormat="0" applyFont="0" applyAlignment="0" applyProtection="0"/>
    <xf numFmtId="0" fontId="9" fillId="7" borderId="14" applyNumberFormat="0" applyFont="0" applyAlignment="0" applyProtection="0"/>
    <xf numFmtId="0" fontId="9" fillId="27" borderId="14" applyNumberFormat="0" applyFont="0" applyAlignment="0" applyProtection="0"/>
    <xf numFmtId="0" fontId="9" fillId="7" borderId="14" applyNumberFormat="0" applyFont="0" applyAlignment="0" applyProtection="0"/>
    <xf numFmtId="0" fontId="9" fillId="7" borderId="14" applyNumberFormat="0" applyFont="0" applyAlignment="0" applyProtection="0"/>
    <xf numFmtId="0" fontId="44" fillId="7" borderId="14" applyNumberFormat="0" applyFont="0" applyAlignment="0" applyProtection="0"/>
    <xf numFmtId="0" fontId="9" fillId="7" borderId="14" applyNumberFormat="0" applyFont="0" applyAlignment="0" applyProtection="0"/>
    <xf numFmtId="0" fontId="120" fillId="40" borderId="15" applyNumberFormat="0" applyAlignment="0" applyProtection="0"/>
    <xf numFmtId="0" fontId="120" fillId="41" borderId="15" applyNumberFormat="0" applyAlignment="0" applyProtection="0"/>
    <xf numFmtId="0" fontId="120" fillId="40" borderId="15" applyNumberFormat="0" applyAlignment="0" applyProtection="0"/>
    <xf numFmtId="0" fontId="120" fillId="42" borderId="15" applyNumberFormat="0" applyAlignment="0" applyProtection="0"/>
    <xf numFmtId="0" fontId="120" fillId="42" borderId="15" applyNumberFormat="0" applyAlignment="0" applyProtection="0"/>
    <xf numFmtId="0" fontId="120" fillId="40" borderId="1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6" fillId="0" borderId="0" applyFont="0" applyFill="0" applyBorder="0" applyAlignment="0" applyProtection="0"/>
    <xf numFmtId="9" fontId="81" fillId="0" borderId="0" applyFont="0" applyFill="0" applyBorder="0" applyAlignment="0" applyProtection="0"/>
    <xf numFmtId="9" fontId="36"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ill="0" applyBorder="0" applyAlignment="0" applyProtection="0"/>
    <xf numFmtId="9" fontId="7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0" fontId="120" fillId="40" borderId="15" applyNumberFormat="0" applyAlignment="0" applyProtection="0"/>
    <xf numFmtId="216" fontId="120" fillId="42" borderId="15" applyNumberFormat="0" applyAlignment="0" applyProtection="0"/>
    <xf numFmtId="216" fontId="120" fillId="42" borderId="15" applyNumberFormat="0" applyAlignment="0" applyProtection="0"/>
    <xf numFmtId="216" fontId="120" fillId="42" borderId="15" applyNumberFormat="0" applyAlignment="0" applyProtection="0"/>
    <xf numFmtId="216" fontId="120" fillId="42" borderId="15" applyNumberFormat="0" applyAlignment="0" applyProtection="0"/>
    <xf numFmtId="0" fontId="121" fillId="0" borderId="0" applyNumberFormat="0" applyFill="0" applyBorder="0" applyAlignment="0" applyProtection="0"/>
    <xf numFmtId="0" fontId="116" fillId="0" borderId="0" applyNumberFormat="0" applyFill="0" applyBorder="0" applyAlignment="0" applyProtection="0"/>
    <xf numFmtId="216" fontId="116" fillId="0" borderId="0" applyNumberFormat="0" applyFill="0" applyBorder="0" applyAlignment="0" applyProtection="0"/>
    <xf numFmtId="216" fontId="116" fillId="0" borderId="0" applyNumberFormat="0" applyFill="0" applyBorder="0" applyAlignment="0" applyProtection="0"/>
    <xf numFmtId="216" fontId="116" fillId="0" borderId="0" applyNumberFormat="0" applyFill="0" applyBorder="0" applyAlignment="0" applyProtection="0"/>
    <xf numFmtId="216" fontId="116" fillId="0" borderId="0" applyNumberFormat="0" applyFill="0" applyBorder="0" applyAlignment="0" applyProtection="0"/>
    <xf numFmtId="0" fontId="106" fillId="0" borderId="0" applyNumberFormat="0" applyFill="0" applyBorder="0" applyAlignment="0" applyProtection="0"/>
    <xf numFmtId="216" fontId="106" fillId="0" borderId="0" applyNumberFormat="0" applyFill="0" applyBorder="0" applyAlignment="0" applyProtection="0"/>
    <xf numFmtId="216" fontId="106" fillId="0" borderId="0" applyNumberFormat="0" applyFill="0" applyBorder="0" applyAlignment="0" applyProtection="0"/>
    <xf numFmtId="216" fontId="106" fillId="0" borderId="0" applyNumberFormat="0" applyFill="0" applyBorder="0" applyAlignment="0" applyProtection="0"/>
    <xf numFmtId="216" fontId="106" fillId="0" borderId="0" applyNumberFormat="0" applyFill="0" applyBorder="0" applyAlignment="0" applyProtection="0"/>
    <xf numFmtId="0" fontId="76" fillId="0" borderId="0" applyNumberFormat="0" applyFill="0" applyBorder="0" applyAlignment="0" applyProtection="0"/>
    <xf numFmtId="0" fontId="12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1" fillId="0" borderId="0" applyNumberFormat="0" applyFill="0" applyBorder="0" applyAlignment="0" applyProtection="0"/>
    <xf numFmtId="0" fontId="76" fillId="0" borderId="0" applyNumberFormat="0" applyFill="0" applyBorder="0" applyAlignment="0" applyProtection="0"/>
    <xf numFmtId="0" fontId="109" fillId="0" borderId="5" applyNumberFormat="0" applyFill="0" applyAlignment="0" applyProtection="0"/>
    <xf numFmtId="216" fontId="110" fillId="0" borderId="7" applyNumberFormat="0" applyFill="0" applyAlignment="0" applyProtection="0"/>
    <xf numFmtId="216" fontId="110" fillId="0" borderId="7" applyNumberFormat="0" applyFill="0" applyAlignment="0" applyProtection="0"/>
    <xf numFmtId="216" fontId="110" fillId="0" borderId="7" applyNumberFormat="0" applyFill="0" applyAlignment="0" applyProtection="0"/>
    <xf numFmtId="216" fontId="110" fillId="0" borderId="7" applyNumberFormat="0" applyFill="0" applyAlignment="0" applyProtection="0"/>
    <xf numFmtId="0" fontId="111" fillId="0" borderId="8" applyNumberFormat="0" applyFill="0" applyAlignment="0" applyProtection="0"/>
    <xf numFmtId="216" fontId="112" fillId="0" borderId="10" applyNumberFormat="0" applyFill="0" applyAlignment="0" applyProtection="0"/>
    <xf numFmtId="216" fontId="112" fillId="0" borderId="10" applyNumberFormat="0" applyFill="0" applyAlignment="0" applyProtection="0"/>
    <xf numFmtId="216" fontId="112" fillId="0" borderId="10" applyNumberFormat="0" applyFill="0" applyAlignment="0" applyProtection="0"/>
    <xf numFmtId="216" fontId="112" fillId="0" borderId="10" applyNumberFormat="0" applyFill="0" applyAlignment="0" applyProtection="0"/>
    <xf numFmtId="0" fontId="104" fillId="0" borderId="11" applyNumberFormat="0" applyFill="0" applyAlignment="0" applyProtection="0"/>
    <xf numFmtId="216" fontId="113" fillId="0" borderId="12" applyNumberFormat="0" applyFill="0" applyAlignment="0" applyProtection="0"/>
    <xf numFmtId="216" fontId="113" fillId="0" borderId="12" applyNumberFormat="0" applyFill="0" applyAlignment="0" applyProtection="0"/>
    <xf numFmtId="216" fontId="113" fillId="0" borderId="12" applyNumberFormat="0" applyFill="0" applyAlignment="0" applyProtection="0"/>
    <xf numFmtId="216" fontId="113" fillId="0" borderId="12" applyNumberFormat="0" applyFill="0" applyAlignment="0" applyProtection="0"/>
    <xf numFmtId="0" fontId="76" fillId="0" borderId="0" applyNumberFormat="0" applyFill="0" applyBorder="0" applyAlignment="0" applyProtection="0"/>
    <xf numFmtId="216" fontId="121" fillId="0" borderId="0" applyNumberFormat="0" applyFill="0" applyBorder="0" applyAlignment="0" applyProtection="0"/>
    <xf numFmtId="216" fontId="121" fillId="0" borderId="0" applyNumberFormat="0" applyFill="0" applyBorder="0" applyAlignment="0" applyProtection="0"/>
    <xf numFmtId="216" fontId="121" fillId="0" borderId="0" applyNumberFormat="0" applyFill="0" applyBorder="0" applyAlignment="0" applyProtection="0"/>
    <xf numFmtId="216" fontId="121" fillId="0" borderId="0" applyNumberFormat="0" applyFill="0" applyBorder="0" applyAlignment="0" applyProtection="0"/>
    <xf numFmtId="0" fontId="121" fillId="0" borderId="0" applyNumberFormat="0" applyFill="0" applyBorder="0" applyAlignment="0" applyProtection="0"/>
    <xf numFmtId="0" fontId="77" fillId="0" borderId="17" applyNumberFormat="0" applyFill="0" applyAlignment="0" applyProtection="0"/>
    <xf numFmtId="0" fontId="77" fillId="0" borderId="16" applyNumberFormat="0" applyFill="0" applyAlignment="0" applyProtection="0"/>
    <xf numFmtId="0" fontId="136" fillId="0" borderId="18" applyNumberFormat="0" applyFill="0" applyAlignment="0" applyProtection="0"/>
    <xf numFmtId="216" fontId="77" fillId="0" borderId="18" applyNumberFormat="0" applyFill="0" applyAlignment="0" applyProtection="0"/>
    <xf numFmtId="216" fontId="77" fillId="0" borderId="18" applyNumberFormat="0" applyFill="0" applyAlignment="0" applyProtection="0"/>
    <xf numFmtId="216" fontId="77" fillId="0" borderId="18" applyNumberFormat="0" applyFill="0" applyAlignment="0" applyProtection="0"/>
    <xf numFmtId="216" fontId="77" fillId="0" borderId="18" applyNumberFormat="0" applyFill="0" applyAlignment="0" applyProtection="0"/>
    <xf numFmtId="228" fontId="9"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33" fillId="0" borderId="0"/>
    <xf numFmtId="0" fontId="9" fillId="0" borderId="0"/>
    <xf numFmtId="233" fontId="9" fillId="0" borderId="0" applyFont="0" applyFill="0" applyBorder="0" applyAlignment="0" applyProtection="0"/>
    <xf numFmtId="0" fontId="9" fillId="0" borderId="0"/>
    <xf numFmtId="0" fontId="95" fillId="24" borderId="0" applyNumberFormat="0" applyBorder="0" applyAlignment="0" applyProtection="0"/>
    <xf numFmtId="0" fontId="95" fillId="15" borderId="0" applyNumberFormat="0" applyBorder="0" applyAlignment="0" applyProtection="0"/>
    <xf numFmtId="0" fontId="95" fillId="13" borderId="0" applyNumberFormat="0" applyBorder="0" applyAlignment="0" applyProtection="0"/>
    <xf numFmtId="0" fontId="95" fillId="35" borderId="0" applyNumberFormat="0" applyBorder="0" applyAlignment="0" applyProtection="0"/>
    <xf numFmtId="0" fontId="95" fillId="26" borderId="0" applyNumberFormat="0" applyBorder="0" applyAlignment="0" applyProtection="0"/>
    <xf numFmtId="234"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ill="0" applyBorder="0" applyAlignment="0" applyProtection="0"/>
    <xf numFmtId="43" fontId="75"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0" fontId="8" fillId="0" borderId="0"/>
    <xf numFmtId="191" fontId="19" fillId="0" borderId="0"/>
    <xf numFmtId="0" fontId="95" fillId="26" borderId="0" applyNumberFormat="0" applyBorder="0" applyAlignment="0" applyProtection="0"/>
    <xf numFmtId="191" fontId="19" fillId="0" borderId="0"/>
    <xf numFmtId="187" fontId="117" fillId="0" borderId="0"/>
    <xf numFmtId="0" fontId="95" fillId="35" borderId="0" applyNumberFormat="0" applyBorder="0" applyAlignment="0" applyProtection="0"/>
    <xf numFmtId="0" fontId="95" fillId="13" borderId="0" applyNumberFormat="0" applyBorder="0" applyAlignment="0" applyProtection="0"/>
    <xf numFmtId="0" fontId="95" fillId="15" borderId="0" applyNumberFormat="0" applyBorder="0" applyAlignment="0" applyProtection="0"/>
    <xf numFmtId="0" fontId="95" fillId="24" borderId="0" applyNumberFormat="0" applyBorder="0" applyAlignment="0" applyProtection="0"/>
    <xf numFmtId="187" fontId="117" fillId="0" borderId="0"/>
    <xf numFmtId="9" fontId="30" fillId="0" borderId="0" applyFont="0" applyFill="0" applyBorder="0" applyAlignment="0" applyProtection="0"/>
    <xf numFmtId="0" fontId="9" fillId="0" borderId="0"/>
    <xf numFmtId="171" fontId="9" fillId="0" borderId="0" applyFont="0" applyFill="0" applyBorder="0" applyAlignment="0" applyProtection="0"/>
    <xf numFmtId="0" fontId="95" fillId="26" borderId="0" applyNumberFormat="0" applyBorder="0" applyAlignment="0" applyProtection="0"/>
    <xf numFmtId="0" fontId="95" fillId="35" borderId="0" applyNumberFormat="0" applyBorder="0" applyAlignment="0" applyProtection="0"/>
    <xf numFmtId="0" fontId="95" fillId="13" borderId="0" applyNumberFormat="0" applyBorder="0" applyAlignment="0" applyProtection="0"/>
    <xf numFmtId="0" fontId="95" fillId="15" borderId="0" applyNumberFormat="0" applyBorder="0" applyAlignment="0" applyProtection="0"/>
    <xf numFmtId="0" fontId="95" fillId="24" borderId="0" applyNumberFormat="0" applyBorder="0" applyAlignment="0" applyProtection="0"/>
    <xf numFmtId="0" fontId="9" fillId="0" borderId="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6" fillId="0" borderId="0"/>
    <xf numFmtId="0" fontId="5" fillId="0" borderId="0"/>
    <xf numFmtId="171" fontId="9" fillId="0" borderId="0" applyFont="0" applyFill="0" applyBorder="0" applyAlignment="0" applyProtection="0"/>
    <xf numFmtId="0" fontId="141" fillId="0" borderId="0"/>
    <xf numFmtId="43" fontId="9" fillId="0" borderId="0" applyFont="0" applyFill="0" applyBorder="0" applyAlignment="0" applyProtection="0"/>
    <xf numFmtId="0" fontId="9" fillId="0" borderId="0"/>
    <xf numFmtId="173" fontId="9" fillId="0" borderId="0" applyFont="0" applyFill="0" applyBorder="0" applyAlignment="0" applyProtection="0"/>
    <xf numFmtId="206" fontId="9" fillId="0" borderId="0" applyFont="0" applyFill="0" applyBorder="0" applyAlignment="0" applyProtection="0"/>
    <xf numFmtId="0" fontId="9" fillId="0" borderId="0"/>
    <xf numFmtId="0" fontId="99" fillId="40" borderId="191" applyNumberFormat="0" applyAlignment="0" applyProtection="0"/>
    <xf numFmtId="0" fontId="100" fillId="41" borderId="191" applyNumberFormat="0" applyAlignment="0" applyProtection="0"/>
    <xf numFmtId="0" fontId="99" fillId="40" borderId="191" applyNumberFormat="0" applyAlignment="0" applyProtection="0"/>
    <xf numFmtId="0" fontId="101" fillId="42" borderId="191" applyNumberFormat="0" applyAlignment="0" applyProtection="0"/>
    <xf numFmtId="0" fontId="101" fillId="42" borderId="191" applyNumberFormat="0" applyAlignment="0" applyProtection="0"/>
    <xf numFmtId="0" fontId="99" fillId="40" borderId="191" applyNumberFormat="0" applyAlignment="0" applyProtection="0"/>
    <xf numFmtId="0" fontId="99" fillId="40" borderId="191" applyNumberFormat="0" applyAlignment="0" applyProtection="0"/>
    <xf numFmtId="216" fontId="101" fillId="42" borderId="191" applyNumberFormat="0" applyAlignment="0" applyProtection="0"/>
    <xf numFmtId="216" fontId="101" fillId="42" borderId="191" applyNumberFormat="0" applyAlignment="0" applyProtection="0"/>
    <xf numFmtId="216" fontId="101" fillId="42" borderId="191" applyNumberFormat="0" applyAlignment="0" applyProtection="0"/>
    <xf numFmtId="216" fontId="101" fillId="42" borderId="191" applyNumberForma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05" fillId="9" borderId="191" applyNumberFormat="0" applyAlignment="0" applyProtection="0"/>
    <xf numFmtId="216" fontId="105" fillId="12" borderId="191" applyNumberFormat="0" applyAlignment="0" applyProtection="0"/>
    <xf numFmtId="216" fontId="105" fillId="12" borderId="191" applyNumberFormat="0" applyAlignment="0" applyProtection="0"/>
    <xf numFmtId="216" fontId="105" fillId="12" borderId="191" applyNumberFormat="0" applyAlignment="0" applyProtection="0"/>
    <xf numFmtId="216" fontId="105" fillId="12" borderId="191" applyNumberFormat="0" applyAlignment="0" applyProtection="0"/>
    <xf numFmtId="0" fontId="105" fillId="9" borderId="191" applyNumberFormat="0" applyAlignment="0" applyProtection="0"/>
    <xf numFmtId="0" fontId="114" fillId="38" borderId="191" applyNumberFormat="0" applyAlignment="0" applyProtection="0"/>
    <xf numFmtId="0" fontId="105" fillId="9" borderId="191" applyNumberFormat="0" applyAlignment="0" applyProtection="0"/>
    <xf numFmtId="0" fontId="105" fillId="12" borderId="191" applyNumberFormat="0" applyAlignment="0" applyProtection="0"/>
    <xf numFmtId="0" fontId="105" fillId="9" borderId="191" applyNumberFormat="0" applyAlignment="0" applyProtection="0"/>
    <xf numFmtId="43" fontId="36" fillId="0" borderId="0" applyFont="0" applyFill="0" applyBorder="0" applyAlignment="0" applyProtection="0"/>
    <xf numFmtId="17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43" fontId="3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2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5" fontId="75" fillId="0" borderId="0" applyFont="0" applyFill="0" applyBorder="0" applyAlignment="0" applyProtection="0"/>
    <xf numFmtId="212"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6" fontId="4" fillId="0" borderId="0"/>
    <xf numFmtId="216" fontId="4" fillId="0" borderId="0"/>
    <xf numFmtId="0" fontId="4" fillId="0" borderId="0"/>
    <xf numFmtId="0" fontId="4" fillId="0" borderId="0"/>
    <xf numFmtId="0" fontId="4" fillId="0" borderId="0"/>
    <xf numFmtId="0" fontId="4" fillId="0" borderId="0"/>
    <xf numFmtId="0" fontId="4"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216" fontId="4" fillId="0" borderId="0"/>
    <xf numFmtId="0" fontId="4" fillId="0" borderId="0"/>
    <xf numFmtId="21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7" borderId="192" applyNumberFormat="0" applyFont="0" applyAlignment="0" applyProtection="0"/>
    <xf numFmtId="0" fontId="9" fillId="7" borderId="192" applyNumberFormat="0" applyFont="0" applyAlignment="0" applyProtection="0"/>
    <xf numFmtId="216" fontId="44" fillId="7" borderId="192" applyNumberFormat="0" applyFont="0" applyAlignment="0" applyProtection="0"/>
    <xf numFmtId="216" fontId="44" fillId="7" borderId="192" applyNumberFormat="0" applyFont="0" applyAlignment="0" applyProtection="0"/>
    <xf numFmtId="216" fontId="44" fillId="7" borderId="192" applyNumberFormat="0" applyFont="0" applyAlignment="0" applyProtection="0"/>
    <xf numFmtId="216" fontId="44" fillId="7" borderId="192" applyNumberFormat="0" applyFont="0" applyAlignment="0" applyProtection="0"/>
    <xf numFmtId="0" fontId="9" fillId="7" borderId="192" applyNumberFormat="0" applyFont="0" applyAlignment="0" applyProtection="0"/>
    <xf numFmtId="0" fontId="9" fillId="27" borderId="192" applyNumberFormat="0" applyFont="0" applyAlignment="0" applyProtection="0"/>
    <xf numFmtId="0" fontId="9" fillId="7" borderId="192" applyNumberFormat="0" applyFont="0" applyAlignment="0" applyProtection="0"/>
    <xf numFmtId="0" fontId="9" fillId="7" borderId="192" applyNumberFormat="0" applyFont="0" applyAlignment="0" applyProtection="0"/>
    <xf numFmtId="0" fontId="44" fillId="7" borderId="192" applyNumberFormat="0" applyFont="0" applyAlignment="0" applyProtection="0"/>
    <xf numFmtId="0" fontId="9" fillId="7" borderId="192" applyNumberFormat="0" applyFont="0" applyAlignment="0" applyProtection="0"/>
    <xf numFmtId="0" fontId="120" fillId="40" borderId="193" applyNumberFormat="0" applyAlignment="0" applyProtection="0"/>
    <xf numFmtId="0" fontId="120" fillId="41" borderId="193" applyNumberFormat="0" applyAlignment="0" applyProtection="0"/>
    <xf numFmtId="0" fontId="120" fillId="40" borderId="193" applyNumberFormat="0" applyAlignment="0" applyProtection="0"/>
    <xf numFmtId="0" fontId="120" fillId="42" borderId="193" applyNumberFormat="0" applyAlignment="0" applyProtection="0"/>
    <xf numFmtId="0" fontId="120" fillId="42" borderId="193" applyNumberFormat="0" applyAlignment="0" applyProtection="0"/>
    <xf numFmtId="0" fontId="120" fillId="40" borderId="193" applyNumberFormat="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9" fillId="0" borderId="0"/>
    <xf numFmtId="0" fontId="120" fillId="40" borderId="193" applyNumberFormat="0" applyAlignment="0" applyProtection="0"/>
    <xf numFmtId="216" fontId="120" fillId="42" borderId="193" applyNumberFormat="0" applyAlignment="0" applyProtection="0"/>
    <xf numFmtId="216" fontId="120" fillId="42" borderId="193" applyNumberFormat="0" applyAlignment="0" applyProtection="0"/>
    <xf numFmtId="216" fontId="120" fillId="42" borderId="193" applyNumberFormat="0" applyAlignment="0" applyProtection="0"/>
    <xf numFmtId="216" fontId="120" fillId="42" borderId="193" applyNumberFormat="0" applyAlignment="0" applyProtection="0"/>
    <xf numFmtId="0" fontId="77" fillId="0" borderId="195" applyNumberFormat="0" applyFill="0" applyAlignment="0" applyProtection="0"/>
    <xf numFmtId="0" fontId="77" fillId="0" borderId="194" applyNumberFormat="0" applyFill="0" applyAlignment="0" applyProtection="0"/>
    <xf numFmtId="0" fontId="136" fillId="0" borderId="196" applyNumberFormat="0" applyFill="0" applyAlignment="0" applyProtection="0"/>
    <xf numFmtId="216" fontId="77" fillId="0" borderId="196" applyNumberFormat="0" applyFill="0" applyAlignment="0" applyProtection="0"/>
    <xf numFmtId="216" fontId="77" fillId="0" borderId="196" applyNumberFormat="0" applyFill="0" applyAlignment="0" applyProtection="0"/>
    <xf numFmtId="216" fontId="77" fillId="0" borderId="196" applyNumberFormat="0" applyFill="0" applyAlignment="0" applyProtection="0"/>
    <xf numFmtId="216" fontId="77" fillId="0" borderId="196" applyNumberFormat="0" applyFill="0" applyAlignment="0" applyProtection="0"/>
    <xf numFmtId="0" fontId="9"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9" fillId="0" borderId="0"/>
    <xf numFmtId="0" fontId="9" fillId="0" borderId="0"/>
    <xf numFmtId="0" fontId="141" fillId="0" borderId="0"/>
    <xf numFmtId="0" fontId="9" fillId="0" borderId="0"/>
    <xf numFmtId="0" fontId="141" fillId="0" borderId="0"/>
    <xf numFmtId="0" fontId="141" fillId="0" borderId="0"/>
    <xf numFmtId="0" fontId="141" fillId="0" borderId="0"/>
    <xf numFmtId="0" fontId="141" fillId="0" borderId="0"/>
    <xf numFmtId="0" fontId="9" fillId="0" borderId="0">
      <alignment vertical="center"/>
    </xf>
    <xf numFmtId="0" fontId="9" fillId="0" borderId="0">
      <protection locked="0"/>
    </xf>
    <xf numFmtId="171" fontId="9" fillId="0" borderId="0">
      <alignment vertical="top"/>
      <protection locked="0"/>
    </xf>
    <xf numFmtId="173" fontId="9" fillId="0" borderId="0">
      <alignment vertical="top"/>
      <protection locked="0"/>
    </xf>
    <xf numFmtId="0" fontId="9" fillId="0" borderId="0">
      <protection locked="0"/>
    </xf>
    <xf numFmtId="0" fontId="9" fillId="0" borderId="0">
      <protection locked="0"/>
    </xf>
    <xf numFmtId="44" fontId="9" fillId="0" borderId="0">
      <alignment vertical="top"/>
      <protection locked="0"/>
    </xf>
    <xf numFmtId="0" fontId="75" fillId="0" borderId="0">
      <protection locked="0"/>
    </xf>
    <xf numFmtId="43" fontId="9" fillId="0" borderId="0">
      <alignment vertical="top"/>
      <protection locked="0"/>
    </xf>
    <xf numFmtId="43" fontId="141" fillId="0" borderId="0" applyFont="0" applyFill="0" applyBorder="0" applyAlignment="0" applyProtection="0"/>
    <xf numFmtId="0" fontId="3" fillId="0" borderId="0"/>
    <xf numFmtId="0" fontId="141" fillId="0" borderId="0"/>
    <xf numFmtId="0" fontId="141" fillId="0" borderId="0"/>
    <xf numFmtId="0" fontId="141" fillId="0" borderId="0"/>
    <xf numFmtId="0" fontId="141" fillId="0" borderId="0"/>
    <xf numFmtId="0" fontId="141" fillId="0" borderId="0"/>
    <xf numFmtId="0" fontId="9" fillId="0" borderId="0">
      <protection locked="0"/>
    </xf>
    <xf numFmtId="0" fontId="9" fillId="0" borderId="0">
      <protection locked="0"/>
    </xf>
    <xf numFmtId="0" fontId="9" fillId="0" borderId="0">
      <protection locked="0"/>
    </xf>
    <xf numFmtId="0" fontId="179" fillId="0" borderId="0">
      <protection locked="0"/>
    </xf>
    <xf numFmtId="0" fontId="9" fillId="0" borderId="0"/>
    <xf numFmtId="0" fontId="2" fillId="0" borderId="0"/>
    <xf numFmtId="0" fontId="9" fillId="0" borderId="0"/>
    <xf numFmtId="0" fontId="103" fillId="0" borderId="197" applyNumberFormat="0" applyFill="0" applyAlignment="0" applyProtection="0"/>
    <xf numFmtId="216" fontId="116" fillId="0" borderId="198" applyNumberFormat="0" applyFill="0" applyAlignment="0" applyProtection="0"/>
    <xf numFmtId="216" fontId="116" fillId="0" borderId="198" applyNumberFormat="0" applyFill="0" applyAlignment="0" applyProtection="0"/>
    <xf numFmtId="216" fontId="116" fillId="0" borderId="198" applyNumberFormat="0" applyFill="0" applyAlignment="0" applyProtection="0"/>
    <xf numFmtId="216" fontId="116" fillId="0" borderId="198" applyNumberFormat="0" applyFill="0" applyAlignment="0" applyProtection="0"/>
    <xf numFmtId="0" fontId="103" fillId="0" borderId="197" applyNumberFormat="0" applyFill="0" applyAlignment="0" applyProtection="0"/>
    <xf numFmtId="0" fontId="115" fillId="0" borderId="199" applyNumberFormat="0" applyFill="0" applyAlignment="0" applyProtection="0"/>
    <xf numFmtId="0" fontId="103" fillId="0" borderId="197" applyNumberFormat="0" applyFill="0" applyAlignment="0" applyProtection="0"/>
    <xf numFmtId="0" fontId="116" fillId="0" borderId="198" applyNumberFormat="0" applyFill="0" applyAlignment="0" applyProtection="0"/>
    <xf numFmtId="0" fontId="103" fillId="0" borderId="197" applyNumberFormat="0" applyFill="0" applyAlignment="0" applyProtection="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6" fontId="2" fillId="0" borderId="0"/>
    <xf numFmtId="21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6" fontId="2" fillId="0" borderId="0"/>
    <xf numFmtId="0" fontId="2" fillId="0" borderId="0"/>
    <xf numFmtId="21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6" fontId="2" fillId="0" borderId="0"/>
    <xf numFmtId="21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6" fontId="2" fillId="0" borderId="0"/>
    <xf numFmtId="0" fontId="2" fillId="0" borderId="0"/>
    <xf numFmtId="21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9" fillId="0" borderId="0"/>
    <xf numFmtId="0" fontId="44" fillId="0" borderId="0"/>
  </cellStyleXfs>
  <cellXfs count="5234">
    <xf numFmtId="0" fontId="0" fillId="0" borderId="0" xfId="0"/>
    <xf numFmtId="0" fontId="10" fillId="0" borderId="0" xfId="0" applyFont="1" applyFill="1" applyAlignment="1">
      <alignment vertical="top" wrapText="1"/>
    </xf>
    <xf numFmtId="0" fontId="10" fillId="48" borderId="19" xfId="0" applyFont="1" applyFill="1" applyBorder="1" applyAlignment="1">
      <alignment horizontal="right" vertical="top" wrapText="1"/>
    </xf>
    <xf numFmtId="0" fontId="10" fillId="48" borderId="19" xfId="0" applyFont="1" applyFill="1" applyBorder="1" applyAlignment="1">
      <alignment horizontal="left" vertical="top" wrapText="1"/>
    </xf>
    <xf numFmtId="172" fontId="10" fillId="48" borderId="19" xfId="0" applyNumberFormat="1" applyFont="1" applyFill="1" applyBorder="1" applyAlignment="1">
      <alignment horizontal="center" vertical="top" wrapText="1"/>
    </xf>
    <xf numFmtId="0" fontId="9" fillId="48" borderId="0" xfId="0" applyFont="1" applyFill="1" applyAlignment="1">
      <alignment vertical="top" wrapText="1"/>
    </xf>
    <xf numFmtId="0" fontId="9" fillId="48" borderId="0" xfId="0" applyFont="1" applyFill="1" applyAlignment="1">
      <alignment vertical="top"/>
    </xf>
    <xf numFmtId="0" fontId="9" fillId="48" borderId="0" xfId="0" applyFont="1" applyFill="1"/>
    <xf numFmtId="0" fontId="9" fillId="0" borderId="0" xfId="0" applyFont="1" applyFill="1"/>
    <xf numFmtId="4" fontId="14" fillId="48" borderId="19" xfId="868" applyNumberFormat="1" applyFont="1" applyFill="1" applyBorder="1" applyAlignment="1">
      <alignment horizontal="center" vertical="center"/>
    </xf>
    <xf numFmtId="4" fontId="9" fillId="48" borderId="19" xfId="0" applyNumberFormat="1" applyFont="1" applyFill="1" applyBorder="1" applyAlignment="1">
      <alignment horizontal="center"/>
    </xf>
    <xf numFmtId="4" fontId="9" fillId="48" borderId="19" xfId="868" applyNumberFormat="1" applyFont="1" applyFill="1" applyBorder="1" applyAlignment="1" applyProtection="1">
      <alignment horizontal="right" wrapText="1"/>
    </xf>
    <xf numFmtId="185" fontId="9" fillId="48" borderId="19" xfId="1281" applyNumberFormat="1" applyFont="1" applyFill="1" applyBorder="1" applyAlignment="1" applyProtection="1">
      <alignment horizontal="right" vertical="top"/>
    </xf>
    <xf numFmtId="185" fontId="9" fillId="48" borderId="19" xfId="0" applyNumberFormat="1" applyFont="1" applyFill="1" applyBorder="1" applyAlignment="1">
      <alignment horizontal="right"/>
    </xf>
    <xf numFmtId="185" fontId="14" fillId="48" borderId="19" xfId="0" applyNumberFormat="1" applyFont="1" applyFill="1" applyBorder="1" applyAlignment="1" applyProtection="1">
      <alignment horizontal="right" vertical="center"/>
    </xf>
    <xf numFmtId="4" fontId="14" fillId="48" borderId="19" xfId="868" applyNumberFormat="1" applyFont="1" applyFill="1" applyBorder="1" applyAlignment="1">
      <alignment horizontal="center" vertical="top"/>
    </xf>
    <xf numFmtId="184" fontId="10" fillId="48" borderId="19" xfId="0" applyNumberFormat="1" applyFont="1" applyFill="1" applyBorder="1" applyAlignment="1">
      <alignment horizontal="right"/>
    </xf>
    <xf numFmtId="185" fontId="14" fillId="48" borderId="19" xfId="0" applyNumberFormat="1" applyFont="1" applyFill="1" applyBorder="1" applyAlignment="1" applyProtection="1">
      <alignment horizontal="right" vertical="top"/>
    </xf>
    <xf numFmtId="0" fontId="9" fillId="48" borderId="19" xfId="0" applyNumberFormat="1" applyFont="1" applyFill="1" applyBorder="1" applyAlignment="1">
      <alignment horizontal="left" vertical="justify" wrapText="1"/>
    </xf>
    <xf numFmtId="4" fontId="9" fillId="48" borderId="19" xfId="0" applyNumberFormat="1" applyFont="1" applyFill="1" applyBorder="1" applyAlignment="1">
      <alignment horizontal="center" vertical="top" wrapText="1"/>
    </xf>
    <xf numFmtId="0" fontId="10" fillId="48" borderId="0" xfId="0" applyFont="1" applyFill="1" applyAlignment="1">
      <alignment horizontal="right" vertical="top" wrapText="1"/>
    </xf>
    <xf numFmtId="172" fontId="10" fillId="48" borderId="19" xfId="0" applyNumberFormat="1" applyFont="1" applyFill="1" applyBorder="1" applyAlignment="1">
      <alignment horizontal="right" vertical="top" wrapText="1"/>
    </xf>
    <xf numFmtId="4" fontId="14" fillId="48" borderId="19" xfId="868" applyNumberFormat="1" applyFont="1" applyFill="1" applyBorder="1" applyAlignment="1">
      <alignment horizontal="right" vertical="center" wrapText="1"/>
    </xf>
    <xf numFmtId="0" fontId="9" fillId="48" borderId="0" xfId="0" applyFont="1" applyFill="1" applyAlignment="1">
      <alignment horizontal="right" wrapText="1"/>
    </xf>
    <xf numFmtId="0" fontId="9" fillId="0" borderId="0" xfId="0" applyFont="1" applyFill="1" applyAlignment="1">
      <alignment horizontal="right" wrapText="1"/>
    </xf>
    <xf numFmtId="184" fontId="15" fillId="48" borderId="19" xfId="0" applyNumberFormat="1" applyFont="1" applyFill="1" applyBorder="1" applyAlignment="1" applyProtection="1">
      <alignment horizontal="right" vertical="top"/>
    </xf>
    <xf numFmtId="0" fontId="10" fillId="48" borderId="19" xfId="0" applyFont="1" applyFill="1" applyBorder="1" applyAlignment="1">
      <alignment horizontal="center" vertical="top" wrapText="1"/>
    </xf>
    <xf numFmtId="188" fontId="14" fillId="48" borderId="19" xfId="838" applyNumberFormat="1" applyFont="1" applyFill="1" applyBorder="1" applyAlignment="1" applyProtection="1">
      <alignment horizontal="right" vertical="center"/>
    </xf>
    <xf numFmtId="0" fontId="9" fillId="48" borderId="19" xfId="1210" applyFont="1" applyFill="1" applyBorder="1" applyAlignment="1">
      <alignment horizontal="left" vertical="top" wrapText="1"/>
    </xf>
    <xf numFmtId="0" fontId="9" fillId="48" borderId="19" xfId="0" applyNumberFormat="1" applyFont="1" applyFill="1" applyBorder="1" applyAlignment="1">
      <alignment horizontal="left" vertical="justify"/>
    </xf>
    <xf numFmtId="4" fontId="9" fillId="48" borderId="19" xfId="868" applyNumberFormat="1" applyFont="1" applyFill="1" applyBorder="1" applyAlignment="1" applyProtection="1">
      <alignment horizontal="right" wrapText="1"/>
      <protection locked="0"/>
    </xf>
    <xf numFmtId="4" fontId="9" fillId="48" borderId="19" xfId="868" applyNumberFormat="1" applyFont="1" applyFill="1" applyBorder="1" applyAlignment="1">
      <alignment horizontal="right" vertical="center" wrapText="1"/>
    </xf>
    <xf numFmtId="4" fontId="9" fillId="48" borderId="19" xfId="0" applyNumberFormat="1" applyFont="1" applyFill="1" applyBorder="1" applyAlignment="1">
      <alignment vertical="center" wrapText="1"/>
    </xf>
    <xf numFmtId="185" fontId="10" fillId="48" borderId="19" xfId="0" applyNumberFormat="1" applyFont="1" applyFill="1" applyBorder="1" applyAlignment="1">
      <alignment horizontal="right"/>
    </xf>
    <xf numFmtId="0" fontId="10" fillId="48" borderId="20" xfId="0" applyFont="1" applyFill="1" applyBorder="1" applyAlignment="1">
      <alignment horizontal="right" vertical="top" wrapText="1"/>
    </xf>
    <xf numFmtId="0" fontId="10" fillId="48" borderId="20" xfId="0" applyFont="1" applyFill="1" applyBorder="1" applyAlignment="1">
      <alignment horizontal="left" vertical="top" wrapText="1"/>
    </xf>
    <xf numFmtId="172" fontId="10" fillId="48" borderId="20" xfId="0" applyNumberFormat="1" applyFont="1" applyFill="1" applyBorder="1" applyAlignment="1">
      <alignment horizontal="right" vertical="top" wrapText="1"/>
    </xf>
    <xf numFmtId="172" fontId="10" fillId="48" borderId="20" xfId="0" applyNumberFormat="1" applyFont="1" applyFill="1" applyBorder="1" applyAlignment="1">
      <alignment horizontal="center" vertical="top" wrapText="1"/>
    </xf>
    <xf numFmtId="0" fontId="10" fillId="0" borderId="20" xfId="0" applyFont="1" applyFill="1" applyBorder="1" applyAlignment="1">
      <alignment vertical="top" wrapText="1"/>
    </xf>
    <xf numFmtId="4" fontId="9" fillId="48" borderId="19" xfId="0" applyNumberFormat="1" applyFont="1" applyFill="1" applyBorder="1" applyAlignment="1">
      <alignment vertical="top" wrapText="1"/>
    </xf>
    <xf numFmtId="0" fontId="9" fillId="0" borderId="19" xfId="0" applyFont="1" applyFill="1" applyBorder="1"/>
    <xf numFmtId="0" fontId="9" fillId="0" borderId="19" xfId="0" applyFont="1" applyFill="1" applyBorder="1" applyAlignment="1">
      <alignment horizontal="right" wrapText="1"/>
    </xf>
    <xf numFmtId="10" fontId="9" fillId="0" borderId="19" xfId="1334" applyNumberFormat="1" applyFont="1" applyFill="1" applyBorder="1" applyAlignment="1">
      <alignment horizontal="right" wrapText="1"/>
    </xf>
    <xf numFmtId="43" fontId="9" fillId="0" borderId="19" xfId="699" applyFont="1" applyFill="1" applyBorder="1" applyAlignment="1">
      <alignment horizontal="right" wrapText="1"/>
    </xf>
    <xf numFmtId="0" fontId="9" fillId="48" borderId="0" xfId="0" applyFont="1" applyFill="1" applyBorder="1"/>
    <xf numFmtId="0" fontId="9" fillId="48" borderId="0" xfId="0" applyFont="1" applyFill="1" applyBorder="1" applyAlignment="1">
      <alignment horizontal="left"/>
    </xf>
    <xf numFmtId="4" fontId="9" fillId="48" borderId="0" xfId="868" applyNumberFormat="1" applyFont="1" applyFill="1" applyBorder="1" applyAlignment="1" applyProtection="1">
      <alignment horizontal="right" wrapText="1"/>
    </xf>
    <xf numFmtId="4" fontId="9" fillId="48" borderId="19" xfId="0" applyNumberFormat="1" applyFont="1" applyFill="1" applyBorder="1" applyAlignment="1">
      <alignment wrapText="1"/>
    </xf>
    <xf numFmtId="0" fontId="9" fillId="0" borderId="19" xfId="0" applyFont="1" applyFill="1" applyBorder="1" applyAlignment="1">
      <alignment horizontal="right"/>
    </xf>
    <xf numFmtId="0" fontId="9" fillId="49" borderId="0" xfId="0" applyFont="1" applyFill="1" applyBorder="1"/>
    <xf numFmtId="0" fontId="9" fillId="50" borderId="0" xfId="0" applyFont="1" applyFill="1" applyBorder="1"/>
    <xf numFmtId="0" fontId="10" fillId="48" borderId="19" xfId="1210" applyFont="1" applyFill="1" applyBorder="1" applyAlignment="1">
      <alignment horizontal="left" vertical="top" wrapText="1"/>
    </xf>
    <xf numFmtId="0" fontId="9" fillId="50" borderId="0" xfId="0" applyFont="1" applyFill="1"/>
    <xf numFmtId="4" fontId="9" fillId="50" borderId="0" xfId="868" applyNumberFormat="1" applyFont="1" applyFill="1" applyBorder="1" applyAlignment="1" applyProtection="1">
      <alignment horizontal="right" wrapText="1"/>
    </xf>
    <xf numFmtId="0" fontId="20" fillId="50" borderId="0" xfId="1306" applyFont="1" applyFill="1" applyBorder="1" applyAlignment="1">
      <alignment horizontal="center"/>
    </xf>
    <xf numFmtId="0" fontId="10" fillId="50" borderId="0" xfId="1306" applyFont="1" applyFill="1"/>
    <xf numFmtId="0" fontId="21" fillId="50" borderId="0" xfId="1306" applyFont="1" applyFill="1"/>
    <xf numFmtId="0" fontId="18" fillId="50" borderId="0" xfId="1306" applyFont="1" applyFill="1"/>
    <xf numFmtId="0" fontId="9" fillId="0" borderId="0" xfId="1306"/>
    <xf numFmtId="0" fontId="9" fillId="48" borderId="0" xfId="1306" applyFill="1"/>
    <xf numFmtId="0" fontId="22" fillId="48" borderId="0" xfId="1306" applyFont="1" applyFill="1"/>
    <xf numFmtId="0" fontId="9" fillId="48" borderId="0" xfId="1306" applyFill="1" applyBorder="1"/>
    <xf numFmtId="0" fontId="10" fillId="48" borderId="0" xfId="1306" applyFont="1" applyFill="1" applyAlignment="1">
      <alignment horizontal="center"/>
    </xf>
    <xf numFmtId="0" fontId="10" fillId="48" borderId="21" xfId="1306" applyFont="1" applyFill="1" applyBorder="1"/>
    <xf numFmtId="0" fontId="10" fillId="48" borderId="22" xfId="1306" applyFont="1" applyFill="1" applyBorder="1" applyAlignment="1">
      <alignment horizontal="center"/>
    </xf>
    <xf numFmtId="0" fontId="10" fillId="48" borderId="23" xfId="1306" applyFont="1" applyFill="1" applyBorder="1" applyAlignment="1">
      <alignment horizontal="center"/>
    </xf>
    <xf numFmtId="172" fontId="9" fillId="48" borderId="0" xfId="1306" applyNumberFormat="1" applyFill="1" applyBorder="1"/>
    <xf numFmtId="172" fontId="9" fillId="48" borderId="24" xfId="1306" applyNumberFormat="1" applyFill="1" applyBorder="1"/>
    <xf numFmtId="172" fontId="9" fillId="48" borderId="25" xfId="1306" applyNumberFormat="1" applyFill="1" applyBorder="1"/>
    <xf numFmtId="172" fontId="9" fillId="48" borderId="0" xfId="1306" applyNumberFormat="1" applyFill="1"/>
    <xf numFmtId="172" fontId="11" fillId="48" borderId="25" xfId="1306" applyNumberFormat="1" applyFont="1" applyFill="1" applyBorder="1" applyAlignment="1">
      <alignment horizontal="center"/>
    </xf>
    <xf numFmtId="43" fontId="9" fillId="48" borderId="25" xfId="1306" applyNumberFormat="1" applyFill="1" applyBorder="1"/>
    <xf numFmtId="177" fontId="11" fillId="48" borderId="25" xfId="1306" applyNumberFormat="1" applyFont="1" applyFill="1" applyBorder="1" applyAlignment="1">
      <alignment horizontal="center"/>
    </xf>
    <xf numFmtId="178" fontId="11" fillId="48" borderId="25" xfId="1306" applyNumberFormat="1" applyFont="1" applyFill="1" applyBorder="1"/>
    <xf numFmtId="181" fontId="11" fillId="48" borderId="25" xfId="1306" applyNumberFormat="1" applyFont="1" applyFill="1" applyBorder="1"/>
    <xf numFmtId="43" fontId="9" fillId="48" borderId="24" xfId="1306" applyNumberFormat="1" applyFill="1" applyBorder="1"/>
    <xf numFmtId="177" fontId="11" fillId="48" borderId="24" xfId="1306" applyNumberFormat="1" applyFont="1" applyFill="1" applyBorder="1" applyAlignment="1">
      <alignment horizontal="center"/>
    </xf>
    <xf numFmtId="178" fontId="11" fillId="48" borderId="24" xfId="1306" applyNumberFormat="1" applyFont="1" applyFill="1" applyBorder="1"/>
    <xf numFmtId="181" fontId="11" fillId="48" borderId="24" xfId="1306" applyNumberFormat="1" applyFont="1" applyFill="1" applyBorder="1"/>
    <xf numFmtId="172" fontId="9" fillId="48" borderId="20" xfId="1306" applyNumberFormat="1" applyFill="1" applyBorder="1"/>
    <xf numFmtId="0" fontId="23" fillId="50" borderId="26" xfId="1306" applyFont="1" applyFill="1" applyBorder="1" applyAlignment="1">
      <alignment horizontal="left"/>
    </xf>
    <xf numFmtId="172" fontId="9" fillId="50" borderId="27" xfId="1306" applyNumberFormat="1" applyFill="1" applyBorder="1"/>
    <xf numFmtId="43" fontId="23" fillId="50" borderId="21" xfId="1306" applyNumberFormat="1" applyFont="1" applyFill="1" applyBorder="1"/>
    <xf numFmtId="172" fontId="9" fillId="0" borderId="0" xfId="1306" applyNumberFormat="1"/>
    <xf numFmtId="172" fontId="10" fillId="48" borderId="0" xfId="1306" applyNumberFormat="1" applyFont="1" applyFill="1" applyBorder="1"/>
    <xf numFmtId="172" fontId="23" fillId="50" borderId="21" xfId="1306" applyNumberFormat="1" applyFont="1" applyFill="1" applyBorder="1"/>
    <xf numFmtId="172" fontId="23" fillId="48" borderId="0" xfId="1306" applyNumberFormat="1" applyFont="1" applyFill="1" applyBorder="1" applyAlignment="1">
      <alignment horizontal="center"/>
    </xf>
    <xf numFmtId="172" fontId="23" fillId="48" borderId="0" xfId="1306" applyNumberFormat="1" applyFont="1" applyFill="1" applyBorder="1"/>
    <xf numFmtId="172" fontId="9" fillId="0" borderId="0" xfId="1306" applyNumberFormat="1" applyFill="1"/>
    <xf numFmtId="172" fontId="23" fillId="50" borderId="26" xfId="1306" applyNumberFormat="1" applyFont="1" applyFill="1" applyBorder="1"/>
    <xf numFmtId="172" fontId="23" fillId="50" borderId="28" xfId="1306" applyNumberFormat="1" applyFont="1" applyFill="1" applyBorder="1"/>
    <xf numFmtId="172" fontId="23" fillId="48" borderId="28" xfId="1306" applyNumberFormat="1" applyFont="1" applyFill="1" applyBorder="1"/>
    <xf numFmtId="43" fontId="23" fillId="51" borderId="27" xfId="0" applyNumberFormat="1" applyFont="1" applyFill="1" applyBorder="1"/>
    <xf numFmtId="172" fontId="19" fillId="50" borderId="28" xfId="1306" applyNumberFormat="1" applyFont="1" applyFill="1" applyBorder="1"/>
    <xf numFmtId="172" fontId="19" fillId="48" borderId="28" xfId="1306" applyNumberFormat="1" applyFont="1" applyFill="1" applyBorder="1"/>
    <xf numFmtId="43" fontId="23" fillId="48" borderId="27" xfId="1306" applyNumberFormat="1" applyFont="1" applyFill="1" applyBorder="1"/>
    <xf numFmtId="172" fontId="10" fillId="0" borderId="21" xfId="1306" applyNumberFormat="1" applyFont="1" applyFill="1" applyBorder="1" applyAlignment="1">
      <alignment horizontal="center"/>
    </xf>
    <xf numFmtId="172" fontId="10" fillId="50" borderId="21" xfId="1306" applyNumberFormat="1" applyFont="1" applyFill="1" applyBorder="1" applyAlignment="1">
      <alignment horizontal="center"/>
    </xf>
    <xf numFmtId="9" fontId="9" fillId="0" borderId="25" xfId="1334" applyFont="1" applyFill="1" applyBorder="1" applyAlignment="1">
      <alignment horizontal="center"/>
    </xf>
    <xf numFmtId="43" fontId="9" fillId="50" borderId="25" xfId="1306" applyNumberFormat="1" applyFill="1" applyBorder="1"/>
    <xf numFmtId="9" fontId="9" fillId="0" borderId="24" xfId="1334" applyFont="1" applyFill="1" applyBorder="1" applyAlignment="1">
      <alignment horizontal="center"/>
    </xf>
    <xf numFmtId="43" fontId="9" fillId="50" borderId="24" xfId="1306" applyNumberFormat="1" applyFill="1" applyBorder="1"/>
    <xf numFmtId="172" fontId="24" fillId="50" borderId="29" xfId="1306" applyNumberFormat="1" applyFont="1" applyFill="1" applyBorder="1"/>
    <xf numFmtId="172" fontId="9" fillId="50" borderId="30" xfId="1306" applyNumberFormat="1" applyFill="1" applyBorder="1"/>
    <xf numFmtId="172" fontId="9" fillId="50" borderId="31" xfId="1306" applyNumberFormat="1" applyFill="1" applyBorder="1"/>
    <xf numFmtId="172" fontId="10" fillId="50" borderId="32" xfId="1306" applyNumberFormat="1" applyFont="1" applyFill="1" applyBorder="1"/>
    <xf numFmtId="172" fontId="9" fillId="50" borderId="0" xfId="1306" applyNumberFormat="1" applyFill="1" applyBorder="1"/>
    <xf numFmtId="172" fontId="9" fillId="50" borderId="33" xfId="1306" applyNumberFormat="1" applyFill="1" applyBorder="1"/>
    <xf numFmtId="172" fontId="10" fillId="50" borderId="0" xfId="1306" applyNumberFormat="1" applyFont="1" applyFill="1" applyBorder="1" applyAlignment="1">
      <alignment horizontal="right"/>
    </xf>
    <xf numFmtId="172" fontId="10" fillId="50" borderId="33" xfId="1306" applyNumberFormat="1" applyFont="1" applyFill="1" applyBorder="1" applyAlignment="1">
      <alignment horizontal="right"/>
    </xf>
    <xf numFmtId="172" fontId="9" fillId="50" borderId="32" xfId="1306" applyNumberFormat="1" applyFill="1" applyBorder="1"/>
    <xf numFmtId="9" fontId="9" fillId="50" borderId="0" xfId="1334" applyFont="1" applyFill="1" applyBorder="1"/>
    <xf numFmtId="0" fontId="9" fillId="50" borderId="0" xfId="1306" applyFill="1" applyBorder="1"/>
    <xf numFmtId="43" fontId="9" fillId="50" borderId="33" xfId="1306" applyNumberFormat="1" applyFill="1" applyBorder="1"/>
    <xf numFmtId="9" fontId="9" fillId="50" borderId="34" xfId="1334" applyFont="1" applyFill="1" applyBorder="1"/>
    <xf numFmtId="43" fontId="9" fillId="50" borderId="35" xfId="1306" applyNumberFormat="1" applyFill="1" applyBorder="1"/>
    <xf numFmtId="172" fontId="9" fillId="50" borderId="22" xfId="1306" applyNumberFormat="1" applyFill="1" applyBorder="1"/>
    <xf numFmtId="172" fontId="9" fillId="50" borderId="36" xfId="1306" applyNumberFormat="1" applyFill="1" applyBorder="1"/>
    <xf numFmtId="172" fontId="10" fillId="50" borderId="36" xfId="1306" applyNumberFormat="1" applyFont="1" applyFill="1" applyBorder="1"/>
    <xf numFmtId="0" fontId="9" fillId="50" borderId="36" xfId="1306" applyFill="1" applyBorder="1"/>
    <xf numFmtId="43" fontId="10" fillId="50" borderId="37" xfId="1306" applyNumberFormat="1" applyFont="1" applyFill="1" applyBorder="1"/>
    <xf numFmtId="172" fontId="22" fillId="48" borderId="0" xfId="1306" applyNumberFormat="1" applyFont="1" applyFill="1" applyBorder="1"/>
    <xf numFmtId="0" fontId="0" fillId="48" borderId="0" xfId="0" applyFill="1"/>
    <xf numFmtId="0" fontId="10" fillId="48" borderId="0" xfId="0" applyFont="1" applyFill="1"/>
    <xf numFmtId="0" fontId="27" fillId="48" borderId="38" xfId="0" applyFont="1" applyFill="1" applyBorder="1" applyAlignment="1">
      <alignment horizontal="center"/>
    </xf>
    <xf numFmtId="0" fontId="10" fillId="48" borderId="0" xfId="0" applyFont="1" applyFill="1" applyBorder="1" applyAlignment="1">
      <alignment horizontal="center"/>
    </xf>
    <xf numFmtId="0" fontId="9" fillId="48" borderId="38" xfId="0" applyFont="1" applyFill="1" applyBorder="1" applyAlignment="1">
      <alignment horizontal="left"/>
    </xf>
    <xf numFmtId="2" fontId="9" fillId="48" borderId="38" xfId="915" applyNumberFormat="1" applyFont="1" applyFill="1" applyBorder="1"/>
    <xf numFmtId="43" fontId="9" fillId="48" borderId="38" xfId="915" applyFont="1" applyFill="1" applyBorder="1" applyAlignment="1">
      <alignment horizontal="centerContinuous"/>
    </xf>
    <xf numFmtId="4" fontId="9" fillId="48" borderId="38" xfId="915" applyNumberFormat="1" applyFont="1" applyFill="1" applyBorder="1"/>
    <xf numFmtId="193" fontId="9" fillId="48" borderId="0" xfId="915" applyNumberFormat="1" applyFont="1" applyFill="1" applyBorder="1"/>
    <xf numFmtId="43" fontId="9" fillId="48" borderId="0" xfId="915" applyFont="1" applyFill="1" applyBorder="1" applyAlignment="1">
      <alignment horizontal="centerContinuous"/>
    </xf>
    <xf numFmtId="43" fontId="9" fillId="48" borderId="0" xfId="915" applyFont="1" applyFill="1" applyBorder="1"/>
    <xf numFmtId="0" fontId="10" fillId="48" borderId="0" xfId="0" quotePrefix="1" applyFont="1" applyFill="1" applyAlignment="1">
      <alignment horizontal="left"/>
    </xf>
    <xf numFmtId="193" fontId="9" fillId="48" borderId="0" xfId="915" applyNumberFormat="1" applyFont="1" applyFill="1"/>
    <xf numFmtId="43" fontId="9" fillId="48" borderId="0" xfId="915" applyFont="1" applyFill="1"/>
    <xf numFmtId="0" fontId="9" fillId="48" borderId="39" xfId="0" applyFont="1" applyFill="1" applyBorder="1" applyAlignment="1">
      <alignment horizontal="left"/>
    </xf>
    <xf numFmtId="2" fontId="9" fillId="48" borderId="40" xfId="915" applyNumberFormat="1" applyFont="1" applyFill="1" applyBorder="1"/>
    <xf numFmtId="43" fontId="9" fillId="48" borderId="40" xfId="915" applyFont="1" applyFill="1" applyBorder="1" applyAlignment="1">
      <alignment horizontal="center"/>
    </xf>
    <xf numFmtId="43" fontId="9" fillId="49" borderId="40" xfId="915" applyFont="1" applyFill="1" applyBorder="1"/>
    <xf numFmtId="43" fontId="9" fillId="48" borderId="41" xfId="915" applyFont="1" applyFill="1" applyBorder="1"/>
    <xf numFmtId="0" fontId="9" fillId="48" borderId="42" xfId="0" applyFont="1" applyFill="1" applyBorder="1" applyAlignment="1">
      <alignment horizontal="left"/>
    </xf>
    <xf numFmtId="2" fontId="9" fillId="48" borderId="24" xfId="915" applyNumberFormat="1" applyFont="1" applyFill="1" applyBorder="1"/>
    <xf numFmtId="43" fontId="9" fillId="48" borderId="24" xfId="915" applyFont="1" applyFill="1" applyBorder="1" applyAlignment="1">
      <alignment horizontal="center"/>
    </xf>
    <xf numFmtId="43" fontId="9" fillId="48" borderId="24" xfId="915" applyFont="1" applyFill="1" applyBorder="1"/>
    <xf numFmtId="43" fontId="9" fillId="48" borderId="43" xfId="915" applyFont="1" applyFill="1" applyBorder="1"/>
    <xf numFmtId="39" fontId="10" fillId="48" borderId="44" xfId="0" quotePrefix="1" applyNumberFormat="1" applyFont="1" applyFill="1" applyBorder="1" applyAlignment="1">
      <alignment horizontal="left"/>
    </xf>
    <xf numFmtId="193" fontId="10" fillId="48" borderId="45" xfId="915" quotePrefix="1" applyNumberFormat="1" applyFont="1" applyFill="1" applyBorder="1" applyAlignment="1"/>
    <xf numFmtId="43" fontId="10" fillId="48" borderId="46" xfId="915" applyFont="1" applyFill="1" applyBorder="1"/>
    <xf numFmtId="0" fontId="9" fillId="48" borderId="0" xfId="0" applyFont="1" applyFill="1" applyAlignment="1">
      <alignment horizontal="left"/>
    </xf>
    <xf numFmtId="193" fontId="9" fillId="48" borderId="0" xfId="915" quotePrefix="1" applyNumberFormat="1" applyFont="1" applyFill="1" applyBorder="1" applyAlignment="1">
      <alignment horizontal="left"/>
    </xf>
    <xf numFmtId="43" fontId="10" fillId="48" borderId="0" xfId="915" applyFont="1" applyFill="1"/>
    <xf numFmtId="0" fontId="9" fillId="48" borderId="44" xfId="0" applyFont="1" applyFill="1" applyBorder="1" applyAlignment="1">
      <alignment horizontal="left"/>
    </xf>
    <xf numFmtId="193" fontId="10" fillId="48" borderId="45" xfId="915" quotePrefix="1" applyNumberFormat="1" applyFont="1" applyFill="1" applyBorder="1" applyAlignment="1">
      <alignment horizontal="left"/>
    </xf>
    <xf numFmtId="43" fontId="10" fillId="48" borderId="46" xfId="915" applyFont="1" applyFill="1" applyBorder="1" applyAlignment="1">
      <alignment horizontal="right"/>
    </xf>
    <xf numFmtId="43" fontId="10" fillId="48" borderId="0" xfId="915" applyFont="1" applyFill="1" applyBorder="1" applyAlignment="1">
      <alignment horizontal="right"/>
    </xf>
    <xf numFmtId="0" fontId="10" fillId="48" borderId="0" xfId="0" applyFont="1" applyFill="1" applyAlignment="1">
      <alignment horizontal="left"/>
    </xf>
    <xf numFmtId="43" fontId="9" fillId="48" borderId="40" xfId="915" applyFont="1" applyFill="1" applyBorder="1" applyAlignment="1">
      <alignment horizontal="centerContinuous"/>
    </xf>
    <xf numFmtId="43" fontId="9" fillId="48" borderId="40" xfId="915" applyFont="1" applyFill="1" applyBorder="1"/>
    <xf numFmtId="43" fontId="9" fillId="48" borderId="24" xfId="915" applyFont="1" applyFill="1" applyBorder="1" applyAlignment="1">
      <alignment horizontal="centerContinuous"/>
    </xf>
    <xf numFmtId="193" fontId="9" fillId="48" borderId="24" xfId="915" applyNumberFormat="1" applyFont="1" applyFill="1" applyBorder="1"/>
    <xf numFmtId="193" fontId="9" fillId="48" borderId="45" xfId="915" applyNumberFormat="1" applyFont="1" applyFill="1" applyBorder="1"/>
    <xf numFmtId="43" fontId="10" fillId="48" borderId="0" xfId="915" applyFont="1" applyFill="1" applyAlignment="1">
      <alignment horizontal="right"/>
    </xf>
    <xf numFmtId="43" fontId="10" fillId="48" borderId="0" xfId="915" applyFont="1" applyFill="1" applyAlignment="1">
      <alignment horizontal="left"/>
    </xf>
    <xf numFmtId="43" fontId="9" fillId="48" borderId="0" xfId="915" applyFont="1" applyFill="1" applyAlignment="1">
      <alignment horizontal="centerContinuous"/>
    </xf>
    <xf numFmtId="4" fontId="9" fillId="48" borderId="40" xfId="915" applyNumberFormat="1" applyFont="1" applyFill="1" applyBorder="1"/>
    <xf numFmtId="4" fontId="9" fillId="48" borderId="24" xfId="915" applyNumberFormat="1" applyFont="1" applyFill="1" applyBorder="1"/>
    <xf numFmtId="193" fontId="9" fillId="48" borderId="40" xfId="915" applyNumberFormat="1" applyFont="1" applyFill="1" applyBorder="1"/>
    <xf numFmtId="4" fontId="9" fillId="48" borderId="24" xfId="915" applyNumberFormat="1" applyFont="1" applyFill="1" applyBorder="1" applyAlignment="1"/>
    <xf numFmtId="193" fontId="10" fillId="48" borderId="0" xfId="915" quotePrefix="1" applyNumberFormat="1" applyFont="1" applyFill="1" applyBorder="1" applyAlignment="1">
      <alignment horizontal="center"/>
    </xf>
    <xf numFmtId="0" fontId="15" fillId="42" borderId="0" xfId="0" applyFont="1" applyFill="1"/>
    <xf numFmtId="0" fontId="14" fillId="42" borderId="0" xfId="0" applyFont="1" applyFill="1"/>
    <xf numFmtId="0" fontId="14" fillId="42" borderId="0" xfId="0" applyFont="1" applyFill="1" applyAlignment="1">
      <alignment horizontal="center"/>
    </xf>
    <xf numFmtId="0" fontId="14" fillId="42" borderId="38" xfId="0" applyFont="1" applyFill="1" applyBorder="1"/>
    <xf numFmtId="0" fontId="14" fillId="42" borderId="38" xfId="0" applyFont="1" applyFill="1" applyBorder="1" applyAlignment="1">
      <alignment horizontal="center"/>
    </xf>
    <xf numFmtId="4" fontId="14" fillId="42" borderId="38" xfId="703" applyNumberFormat="1" applyFont="1" applyFill="1" applyBorder="1"/>
    <xf numFmtId="2" fontId="14" fillId="42" borderId="38" xfId="703" applyNumberFormat="1" applyFont="1" applyFill="1" applyBorder="1"/>
    <xf numFmtId="2" fontId="14" fillId="48" borderId="38" xfId="0" applyNumberFormat="1" applyFont="1" applyFill="1" applyBorder="1"/>
    <xf numFmtId="2" fontId="14" fillId="42" borderId="38" xfId="0" applyNumberFormat="1" applyFont="1" applyFill="1" applyBorder="1"/>
    <xf numFmtId="2" fontId="15" fillId="42" borderId="38" xfId="0" applyNumberFormat="1" applyFont="1" applyFill="1" applyBorder="1"/>
    <xf numFmtId="180" fontId="9" fillId="48" borderId="40" xfId="915" applyNumberFormat="1" applyFont="1" applyFill="1" applyBorder="1"/>
    <xf numFmtId="180" fontId="9" fillId="48" borderId="24" xfId="915" applyNumberFormat="1" applyFont="1" applyFill="1" applyBorder="1"/>
    <xf numFmtId="180" fontId="9" fillId="48" borderId="24" xfId="915" applyNumberFormat="1" applyFont="1" applyFill="1" applyBorder="1" applyAlignment="1"/>
    <xf numFmtId="4" fontId="9" fillId="48" borderId="40" xfId="915" applyNumberFormat="1" applyFont="1" applyFill="1" applyBorder="1" applyAlignment="1"/>
    <xf numFmtId="175" fontId="9" fillId="48" borderId="24" xfId="915" applyNumberFormat="1" applyFont="1" applyFill="1" applyBorder="1"/>
    <xf numFmtId="0" fontId="10" fillId="48" borderId="0" xfId="0" applyFont="1" applyFill="1" applyBorder="1" applyAlignment="1">
      <alignment horizontal="left"/>
    </xf>
    <xf numFmtId="0" fontId="9" fillId="48" borderId="42" xfId="0" quotePrefix="1" applyFont="1" applyFill="1" applyBorder="1" applyAlignment="1">
      <alignment horizontal="left"/>
    </xf>
    <xf numFmtId="0" fontId="28" fillId="48" borderId="0" xfId="0" applyFont="1" applyFill="1" applyAlignment="1">
      <alignment horizontal="left"/>
    </xf>
    <xf numFmtId="193" fontId="29" fillId="48" borderId="0" xfId="915" applyNumberFormat="1" applyFont="1" applyFill="1" applyAlignment="1">
      <alignment horizontal="centerContinuous"/>
    </xf>
    <xf numFmtId="43" fontId="29" fillId="48" borderId="0" xfId="915" applyFont="1" applyFill="1" applyAlignment="1">
      <alignment horizontal="centerContinuous"/>
    </xf>
    <xf numFmtId="43" fontId="9" fillId="48" borderId="24" xfId="915" quotePrefix="1" applyFont="1" applyFill="1" applyBorder="1" applyAlignment="1">
      <alignment horizontal="centerContinuous"/>
    </xf>
    <xf numFmtId="43" fontId="10" fillId="48" borderId="0" xfId="915" applyFont="1" applyFill="1" applyBorder="1"/>
    <xf numFmtId="0" fontId="10" fillId="0" borderId="47" xfId="0" quotePrefix="1" applyFont="1" applyFill="1" applyBorder="1" applyAlignment="1" applyProtection="1">
      <alignment horizontal="left" vertical="center"/>
    </xf>
    <xf numFmtId="0" fontId="9" fillId="0" borderId="47" xfId="0" applyFont="1" applyFill="1" applyBorder="1" applyAlignment="1">
      <alignment horizontal="right" vertical="center"/>
    </xf>
    <xf numFmtId="0" fontId="9" fillId="0" borderId="47" xfId="0" applyFont="1" applyFill="1" applyBorder="1" applyAlignment="1">
      <alignment horizontal="center" vertical="center"/>
    </xf>
    <xf numFmtId="0" fontId="9" fillId="0" borderId="39" xfId="0" applyFont="1" applyFill="1" applyBorder="1" applyAlignment="1" applyProtection="1">
      <alignment horizontal="left" vertical="center"/>
    </xf>
    <xf numFmtId="0" fontId="9" fillId="0" borderId="40" xfId="0" applyFont="1" applyFill="1" applyBorder="1" applyAlignment="1" applyProtection="1">
      <alignment horizontal="right" vertical="center"/>
    </xf>
    <xf numFmtId="0" fontId="9" fillId="0" borderId="40" xfId="0" applyFont="1" applyFill="1" applyBorder="1" applyAlignment="1" applyProtection="1">
      <alignment horizontal="center" vertical="center"/>
    </xf>
    <xf numFmtId="4" fontId="9" fillId="0" borderId="40" xfId="0" applyNumberFormat="1" applyFont="1" applyFill="1" applyBorder="1" applyAlignment="1" applyProtection="1">
      <alignment horizontal="right" vertical="center"/>
    </xf>
    <xf numFmtId="4" fontId="9" fillId="0" borderId="41" xfId="0" applyNumberFormat="1" applyFont="1" applyFill="1" applyBorder="1" applyAlignment="1" applyProtection="1">
      <alignment horizontal="right" vertical="center"/>
      <protection locked="0"/>
    </xf>
    <xf numFmtId="0" fontId="9" fillId="0" borderId="42" xfId="0" quotePrefix="1" applyFont="1" applyFill="1" applyBorder="1" applyAlignment="1" applyProtection="1">
      <alignment horizontal="left" vertical="center"/>
    </xf>
    <xf numFmtId="2" fontId="9" fillId="0" borderId="24" xfId="0" applyNumberFormat="1" applyFont="1" applyFill="1" applyBorder="1" applyAlignment="1" applyProtection="1">
      <alignment horizontal="right" vertical="center"/>
    </xf>
    <xf numFmtId="0" fontId="9" fillId="0" borderId="24" xfId="0" applyFont="1" applyFill="1" applyBorder="1" applyAlignment="1" applyProtection="1">
      <alignment horizontal="center" vertical="center"/>
    </xf>
    <xf numFmtId="4" fontId="9" fillId="0" borderId="24" xfId="0" applyNumberFormat="1" applyFont="1" applyFill="1" applyBorder="1" applyAlignment="1" applyProtection="1">
      <alignment horizontal="right" vertical="center"/>
    </xf>
    <xf numFmtId="4" fontId="9" fillId="0" borderId="43" xfId="0" applyNumberFormat="1" applyFont="1" applyFill="1" applyBorder="1" applyAlignment="1" applyProtection="1">
      <alignment horizontal="right" vertical="center"/>
      <protection locked="0"/>
    </xf>
    <xf numFmtId="0" fontId="9" fillId="0" borderId="24" xfId="0" applyFont="1" applyFill="1" applyBorder="1" applyAlignment="1">
      <alignment horizontal="center" vertical="center"/>
    </xf>
    <xf numFmtId="0" fontId="9" fillId="0" borderId="44" xfId="0" applyFont="1" applyFill="1" applyBorder="1" applyAlignment="1">
      <alignment vertical="center"/>
    </xf>
    <xf numFmtId="0" fontId="9" fillId="0" borderId="45" xfId="0" applyFont="1" applyFill="1" applyBorder="1" applyAlignment="1">
      <alignment horizontal="right" vertical="center"/>
    </xf>
    <xf numFmtId="0" fontId="9" fillId="0" borderId="45" xfId="0" applyFont="1" applyFill="1" applyBorder="1" applyAlignment="1">
      <alignment horizontal="center" vertical="center"/>
    </xf>
    <xf numFmtId="39" fontId="10" fillId="0" borderId="45" xfId="0" quotePrefix="1" applyNumberFormat="1" applyFont="1" applyFill="1" applyBorder="1" applyAlignment="1" applyProtection="1">
      <alignment horizontal="right" vertical="center"/>
    </xf>
    <xf numFmtId="195" fontId="10" fillId="0" borderId="46" xfId="0" applyNumberFormat="1" applyFont="1" applyFill="1" applyBorder="1" applyAlignment="1" applyProtection="1">
      <alignment horizontal="right" vertical="center"/>
    </xf>
    <xf numFmtId="0" fontId="9" fillId="48" borderId="47" xfId="0" applyFont="1" applyFill="1" applyBorder="1" applyAlignment="1">
      <alignment horizontal="right" vertical="center"/>
    </xf>
    <xf numFmtId="0" fontId="9" fillId="48" borderId="47" xfId="0" applyFont="1" applyFill="1" applyBorder="1" applyAlignment="1">
      <alignment horizontal="center" vertical="center"/>
    </xf>
    <xf numFmtId="0" fontId="9" fillId="0" borderId="48" xfId="0" applyFont="1" applyFill="1" applyBorder="1" applyAlignment="1" applyProtection="1">
      <alignment horizontal="left" vertical="center"/>
    </xf>
    <xf numFmtId="0" fontId="9" fillId="0" borderId="25" xfId="0" applyFont="1" applyFill="1" applyBorder="1" applyAlignment="1" applyProtection="1">
      <alignment horizontal="right" vertical="center"/>
    </xf>
    <xf numFmtId="0" fontId="9" fillId="0" borderId="25" xfId="0" applyFont="1" applyFill="1" applyBorder="1" applyAlignment="1" applyProtection="1">
      <alignment horizontal="center" vertical="center"/>
    </xf>
    <xf numFmtId="4" fontId="9" fillId="0" borderId="25" xfId="0" applyNumberFormat="1" applyFont="1" applyFill="1" applyBorder="1" applyAlignment="1" applyProtection="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39" fontId="10" fillId="0" borderId="0" xfId="0" quotePrefix="1" applyNumberFormat="1" applyFont="1" applyFill="1" applyBorder="1" applyAlignment="1" applyProtection="1">
      <alignment horizontal="right" vertical="center"/>
    </xf>
    <xf numFmtId="195" fontId="10" fillId="0" borderId="0" xfId="0" applyNumberFormat="1" applyFont="1" applyFill="1" applyBorder="1" applyAlignment="1" applyProtection="1">
      <alignment horizontal="right" vertical="center"/>
    </xf>
    <xf numFmtId="43" fontId="9" fillId="48" borderId="40" xfId="915" applyFont="1" applyFill="1" applyBorder="1" applyAlignment="1">
      <alignment horizontal="right"/>
    </xf>
    <xf numFmtId="43" fontId="9" fillId="48" borderId="24" xfId="915" applyFont="1" applyFill="1" applyBorder="1" applyAlignment="1">
      <alignment horizontal="right"/>
    </xf>
    <xf numFmtId="43" fontId="9" fillId="48" borderId="45" xfId="915" applyFont="1" applyFill="1" applyBorder="1" applyAlignment="1">
      <alignment horizontal="centerContinuous"/>
    </xf>
    <xf numFmtId="43" fontId="10" fillId="48" borderId="45" xfId="915" applyFont="1" applyFill="1" applyBorder="1" applyAlignment="1">
      <alignment horizontal="right"/>
    </xf>
    <xf numFmtId="183" fontId="30" fillId="48" borderId="0" xfId="1282" applyFont="1" applyFill="1"/>
    <xf numFmtId="0" fontId="9" fillId="48" borderId="24" xfId="1293" applyFont="1" applyFill="1" applyBorder="1" applyAlignment="1">
      <alignment wrapText="1"/>
    </xf>
    <xf numFmtId="2" fontId="9" fillId="48" borderId="24" xfId="1293" applyNumberFormat="1" applyFont="1" applyFill="1" applyBorder="1"/>
    <xf numFmtId="0" fontId="9" fillId="48" borderId="24" xfId="1293" applyFont="1" applyFill="1" applyBorder="1" applyAlignment="1">
      <alignment horizontal="centerContinuous"/>
    </xf>
    <xf numFmtId="39" fontId="9" fillId="48" borderId="24" xfId="1293" applyNumberFormat="1" applyFont="1" applyFill="1" applyBorder="1"/>
    <xf numFmtId="0" fontId="9" fillId="48" borderId="24" xfId="1293" applyFont="1" applyFill="1" applyBorder="1"/>
    <xf numFmtId="0" fontId="9" fillId="48" borderId="24" xfId="1293" applyFont="1" applyFill="1" applyBorder="1" applyAlignment="1">
      <alignment horizontal="center"/>
    </xf>
    <xf numFmtId="39" fontId="9" fillId="48" borderId="24" xfId="1293" applyNumberFormat="1" applyFont="1" applyFill="1" applyBorder="1" applyAlignment="1">
      <alignment horizontal="right"/>
    </xf>
    <xf numFmtId="183" fontId="10" fillId="48" borderId="24" xfId="1282" applyFont="1" applyFill="1" applyBorder="1" applyAlignment="1">
      <alignment horizontal="right"/>
    </xf>
    <xf numFmtId="39" fontId="10" fillId="48" borderId="24" xfId="1293" applyNumberFormat="1" applyFont="1" applyFill="1" applyBorder="1" applyAlignment="1">
      <alignment horizontal="right"/>
    </xf>
    <xf numFmtId="183" fontId="9" fillId="48" borderId="24" xfId="1282" applyFont="1" applyFill="1" applyBorder="1"/>
    <xf numFmtId="4" fontId="9" fillId="48" borderId="24" xfId="1282" applyNumberFormat="1" applyFont="1" applyFill="1" applyBorder="1"/>
    <xf numFmtId="183" fontId="9" fillId="48" borderId="24" xfId="1282" applyFont="1" applyFill="1" applyBorder="1" applyAlignment="1">
      <alignment horizontal="center"/>
    </xf>
    <xf numFmtId="4" fontId="9" fillId="48" borderId="24" xfId="703" applyNumberFormat="1" applyFont="1" applyFill="1" applyBorder="1"/>
    <xf numFmtId="39" fontId="9" fillId="48" borderId="24" xfId="1282" applyNumberFormat="1" applyFont="1" applyFill="1" applyBorder="1"/>
    <xf numFmtId="183" fontId="31" fillId="48" borderId="24" xfId="1282" applyFont="1" applyFill="1" applyBorder="1" applyAlignment="1">
      <alignment horizontal="right"/>
    </xf>
    <xf numFmtId="39" fontId="10" fillId="48" borderId="24" xfId="1282" applyNumberFormat="1" applyFont="1" applyFill="1" applyBorder="1"/>
    <xf numFmtId="183" fontId="30" fillId="48" borderId="24" xfId="1282" applyFont="1" applyFill="1" applyBorder="1"/>
    <xf numFmtId="183" fontId="31" fillId="48" borderId="24" xfId="1282" applyFont="1" applyFill="1" applyBorder="1"/>
    <xf numFmtId="4" fontId="0" fillId="48" borderId="0" xfId="0" applyNumberFormat="1" applyFill="1"/>
    <xf numFmtId="0" fontId="0" fillId="48" borderId="0" xfId="0" applyFill="1" applyAlignment="1">
      <alignment horizontal="center"/>
    </xf>
    <xf numFmtId="0" fontId="0" fillId="48" borderId="24" xfId="0" applyFill="1" applyBorder="1"/>
    <xf numFmtId="4" fontId="0" fillId="48" borderId="24" xfId="0" applyNumberFormat="1" applyFill="1" applyBorder="1"/>
    <xf numFmtId="4" fontId="0" fillId="48" borderId="24" xfId="0" applyNumberFormat="1" applyFill="1" applyBorder="1" applyAlignment="1">
      <alignment horizontal="center"/>
    </xf>
    <xf numFmtId="4" fontId="10" fillId="48" borderId="24" xfId="0" applyNumberFormat="1" applyFont="1" applyFill="1" applyBorder="1"/>
    <xf numFmtId="0" fontId="10" fillId="48" borderId="0" xfId="0" applyFont="1" applyFill="1" applyBorder="1" applyAlignment="1"/>
    <xf numFmtId="193" fontId="9" fillId="48" borderId="0" xfId="0" applyNumberFormat="1" applyFont="1" applyFill="1"/>
    <xf numFmtId="0" fontId="14" fillId="42" borderId="39" xfId="0" applyFont="1" applyFill="1" applyBorder="1"/>
    <xf numFmtId="0" fontId="14" fillId="42" borderId="40" xfId="0" applyFont="1" applyFill="1" applyBorder="1"/>
    <xf numFmtId="0" fontId="14" fillId="42" borderId="40" xfId="0" applyFont="1" applyFill="1" applyBorder="1" applyAlignment="1">
      <alignment horizontal="center"/>
    </xf>
    <xf numFmtId="4" fontId="14" fillId="42" borderId="40" xfId="703" applyNumberFormat="1" applyFont="1" applyFill="1" applyBorder="1"/>
    <xf numFmtId="4" fontId="14" fillId="42" borderId="41" xfId="703" applyNumberFormat="1" applyFont="1" applyFill="1" applyBorder="1"/>
    <xf numFmtId="0" fontId="14" fillId="42" borderId="42" xfId="0" applyFont="1" applyFill="1" applyBorder="1"/>
    <xf numFmtId="2" fontId="14" fillId="42" borderId="24" xfId="0" applyNumberFormat="1" applyFont="1" applyFill="1" applyBorder="1"/>
    <xf numFmtId="0" fontId="14" fillId="42" borderId="24" xfId="0" applyFont="1" applyFill="1" applyBorder="1" applyAlignment="1">
      <alignment horizontal="center"/>
    </xf>
    <xf numFmtId="4" fontId="14" fillId="42" borderId="24" xfId="703" applyNumberFormat="1" applyFont="1" applyFill="1" applyBorder="1"/>
    <xf numFmtId="4" fontId="14" fillId="42" borderId="43" xfId="703" applyNumberFormat="1" applyFont="1" applyFill="1" applyBorder="1"/>
    <xf numFmtId="0" fontId="14" fillId="42" borderId="44" xfId="0" applyFont="1" applyFill="1" applyBorder="1"/>
    <xf numFmtId="0" fontId="14" fillId="42" borderId="45" xfId="0" applyFont="1" applyFill="1" applyBorder="1"/>
    <xf numFmtId="4" fontId="15" fillId="42" borderId="46" xfId="703" applyNumberFormat="1" applyFont="1" applyFill="1" applyBorder="1"/>
    <xf numFmtId="2" fontId="14" fillId="51" borderId="24" xfId="0" applyNumberFormat="1" applyFont="1" applyFill="1" applyBorder="1"/>
    <xf numFmtId="0" fontId="14" fillId="42" borderId="0" xfId="0" applyFont="1" applyFill="1" applyBorder="1"/>
    <xf numFmtId="0" fontId="15" fillId="42" borderId="0" xfId="0" applyFont="1" applyFill="1" applyBorder="1" applyAlignment="1">
      <alignment horizontal="center"/>
    </xf>
    <xf numFmtId="4" fontId="15" fillId="42" borderId="0" xfId="703" applyNumberFormat="1" applyFont="1" applyFill="1" applyBorder="1"/>
    <xf numFmtId="2" fontId="14" fillId="42" borderId="40" xfId="0" applyNumberFormat="1" applyFont="1" applyFill="1" applyBorder="1"/>
    <xf numFmtId="0" fontId="14" fillId="42" borderId="48" xfId="0" applyFont="1" applyFill="1" applyBorder="1"/>
    <xf numFmtId="2" fontId="14" fillId="42" borderId="25" xfId="0" applyNumberFormat="1" applyFont="1" applyFill="1" applyBorder="1"/>
    <xf numFmtId="0" fontId="14" fillId="42" borderId="25" xfId="0" applyFont="1" applyFill="1" applyBorder="1" applyAlignment="1">
      <alignment horizontal="center"/>
    </xf>
    <xf numFmtId="4" fontId="14" fillId="42" borderId="25" xfId="703" applyNumberFormat="1" applyFont="1" applyFill="1" applyBorder="1"/>
    <xf numFmtId="0" fontId="10" fillId="48" borderId="0" xfId="0" applyFont="1" applyFill="1" applyBorder="1"/>
    <xf numFmtId="0" fontId="27" fillId="48" borderId="0" xfId="0" applyFont="1" applyFill="1" applyBorder="1"/>
    <xf numFmtId="0" fontId="9" fillId="48" borderId="39" xfId="0" applyFont="1" applyFill="1" applyBorder="1"/>
    <xf numFmtId="4" fontId="9" fillId="48" borderId="40" xfId="0" applyNumberFormat="1" applyFont="1" applyFill="1" applyBorder="1"/>
    <xf numFmtId="0" fontId="9" fillId="48" borderId="40" xfId="0" applyFont="1" applyFill="1" applyBorder="1" applyAlignment="1">
      <alignment horizontal="center"/>
    </xf>
    <xf numFmtId="4" fontId="9" fillId="48" borderId="49" xfId="0" applyNumberFormat="1" applyFont="1" applyFill="1" applyBorder="1"/>
    <xf numFmtId="0" fontId="9" fillId="48" borderId="25" xfId="0" applyFont="1" applyFill="1" applyBorder="1" applyAlignment="1">
      <alignment horizontal="center"/>
    </xf>
    <xf numFmtId="0" fontId="9" fillId="48" borderId="42" xfId="0" applyFont="1" applyFill="1" applyBorder="1"/>
    <xf numFmtId="2" fontId="9" fillId="48" borderId="24" xfId="0" applyNumberFormat="1" applyFont="1" applyFill="1" applyBorder="1"/>
    <xf numFmtId="0" fontId="9" fillId="48" borderId="24" xfId="0" applyFont="1" applyFill="1" applyBorder="1" applyAlignment="1">
      <alignment horizontal="center"/>
    </xf>
    <xf numFmtId="4" fontId="9" fillId="48" borderId="24" xfId="0" applyNumberFormat="1" applyFont="1" applyFill="1" applyBorder="1"/>
    <xf numFmtId="0" fontId="10" fillId="48" borderId="42" xfId="0" applyFont="1" applyFill="1" applyBorder="1"/>
    <xf numFmtId="193" fontId="9" fillId="48" borderId="24" xfId="0" applyNumberFormat="1" applyFont="1" applyFill="1" applyBorder="1"/>
    <xf numFmtId="0" fontId="9" fillId="48" borderId="24" xfId="0" applyFont="1" applyFill="1" applyBorder="1"/>
    <xf numFmtId="4" fontId="9" fillId="48" borderId="50" xfId="0" applyNumberFormat="1" applyFont="1" applyFill="1" applyBorder="1"/>
    <xf numFmtId="0" fontId="18" fillId="48" borderId="42" xfId="0" applyFont="1" applyFill="1" applyBorder="1"/>
    <xf numFmtId="2" fontId="18" fillId="48" borderId="24" xfId="0" applyNumberFormat="1" applyFont="1" applyFill="1" applyBorder="1"/>
    <xf numFmtId="0" fontId="18" fillId="48" borderId="24" xfId="0" applyFont="1" applyFill="1" applyBorder="1" applyAlignment="1">
      <alignment horizontal="center"/>
    </xf>
    <xf numFmtId="4" fontId="18" fillId="48" borderId="24" xfId="0" applyNumberFormat="1" applyFont="1" applyFill="1" applyBorder="1"/>
    <xf numFmtId="43" fontId="18" fillId="48" borderId="43" xfId="915" applyFont="1" applyFill="1" applyBorder="1"/>
    <xf numFmtId="0" fontId="9" fillId="48" borderId="51" xfId="0" applyFont="1" applyFill="1" applyBorder="1"/>
    <xf numFmtId="2" fontId="9" fillId="48" borderId="20" xfId="0" applyNumberFormat="1" applyFont="1" applyFill="1" applyBorder="1"/>
    <xf numFmtId="0" fontId="9" fillId="48" borderId="20" xfId="0" applyFont="1" applyFill="1" applyBorder="1" applyAlignment="1">
      <alignment horizontal="center"/>
    </xf>
    <xf numFmtId="4" fontId="9" fillId="48" borderId="20" xfId="0" applyNumberFormat="1" applyFont="1" applyFill="1" applyBorder="1"/>
    <xf numFmtId="43" fontId="9" fillId="48" borderId="52" xfId="915" applyFont="1" applyFill="1" applyBorder="1"/>
    <xf numFmtId="0" fontId="9" fillId="48" borderId="44" xfId="0" applyFont="1" applyFill="1" applyBorder="1"/>
    <xf numFmtId="193" fontId="9" fillId="48" borderId="45" xfId="0" applyNumberFormat="1" applyFont="1" applyFill="1" applyBorder="1"/>
    <xf numFmtId="4" fontId="15" fillId="48" borderId="46" xfId="740" applyNumberFormat="1" applyFont="1" applyFill="1" applyBorder="1"/>
    <xf numFmtId="0" fontId="32" fillId="48" borderId="0" xfId="0" applyFont="1" applyFill="1" applyAlignment="1">
      <alignment horizontal="center"/>
    </xf>
    <xf numFmtId="0" fontId="33" fillId="48" borderId="0" xfId="0" applyFont="1" applyFill="1" applyAlignment="1">
      <alignment horizontal="right"/>
    </xf>
    <xf numFmtId="2" fontId="33" fillId="48" borderId="0" xfId="0" applyNumberFormat="1" applyFont="1" applyFill="1" applyAlignment="1">
      <alignment horizontal="center"/>
    </xf>
    <xf numFmtId="0" fontId="33" fillId="48" borderId="0" xfId="0" applyFont="1" applyFill="1"/>
    <xf numFmtId="0" fontId="34" fillId="48" borderId="0" xfId="0" applyFont="1" applyFill="1"/>
    <xf numFmtId="0" fontId="33" fillId="48" borderId="0" xfId="0" applyFont="1" applyFill="1" applyAlignment="1">
      <alignment horizontal="left"/>
    </xf>
    <xf numFmtId="0" fontId="34" fillId="48" borderId="39" xfId="0" applyFont="1" applyFill="1" applyBorder="1"/>
    <xf numFmtId="0" fontId="34" fillId="48" borderId="40" xfId="0" applyFont="1" applyFill="1" applyBorder="1"/>
    <xf numFmtId="0" fontId="34" fillId="48" borderId="40" xfId="0" applyFont="1" applyFill="1" applyBorder="1" applyAlignment="1">
      <alignment horizontal="centerContinuous"/>
    </xf>
    <xf numFmtId="39" fontId="11" fillId="48" borderId="40" xfId="1293" applyNumberFormat="1" applyFont="1" applyFill="1" applyBorder="1"/>
    <xf numFmtId="39" fontId="34" fillId="48" borderId="41" xfId="0" applyNumberFormat="1" applyFont="1" applyFill="1" applyBorder="1"/>
    <xf numFmtId="0" fontId="34" fillId="48" borderId="42" xfId="0" applyFont="1" applyFill="1" applyBorder="1"/>
    <xf numFmtId="2" fontId="34" fillId="48" borderId="24" xfId="0" applyNumberFormat="1" applyFont="1" applyFill="1" applyBorder="1"/>
    <xf numFmtId="0" fontId="34" fillId="48" borderId="24" xfId="0" applyFont="1" applyFill="1" applyBorder="1" applyAlignment="1">
      <alignment horizontal="centerContinuous"/>
    </xf>
    <xf numFmtId="39" fontId="11" fillId="48" borderId="24" xfId="1293" applyNumberFormat="1" applyFont="1" applyFill="1" applyBorder="1"/>
    <xf numFmtId="39" fontId="34" fillId="48" borderId="43" xfId="0" applyNumberFormat="1" applyFont="1" applyFill="1" applyBorder="1"/>
    <xf numFmtId="0" fontId="34" fillId="48" borderId="51" xfId="0" applyFont="1" applyFill="1" applyBorder="1"/>
    <xf numFmtId="2" fontId="34" fillId="48" borderId="20" xfId="0" applyNumberFormat="1" applyFont="1" applyFill="1" applyBorder="1"/>
    <xf numFmtId="0" fontId="34" fillId="48" borderId="20" xfId="0" applyFont="1" applyFill="1" applyBorder="1" applyAlignment="1">
      <alignment horizontal="centerContinuous"/>
    </xf>
    <xf numFmtId="39" fontId="11" fillId="48" borderId="20" xfId="1293" applyNumberFormat="1" applyFont="1" applyFill="1" applyBorder="1"/>
    <xf numFmtId="0" fontId="34" fillId="48" borderId="44" xfId="0" applyFont="1" applyFill="1" applyBorder="1"/>
    <xf numFmtId="0" fontId="34" fillId="48" borderId="45" xfId="0" applyFont="1" applyFill="1" applyBorder="1"/>
    <xf numFmtId="0" fontId="33" fillId="48" borderId="45" xfId="0" applyFont="1" applyFill="1" applyBorder="1" applyAlignment="1">
      <alignment horizontal="right"/>
    </xf>
    <xf numFmtId="39" fontId="33" fillId="48" borderId="46" xfId="0" applyNumberFormat="1" applyFont="1" applyFill="1" applyBorder="1" applyAlignment="1">
      <alignment horizontal="right"/>
    </xf>
    <xf numFmtId="0" fontId="34" fillId="48" borderId="0" xfId="0" applyFont="1" applyFill="1" applyBorder="1"/>
    <xf numFmtId="4" fontId="9" fillId="48" borderId="0" xfId="0" applyNumberFormat="1" applyFont="1" applyFill="1" applyBorder="1"/>
    <xf numFmtId="0" fontId="33" fillId="48" borderId="53" xfId="0" applyFont="1" applyFill="1" applyBorder="1" applyAlignment="1">
      <alignment horizontal="right"/>
    </xf>
    <xf numFmtId="39" fontId="33" fillId="48" borderId="54" xfId="0" applyNumberFormat="1" applyFont="1" applyFill="1" applyBorder="1" applyAlignment="1">
      <alignment horizontal="right"/>
    </xf>
    <xf numFmtId="4" fontId="34" fillId="48" borderId="40" xfId="0" applyNumberFormat="1" applyFont="1" applyFill="1" applyBorder="1"/>
    <xf numFmtId="4" fontId="35" fillId="48" borderId="40" xfId="0" applyNumberFormat="1" applyFont="1" applyFill="1" applyBorder="1" applyAlignment="1" applyProtection="1">
      <alignment horizontal="right" vertical="center"/>
    </xf>
    <xf numFmtId="0" fontId="34" fillId="48" borderId="48" xfId="0" applyFont="1" applyFill="1" applyBorder="1"/>
    <xf numFmtId="2" fontId="34" fillId="48" borderId="25" xfId="0" applyNumberFormat="1" applyFont="1" applyFill="1" applyBorder="1"/>
    <xf numFmtId="0" fontId="34" fillId="48" borderId="25" xfId="0" applyFont="1" applyFill="1" applyBorder="1" applyAlignment="1">
      <alignment horizontal="centerContinuous"/>
    </xf>
    <xf numFmtId="4" fontId="35" fillId="48" borderId="25" xfId="0" applyNumberFormat="1" applyFont="1" applyFill="1" applyBorder="1" applyAlignment="1" applyProtection="1">
      <alignment horizontal="right" vertical="center"/>
    </xf>
    <xf numFmtId="39" fontId="11" fillId="48" borderId="25" xfId="1293" applyNumberFormat="1" applyFont="1" applyFill="1" applyBorder="1"/>
    <xf numFmtId="2" fontId="11" fillId="48" borderId="20" xfId="1293" applyNumberFormat="1" applyFont="1" applyFill="1" applyBorder="1"/>
    <xf numFmtId="0" fontId="34" fillId="48" borderId="20" xfId="0" applyFont="1" applyFill="1" applyBorder="1" applyAlignment="1">
      <alignment horizontal="center"/>
    </xf>
    <xf numFmtId="39" fontId="34" fillId="48" borderId="24" xfId="0" applyNumberFormat="1" applyFont="1" applyFill="1" applyBorder="1"/>
    <xf numFmtId="39" fontId="34" fillId="48" borderId="52" xfId="0" applyNumberFormat="1" applyFont="1" applyFill="1" applyBorder="1"/>
    <xf numFmtId="0" fontId="34" fillId="48" borderId="55" xfId="0" applyFont="1" applyFill="1" applyBorder="1"/>
    <xf numFmtId="0" fontId="34" fillId="48" borderId="56" xfId="0" applyFont="1" applyFill="1" applyBorder="1"/>
    <xf numFmtId="0" fontId="33" fillId="48" borderId="0" xfId="0" applyFont="1" applyFill="1" applyBorder="1" applyAlignment="1"/>
    <xf numFmtId="0" fontId="33" fillId="48" borderId="55" xfId="0" applyFont="1" applyFill="1" applyBorder="1" applyAlignment="1"/>
    <xf numFmtId="39" fontId="33" fillId="48" borderId="55" xfId="0" applyNumberFormat="1" applyFont="1" applyFill="1" applyBorder="1" applyAlignment="1">
      <alignment horizontal="right"/>
    </xf>
    <xf numFmtId="39" fontId="33" fillId="48" borderId="57" xfId="0" applyNumberFormat="1" applyFont="1" applyFill="1" applyBorder="1" applyAlignment="1">
      <alignment horizontal="right"/>
    </xf>
    <xf numFmtId="0" fontId="9" fillId="48" borderId="0" xfId="1293" applyFont="1" applyFill="1"/>
    <xf numFmtId="0" fontId="10" fillId="48" borderId="0" xfId="1293" applyFont="1" applyFill="1" applyBorder="1"/>
    <xf numFmtId="0" fontId="9" fillId="48" borderId="0" xfId="1293" applyFont="1" applyFill="1" applyBorder="1"/>
    <xf numFmtId="0" fontId="9" fillId="48" borderId="0" xfId="1293" applyFont="1" applyFill="1" applyBorder="1" applyAlignment="1">
      <alignment horizontal="centerContinuous"/>
    </xf>
    <xf numFmtId="39" fontId="9" fillId="48" borderId="0" xfId="1293" applyNumberFormat="1" applyFont="1" applyFill="1" applyBorder="1"/>
    <xf numFmtId="2" fontId="9" fillId="48" borderId="0" xfId="1293" applyNumberFormat="1" applyFont="1" applyFill="1" applyBorder="1"/>
    <xf numFmtId="0" fontId="9" fillId="48" borderId="39" xfId="1293" applyFont="1" applyFill="1" applyBorder="1"/>
    <xf numFmtId="0" fontId="9" fillId="48" borderId="40" xfId="1293" applyFont="1" applyFill="1" applyBorder="1"/>
    <xf numFmtId="0" fontId="9" fillId="48" borderId="40" xfId="1293" applyFont="1" applyFill="1" applyBorder="1" applyAlignment="1">
      <alignment horizontal="center" vertical="top"/>
    </xf>
    <xf numFmtId="39" fontId="9" fillId="48" borderId="41" xfId="0" applyNumberFormat="1" applyFont="1" applyFill="1" applyBorder="1"/>
    <xf numFmtId="0" fontId="9" fillId="48" borderId="44" xfId="1293" applyFont="1" applyFill="1" applyBorder="1"/>
    <xf numFmtId="0" fontId="9" fillId="48" borderId="45" xfId="1293" applyFont="1" applyFill="1" applyBorder="1"/>
    <xf numFmtId="39" fontId="10" fillId="48" borderId="46" xfId="1293" applyNumberFormat="1" applyFont="1" applyFill="1" applyBorder="1"/>
    <xf numFmtId="0" fontId="34" fillId="48" borderId="0" xfId="1293" applyFont="1" applyFill="1"/>
    <xf numFmtId="0" fontId="34" fillId="48" borderId="53" xfId="1293" applyFont="1" applyFill="1" applyBorder="1"/>
    <xf numFmtId="0" fontId="33" fillId="48" borderId="58" xfId="1293" applyFont="1" applyFill="1" applyBorder="1"/>
    <xf numFmtId="39" fontId="33" fillId="48" borderId="54" xfId="1293" applyNumberFormat="1" applyFont="1" applyFill="1" applyBorder="1"/>
    <xf numFmtId="0" fontId="15" fillId="52" borderId="0" xfId="1293" applyFont="1" applyFill="1" applyAlignment="1">
      <alignment horizontal="center"/>
    </xf>
    <xf numFmtId="0" fontId="10" fillId="53" borderId="0" xfId="1300" applyFont="1" applyFill="1" applyBorder="1" applyAlignment="1">
      <alignment horizontal="left"/>
    </xf>
    <xf numFmtId="43" fontId="10" fillId="52" borderId="0" xfId="920" applyFont="1" applyFill="1" applyBorder="1" applyAlignment="1">
      <alignment horizontal="center"/>
    </xf>
    <xf numFmtId="0" fontId="10" fillId="52" borderId="20" xfId="1300" applyFont="1" applyFill="1" applyBorder="1" applyAlignment="1">
      <alignment horizontal="center"/>
    </xf>
    <xf numFmtId="43" fontId="10" fillId="52" borderId="20" xfId="920" applyFont="1" applyFill="1" applyBorder="1" applyAlignment="1">
      <alignment horizontal="center"/>
    </xf>
    <xf numFmtId="0" fontId="9" fillId="52" borderId="19" xfId="0" applyFont="1" applyFill="1" applyBorder="1"/>
    <xf numFmtId="43" fontId="9" fillId="52" borderId="19" xfId="920" applyFont="1" applyFill="1" applyBorder="1"/>
    <xf numFmtId="43" fontId="9" fillId="52" borderId="19" xfId="920" applyFont="1" applyFill="1" applyBorder="1" applyAlignment="1">
      <alignment horizontal="center"/>
    </xf>
    <xf numFmtId="0" fontId="9" fillId="52" borderId="25" xfId="1288" applyFont="1" applyFill="1" applyBorder="1" applyAlignment="1">
      <alignment horizontal="right"/>
    </xf>
    <xf numFmtId="43" fontId="9" fillId="52" borderId="25" xfId="920" applyFont="1" applyFill="1" applyBorder="1"/>
    <xf numFmtId="43" fontId="9" fillId="52" borderId="25" xfId="920" applyFont="1" applyFill="1" applyBorder="1" applyAlignment="1" applyProtection="1">
      <alignment horizontal="center"/>
    </xf>
    <xf numFmtId="43" fontId="10" fillId="52" borderId="25" xfId="920" applyFont="1" applyFill="1" applyBorder="1" applyAlignment="1">
      <alignment horizontal="right"/>
    </xf>
    <xf numFmtId="0" fontId="9" fillId="52" borderId="0" xfId="0" applyFont="1" applyFill="1" applyBorder="1"/>
    <xf numFmtId="0" fontId="9" fillId="52" borderId="0" xfId="1288" applyFont="1" applyFill="1" applyBorder="1" applyAlignment="1">
      <alignment horizontal="right"/>
    </xf>
    <xf numFmtId="43" fontId="9" fillId="52" borderId="0" xfId="920" applyFont="1" applyFill="1" applyBorder="1"/>
    <xf numFmtId="0" fontId="9" fillId="53" borderId="26" xfId="1051" applyFont="1" applyFill="1" applyBorder="1"/>
    <xf numFmtId="164" fontId="10" fillId="53" borderId="59" xfId="1051" applyNumberFormat="1" applyFont="1" applyFill="1" applyBorder="1"/>
    <xf numFmtId="0" fontId="14" fillId="52" borderId="0" xfId="1293" applyFont="1" applyFill="1"/>
    <xf numFmtId="4" fontId="14" fillId="52" borderId="0" xfId="1293" applyNumberFormat="1" applyFont="1" applyFill="1"/>
    <xf numFmtId="0" fontId="10" fillId="52" borderId="0" xfId="1051" applyNumberFormat="1" applyFont="1" applyFill="1" applyBorder="1" applyAlignment="1" applyProtection="1"/>
    <xf numFmtId="0" fontId="9" fillId="52" borderId="0" xfId="1051" applyNumberFormat="1" applyFont="1" applyFill="1" applyBorder="1" applyAlignment="1"/>
    <xf numFmtId="0" fontId="9" fillId="52" borderId="39" xfId="1051" applyFont="1" applyFill="1" applyBorder="1"/>
    <xf numFmtId="0" fontId="10" fillId="52" borderId="40" xfId="1051" applyFont="1" applyFill="1" applyBorder="1" applyAlignment="1">
      <alignment horizontal="center"/>
    </xf>
    <xf numFmtId="0" fontId="10" fillId="52" borderId="41" xfId="1051" applyFont="1" applyFill="1" applyBorder="1" applyAlignment="1">
      <alignment horizontal="center"/>
    </xf>
    <xf numFmtId="0" fontId="9" fillId="52" borderId="60" xfId="1051" applyFont="1" applyFill="1" applyBorder="1" applyAlignment="1" applyProtection="1">
      <alignment horizontal="left"/>
    </xf>
    <xf numFmtId="183" fontId="9" fillId="52" borderId="19" xfId="1051" applyNumberFormat="1" applyFont="1" applyFill="1" applyBorder="1" applyAlignment="1" applyProtection="1">
      <alignment horizontal="right"/>
    </xf>
    <xf numFmtId="0" fontId="9" fillId="52" borderId="19" xfId="1051" applyFont="1" applyFill="1" applyBorder="1" applyAlignment="1" applyProtection="1">
      <alignment horizontal="center"/>
    </xf>
    <xf numFmtId="43" fontId="9" fillId="52" borderId="19" xfId="914" applyFont="1" applyFill="1" applyBorder="1" applyAlignment="1">
      <alignment horizontal="right"/>
    </xf>
    <xf numFmtId="43" fontId="9" fillId="52" borderId="61" xfId="914" applyFont="1" applyFill="1" applyBorder="1" applyAlignment="1">
      <alignment horizontal="right"/>
    </xf>
    <xf numFmtId="0" fontId="9" fillId="52" borderId="60" xfId="1051" applyFont="1" applyFill="1" applyBorder="1" applyProtection="1"/>
    <xf numFmtId="183" fontId="9" fillId="52" borderId="19" xfId="1051" applyNumberFormat="1" applyFont="1" applyFill="1" applyBorder="1" applyProtection="1"/>
    <xf numFmtId="0" fontId="9" fillId="52" borderId="60" xfId="1051" applyFont="1" applyFill="1" applyBorder="1"/>
    <xf numFmtId="0" fontId="9" fillId="52" borderId="19" xfId="1051" applyFont="1" applyFill="1" applyBorder="1"/>
    <xf numFmtId="43" fontId="10" fillId="52" borderId="19" xfId="914" applyFont="1" applyFill="1" applyBorder="1" applyAlignment="1">
      <alignment horizontal="right"/>
    </xf>
    <xf numFmtId="43" fontId="10" fillId="52" borderId="61" xfId="914" applyFont="1" applyFill="1" applyBorder="1" applyAlignment="1"/>
    <xf numFmtId="0" fontId="9" fillId="52" borderId="62" xfId="1299" applyFont="1" applyFill="1" applyBorder="1"/>
    <xf numFmtId="43" fontId="9" fillId="52" borderId="63" xfId="914" applyFont="1" applyFill="1" applyBorder="1"/>
    <xf numFmtId="43" fontId="9" fillId="52" borderId="63" xfId="914" applyFont="1" applyFill="1" applyBorder="1" applyAlignment="1"/>
    <xf numFmtId="43" fontId="9" fillId="52" borderId="64" xfId="914" applyFont="1" applyFill="1" applyBorder="1"/>
    <xf numFmtId="0" fontId="9" fillId="52" borderId="0" xfId="1299" applyFont="1" applyFill="1" applyBorder="1"/>
    <xf numFmtId="43" fontId="9" fillId="52" borderId="0" xfId="914" applyFont="1" applyFill="1" applyBorder="1"/>
    <xf numFmtId="43" fontId="10" fillId="52" borderId="0" xfId="914" applyFont="1" applyFill="1" applyBorder="1" applyAlignment="1">
      <alignment horizontal="right"/>
    </xf>
    <xf numFmtId="164" fontId="10" fillId="52" borderId="0" xfId="1051" applyNumberFormat="1" applyFont="1" applyFill="1" applyBorder="1" applyAlignment="1">
      <alignment horizontal="right"/>
    </xf>
    <xf numFmtId="0" fontId="80" fillId="0" borderId="0" xfId="0" applyFont="1"/>
    <xf numFmtId="173" fontId="14" fillId="48" borderId="0" xfId="923" applyNumberFormat="1" applyFont="1" applyFill="1" applyBorder="1"/>
    <xf numFmtId="173" fontId="14" fillId="48" borderId="0" xfId="461" applyNumberFormat="1" applyFont="1" applyFill="1" applyBorder="1" applyAlignment="1">
      <alignment horizontal="center"/>
    </xf>
    <xf numFmtId="0" fontId="14" fillId="48" borderId="39" xfId="1293" applyFont="1" applyFill="1" applyBorder="1" applyAlignment="1">
      <alignment horizontal="left"/>
    </xf>
    <xf numFmtId="173" fontId="14" fillId="48" borderId="40" xfId="923" applyNumberFormat="1" applyFont="1" applyFill="1" applyBorder="1"/>
    <xf numFmtId="173" fontId="14" fillId="48" borderId="40" xfId="461" applyNumberFormat="1" applyFont="1" applyFill="1" applyBorder="1" applyAlignment="1">
      <alignment horizontal="center"/>
    </xf>
    <xf numFmtId="173" fontId="14" fillId="48" borderId="49" xfId="923" applyNumberFormat="1" applyFont="1" applyFill="1" applyBorder="1"/>
    <xf numFmtId="4" fontId="14" fillId="48" borderId="65" xfId="923" applyNumberFormat="1" applyFont="1" applyFill="1" applyBorder="1"/>
    <xf numFmtId="0" fontId="14" fillId="48" borderId="42" xfId="1293" applyFont="1" applyFill="1" applyBorder="1" applyAlignment="1">
      <alignment horizontal="left"/>
    </xf>
    <xf numFmtId="173" fontId="14" fillId="48" borderId="24" xfId="923" applyNumberFormat="1" applyFont="1" applyFill="1" applyBorder="1"/>
    <xf numFmtId="173" fontId="14" fillId="48" borderId="24" xfId="461" applyNumberFormat="1" applyFont="1" applyFill="1" applyBorder="1" applyAlignment="1">
      <alignment horizontal="center"/>
    </xf>
    <xf numFmtId="173" fontId="14" fillId="48" borderId="66" xfId="461" applyNumberFormat="1" applyFont="1" applyFill="1" applyBorder="1" applyAlignment="1">
      <alignment horizontal="center"/>
    </xf>
    <xf numFmtId="173" fontId="15" fillId="48" borderId="66" xfId="461" applyNumberFormat="1" applyFont="1" applyFill="1" applyBorder="1" applyAlignment="1"/>
    <xf numFmtId="0" fontId="9" fillId="0" borderId="0" xfId="1047" applyFont="1"/>
    <xf numFmtId="0" fontId="9" fillId="48" borderId="0" xfId="1047" applyFont="1" applyFill="1"/>
    <xf numFmtId="0" fontId="10" fillId="48" borderId="0" xfId="1047" applyFont="1" applyFill="1" applyAlignment="1">
      <alignment horizontal="right"/>
    </xf>
    <xf numFmtId="43" fontId="10" fillId="48" borderId="0" xfId="1047" applyNumberFormat="1" applyFont="1" applyFill="1"/>
    <xf numFmtId="0" fontId="9" fillId="48" borderId="19" xfId="0" applyFont="1" applyFill="1" applyBorder="1" applyAlignment="1">
      <alignment horizontal="left"/>
    </xf>
    <xf numFmtId="173" fontId="14" fillId="48" borderId="0" xfId="923" applyNumberFormat="1" applyFont="1" applyFill="1" applyBorder="1" applyAlignment="1"/>
    <xf numFmtId="0" fontId="14" fillId="48" borderId="48" xfId="1293" applyFont="1" applyFill="1" applyBorder="1" applyAlignment="1">
      <alignment horizontal="left"/>
    </xf>
    <xf numFmtId="173" fontId="14" fillId="48" borderId="25" xfId="923" applyNumberFormat="1" applyFont="1" applyFill="1" applyBorder="1"/>
    <xf numFmtId="173" fontId="14" fillId="48" borderId="25" xfId="461" applyNumberFormat="1" applyFont="1" applyFill="1" applyBorder="1" applyAlignment="1">
      <alignment horizontal="center"/>
    </xf>
    <xf numFmtId="173" fontId="14" fillId="48" borderId="67" xfId="923" applyNumberFormat="1" applyFont="1" applyFill="1" applyBorder="1"/>
    <xf numFmtId="0" fontId="15" fillId="48" borderId="48" xfId="1293" applyFont="1" applyFill="1" applyBorder="1" applyAlignment="1">
      <alignment horizontal="left"/>
    </xf>
    <xf numFmtId="0" fontId="14" fillId="48" borderId="51" xfId="1293" applyFont="1" applyFill="1" applyBorder="1" applyAlignment="1">
      <alignment horizontal="left"/>
    </xf>
    <xf numFmtId="173" fontId="14" fillId="48" borderId="20" xfId="923" applyNumberFormat="1" applyFont="1" applyFill="1" applyBorder="1"/>
    <xf numFmtId="173" fontId="14" fillId="48" borderId="68" xfId="461" applyNumberFormat="1" applyFont="1" applyFill="1" applyBorder="1" applyAlignment="1">
      <alignment horizontal="center"/>
    </xf>
    <xf numFmtId="173" fontId="15" fillId="48" borderId="69" xfId="461" applyNumberFormat="1" applyFont="1" applyFill="1" applyBorder="1" applyAlignment="1"/>
    <xf numFmtId="4" fontId="14" fillId="48" borderId="61" xfId="923" applyNumberFormat="1" applyFont="1" applyFill="1" applyBorder="1"/>
    <xf numFmtId="0" fontId="36" fillId="48" borderId="44" xfId="1293" applyFont="1" applyFill="1" applyBorder="1" applyAlignment="1">
      <alignment horizontal="left"/>
    </xf>
    <xf numFmtId="173" fontId="36" fillId="48" borderId="45" xfId="923" applyNumberFormat="1" applyFont="1" applyFill="1" applyBorder="1"/>
    <xf numFmtId="173" fontId="37" fillId="48" borderId="70" xfId="461" applyNumberFormat="1" applyFont="1" applyFill="1" applyBorder="1" applyAlignment="1">
      <alignment horizontal="right"/>
    </xf>
    <xf numFmtId="173" fontId="37" fillId="48" borderId="71" xfId="461" applyNumberFormat="1" applyFont="1" applyFill="1" applyBorder="1" applyAlignment="1">
      <alignment horizontal="right"/>
    </xf>
    <xf numFmtId="173" fontId="37" fillId="48" borderId="46" xfId="923" applyNumberFormat="1" applyFont="1" applyFill="1" applyBorder="1"/>
    <xf numFmtId="173" fontId="36" fillId="48" borderId="0" xfId="923" applyNumberFormat="1" applyFont="1" applyFill="1" applyBorder="1"/>
    <xf numFmtId="173" fontId="36" fillId="48" borderId="0" xfId="461" applyNumberFormat="1" applyFont="1" applyFill="1" applyBorder="1" applyAlignment="1">
      <alignment horizontal="center"/>
    </xf>
    <xf numFmtId="43" fontId="30" fillId="0" borderId="0" xfId="1047" applyNumberFormat="1" applyFont="1"/>
    <xf numFmtId="0" fontId="83" fillId="0" borderId="0" xfId="0" applyFont="1"/>
    <xf numFmtId="0" fontId="38" fillId="48" borderId="47" xfId="1299" applyFont="1" applyFill="1" applyBorder="1" applyAlignment="1">
      <alignment vertical="distributed" wrapText="1"/>
    </xf>
    <xf numFmtId="0" fontId="31" fillId="48" borderId="39" xfId="1299" applyFont="1" applyFill="1" applyBorder="1" applyAlignment="1" applyProtection="1"/>
    <xf numFmtId="0" fontId="31" fillId="48" borderId="40" xfId="1299" applyFont="1" applyFill="1" applyBorder="1" applyAlignment="1" applyProtection="1"/>
    <xf numFmtId="0" fontId="30" fillId="48" borderId="40" xfId="1299" applyFont="1" applyFill="1" applyBorder="1"/>
    <xf numFmtId="0" fontId="30" fillId="48" borderId="40" xfId="1299" applyFont="1" applyFill="1" applyBorder="1" applyAlignment="1">
      <alignment horizontal="center"/>
    </xf>
    <xf numFmtId="0" fontId="30" fillId="48" borderId="41" xfId="1299" applyFont="1" applyFill="1" applyBorder="1" applyAlignment="1">
      <alignment horizontal="center"/>
    </xf>
    <xf numFmtId="0" fontId="30" fillId="48" borderId="42" xfId="1286" applyFont="1" applyFill="1" applyBorder="1" applyProtection="1"/>
    <xf numFmtId="0" fontId="30" fillId="48" borderId="24" xfId="1286" applyFont="1" applyFill="1" applyBorder="1" applyAlignment="1" applyProtection="1">
      <alignment horizontal="center"/>
    </xf>
    <xf numFmtId="183" fontId="30" fillId="48" borderId="24" xfId="1286" applyNumberFormat="1" applyFont="1" applyFill="1" applyBorder="1" applyProtection="1"/>
    <xf numFmtId="7" fontId="30" fillId="48" borderId="24" xfId="1299" applyNumberFormat="1" applyFont="1" applyFill="1" applyBorder="1" applyProtection="1"/>
    <xf numFmtId="7" fontId="30" fillId="48" borderId="43" xfId="1286" applyNumberFormat="1" applyFont="1" applyFill="1" applyBorder="1" applyAlignment="1" applyProtection="1">
      <alignment horizontal="center"/>
    </xf>
    <xf numFmtId="7" fontId="30" fillId="48" borderId="24" xfId="1286" applyNumberFormat="1" applyFont="1" applyFill="1" applyBorder="1" applyProtection="1"/>
    <xf numFmtId="0" fontId="30" fillId="48" borderId="44" xfId="1286" applyFont="1" applyFill="1" applyBorder="1" applyProtection="1"/>
    <xf numFmtId="0" fontId="30" fillId="48" borderId="45" xfId="1286" applyFont="1" applyFill="1" applyBorder="1" applyAlignment="1" applyProtection="1">
      <alignment horizontal="center"/>
    </xf>
    <xf numFmtId="183" fontId="30" fillId="48" borderId="45" xfId="1286" applyNumberFormat="1" applyFont="1" applyFill="1" applyBorder="1" applyProtection="1"/>
    <xf numFmtId="7" fontId="30" fillId="48" borderId="45" xfId="1286" applyNumberFormat="1" applyFont="1" applyFill="1" applyBorder="1" applyProtection="1"/>
    <xf numFmtId="0" fontId="30" fillId="48" borderId="0" xfId="1286" applyFont="1" applyFill="1" applyBorder="1" applyProtection="1"/>
    <xf numFmtId="0" fontId="30" fillId="48" borderId="0" xfId="1299" applyFont="1" applyFill="1" applyBorder="1" applyAlignment="1" applyProtection="1">
      <alignment horizontal="center"/>
    </xf>
    <xf numFmtId="0" fontId="30" fillId="48" borderId="0" xfId="1299" applyFont="1" applyFill="1" applyBorder="1"/>
    <xf numFmtId="0" fontId="31" fillId="48" borderId="0" xfId="1299" applyFont="1" applyFill="1" applyBorder="1" applyAlignment="1" applyProtection="1">
      <alignment horizontal="right"/>
    </xf>
    <xf numFmtId="7" fontId="31" fillId="48" borderId="0" xfId="1299" applyNumberFormat="1" applyFont="1" applyFill="1" applyBorder="1" applyAlignment="1" applyProtection="1">
      <alignment horizontal="center"/>
    </xf>
    <xf numFmtId="0" fontId="31" fillId="48" borderId="0" xfId="1299" applyFont="1" applyFill="1" applyBorder="1" applyAlignment="1" applyProtection="1">
      <alignment horizontal="center"/>
    </xf>
    <xf numFmtId="0" fontId="30" fillId="48" borderId="0" xfId="1288" applyFont="1" applyFill="1" applyBorder="1" applyAlignment="1">
      <alignment horizontal="left"/>
    </xf>
    <xf numFmtId="0" fontId="31" fillId="48" borderId="0" xfId="1299" applyFont="1" applyFill="1" applyBorder="1" applyProtection="1"/>
    <xf numFmtId="0" fontId="31" fillId="48" borderId="0" xfId="1299" applyFont="1" applyFill="1" applyBorder="1"/>
    <xf numFmtId="2" fontId="31" fillId="48" borderId="0" xfId="1299" applyNumberFormat="1" applyFont="1" applyFill="1" applyBorder="1" applyAlignment="1" applyProtection="1">
      <alignment horizontal="center"/>
    </xf>
    <xf numFmtId="0" fontId="84" fillId="0" borderId="0" xfId="0" applyFont="1"/>
    <xf numFmtId="0" fontId="83" fillId="0" borderId="0" xfId="0" applyFont="1" applyAlignment="1">
      <alignment horizontal="center"/>
    </xf>
    <xf numFmtId="0" fontId="0" fillId="0" borderId="0" xfId="0" applyAlignment="1">
      <alignment horizontal="center"/>
    </xf>
    <xf numFmtId="0" fontId="31" fillId="48" borderId="0" xfId="0" applyFont="1" applyFill="1" applyBorder="1" applyAlignment="1"/>
    <xf numFmtId="193" fontId="30" fillId="48" borderId="0" xfId="0" applyNumberFormat="1" applyFont="1" applyFill="1"/>
    <xf numFmtId="0" fontId="30" fillId="48" borderId="0" xfId="0" applyFont="1" applyFill="1"/>
    <xf numFmtId="0" fontId="36" fillId="42" borderId="39" xfId="0" applyFont="1" applyFill="1" applyBorder="1"/>
    <xf numFmtId="0" fontId="36" fillId="42" borderId="40" xfId="0" applyFont="1" applyFill="1" applyBorder="1"/>
    <xf numFmtId="0" fontId="36" fillId="42" borderId="40" xfId="0" applyFont="1" applyFill="1" applyBorder="1" applyAlignment="1">
      <alignment horizontal="center"/>
    </xf>
    <xf numFmtId="4" fontId="36" fillId="42" borderId="40" xfId="703" applyNumberFormat="1" applyFont="1" applyFill="1" applyBorder="1"/>
    <xf numFmtId="4" fontId="36" fillId="42" borderId="41" xfId="703" applyNumberFormat="1" applyFont="1" applyFill="1" applyBorder="1"/>
    <xf numFmtId="0" fontId="36" fillId="42" borderId="42" xfId="0" applyFont="1" applyFill="1" applyBorder="1"/>
    <xf numFmtId="2" fontId="36" fillId="42" borderId="24" xfId="0" applyNumberFormat="1" applyFont="1" applyFill="1" applyBorder="1"/>
    <xf numFmtId="0" fontId="36" fillId="42" borderId="24" xfId="0" applyFont="1" applyFill="1" applyBorder="1" applyAlignment="1">
      <alignment horizontal="center"/>
    </xf>
    <xf numFmtId="4" fontId="36" fillId="42" borderId="24" xfId="703" applyNumberFormat="1" applyFont="1" applyFill="1" applyBorder="1"/>
    <xf numFmtId="4" fontId="36" fillId="42" borderId="43" xfId="703" applyNumberFormat="1" applyFont="1" applyFill="1" applyBorder="1"/>
    <xf numFmtId="0" fontId="36" fillId="42" borderId="44" xfId="0" applyFont="1" applyFill="1" applyBorder="1"/>
    <xf numFmtId="0" fontId="36" fillId="42" borderId="45" xfId="0" applyFont="1" applyFill="1" applyBorder="1"/>
    <xf numFmtId="4" fontId="37" fillId="42" borderId="46" xfId="703" applyNumberFormat="1" applyFont="1" applyFill="1" applyBorder="1"/>
    <xf numFmtId="43" fontId="30" fillId="48" borderId="0" xfId="0" applyNumberFormat="1" applyFont="1" applyFill="1"/>
    <xf numFmtId="0" fontId="31" fillId="0" borderId="0" xfId="0" applyFont="1"/>
    <xf numFmtId="0" fontId="31" fillId="0" borderId="0" xfId="0" quotePrefix="1" applyFont="1" applyAlignment="1">
      <alignment horizontal="left"/>
    </xf>
    <xf numFmtId="0" fontId="39" fillId="0" borderId="0" xfId="0" applyFont="1"/>
    <xf numFmtId="0" fontId="31" fillId="0" borderId="24" xfId="0" applyFont="1" applyBorder="1" applyAlignment="1">
      <alignment horizontal="center"/>
    </xf>
    <xf numFmtId="0" fontId="31" fillId="0" borderId="24" xfId="0" applyFont="1" applyBorder="1" applyAlignment="1">
      <alignment horizontal="center" wrapText="1"/>
    </xf>
    <xf numFmtId="0" fontId="39" fillId="0" borderId="0" xfId="0" quotePrefix="1" applyFont="1" applyAlignment="1">
      <alignment horizontal="left"/>
    </xf>
    <xf numFmtId="4" fontId="31" fillId="0" borderId="24" xfId="0" applyNumberFormat="1" applyFont="1" applyBorder="1" applyAlignment="1">
      <alignment horizontal="center"/>
    </xf>
    <xf numFmtId="4" fontId="31" fillId="0" borderId="0" xfId="0" applyNumberFormat="1" applyFont="1"/>
    <xf numFmtId="0" fontId="83" fillId="0" borderId="24" xfId="0" applyFont="1" applyBorder="1"/>
    <xf numFmtId="2" fontId="83" fillId="0" borderId="24" xfId="0" applyNumberFormat="1" applyFont="1" applyBorder="1"/>
    <xf numFmtId="0" fontId="83" fillId="0" borderId="24" xfId="0" applyFont="1" applyBorder="1" applyAlignment="1">
      <alignment horizontal="centerContinuous"/>
    </xf>
    <xf numFmtId="39" fontId="83" fillId="0" borderId="24" xfId="0" applyNumberFormat="1" applyFont="1" applyBorder="1"/>
    <xf numFmtId="0" fontId="0" fillId="0" borderId="24" xfId="0" applyBorder="1"/>
    <xf numFmtId="2" fontId="0" fillId="0" borderId="24" xfId="0" applyNumberFormat="1" applyBorder="1"/>
    <xf numFmtId="0" fontId="0" fillId="0" borderId="24" xfId="0" applyBorder="1" applyAlignment="1">
      <alignment horizontal="centerContinuous"/>
    </xf>
    <xf numFmtId="39" fontId="0" fillId="0" borderId="24" xfId="0" applyNumberFormat="1" applyBorder="1"/>
    <xf numFmtId="0" fontId="10" fillId="0" borderId="24" xfId="0" applyFont="1" applyBorder="1" applyAlignment="1">
      <alignment horizontal="right"/>
    </xf>
    <xf numFmtId="39" fontId="10" fillId="0" borderId="24" xfId="0" applyNumberFormat="1" applyFont="1" applyBorder="1" applyAlignment="1">
      <alignment horizontal="right"/>
    </xf>
    <xf numFmtId="0" fontId="0" fillId="0" borderId="0" xfId="0" applyBorder="1"/>
    <xf numFmtId="0" fontId="10" fillId="0" borderId="0" xfId="0" applyFont="1" applyBorder="1" applyAlignment="1">
      <alignment horizontal="right"/>
    </xf>
    <xf numFmtId="39" fontId="10" fillId="0" borderId="0" xfId="0" applyNumberFormat="1" applyFont="1" applyBorder="1" applyAlignment="1">
      <alignment horizontal="right"/>
    </xf>
    <xf numFmtId="0" fontId="29" fillId="0" borderId="0" xfId="0" applyFont="1"/>
    <xf numFmtId="0" fontId="9" fillId="0" borderId="24" xfId="0" quotePrefix="1" applyFont="1" applyBorder="1" applyAlignment="1">
      <alignment horizontal="left"/>
    </xf>
    <xf numFmtId="39" fontId="0" fillId="0" borderId="0" xfId="0" applyNumberFormat="1"/>
    <xf numFmtId="0" fontId="10" fillId="0" borderId="24" xfId="0" quotePrefix="1" applyFont="1" applyBorder="1" applyAlignment="1">
      <alignment horizontal="right"/>
    </xf>
    <xf numFmtId="0" fontId="9" fillId="48" borderId="48" xfId="0" applyFont="1" applyFill="1" applyBorder="1"/>
    <xf numFmtId="2" fontId="9" fillId="48" borderId="19" xfId="0" applyNumberFormat="1" applyFont="1" applyFill="1" applyBorder="1"/>
    <xf numFmtId="0" fontId="9" fillId="48" borderId="19" xfId="0" applyFont="1" applyFill="1" applyBorder="1" applyAlignment="1">
      <alignment horizontal="center"/>
    </xf>
    <xf numFmtId="4" fontId="9" fillId="48" borderId="19" xfId="0" applyNumberFormat="1" applyFont="1" applyFill="1" applyBorder="1"/>
    <xf numFmtId="193" fontId="9" fillId="48" borderId="19" xfId="0" applyNumberFormat="1" applyFont="1" applyFill="1" applyBorder="1"/>
    <xf numFmtId="0" fontId="9" fillId="48" borderId="19" xfId="0" applyFont="1" applyFill="1" applyBorder="1"/>
    <xf numFmtId="193" fontId="9" fillId="48" borderId="25" xfId="0" applyNumberFormat="1" applyFont="1" applyFill="1" applyBorder="1"/>
    <xf numFmtId="4" fontId="0" fillId="0" borderId="0" xfId="0" applyNumberFormat="1"/>
    <xf numFmtId="0" fontId="85" fillId="0" borderId="20" xfId="1016" applyFont="1" applyBorder="1"/>
    <xf numFmtId="0" fontId="133" fillId="0" borderId="20" xfId="1016" applyBorder="1"/>
    <xf numFmtId="0" fontId="133" fillId="0" borderId="19" xfId="1016" applyBorder="1"/>
    <xf numFmtId="4" fontId="133" fillId="0" borderId="19" xfId="1016" applyNumberFormat="1" applyBorder="1"/>
    <xf numFmtId="4" fontId="85" fillId="0" borderId="19" xfId="1016" applyNumberFormat="1" applyFont="1" applyBorder="1" applyAlignment="1">
      <alignment wrapText="1"/>
    </xf>
    <xf numFmtId="4" fontId="85" fillId="0" borderId="19" xfId="1016" applyNumberFormat="1" applyFont="1" applyBorder="1"/>
    <xf numFmtId="0" fontId="85" fillId="0" borderId="19" xfId="1016" applyFont="1" applyBorder="1"/>
    <xf numFmtId="0" fontId="14" fillId="48" borderId="19" xfId="1293" applyFont="1" applyFill="1" applyBorder="1"/>
    <xf numFmtId="0" fontId="9" fillId="0" borderId="19" xfId="1051" applyFont="1" applyBorder="1"/>
    <xf numFmtId="0" fontId="9" fillId="48" borderId="19" xfId="0" applyFont="1" applyFill="1" applyBorder="1" applyAlignment="1"/>
    <xf numFmtId="2" fontId="9" fillId="48" borderId="25" xfId="0" applyNumberFormat="1" applyFont="1" applyFill="1" applyBorder="1" applyAlignment="1"/>
    <xf numFmtId="4" fontId="9" fillId="48" borderId="25" xfId="0" applyNumberFormat="1" applyFont="1" applyFill="1" applyBorder="1" applyAlignment="1"/>
    <xf numFmtId="43" fontId="9" fillId="48" borderId="72" xfId="915" applyFont="1" applyFill="1" applyBorder="1" applyAlignment="1"/>
    <xf numFmtId="0" fontId="0" fillId="0" borderId="0" xfId="0" applyAlignment="1"/>
    <xf numFmtId="0" fontId="10" fillId="54" borderId="0" xfId="1300" applyFont="1" applyFill="1" applyBorder="1" applyAlignment="1">
      <alignment horizontal="left"/>
    </xf>
    <xf numFmtId="43" fontId="10" fillId="50" borderId="0" xfId="920" applyFont="1" applyFill="1" applyBorder="1" applyAlignment="1">
      <alignment horizontal="center"/>
    </xf>
    <xf numFmtId="0" fontId="10" fillId="50" borderId="20" xfId="1300" applyFont="1" applyFill="1" applyBorder="1" applyAlignment="1">
      <alignment horizontal="center"/>
    </xf>
    <xf numFmtId="43" fontId="10" fillId="50" borderId="20" xfId="920" applyFont="1" applyFill="1" applyBorder="1" applyAlignment="1">
      <alignment horizontal="center"/>
    </xf>
    <xf numFmtId="0" fontId="9" fillId="50" borderId="19" xfId="0" applyFont="1" applyFill="1" applyBorder="1"/>
    <xf numFmtId="43" fontId="9" fillId="50" borderId="19" xfId="920" applyFont="1" applyFill="1" applyBorder="1"/>
    <xf numFmtId="43" fontId="9" fillId="50" borderId="19" xfId="920" applyFont="1" applyFill="1" applyBorder="1" applyAlignment="1">
      <alignment horizontal="center"/>
    </xf>
    <xf numFmtId="0" fontId="9" fillId="50" borderId="25" xfId="1288" applyFont="1" applyFill="1" applyBorder="1" applyAlignment="1">
      <alignment horizontal="right"/>
    </xf>
    <xf numFmtId="43" fontId="9" fillId="50" borderId="25" xfId="920" applyFont="1" applyFill="1" applyBorder="1"/>
    <xf numFmtId="43" fontId="9" fillId="50" borderId="25" xfId="920" applyFont="1" applyFill="1" applyBorder="1" applyAlignment="1" applyProtection="1">
      <alignment horizontal="center"/>
    </xf>
    <xf numFmtId="43" fontId="10" fillId="50" borderId="25" xfId="920" applyFont="1" applyFill="1" applyBorder="1" applyAlignment="1">
      <alignment horizontal="right"/>
    </xf>
    <xf numFmtId="173" fontId="14" fillId="50" borderId="24" xfId="923" applyNumberFormat="1" applyFont="1" applyFill="1" applyBorder="1"/>
    <xf numFmtId="173" fontId="14" fillId="50" borderId="24" xfId="461" applyNumberFormat="1" applyFont="1" applyFill="1" applyBorder="1" applyAlignment="1">
      <alignment horizontal="center"/>
    </xf>
    <xf numFmtId="43" fontId="14" fillId="50" borderId="24" xfId="919" applyFont="1" applyFill="1" applyBorder="1"/>
    <xf numFmtId="39" fontId="14" fillId="50" borderId="24" xfId="1301" applyNumberFormat="1" applyFont="1" applyFill="1" applyBorder="1" applyAlignment="1">
      <alignment horizontal="center"/>
    </xf>
    <xf numFmtId="4" fontId="14" fillId="50" borderId="24" xfId="1301" applyNumberFormat="1" applyFont="1" applyFill="1" applyBorder="1"/>
    <xf numFmtId="0" fontId="15" fillId="50" borderId="24" xfId="1293" applyFont="1" applyFill="1" applyBorder="1" applyAlignment="1">
      <alignment horizontal="left"/>
    </xf>
    <xf numFmtId="0" fontId="80" fillId="50" borderId="24" xfId="0" applyFont="1" applyFill="1" applyBorder="1"/>
    <xf numFmtId="0" fontId="14" fillId="50" borderId="24" xfId="1293" applyFont="1" applyFill="1" applyBorder="1" applyAlignment="1">
      <alignment horizontal="left"/>
    </xf>
    <xf numFmtId="4" fontId="14" fillId="50" borderId="24" xfId="923" applyNumberFormat="1" applyFont="1" applyFill="1" applyBorder="1"/>
    <xf numFmtId="173" fontId="15" fillId="50" borderId="24" xfId="461" applyNumberFormat="1" applyFont="1" applyFill="1" applyBorder="1" applyAlignment="1"/>
    <xf numFmtId="173" fontId="15" fillId="50" borderId="24" xfId="923" applyNumberFormat="1" applyFont="1" applyFill="1" applyBorder="1"/>
    <xf numFmtId="173" fontId="15" fillId="50" borderId="24" xfId="461" applyNumberFormat="1" applyFont="1" applyFill="1" applyBorder="1" applyAlignment="1">
      <alignment horizontal="right"/>
    </xf>
    <xf numFmtId="0" fontId="9" fillId="0" borderId="24" xfId="1047" applyFont="1" applyBorder="1"/>
    <xf numFmtId="0" fontId="14" fillId="50" borderId="24" xfId="1293" applyFont="1" applyFill="1" applyBorder="1" applyAlignment="1">
      <alignment horizontal="center"/>
    </xf>
    <xf numFmtId="0" fontId="14" fillId="50" borderId="24" xfId="1293" applyFont="1" applyFill="1" applyBorder="1"/>
    <xf numFmtId="39" fontId="14" fillId="50" borderId="24" xfId="1293" applyNumberFormat="1" applyFont="1" applyFill="1" applyBorder="1" applyAlignment="1">
      <alignment horizontal="center"/>
    </xf>
    <xf numFmtId="39" fontId="15" fillId="50" borderId="24" xfId="1293" quotePrefix="1" applyNumberFormat="1" applyFont="1" applyFill="1" applyBorder="1" applyAlignment="1">
      <alignment horizontal="left"/>
    </xf>
    <xf numFmtId="173" fontId="15" fillId="50" borderId="24" xfId="923" quotePrefix="1" applyNumberFormat="1" applyFont="1" applyFill="1" applyBorder="1" applyAlignment="1">
      <alignment horizontal="left"/>
    </xf>
    <xf numFmtId="173" fontId="15" fillId="50" borderId="24" xfId="923" applyNumberFormat="1" applyFont="1" applyFill="1" applyBorder="1" applyAlignment="1">
      <alignment horizontal="right"/>
    </xf>
    <xf numFmtId="39" fontId="14" fillId="50" borderId="24" xfId="1301" applyFont="1" applyFill="1" applyBorder="1"/>
    <xf numFmtId="173" fontId="14" fillId="50" borderId="24" xfId="918" applyNumberFormat="1" applyFont="1" applyFill="1" applyBorder="1"/>
    <xf numFmtId="0" fontId="9" fillId="50" borderId="24" xfId="1047" applyFont="1" applyFill="1" applyBorder="1"/>
    <xf numFmtId="0" fontId="10" fillId="50" borderId="24" xfId="1047" applyFont="1" applyFill="1" applyBorder="1" applyAlignment="1">
      <alignment horizontal="right"/>
    </xf>
    <xf numFmtId="43" fontId="10" fillId="50" borderId="24" xfId="1047" applyNumberFormat="1" applyFont="1" applyFill="1" applyBorder="1"/>
    <xf numFmtId="0" fontId="9" fillId="50" borderId="0" xfId="1299" applyFont="1" applyFill="1" applyBorder="1"/>
    <xf numFmtId="43" fontId="9" fillId="50" borderId="0" xfId="914" applyFont="1" applyFill="1" applyBorder="1"/>
    <xf numFmtId="43" fontId="10" fillId="50" borderId="0" xfId="914" applyFont="1" applyFill="1" applyBorder="1" applyAlignment="1">
      <alignment horizontal="right"/>
    </xf>
    <xf numFmtId="164" fontId="10" fillId="50" borderId="0" xfId="1051" applyNumberFormat="1" applyFont="1" applyFill="1" applyBorder="1" applyAlignment="1">
      <alignment horizontal="right"/>
    </xf>
    <xf numFmtId="0" fontId="9" fillId="50" borderId="0" xfId="1047" applyFont="1" applyFill="1" applyBorder="1"/>
    <xf numFmtId="0" fontId="10" fillId="50" borderId="0" xfId="1047" applyFont="1" applyFill="1" applyBorder="1" applyAlignment="1">
      <alignment horizontal="right"/>
    </xf>
    <xf numFmtId="43" fontId="10" fillId="50" borderId="0" xfId="1047" applyNumberFormat="1" applyFont="1" applyFill="1" applyBorder="1"/>
    <xf numFmtId="0" fontId="9" fillId="50" borderId="24" xfId="1051" applyFont="1" applyFill="1" applyBorder="1"/>
    <xf numFmtId="0" fontId="10" fillId="50" borderId="24" xfId="1051" applyFont="1" applyFill="1" applyBorder="1" applyAlignment="1">
      <alignment horizontal="center"/>
    </xf>
    <xf numFmtId="0" fontId="9" fillId="50" borderId="24" xfId="1051" applyFont="1" applyFill="1" applyBorder="1" applyAlignment="1" applyProtection="1">
      <alignment horizontal="left"/>
    </xf>
    <xf numFmtId="183" fontId="9" fillId="50" borderId="24" xfId="1051" applyNumberFormat="1" applyFont="1" applyFill="1" applyBorder="1" applyAlignment="1" applyProtection="1">
      <alignment horizontal="right"/>
    </xf>
    <xf numFmtId="0" fontId="9" fillId="50" borderId="24" xfId="1051" applyFont="1" applyFill="1" applyBorder="1" applyAlignment="1" applyProtection="1">
      <alignment horizontal="center"/>
    </xf>
    <xf numFmtId="43" fontId="9" fillId="50" borderId="24" xfId="914" applyFont="1" applyFill="1" applyBorder="1" applyAlignment="1">
      <alignment horizontal="right"/>
    </xf>
    <xf numFmtId="0" fontId="9" fillId="50" borderId="24" xfId="1051" applyFont="1" applyFill="1" applyBorder="1" applyProtection="1"/>
    <xf numFmtId="183" fontId="9" fillId="50" borderId="24" xfId="1051" applyNumberFormat="1" applyFont="1" applyFill="1" applyBorder="1" applyProtection="1"/>
    <xf numFmtId="43" fontId="10" fillId="50" borderId="24" xfId="914" applyFont="1" applyFill="1" applyBorder="1" applyAlignment="1">
      <alignment horizontal="right"/>
    </xf>
    <xf numFmtId="43" fontId="10" fillId="50" borderId="24" xfId="914" applyFont="1" applyFill="1" applyBorder="1" applyAlignment="1"/>
    <xf numFmtId="0" fontId="9" fillId="50" borderId="24" xfId="1299" applyFont="1" applyFill="1" applyBorder="1"/>
    <xf numFmtId="43" fontId="9" fillId="50" borderId="24" xfId="914" applyFont="1" applyFill="1" applyBorder="1"/>
    <xf numFmtId="43" fontId="9" fillId="50" borderId="24" xfId="914" applyFont="1" applyFill="1" applyBorder="1" applyAlignment="1"/>
    <xf numFmtId="164" fontId="10" fillId="50" borderId="24" xfId="1051" applyNumberFormat="1" applyFont="1" applyFill="1" applyBorder="1" applyAlignment="1">
      <alignment horizontal="right"/>
    </xf>
    <xf numFmtId="173" fontId="86" fillId="50" borderId="24" xfId="885" applyFont="1" applyFill="1" applyBorder="1" applyAlignment="1">
      <alignment horizontal="left" vertical="center"/>
    </xf>
    <xf numFmtId="0" fontId="0" fillId="50" borderId="24" xfId="0" applyFill="1" applyBorder="1"/>
    <xf numFmtId="173" fontId="87" fillId="50" borderId="24" xfId="885" applyFont="1" applyFill="1" applyBorder="1" applyAlignment="1">
      <alignment horizontal="center" vertical="center"/>
    </xf>
    <xf numFmtId="0" fontId="88" fillId="50" borderId="24" xfId="972" applyFont="1" applyFill="1" applyBorder="1" applyAlignment="1">
      <alignment wrapText="1"/>
    </xf>
    <xf numFmtId="2" fontId="89" fillId="50" borderId="24" xfId="972" applyNumberFormat="1" applyFont="1" applyFill="1" applyBorder="1"/>
    <xf numFmtId="2" fontId="88" fillId="50" borderId="24" xfId="972" applyNumberFormat="1" applyFont="1" applyFill="1" applyBorder="1"/>
    <xf numFmtId="0" fontId="88" fillId="50" borderId="24" xfId="972" applyFont="1" applyFill="1" applyBorder="1"/>
    <xf numFmtId="0" fontId="89" fillId="50" borderId="24" xfId="972" applyFont="1" applyFill="1" applyBorder="1"/>
    <xf numFmtId="172" fontId="86" fillId="50" borderId="24" xfId="1061" applyNumberFormat="1" applyFont="1" applyFill="1" applyBorder="1" applyAlignment="1">
      <alignment horizontal="right"/>
    </xf>
    <xf numFmtId="0" fontId="9" fillId="50" borderId="24" xfId="0" applyFont="1" applyFill="1" applyBorder="1"/>
    <xf numFmtId="0" fontId="10" fillId="50" borderId="24" xfId="0" applyFont="1" applyFill="1" applyBorder="1" applyAlignment="1">
      <alignment horizontal="center"/>
    </xf>
    <xf numFmtId="2" fontId="9" fillId="50" borderId="24" xfId="0" applyNumberFormat="1" applyFont="1" applyFill="1" applyBorder="1" applyAlignment="1">
      <alignment horizontal="right"/>
    </xf>
    <xf numFmtId="0" fontId="9" fillId="50" borderId="24" xfId="0" applyFont="1" applyFill="1" applyBorder="1" applyAlignment="1">
      <alignment horizontal="center"/>
    </xf>
    <xf numFmtId="4" fontId="9" fillId="50" borderId="24" xfId="0" applyNumberFormat="1" applyFont="1" applyFill="1" applyBorder="1" applyAlignment="1">
      <alignment horizontal="right"/>
    </xf>
    <xf numFmtId="4" fontId="10" fillId="50" borderId="24" xfId="0" applyNumberFormat="1" applyFont="1" applyFill="1" applyBorder="1" applyAlignment="1"/>
    <xf numFmtId="4" fontId="9" fillId="50" borderId="19" xfId="0" applyNumberFormat="1" applyFont="1" applyFill="1" applyBorder="1" applyAlignment="1">
      <alignment horizontal="right"/>
    </xf>
    <xf numFmtId="0" fontId="9" fillId="53" borderId="0" xfId="1051" applyFont="1" applyFill="1" applyBorder="1"/>
    <xf numFmtId="164" fontId="10" fillId="53" borderId="0" xfId="1051" applyNumberFormat="1" applyFont="1" applyFill="1" applyBorder="1"/>
    <xf numFmtId="0" fontId="10" fillId="50" borderId="24" xfId="0" applyFont="1" applyFill="1" applyBorder="1"/>
    <xf numFmtId="0" fontId="10" fillId="50" borderId="24" xfId="1288" applyFont="1" applyFill="1" applyBorder="1" applyAlignment="1">
      <alignment horizontal="right"/>
    </xf>
    <xf numFmtId="43" fontId="10" fillId="50" borderId="24" xfId="920" applyFont="1" applyFill="1" applyBorder="1"/>
    <xf numFmtId="0" fontId="10" fillId="54" borderId="24" xfId="1051" applyFont="1" applyFill="1" applyBorder="1"/>
    <xf numFmtId="164" fontId="10" fillId="54" borderId="24" xfId="1051" applyNumberFormat="1" applyFont="1" applyFill="1" applyBorder="1"/>
    <xf numFmtId="0" fontId="9" fillId="50" borderId="24" xfId="0" applyFont="1" applyFill="1" applyBorder="1" applyAlignment="1"/>
    <xf numFmtId="4" fontId="10" fillId="50" borderId="24" xfId="0" applyNumberFormat="1" applyFont="1" applyFill="1" applyBorder="1" applyAlignment="1">
      <alignment horizontal="right"/>
    </xf>
    <xf numFmtId="2" fontId="9" fillId="50" borderId="24" xfId="0" applyNumberFormat="1" applyFont="1" applyFill="1" applyBorder="1"/>
    <xf numFmtId="0" fontId="10" fillId="50" borderId="24" xfId="0" applyFont="1" applyFill="1" applyBorder="1" applyAlignment="1">
      <alignment horizontal="right"/>
    </xf>
    <xf numFmtId="164" fontId="10" fillId="50" borderId="24" xfId="0" applyNumberFormat="1" applyFont="1" applyFill="1" applyBorder="1" applyAlignment="1">
      <alignment horizontal="right"/>
    </xf>
    <xf numFmtId="0" fontId="133" fillId="50" borderId="25" xfId="1016" applyFill="1" applyBorder="1"/>
    <xf numFmtId="4" fontId="133" fillId="50" borderId="25" xfId="1016" applyNumberFormat="1" applyFill="1" applyBorder="1"/>
    <xf numFmtId="4" fontId="85" fillId="50" borderId="25" xfId="1016" applyNumberFormat="1" applyFont="1" applyFill="1" applyBorder="1"/>
    <xf numFmtId="0" fontId="85" fillId="50" borderId="24" xfId="1016" applyFont="1" applyFill="1" applyBorder="1" applyAlignment="1">
      <alignment wrapText="1"/>
    </xf>
    <xf numFmtId="0" fontId="85" fillId="50" borderId="24" xfId="1016" applyFont="1" applyFill="1" applyBorder="1"/>
    <xf numFmtId="0" fontId="133" fillId="50" borderId="24" xfId="1016" applyFill="1" applyBorder="1"/>
    <xf numFmtId="4" fontId="133" fillId="50" borderId="24" xfId="1016" applyNumberFormat="1" applyFill="1" applyBorder="1"/>
    <xf numFmtId="4" fontId="133" fillId="50" borderId="24" xfId="1016" applyNumberFormat="1" applyFill="1" applyBorder="1" applyAlignment="1">
      <alignment horizontal="center"/>
    </xf>
    <xf numFmtId="0" fontId="40" fillId="50" borderId="24" xfId="0" applyFont="1" applyFill="1" applyBorder="1"/>
    <xf numFmtId="4" fontId="30" fillId="50" borderId="24" xfId="0" applyNumberFormat="1" applyFont="1" applyFill="1" applyBorder="1"/>
    <xf numFmtId="0" fontId="30" fillId="50" borderId="24" xfId="0" applyFont="1" applyFill="1" applyBorder="1" applyAlignment="1">
      <alignment horizontal="center"/>
    </xf>
    <xf numFmtId="0" fontId="41" fillId="50" borderId="24" xfId="0" applyFont="1" applyFill="1" applyBorder="1"/>
    <xf numFmtId="0" fontId="31" fillId="50" borderId="24" xfId="0" applyFont="1" applyFill="1" applyBorder="1"/>
    <xf numFmtId="0" fontId="39" fillId="50" borderId="24" xfId="0" applyFont="1" applyFill="1" applyBorder="1" applyAlignment="1"/>
    <xf numFmtId="4" fontId="31" fillId="50" borderId="24" xfId="0" applyNumberFormat="1" applyFont="1" applyFill="1" applyBorder="1" applyAlignment="1"/>
    <xf numFmtId="0" fontId="31" fillId="50" borderId="24" xfId="0" applyFont="1" applyFill="1" applyBorder="1" applyAlignment="1">
      <alignment horizontal="center"/>
    </xf>
    <xf numFmtId="0" fontId="30" fillId="50" borderId="24" xfId="0" applyFont="1" applyFill="1" applyBorder="1"/>
    <xf numFmtId="4" fontId="30" fillId="50" borderId="24" xfId="0" applyNumberFormat="1" applyFont="1" applyFill="1" applyBorder="1" applyAlignment="1">
      <alignment horizontal="right"/>
    </xf>
    <xf numFmtId="4" fontId="31" fillId="50" borderId="24" xfId="0" applyNumberFormat="1" applyFont="1" applyFill="1" applyBorder="1" applyAlignment="1">
      <alignment horizontal="right"/>
    </xf>
    <xf numFmtId="4" fontId="42" fillId="50" borderId="24" xfId="0" applyNumberFormat="1" applyFont="1" applyFill="1" applyBorder="1"/>
    <xf numFmtId="197" fontId="30" fillId="50" borderId="24" xfId="0" applyNumberFormat="1" applyFont="1" applyFill="1" applyBorder="1"/>
    <xf numFmtId="0" fontId="43" fillId="50" borderId="24" xfId="0" applyFont="1" applyFill="1" applyBorder="1" applyAlignment="1"/>
    <xf numFmtId="4" fontId="43" fillId="50" borderId="24" xfId="0" applyNumberFormat="1" applyFont="1" applyFill="1" applyBorder="1" applyAlignment="1"/>
    <xf numFmtId="0" fontId="43" fillId="50" borderId="24" xfId="0" applyFont="1" applyFill="1" applyBorder="1" applyAlignment="1">
      <alignment horizontal="center"/>
    </xf>
    <xf numFmtId="4" fontId="31" fillId="50" borderId="24" xfId="0" applyNumberFormat="1" applyFont="1" applyFill="1" applyBorder="1"/>
    <xf numFmtId="4" fontId="41" fillId="50" borderId="24" xfId="0" applyNumberFormat="1" applyFont="1" applyFill="1" applyBorder="1"/>
    <xf numFmtId="4" fontId="9" fillId="0" borderId="0" xfId="0" applyNumberFormat="1" applyFont="1" applyFill="1" applyAlignment="1">
      <alignment vertical="top" wrapText="1"/>
    </xf>
    <xf numFmtId="0" fontId="11" fillId="48" borderId="0" xfId="1284" applyFont="1" applyFill="1" applyBorder="1"/>
    <xf numFmtId="188" fontId="9" fillId="48" borderId="19" xfId="838" applyNumberFormat="1" applyFont="1" applyFill="1" applyBorder="1" applyAlignment="1" applyProtection="1">
      <alignment horizontal="right" vertical="center"/>
    </xf>
    <xf numFmtId="4" fontId="9" fillId="48" borderId="19" xfId="868" applyNumberFormat="1" applyFont="1" applyFill="1" applyBorder="1" applyAlignment="1">
      <alignment horizontal="center" vertical="center"/>
    </xf>
    <xf numFmtId="4" fontId="10" fillId="48" borderId="19" xfId="868" applyNumberFormat="1" applyFont="1" applyFill="1" applyBorder="1" applyAlignment="1">
      <alignment horizontal="right" vertical="center" wrapText="1"/>
    </xf>
    <xf numFmtId="0" fontId="10" fillId="48" borderId="19" xfId="0" applyFont="1" applyFill="1" applyBorder="1" applyAlignment="1">
      <alignment vertical="top" wrapText="1"/>
    </xf>
    <xf numFmtId="0" fontId="10" fillId="0" borderId="0" xfId="0" applyFont="1" applyFill="1" applyBorder="1" applyAlignment="1">
      <alignment vertical="top" wrapText="1"/>
    </xf>
    <xf numFmtId="0" fontId="9" fillId="0" borderId="0" xfId="0" applyFont="1" applyFill="1" applyBorder="1"/>
    <xf numFmtId="0" fontId="10" fillId="50" borderId="0" xfId="0" applyFont="1" applyFill="1" applyBorder="1"/>
    <xf numFmtId="4" fontId="10" fillId="48" borderId="0" xfId="868" applyNumberFormat="1" applyFont="1" applyFill="1" applyBorder="1" applyAlignment="1" applyProtection="1">
      <alignment horizontal="right" wrapText="1"/>
    </xf>
    <xf numFmtId="0" fontId="10" fillId="0" borderId="0" xfId="0" applyFont="1" applyFill="1" applyBorder="1"/>
    <xf numFmtId="0" fontId="9" fillId="48" borderId="0" xfId="1210" applyFont="1" applyFill="1" applyBorder="1"/>
    <xf numFmtId="191" fontId="14" fillId="48" borderId="0" xfId="0" applyNumberFormat="1" applyFont="1" applyFill="1" applyBorder="1" applyAlignment="1">
      <alignment horizontal="center" vertical="center"/>
    </xf>
    <xf numFmtId="0" fontId="9" fillId="0" borderId="19" xfId="0" applyFont="1" applyFill="1" applyBorder="1" applyAlignment="1">
      <alignment horizontal="center"/>
    </xf>
    <xf numFmtId="188" fontId="9" fillId="55" borderId="19" xfId="838" applyNumberFormat="1" applyFont="1" applyFill="1" applyBorder="1" applyAlignment="1" applyProtection="1">
      <alignment horizontal="right" vertical="center"/>
    </xf>
    <xf numFmtId="0" fontId="10" fillId="55" borderId="19" xfId="0" applyFont="1" applyFill="1" applyBorder="1" applyAlignment="1">
      <alignment horizontal="right" vertical="top" wrapText="1"/>
    </xf>
    <xf numFmtId="4" fontId="9" fillId="55" borderId="19" xfId="868" applyNumberFormat="1" applyFont="1" applyFill="1" applyBorder="1" applyAlignment="1">
      <alignment horizontal="right" vertical="center" wrapText="1"/>
    </xf>
    <xf numFmtId="4" fontId="9" fillId="55" borderId="19" xfId="868" applyNumberFormat="1" applyFont="1" applyFill="1" applyBorder="1" applyAlignment="1">
      <alignment horizontal="center" vertical="center"/>
    </xf>
    <xf numFmtId="4" fontId="10" fillId="55" borderId="19" xfId="868" applyNumberFormat="1" applyFont="1" applyFill="1" applyBorder="1" applyAlignment="1">
      <alignment horizontal="right" vertical="center" wrapText="1"/>
    </xf>
    <xf numFmtId="43" fontId="9" fillId="0" borderId="19" xfId="0" applyNumberFormat="1" applyFont="1" applyFill="1" applyBorder="1" applyAlignment="1">
      <alignment horizontal="right" wrapText="1"/>
    </xf>
    <xf numFmtId="4" fontId="10" fillId="48" borderId="19" xfId="0" applyNumberFormat="1" applyFont="1" applyFill="1" applyBorder="1" applyAlignment="1">
      <alignment horizontal="right" wrapText="1"/>
    </xf>
    <xf numFmtId="4" fontId="10" fillId="48" borderId="19" xfId="0" applyNumberFormat="1" applyFont="1" applyFill="1" applyBorder="1" applyAlignment="1">
      <alignment horizontal="center" wrapText="1"/>
    </xf>
    <xf numFmtId="4" fontId="10" fillId="48" borderId="19" xfId="699" applyNumberFormat="1" applyFont="1" applyFill="1" applyBorder="1" applyAlignment="1">
      <alignment horizontal="right" wrapText="1"/>
    </xf>
    <xf numFmtId="0" fontId="10" fillId="48" borderId="0" xfId="0" applyFont="1" applyFill="1" applyBorder="1" applyAlignment="1">
      <alignment horizontal="right" wrapText="1"/>
    </xf>
    <xf numFmtId="4" fontId="10" fillId="48" borderId="0" xfId="0" applyNumberFormat="1" applyFont="1" applyFill="1" applyBorder="1" applyAlignment="1">
      <alignment horizontal="right" wrapText="1"/>
    </xf>
    <xf numFmtId="4" fontId="10" fillId="48" borderId="0" xfId="0" applyNumberFormat="1" applyFont="1" applyFill="1" applyBorder="1" applyAlignment="1">
      <alignment horizontal="center" wrapText="1"/>
    </xf>
    <xf numFmtId="4" fontId="10" fillId="48" borderId="0" xfId="699" applyNumberFormat="1" applyFont="1" applyFill="1" applyBorder="1" applyAlignment="1">
      <alignment horizontal="right" wrapText="1"/>
    </xf>
    <xf numFmtId="4" fontId="10" fillId="55" borderId="19" xfId="0" applyNumberFormat="1" applyFont="1" applyFill="1" applyBorder="1" applyAlignment="1">
      <alignment horizontal="right" wrapText="1"/>
    </xf>
    <xf numFmtId="4" fontId="10" fillId="55" borderId="19" xfId="0" applyNumberFormat="1" applyFont="1" applyFill="1" applyBorder="1" applyAlignment="1">
      <alignment horizontal="center" wrapText="1"/>
    </xf>
    <xf numFmtId="4" fontId="10" fillId="55" borderId="19" xfId="699" applyNumberFormat="1" applyFont="1" applyFill="1" applyBorder="1" applyAlignment="1">
      <alignment horizontal="right" wrapText="1"/>
    </xf>
    <xf numFmtId="0" fontId="10" fillId="55" borderId="25" xfId="0" applyFont="1" applyFill="1" applyBorder="1" applyAlignment="1">
      <alignment horizontal="right" wrapText="1"/>
    </xf>
    <xf numFmtId="4" fontId="10" fillId="55" borderId="25" xfId="0" applyNumberFormat="1" applyFont="1" applyFill="1" applyBorder="1" applyAlignment="1">
      <alignment horizontal="right" wrapText="1"/>
    </xf>
    <xf numFmtId="4" fontId="10" fillId="55" borderId="25" xfId="0" applyNumberFormat="1" applyFont="1" applyFill="1" applyBorder="1" applyAlignment="1">
      <alignment horizontal="center" wrapText="1"/>
    </xf>
    <xf numFmtId="4" fontId="10" fillId="55" borderId="25" xfId="699" applyNumberFormat="1" applyFont="1" applyFill="1" applyBorder="1" applyAlignment="1">
      <alignment horizontal="right" wrapText="1"/>
    </xf>
    <xf numFmtId="188" fontId="9" fillId="55" borderId="25" xfId="838" applyNumberFormat="1" applyFont="1" applyFill="1" applyBorder="1" applyAlignment="1" applyProtection="1">
      <alignment horizontal="right" vertical="center"/>
    </xf>
    <xf numFmtId="0" fontId="10" fillId="55" borderId="25" xfId="0" applyFont="1" applyFill="1" applyBorder="1" applyAlignment="1">
      <alignment horizontal="center" vertical="top" wrapText="1"/>
    </xf>
    <xf numFmtId="4" fontId="9" fillId="55" borderId="25" xfId="868" applyNumberFormat="1" applyFont="1" applyFill="1" applyBorder="1" applyAlignment="1">
      <alignment horizontal="right" vertical="center" wrapText="1"/>
    </xf>
    <xf numFmtId="4" fontId="9" fillId="55" borderId="25" xfId="868" applyNumberFormat="1" applyFont="1" applyFill="1" applyBorder="1" applyAlignment="1">
      <alignment horizontal="center" vertical="center"/>
    </xf>
    <xf numFmtId="4" fontId="10" fillId="55" borderId="25" xfId="868" applyNumberFormat="1" applyFont="1" applyFill="1" applyBorder="1" applyAlignment="1">
      <alignment horizontal="right" vertical="center" wrapText="1"/>
    </xf>
    <xf numFmtId="188" fontId="9" fillId="55" borderId="20" xfId="838" applyNumberFormat="1" applyFont="1" applyFill="1" applyBorder="1" applyAlignment="1" applyProtection="1">
      <alignment horizontal="right" vertical="center"/>
    </xf>
    <xf numFmtId="0" fontId="10" fillId="55" borderId="20" xfId="0" applyFont="1" applyFill="1" applyBorder="1" applyAlignment="1">
      <alignment horizontal="center" vertical="top" wrapText="1"/>
    </xf>
    <xf numFmtId="4" fontId="9" fillId="55" borderId="20" xfId="868" applyNumberFormat="1" applyFont="1" applyFill="1" applyBorder="1" applyAlignment="1">
      <alignment horizontal="right" vertical="center" wrapText="1"/>
    </xf>
    <xf numFmtId="4" fontId="9" fillId="55" borderId="20" xfId="868" applyNumberFormat="1" applyFont="1" applyFill="1" applyBorder="1" applyAlignment="1">
      <alignment horizontal="center" vertical="center"/>
    </xf>
    <xf numFmtId="4" fontId="10" fillId="55" borderId="20" xfId="868" applyNumberFormat="1" applyFont="1" applyFill="1" applyBorder="1" applyAlignment="1">
      <alignment horizontal="right" vertical="center" wrapText="1"/>
    </xf>
    <xf numFmtId="0" fontId="10" fillId="55" borderId="19" xfId="0" applyFont="1" applyFill="1" applyBorder="1" applyAlignment="1">
      <alignment horizontal="center" vertical="top" wrapText="1"/>
    </xf>
    <xf numFmtId="0" fontId="10" fillId="55" borderId="24" xfId="0" applyFont="1" applyFill="1" applyBorder="1" applyAlignment="1">
      <alignment horizontal="center" vertical="center" wrapText="1"/>
    </xf>
    <xf numFmtId="188" fontId="14" fillId="48" borderId="19" xfId="838" applyNumberFormat="1" applyFont="1" applyFill="1" applyBorder="1" applyAlignment="1" applyProtection="1">
      <alignment horizontal="right" vertical="center" wrapText="1"/>
    </xf>
    <xf numFmtId="43" fontId="9" fillId="48" borderId="19" xfId="699" applyFont="1" applyFill="1" applyBorder="1" applyAlignment="1">
      <alignment horizontal="right" wrapText="1"/>
    </xf>
    <xf numFmtId="0" fontId="9" fillId="48" borderId="19" xfId="0" applyFont="1" applyFill="1" applyBorder="1" applyAlignment="1">
      <alignment vertical="top" wrapText="1"/>
    </xf>
    <xf numFmtId="2" fontId="9" fillId="48" borderId="19" xfId="0" applyNumberFormat="1" applyFont="1" applyFill="1" applyBorder="1" applyAlignment="1">
      <alignment horizontal="right" vertical="top" wrapText="1"/>
    </xf>
    <xf numFmtId="4" fontId="9" fillId="0" borderId="0" xfId="0" applyNumberFormat="1" applyFont="1" applyFill="1"/>
    <xf numFmtId="43" fontId="9" fillId="48" borderId="0" xfId="699" applyFont="1" applyFill="1" applyAlignment="1">
      <alignment horizontal="right" wrapText="1"/>
    </xf>
    <xf numFmtId="4" fontId="9" fillId="48" borderId="0" xfId="0" applyNumberFormat="1" applyFont="1" applyFill="1"/>
    <xf numFmtId="2" fontId="9" fillId="48" borderId="25" xfId="0" applyNumberFormat="1" applyFont="1" applyFill="1" applyBorder="1" applyAlignment="1">
      <alignment horizontal="right" vertical="top" wrapText="1"/>
    </xf>
    <xf numFmtId="0" fontId="9" fillId="48" borderId="25" xfId="0" applyFont="1" applyFill="1" applyBorder="1" applyAlignment="1">
      <alignment vertical="top" wrapText="1"/>
    </xf>
    <xf numFmtId="4" fontId="9" fillId="48" borderId="25" xfId="0" applyNumberFormat="1" applyFont="1" applyFill="1" applyBorder="1" applyAlignment="1">
      <alignment horizontal="center" vertical="top" wrapText="1"/>
    </xf>
    <xf numFmtId="43" fontId="9" fillId="48" borderId="25" xfId="699" applyFont="1" applyFill="1" applyBorder="1" applyAlignment="1">
      <alignment horizontal="right" wrapText="1"/>
    </xf>
    <xf numFmtId="4" fontId="10" fillId="0" borderId="0" xfId="0" applyNumberFormat="1" applyFont="1" applyFill="1"/>
    <xf numFmtId="4" fontId="85" fillId="50" borderId="24" xfId="1016" applyNumberFormat="1" applyFont="1" applyFill="1" applyBorder="1"/>
    <xf numFmtId="188" fontId="15" fillId="48" borderId="19" xfId="838" applyNumberFormat="1" applyFont="1" applyFill="1" applyBorder="1" applyAlignment="1" applyProtection="1">
      <alignment horizontal="center" vertical="top"/>
    </xf>
    <xf numFmtId="184" fontId="14" fillId="48" borderId="19" xfId="0" applyNumberFormat="1" applyFont="1" applyFill="1" applyBorder="1" applyAlignment="1" applyProtection="1">
      <alignment horizontal="right" vertical="center"/>
    </xf>
    <xf numFmtId="0" fontId="9" fillId="48" borderId="19" xfId="0" applyNumberFormat="1" applyFont="1" applyFill="1" applyBorder="1" applyAlignment="1">
      <alignment wrapText="1"/>
    </xf>
    <xf numFmtId="0" fontId="10" fillId="48" borderId="19" xfId="0" applyNumberFormat="1" applyFont="1" applyFill="1" applyBorder="1" applyAlignment="1">
      <alignment horizontal="left"/>
    </xf>
    <xf numFmtId="4" fontId="9" fillId="48" borderId="19" xfId="868" applyNumberFormat="1" applyFont="1" applyFill="1" applyBorder="1" applyAlignment="1" applyProtection="1">
      <alignment horizontal="right" vertical="center" wrapText="1"/>
    </xf>
    <xf numFmtId="4" fontId="9" fillId="48" borderId="19" xfId="0" applyNumberFormat="1" applyFont="1" applyFill="1" applyBorder="1" applyAlignment="1">
      <alignment horizontal="center" vertical="center"/>
    </xf>
    <xf numFmtId="4" fontId="9" fillId="48" borderId="19" xfId="868" applyNumberFormat="1" applyFont="1" applyFill="1" applyBorder="1" applyAlignment="1" applyProtection="1">
      <alignment horizontal="right" vertical="center" wrapText="1"/>
      <protection locked="0"/>
    </xf>
    <xf numFmtId="185" fontId="9" fillId="48" borderId="19" xfId="0" applyNumberFormat="1" applyFont="1" applyFill="1" applyBorder="1" applyAlignment="1">
      <alignment horizontal="right" vertical="justify" wrapText="1"/>
    </xf>
    <xf numFmtId="0" fontId="9" fillId="48" borderId="19" xfId="0" applyNumberFormat="1" applyFont="1" applyFill="1" applyBorder="1" applyAlignment="1">
      <alignment horizontal="left"/>
    </xf>
    <xf numFmtId="0" fontId="9" fillId="48" borderId="19" xfId="0" applyNumberFormat="1" applyFont="1" applyFill="1" applyBorder="1" applyAlignment="1">
      <alignment horizontal="left" wrapText="1"/>
    </xf>
    <xf numFmtId="184" fontId="10" fillId="48" borderId="19" xfId="1281" applyNumberFormat="1" applyFont="1" applyFill="1" applyBorder="1" applyAlignment="1" applyProtection="1">
      <alignment horizontal="right" vertical="top"/>
    </xf>
    <xf numFmtId="185" fontId="10" fillId="48" borderId="19" xfId="1281" applyNumberFormat="1" applyFont="1" applyFill="1" applyBorder="1" applyAlignment="1" applyProtection="1">
      <alignment horizontal="right" vertical="top"/>
    </xf>
    <xf numFmtId="184" fontId="15" fillId="48" borderId="19" xfId="0" applyNumberFormat="1" applyFont="1" applyFill="1" applyBorder="1" applyAlignment="1" applyProtection="1">
      <alignment horizontal="right" vertical="center"/>
    </xf>
    <xf numFmtId="189" fontId="15" fillId="48" borderId="19" xfId="838" applyNumberFormat="1" applyFont="1" applyFill="1" applyBorder="1" applyAlignment="1" applyProtection="1">
      <alignment horizontal="right" vertical="center" wrapText="1"/>
    </xf>
    <xf numFmtId="0" fontId="10" fillId="48" borderId="19" xfId="0" applyNumberFormat="1" applyFont="1" applyFill="1" applyBorder="1" applyAlignment="1">
      <alignment horizontal="left" vertical="justify" wrapText="1"/>
    </xf>
    <xf numFmtId="2" fontId="9" fillId="48" borderId="19" xfId="0" applyNumberFormat="1" applyFont="1" applyFill="1" applyBorder="1" applyAlignment="1">
      <alignment horizontal="center"/>
    </xf>
    <xf numFmtId="4" fontId="9" fillId="48" borderId="19" xfId="0" applyNumberFormat="1" applyFont="1" applyFill="1" applyBorder="1" applyAlignment="1">
      <alignment horizontal="right" wrapText="1"/>
    </xf>
    <xf numFmtId="0" fontId="9" fillId="48" borderId="19" xfId="0" applyFont="1" applyFill="1" applyBorder="1" applyAlignment="1">
      <alignment horizontal="right" vertical="top" wrapText="1"/>
    </xf>
    <xf numFmtId="0" fontId="14" fillId="48" borderId="19" xfId="0" applyFont="1" applyFill="1" applyBorder="1" applyAlignment="1">
      <alignment horizontal="left" vertical="top" wrapText="1"/>
    </xf>
    <xf numFmtId="4" fontId="9" fillId="48" borderId="19" xfId="0" applyNumberFormat="1" applyFont="1" applyFill="1" applyBorder="1" applyAlignment="1">
      <alignment horizontal="center" wrapText="1"/>
    </xf>
    <xf numFmtId="4" fontId="9" fillId="48" borderId="19" xfId="805" applyNumberFormat="1" applyFont="1" applyFill="1" applyBorder="1" applyAlignment="1">
      <alignment vertical="center" wrapText="1"/>
    </xf>
    <xf numFmtId="4" fontId="10" fillId="48" borderId="19" xfId="868" applyNumberFormat="1" applyFont="1" applyFill="1" applyBorder="1" applyAlignment="1" applyProtection="1">
      <alignment horizontal="right" wrapText="1"/>
    </xf>
    <xf numFmtId="4" fontId="10" fillId="48" borderId="19" xfId="0" applyNumberFormat="1" applyFont="1" applyFill="1" applyBorder="1" applyAlignment="1">
      <alignment horizontal="center"/>
    </xf>
    <xf numFmtId="4" fontId="10" fillId="48" borderId="19" xfId="868" applyNumberFormat="1" applyFont="1" applyFill="1" applyBorder="1" applyAlignment="1" applyProtection="1">
      <alignment horizontal="right" wrapText="1"/>
      <protection locked="0"/>
    </xf>
    <xf numFmtId="1" fontId="9" fillId="48" borderId="19" xfId="0" applyNumberFormat="1" applyFont="1" applyFill="1" applyBorder="1" applyAlignment="1">
      <alignment horizontal="right" vertical="top" wrapText="1"/>
    </xf>
    <xf numFmtId="43" fontId="9" fillId="48" borderId="19" xfId="1306" applyNumberFormat="1" applyFill="1" applyBorder="1"/>
    <xf numFmtId="185" fontId="15" fillId="48" borderId="19" xfId="0" applyNumberFormat="1" applyFont="1" applyFill="1" applyBorder="1" applyAlignment="1" applyProtection="1">
      <alignment horizontal="right" vertical="top"/>
    </xf>
    <xf numFmtId="49" fontId="10" fillId="48" borderId="19" xfId="1302" applyNumberFormat="1" applyFont="1" applyFill="1" applyBorder="1" applyAlignment="1">
      <alignment horizontal="left" vertical="center"/>
    </xf>
    <xf numFmtId="171" fontId="9" fillId="48" borderId="19" xfId="736" applyFont="1" applyFill="1" applyBorder="1" applyAlignment="1">
      <alignment horizontal="right" wrapText="1"/>
    </xf>
    <xf numFmtId="188" fontId="15" fillId="48" borderId="19" xfId="838" applyNumberFormat="1" applyFont="1" applyFill="1" applyBorder="1" applyAlignment="1" applyProtection="1">
      <alignment horizontal="right" vertical="center"/>
    </xf>
    <xf numFmtId="189" fontId="14" fillId="48" borderId="19" xfId="838" applyNumberFormat="1" applyFont="1" applyFill="1" applyBorder="1" applyAlignment="1" applyProtection="1">
      <alignment horizontal="right" vertical="top"/>
    </xf>
    <xf numFmtId="185" fontId="14" fillId="48" borderId="25" xfId="0" applyNumberFormat="1" applyFont="1" applyFill="1" applyBorder="1" applyAlignment="1" applyProtection="1">
      <alignment horizontal="right" vertical="top"/>
    </xf>
    <xf numFmtId="0" fontId="9" fillId="48" borderId="25" xfId="1210" applyFont="1" applyFill="1" applyBorder="1" applyAlignment="1">
      <alignment horizontal="left" vertical="top" wrapText="1"/>
    </xf>
    <xf numFmtId="4" fontId="14" fillId="48" borderId="25" xfId="868" applyNumberFormat="1" applyFont="1" applyFill="1" applyBorder="1" applyAlignment="1">
      <alignment horizontal="center" vertical="top"/>
    </xf>
    <xf numFmtId="4" fontId="9" fillId="48" borderId="25" xfId="0" applyNumberFormat="1" applyFont="1" applyFill="1" applyBorder="1" applyAlignment="1">
      <alignment vertical="top" wrapText="1"/>
    </xf>
    <xf numFmtId="185" fontId="14" fillId="48" borderId="19" xfId="0" applyNumberFormat="1" applyFont="1" applyFill="1" applyBorder="1" applyAlignment="1" applyProtection="1">
      <alignment horizontal="right"/>
    </xf>
    <xf numFmtId="0" fontId="10" fillId="48" borderId="19" xfId="0" applyFont="1" applyFill="1" applyBorder="1" applyAlignment="1">
      <alignment wrapText="1"/>
    </xf>
    <xf numFmtId="0" fontId="9" fillId="48" borderId="19" xfId="0" applyFont="1" applyFill="1" applyBorder="1" applyAlignment="1">
      <alignment wrapText="1"/>
    </xf>
    <xf numFmtId="184" fontId="15" fillId="48" borderId="19" xfId="0" applyNumberFormat="1" applyFont="1" applyFill="1" applyBorder="1" applyAlignment="1" applyProtection="1">
      <alignment horizontal="right"/>
    </xf>
    <xf numFmtId="0" fontId="9" fillId="48" borderId="19" xfId="0" applyNumberFormat="1" applyFont="1" applyFill="1" applyBorder="1" applyAlignment="1">
      <alignment horizontal="left" vertical="top" wrapText="1"/>
    </xf>
    <xf numFmtId="0" fontId="14" fillId="50" borderId="24" xfId="1297" applyFont="1" applyFill="1" applyBorder="1" applyAlignment="1">
      <alignment horizontal="center" vertical="center"/>
    </xf>
    <xf numFmtId="49" fontId="15" fillId="50" borderId="24" xfId="924" applyNumberFormat="1" applyFont="1" applyFill="1" applyBorder="1" applyAlignment="1">
      <alignment horizontal="right" vertical="center"/>
    </xf>
    <xf numFmtId="2" fontId="85" fillId="50" borderId="24" xfId="0" applyNumberFormat="1" applyFont="1" applyFill="1" applyBorder="1"/>
    <xf numFmtId="0" fontId="15" fillId="50" borderId="0" xfId="1297" applyFont="1" applyFill="1" applyBorder="1" applyAlignment="1" applyProtection="1">
      <alignment horizontal="left" vertical="center"/>
    </xf>
    <xf numFmtId="196" fontId="14" fillId="50" borderId="0" xfId="923" applyFont="1" applyFill="1" applyBorder="1" applyAlignment="1">
      <alignment horizontal="right" vertical="center"/>
    </xf>
    <xf numFmtId="0" fontId="14" fillId="50" borderId="0" xfId="1297" applyFont="1" applyFill="1" applyBorder="1" applyAlignment="1">
      <alignment horizontal="center" vertical="center"/>
    </xf>
    <xf numFmtId="0" fontId="14" fillId="50" borderId="40" xfId="1297" applyFont="1" applyFill="1" applyBorder="1" applyAlignment="1" applyProtection="1">
      <alignment horizontal="left" vertical="center"/>
    </xf>
    <xf numFmtId="4" fontId="14" fillId="50" borderId="40" xfId="923" applyNumberFormat="1" applyFont="1" applyFill="1" applyBorder="1" applyAlignment="1">
      <alignment horizontal="right" vertical="center"/>
    </xf>
    <xf numFmtId="0" fontId="14" fillId="50" borderId="40" xfId="1297" applyFont="1" applyFill="1" applyBorder="1" applyAlignment="1">
      <alignment horizontal="center" vertical="center"/>
    </xf>
    <xf numFmtId="4" fontId="14" fillId="50" borderId="65" xfId="923" applyNumberFormat="1" applyFont="1" applyFill="1" applyBorder="1" applyAlignment="1" applyProtection="1">
      <alignment horizontal="right" vertical="center"/>
      <protection locked="0"/>
    </xf>
    <xf numFmtId="0" fontId="14" fillId="50" borderId="24" xfId="1297" applyFont="1" applyFill="1" applyBorder="1" applyAlignment="1" applyProtection="1">
      <alignment horizontal="left" vertical="center"/>
    </xf>
    <xf numFmtId="4" fontId="14" fillId="50" borderId="24" xfId="923" applyNumberFormat="1" applyFont="1" applyFill="1" applyBorder="1" applyAlignment="1">
      <alignment horizontal="right" vertical="center"/>
    </xf>
    <xf numFmtId="4" fontId="14" fillId="50" borderId="43" xfId="923" applyNumberFormat="1" applyFont="1" applyFill="1" applyBorder="1" applyAlignment="1" applyProtection="1">
      <alignment horizontal="right" vertical="center"/>
      <protection locked="0"/>
    </xf>
    <xf numFmtId="0" fontId="9" fillId="50" borderId="20" xfId="1299" applyFont="1" applyFill="1" applyBorder="1"/>
    <xf numFmtId="4" fontId="14" fillId="50" borderId="20" xfId="923" applyNumberFormat="1" applyFont="1" applyFill="1" applyBorder="1" applyAlignment="1">
      <alignment horizontal="right" vertical="center"/>
    </xf>
    <xf numFmtId="0" fontId="14" fillId="50" borderId="20" xfId="1297" applyFont="1" applyFill="1" applyBorder="1" applyAlignment="1">
      <alignment horizontal="center" vertical="center"/>
    </xf>
    <xf numFmtId="4" fontId="14" fillId="50" borderId="52" xfId="923" applyNumberFormat="1" applyFont="1" applyFill="1" applyBorder="1" applyAlignment="1" applyProtection="1">
      <alignment horizontal="right" vertical="center"/>
      <protection locked="0"/>
    </xf>
    <xf numFmtId="0" fontId="14" fillId="50" borderId="73" xfId="1297" applyFont="1" applyFill="1" applyBorder="1" applyAlignment="1" applyProtection="1">
      <alignment horizontal="left" vertical="center"/>
    </xf>
    <xf numFmtId="4" fontId="14" fillId="50" borderId="73" xfId="923" applyNumberFormat="1" applyFont="1" applyFill="1" applyBorder="1" applyAlignment="1">
      <alignment horizontal="right" vertical="center"/>
    </xf>
    <xf numFmtId="0" fontId="14" fillId="50" borderId="73" xfId="1297" applyFont="1" applyFill="1" applyBorder="1" applyAlignment="1">
      <alignment horizontal="center" vertical="center"/>
    </xf>
    <xf numFmtId="49" fontId="15" fillId="50" borderId="73" xfId="923" applyNumberFormat="1" applyFont="1" applyFill="1" applyBorder="1" applyAlignment="1">
      <alignment horizontal="right" vertical="center"/>
    </xf>
    <xf numFmtId="4" fontId="15" fillId="50" borderId="65" xfId="923" applyNumberFormat="1" applyFont="1" applyFill="1" applyBorder="1" applyAlignment="1">
      <alignment horizontal="right" vertical="center"/>
    </xf>
    <xf numFmtId="0" fontId="14" fillId="50" borderId="45" xfId="1297" applyFont="1" applyFill="1" applyBorder="1" applyAlignment="1" applyProtection="1">
      <alignment horizontal="left" vertical="center"/>
    </xf>
    <xf numFmtId="196" fontId="14" fillId="50" borderId="45" xfId="923" applyFont="1" applyFill="1" applyBorder="1" applyAlignment="1">
      <alignment horizontal="right" vertical="center"/>
    </xf>
    <xf numFmtId="0" fontId="14" fillId="50" borderId="45" xfId="1297" applyFont="1" applyFill="1" applyBorder="1" applyAlignment="1">
      <alignment horizontal="center" vertical="center"/>
    </xf>
    <xf numFmtId="49" fontId="15" fillId="50" borderId="45" xfId="923" applyNumberFormat="1" applyFont="1" applyFill="1" applyBorder="1" applyAlignment="1">
      <alignment horizontal="right" vertical="center"/>
    </xf>
    <xf numFmtId="4" fontId="15" fillId="50" borderId="46" xfId="923" applyNumberFormat="1" applyFont="1" applyFill="1" applyBorder="1" applyAlignment="1">
      <alignment horizontal="right" vertical="center"/>
    </xf>
    <xf numFmtId="0" fontId="0" fillId="50" borderId="0" xfId="0" applyFill="1"/>
    <xf numFmtId="0" fontId="15" fillId="50" borderId="24" xfId="1297" applyFont="1" applyFill="1" applyBorder="1" applyAlignment="1" applyProtection="1">
      <alignment horizontal="left" vertical="center"/>
    </xf>
    <xf numFmtId="173" fontId="14" fillId="50" borderId="24" xfId="924" applyFont="1" applyFill="1" applyBorder="1" applyAlignment="1">
      <alignment horizontal="right" vertical="center"/>
    </xf>
    <xf numFmtId="0" fontId="45" fillId="50" borderId="24" xfId="1047" applyFont="1" applyFill="1" applyBorder="1" applyAlignment="1">
      <alignment horizontal="center" vertical="top"/>
    </xf>
    <xf numFmtId="172" fontId="45" fillId="50" borderId="24" xfId="1047" applyNumberFormat="1" applyFont="1" applyFill="1" applyBorder="1" applyAlignment="1">
      <alignment vertical="top"/>
    </xf>
    <xf numFmtId="4" fontId="14" fillId="50" borderId="24" xfId="924" applyNumberFormat="1" applyFont="1" applyFill="1" applyBorder="1" applyAlignment="1">
      <alignment horizontal="right" vertical="center"/>
    </xf>
    <xf numFmtId="4" fontId="14" fillId="50" borderId="24" xfId="924" applyNumberFormat="1" applyFont="1" applyFill="1" applyBorder="1" applyAlignment="1" applyProtection="1">
      <alignment horizontal="right" vertical="center"/>
      <protection locked="0"/>
    </xf>
    <xf numFmtId="0" fontId="9" fillId="50" borderId="24" xfId="1299" applyFont="1" applyFill="1" applyBorder="1" applyAlignment="1">
      <alignment wrapText="1"/>
    </xf>
    <xf numFmtId="4" fontId="15" fillId="50" borderId="24" xfId="924" applyNumberFormat="1" applyFont="1" applyFill="1" applyBorder="1" applyAlignment="1">
      <alignment horizontal="right" vertical="center"/>
    </xf>
    <xf numFmtId="0" fontId="10" fillId="56" borderId="0" xfId="0" quotePrefix="1" applyFont="1" applyFill="1" applyAlignment="1">
      <alignment horizontal="left"/>
    </xf>
    <xf numFmtId="193" fontId="9" fillId="56" borderId="0" xfId="915" applyNumberFormat="1" applyFont="1" applyFill="1"/>
    <xf numFmtId="43" fontId="9" fillId="56" borderId="0" xfId="915" applyFont="1" applyFill="1"/>
    <xf numFmtId="0" fontId="9" fillId="56" borderId="39" xfId="0" applyFont="1" applyFill="1" applyBorder="1" applyAlignment="1">
      <alignment horizontal="left"/>
    </xf>
    <xf numFmtId="2" fontId="9" fillId="56" borderId="40" xfId="915" applyNumberFormat="1" applyFont="1" applyFill="1" applyBorder="1"/>
    <xf numFmtId="43" fontId="9" fillId="56" borderId="40" xfId="915" applyFont="1" applyFill="1" applyBorder="1" applyAlignment="1">
      <alignment horizontal="centerContinuous"/>
    </xf>
    <xf numFmtId="43" fontId="9" fillId="56" borderId="40" xfId="915" applyFont="1" applyFill="1" applyBorder="1"/>
    <xf numFmtId="43" fontId="9" fillId="56" borderId="41" xfId="915" applyFont="1" applyFill="1" applyBorder="1"/>
    <xf numFmtId="0" fontId="9" fillId="56" borderId="42" xfId="0" applyFont="1" applyFill="1" applyBorder="1" applyAlignment="1">
      <alignment horizontal="left"/>
    </xf>
    <xf numFmtId="2" fontId="9" fillId="56" borderId="24" xfId="915" applyNumberFormat="1" applyFont="1" applyFill="1" applyBorder="1"/>
    <xf numFmtId="43" fontId="9" fillId="56" borderId="24" xfId="915" applyFont="1" applyFill="1" applyBorder="1" applyAlignment="1">
      <alignment horizontal="centerContinuous"/>
    </xf>
    <xf numFmtId="43" fontId="9" fillId="56" borderId="24" xfId="915" applyFont="1" applyFill="1" applyBorder="1"/>
    <xf numFmtId="43" fontId="9" fillId="56" borderId="43" xfId="915" applyFont="1" applyFill="1" applyBorder="1"/>
    <xf numFmtId="193" fontId="9" fillId="56" borderId="24" xfId="915" applyNumberFormat="1" applyFont="1" applyFill="1" applyBorder="1"/>
    <xf numFmtId="0" fontId="9" fillId="56" borderId="44" xfId="0" applyFont="1" applyFill="1" applyBorder="1" applyAlignment="1">
      <alignment horizontal="left"/>
    </xf>
    <xf numFmtId="193" fontId="9" fillId="56" borderId="45" xfId="915" applyNumberFormat="1" applyFont="1" applyFill="1" applyBorder="1"/>
    <xf numFmtId="43" fontId="10" fillId="56" borderId="46" xfId="915" applyFont="1" applyFill="1" applyBorder="1" applyAlignment="1">
      <alignment horizontal="right"/>
    </xf>
    <xf numFmtId="4" fontId="9" fillId="0" borderId="24" xfId="1306" applyNumberFormat="1" applyFill="1" applyBorder="1"/>
    <xf numFmtId="4" fontId="9" fillId="50" borderId="19" xfId="868" applyNumberFormat="1" applyFont="1" applyFill="1" applyBorder="1" applyAlignment="1" applyProtection="1">
      <alignment horizontal="right" wrapText="1"/>
      <protection locked="0"/>
    </xf>
    <xf numFmtId="4" fontId="14" fillId="0" borderId="19" xfId="868" applyNumberFormat="1" applyFont="1" applyFill="1" applyBorder="1" applyAlignment="1">
      <alignment horizontal="right" vertical="center" wrapText="1"/>
    </xf>
    <xf numFmtId="4" fontId="9" fillId="0" borderId="19" xfId="868" applyNumberFormat="1" applyFont="1" applyFill="1" applyBorder="1" applyAlignment="1" applyProtection="1">
      <alignment horizontal="right" wrapText="1"/>
    </xf>
    <xf numFmtId="4" fontId="9" fillId="0" borderId="19" xfId="868" applyNumberFormat="1" applyFont="1" applyFill="1" applyBorder="1" applyAlignment="1" applyProtection="1">
      <alignment horizontal="right" vertical="center" wrapText="1"/>
    </xf>
    <xf numFmtId="4" fontId="14" fillId="0" borderId="19" xfId="868" applyNumberFormat="1" applyFont="1" applyFill="1" applyBorder="1" applyAlignment="1">
      <alignment horizontal="right" vertical="top" wrapText="1"/>
    </xf>
    <xf numFmtId="49" fontId="10" fillId="48" borderId="19" xfId="1305" applyNumberFormat="1" applyFont="1" applyFill="1" applyBorder="1" applyAlignment="1">
      <alignment horizontal="center" vertical="top"/>
    </xf>
    <xf numFmtId="0" fontId="10" fillId="48" borderId="19" xfId="0" applyFont="1" applyFill="1" applyBorder="1" applyAlignment="1">
      <alignment vertical="center"/>
    </xf>
    <xf numFmtId="4" fontId="9" fillId="48" borderId="19" xfId="1305" applyNumberFormat="1" applyFont="1" applyFill="1" applyBorder="1" applyAlignment="1">
      <alignment horizontal="right"/>
    </xf>
    <xf numFmtId="4" fontId="9" fillId="48" borderId="19" xfId="1305" applyNumberFormat="1" applyFont="1" applyFill="1" applyBorder="1" applyAlignment="1">
      <alignment horizontal="center"/>
    </xf>
    <xf numFmtId="173" fontId="9" fillId="48" borderId="19" xfId="805" applyFont="1" applyFill="1" applyBorder="1" applyAlignment="1">
      <alignment horizontal="right"/>
    </xf>
    <xf numFmtId="39" fontId="9" fillId="48" borderId="0" xfId="1305" applyFont="1" applyFill="1" applyBorder="1" applyAlignment="1">
      <alignment vertical="top"/>
    </xf>
    <xf numFmtId="49" fontId="9" fillId="48" borderId="19" xfId="1305" applyNumberFormat="1" applyFont="1" applyFill="1" applyBorder="1" applyAlignment="1">
      <alignment horizontal="right" vertical="top"/>
    </xf>
    <xf numFmtId="4" fontId="9" fillId="48" borderId="19" xfId="0" applyNumberFormat="1" applyFont="1" applyFill="1" applyBorder="1" applyAlignment="1">
      <alignment horizontal="center" vertical="center" wrapText="1"/>
    </xf>
    <xf numFmtId="39" fontId="9" fillId="48" borderId="19" xfId="805" applyNumberFormat="1" applyFont="1" applyFill="1" applyBorder="1"/>
    <xf numFmtId="0" fontId="9" fillId="48" borderId="19" xfId="0" applyFont="1" applyFill="1" applyBorder="1" applyAlignment="1">
      <alignment vertical="justify"/>
    </xf>
    <xf numFmtId="49" fontId="10" fillId="48" borderId="19" xfId="1305" applyNumberFormat="1" applyFont="1" applyFill="1" applyBorder="1" applyAlignment="1">
      <alignment horizontal="right" vertical="top"/>
    </xf>
    <xf numFmtId="0" fontId="10" fillId="48" borderId="19" xfId="0" applyFont="1" applyFill="1" applyBorder="1" applyAlignment="1">
      <alignment vertical="justify"/>
    </xf>
    <xf numFmtId="0" fontId="10" fillId="48" borderId="19" xfId="0" applyFont="1" applyFill="1" applyBorder="1"/>
    <xf numFmtId="49" fontId="9" fillId="49" borderId="19" xfId="1305" applyNumberFormat="1" applyFont="1" applyFill="1" applyBorder="1" applyAlignment="1">
      <alignment horizontal="right" vertical="top"/>
    </xf>
    <xf numFmtId="49" fontId="10" fillId="49" borderId="19" xfId="1305" applyNumberFormat="1" applyFont="1" applyFill="1" applyBorder="1" applyAlignment="1">
      <alignment horizontal="center" vertical="top" wrapText="1"/>
    </xf>
    <xf numFmtId="4" fontId="9" fillId="49" borderId="19" xfId="1305" applyNumberFormat="1" applyFont="1" applyFill="1" applyBorder="1" applyAlignment="1">
      <alignment horizontal="center"/>
    </xf>
    <xf numFmtId="173" fontId="9" fillId="49" borderId="19" xfId="805" applyFont="1" applyFill="1" applyBorder="1" applyAlignment="1">
      <alignment horizontal="right"/>
    </xf>
    <xf numFmtId="39" fontId="9" fillId="49" borderId="0" xfId="1305" applyFont="1" applyFill="1" applyBorder="1" applyAlignment="1">
      <alignment vertical="top"/>
    </xf>
    <xf numFmtId="1" fontId="10" fillId="48" borderId="19" xfId="0" applyNumberFormat="1" applyFont="1" applyFill="1" applyBorder="1" applyAlignment="1">
      <alignment horizontal="center" vertical="top"/>
    </xf>
    <xf numFmtId="4" fontId="9" fillId="48" borderId="19" xfId="0" applyNumberFormat="1" applyFont="1" applyFill="1" applyBorder="1" applyAlignment="1"/>
    <xf numFmtId="172" fontId="10" fillId="48" borderId="19" xfId="0" applyNumberFormat="1" applyFont="1" applyFill="1" applyBorder="1" applyAlignment="1">
      <alignment horizontal="right"/>
    </xf>
    <xf numFmtId="0" fontId="9" fillId="48" borderId="19" xfId="0" applyFont="1" applyFill="1" applyBorder="1" applyAlignment="1">
      <alignment horizontal="right" vertical="top"/>
    </xf>
    <xf numFmtId="0" fontId="9" fillId="48" borderId="19" xfId="0" applyFont="1" applyFill="1" applyBorder="1" applyAlignment="1">
      <alignment horizontal="left" vertical="top" wrapText="1"/>
    </xf>
    <xf numFmtId="172" fontId="9" fillId="48" borderId="19" xfId="0" applyNumberFormat="1" applyFont="1" applyFill="1" applyBorder="1" applyAlignment="1">
      <alignment horizontal="center" vertical="top" wrapText="1"/>
    </xf>
    <xf numFmtId="0" fontId="10" fillId="48" borderId="19" xfId="0" applyFont="1" applyFill="1" applyBorder="1" applyAlignment="1">
      <alignment horizontal="right" vertical="top"/>
    </xf>
    <xf numFmtId="172" fontId="9" fillId="48" borderId="19" xfId="0" applyNumberFormat="1" applyFont="1" applyFill="1" applyBorder="1" applyAlignment="1">
      <alignment horizontal="center" wrapText="1"/>
    </xf>
    <xf numFmtId="0" fontId="9" fillId="49" borderId="19" xfId="0" applyFont="1" applyFill="1" applyBorder="1" applyAlignment="1">
      <alignment horizontal="right"/>
    </xf>
    <xf numFmtId="0" fontId="10" fillId="49" borderId="19" xfId="0" applyFont="1" applyFill="1" applyBorder="1" applyAlignment="1">
      <alignment horizontal="center"/>
    </xf>
    <xf numFmtId="4" fontId="9" fillId="49" borderId="19" xfId="0" applyNumberFormat="1" applyFont="1" applyFill="1" applyBorder="1"/>
    <xf numFmtId="0" fontId="9" fillId="49" borderId="19" xfId="0" applyFont="1" applyFill="1" applyBorder="1" applyAlignment="1">
      <alignment horizontal="center"/>
    </xf>
    <xf numFmtId="173" fontId="9" fillId="49" borderId="19" xfId="805" applyFont="1" applyFill="1" applyBorder="1" applyAlignment="1">
      <alignment horizontal="center"/>
    </xf>
    <xf numFmtId="4" fontId="10" fillId="49" borderId="19" xfId="0" applyNumberFormat="1" applyFont="1" applyFill="1" applyBorder="1" applyAlignment="1">
      <alignment horizontal="right"/>
    </xf>
    <xf numFmtId="4" fontId="9" fillId="49" borderId="0" xfId="0" applyNumberFormat="1" applyFont="1" applyFill="1" applyBorder="1"/>
    <xf numFmtId="39" fontId="9" fillId="48" borderId="0" xfId="0" applyNumberFormat="1" applyFont="1" applyFill="1" applyBorder="1" applyProtection="1">
      <protection locked="0"/>
    </xf>
    <xf numFmtId="0" fontId="9" fillId="48" borderId="0" xfId="0" applyFont="1" applyFill="1" applyBorder="1" applyAlignment="1">
      <alignment vertical="top" wrapText="1"/>
    </xf>
    <xf numFmtId="0" fontId="9" fillId="48" borderId="0" xfId="0" applyFont="1" applyFill="1" applyBorder="1" applyAlignment="1">
      <alignment vertical="center"/>
    </xf>
    <xf numFmtId="4" fontId="47" fillId="48" borderId="0" xfId="0" applyNumberFormat="1" applyFont="1" applyFill="1" applyBorder="1"/>
    <xf numFmtId="0" fontId="47" fillId="48" borderId="0" xfId="0" applyFont="1" applyFill="1" applyBorder="1"/>
    <xf numFmtId="0" fontId="10" fillId="49" borderId="19" xfId="0" applyFont="1" applyFill="1" applyBorder="1" applyAlignment="1">
      <alignment horizontal="center" vertical="top" wrapText="1"/>
    </xf>
    <xf numFmtId="49" fontId="10" fillId="49" borderId="19" xfId="0" applyNumberFormat="1" applyFont="1" applyFill="1" applyBorder="1" applyAlignment="1">
      <alignment horizontal="center" vertical="top" wrapText="1"/>
    </xf>
    <xf numFmtId="39" fontId="9" fillId="49" borderId="19" xfId="805" applyNumberFormat="1" applyFont="1" applyFill="1" applyBorder="1" applyAlignment="1">
      <alignment vertical="top" wrapText="1"/>
    </xf>
    <xf numFmtId="172" fontId="9" fillId="49" borderId="19" xfId="0" applyNumberFormat="1" applyFont="1" applyFill="1" applyBorder="1" applyAlignment="1">
      <alignment horizontal="center" vertical="top" wrapText="1"/>
    </xf>
    <xf numFmtId="39" fontId="9" fillId="49" borderId="19" xfId="0" applyNumberFormat="1" applyFont="1" applyFill="1" applyBorder="1" applyAlignment="1" applyProtection="1">
      <alignment vertical="top" wrapText="1"/>
      <protection locked="0"/>
    </xf>
    <xf numFmtId="0" fontId="9" fillId="49" borderId="0" xfId="0" applyFont="1" applyFill="1" applyBorder="1" applyAlignment="1">
      <alignment vertical="top" wrapText="1"/>
    </xf>
    <xf numFmtId="0" fontId="10" fillId="48" borderId="19" xfId="0" applyFont="1" applyFill="1" applyBorder="1" applyAlignment="1">
      <alignment vertical="center" wrapText="1"/>
    </xf>
    <xf numFmtId="4" fontId="9" fillId="0" borderId="0" xfId="0" applyNumberFormat="1" applyFont="1" applyFill="1" applyAlignment="1">
      <alignment vertical="center" wrapText="1"/>
    </xf>
    <xf numFmtId="0" fontId="9" fillId="48" borderId="19" xfId="0" applyFont="1" applyFill="1" applyBorder="1" applyAlignment="1">
      <alignment horizontal="left" vertical="center" wrapText="1"/>
    </xf>
    <xf numFmtId="4" fontId="14" fillId="0" borderId="25" xfId="868" applyNumberFormat="1" applyFont="1" applyFill="1" applyBorder="1" applyAlignment="1">
      <alignment horizontal="right" vertical="top" wrapText="1"/>
    </xf>
    <xf numFmtId="4" fontId="10" fillId="0" borderId="19" xfId="868" applyNumberFormat="1" applyFont="1" applyFill="1" applyBorder="1" applyAlignment="1" applyProtection="1">
      <alignment horizontal="right" wrapText="1"/>
    </xf>
    <xf numFmtId="188" fontId="9" fillId="57" borderId="19" xfId="838" applyNumberFormat="1" applyFont="1" applyFill="1" applyBorder="1" applyAlignment="1" applyProtection="1">
      <alignment horizontal="right" vertical="center"/>
    </xf>
    <xf numFmtId="0" fontId="10" fillId="57" borderId="19" xfId="0" applyFont="1" applyFill="1" applyBorder="1" applyAlignment="1">
      <alignment horizontal="center" vertical="top" wrapText="1"/>
    </xf>
    <xf numFmtId="4" fontId="9" fillId="57" borderId="19" xfId="868" applyNumberFormat="1" applyFont="1" applyFill="1" applyBorder="1" applyAlignment="1">
      <alignment horizontal="right" vertical="center" wrapText="1"/>
    </xf>
    <xf numFmtId="4" fontId="9" fillId="57" borderId="19" xfId="868" applyNumberFormat="1" applyFont="1" applyFill="1" applyBorder="1" applyAlignment="1">
      <alignment horizontal="center" vertical="center"/>
    </xf>
    <xf numFmtId="0" fontId="10" fillId="57" borderId="19" xfId="0" applyFont="1" applyFill="1" applyBorder="1" applyAlignment="1">
      <alignment horizontal="left" vertical="top" wrapText="1"/>
    </xf>
    <xf numFmtId="4" fontId="10" fillId="57" borderId="19" xfId="0" applyNumberFormat="1" applyFont="1" applyFill="1" applyBorder="1" applyAlignment="1" applyProtection="1">
      <alignment vertical="top" wrapText="1"/>
    </xf>
    <xf numFmtId="172" fontId="10" fillId="57" borderId="19" xfId="0" applyNumberFormat="1" applyFont="1" applyFill="1" applyBorder="1" applyAlignment="1">
      <alignment horizontal="center" vertical="top" wrapText="1"/>
    </xf>
    <xf numFmtId="173" fontId="10" fillId="57" borderId="19" xfId="805" applyFont="1" applyFill="1" applyBorder="1" applyAlignment="1" applyProtection="1">
      <alignment vertical="top" wrapText="1"/>
    </xf>
    <xf numFmtId="0" fontId="10" fillId="57" borderId="19" xfId="0" applyFont="1" applyFill="1" applyBorder="1" applyAlignment="1">
      <alignment horizontal="center"/>
    </xf>
    <xf numFmtId="39" fontId="9" fillId="57" borderId="19" xfId="805" applyNumberFormat="1" applyFont="1" applyFill="1" applyBorder="1"/>
    <xf numFmtId="0" fontId="9" fillId="57" borderId="19" xfId="0" applyFont="1" applyFill="1" applyBorder="1" applyAlignment="1">
      <alignment horizontal="center"/>
    </xf>
    <xf numFmtId="172" fontId="9" fillId="57" borderId="19" xfId="0" applyNumberFormat="1" applyFont="1" applyFill="1" applyBorder="1"/>
    <xf numFmtId="0" fontId="9" fillId="57" borderId="19" xfId="0" applyFont="1" applyFill="1" applyBorder="1" applyAlignment="1">
      <alignment horizontal="right"/>
    </xf>
    <xf numFmtId="0" fontId="9" fillId="57" borderId="19" xfId="0" applyFont="1" applyFill="1" applyBorder="1"/>
    <xf numFmtId="0" fontId="10" fillId="57" borderId="19" xfId="0" applyFont="1" applyFill="1" applyBorder="1" applyAlignment="1">
      <alignment vertical="center"/>
    </xf>
    <xf numFmtId="4" fontId="9" fillId="57" borderId="19" xfId="0" applyNumberFormat="1" applyFont="1" applyFill="1" applyBorder="1" applyAlignment="1" applyProtection="1">
      <alignment horizontal="right" vertical="center"/>
    </xf>
    <xf numFmtId="172" fontId="9" fillId="57" borderId="19" xfId="0" applyNumberFormat="1" applyFont="1" applyFill="1" applyBorder="1" applyAlignment="1">
      <alignment horizontal="center" vertical="center"/>
    </xf>
    <xf numFmtId="173" fontId="9" fillId="57" borderId="19" xfId="805" applyFont="1" applyFill="1" applyBorder="1" applyProtection="1">
      <protection locked="0"/>
    </xf>
    <xf numFmtId="198" fontId="9" fillId="57" borderId="19" xfId="0" applyNumberFormat="1" applyFont="1" applyFill="1" applyBorder="1" applyAlignment="1">
      <alignment horizontal="right" vertical="center"/>
    </xf>
    <xf numFmtId="0" fontId="9" fillId="57" borderId="19" xfId="0" applyFont="1" applyFill="1" applyBorder="1" applyAlignment="1">
      <alignment vertical="center"/>
    </xf>
    <xf numFmtId="4" fontId="9" fillId="57" borderId="19" xfId="0" applyNumberFormat="1" applyFont="1" applyFill="1" applyBorder="1" applyAlignment="1"/>
    <xf numFmtId="172" fontId="9" fillId="57" borderId="19" xfId="0" applyNumberFormat="1" applyFont="1" applyFill="1" applyBorder="1" applyAlignment="1">
      <alignment horizontal="center" wrapText="1"/>
    </xf>
    <xf numFmtId="173" fontId="9" fillId="57" borderId="19" xfId="805" applyFont="1" applyFill="1" applyBorder="1" applyAlignment="1">
      <alignment horizontal="right"/>
    </xf>
    <xf numFmtId="0" fontId="9" fillId="57" borderId="19" xfId="0" applyFont="1" applyFill="1" applyBorder="1" applyAlignment="1">
      <alignment vertical="justify"/>
    </xf>
    <xf numFmtId="39" fontId="9" fillId="57" borderId="19" xfId="1283" applyFont="1" applyFill="1" applyBorder="1" applyAlignment="1">
      <alignment horizontal="left" vertical="justify"/>
    </xf>
    <xf numFmtId="0" fontId="10" fillId="57" borderId="19" xfId="0" applyFont="1" applyFill="1" applyBorder="1" applyAlignment="1">
      <alignment horizontal="right"/>
    </xf>
    <xf numFmtId="0" fontId="10" fillId="57" borderId="19" xfId="0" applyFont="1" applyFill="1" applyBorder="1"/>
    <xf numFmtId="0" fontId="10" fillId="57" borderId="19" xfId="0" quotePrefix="1" applyFont="1" applyFill="1" applyBorder="1" applyAlignment="1">
      <alignment horizontal="left"/>
    </xf>
    <xf numFmtId="0" fontId="9" fillId="57" borderId="19" xfId="0" quotePrefix="1" applyFont="1" applyFill="1" applyBorder="1" applyAlignment="1">
      <alignment horizontal="left"/>
    </xf>
    <xf numFmtId="0" fontId="9" fillId="57" borderId="19" xfId="0" applyFont="1" applyFill="1" applyBorder="1" applyAlignment="1">
      <alignment horizontal="left"/>
    </xf>
    <xf numFmtId="4" fontId="9" fillId="57" borderId="19" xfId="0" applyNumberFormat="1" applyFont="1" applyFill="1" applyBorder="1"/>
    <xf numFmtId="0" fontId="10" fillId="57" borderId="19" xfId="0" applyFont="1" applyFill="1" applyBorder="1" applyAlignment="1">
      <alignment horizontal="left"/>
    </xf>
    <xf numFmtId="194" fontId="10" fillId="57" borderId="19" xfId="0" applyNumberFormat="1" applyFont="1" applyFill="1" applyBorder="1" applyAlignment="1">
      <alignment horizontal="right"/>
    </xf>
    <xf numFmtId="0" fontId="9" fillId="57" borderId="19" xfId="0" quotePrefix="1" applyFont="1" applyFill="1" applyBorder="1" applyAlignment="1">
      <alignment horizontal="right"/>
    </xf>
    <xf numFmtId="0" fontId="9" fillId="57" borderId="19" xfId="0" quotePrefix="1" applyFont="1" applyFill="1" applyBorder="1" applyAlignment="1">
      <alignment horizontal="right" vertical="top" wrapText="1"/>
    </xf>
    <xf numFmtId="0" fontId="9" fillId="57" borderId="19" xfId="0" applyFont="1" applyFill="1" applyBorder="1" applyAlignment="1">
      <alignment wrapText="1"/>
    </xf>
    <xf numFmtId="0" fontId="9" fillId="57" borderId="19" xfId="0" applyFont="1" applyFill="1" applyBorder="1" applyAlignment="1">
      <alignment horizontal="right" vertical="top"/>
    </xf>
    <xf numFmtId="0" fontId="9" fillId="57" borderId="19" xfId="0" applyFont="1" applyFill="1" applyBorder="1" applyAlignment="1">
      <alignment horizontal="right" vertical="top" wrapText="1"/>
    </xf>
    <xf numFmtId="0" fontId="10" fillId="57" borderId="19" xfId="0" applyFont="1" applyFill="1" applyBorder="1" applyAlignment="1">
      <alignment horizontal="right" vertical="top" wrapText="1"/>
    </xf>
    <xf numFmtId="0" fontId="10" fillId="57" borderId="19" xfId="0" applyFont="1" applyFill="1" applyBorder="1" applyAlignment="1">
      <alignment vertical="top" wrapText="1"/>
    </xf>
    <xf numFmtId="0" fontId="10" fillId="57" borderId="19" xfId="0" quotePrefix="1" applyFont="1" applyFill="1" applyBorder="1" applyAlignment="1">
      <alignment horizontal="left" wrapText="1"/>
    </xf>
    <xf numFmtId="0" fontId="10" fillId="57" borderId="19" xfId="0" applyFont="1" applyFill="1" applyBorder="1" applyAlignment="1">
      <alignment wrapText="1"/>
    </xf>
    <xf numFmtId="0" fontId="9" fillId="57" borderId="19" xfId="0" applyFont="1" applyFill="1" applyBorder="1" applyAlignment="1">
      <alignment horizontal="right" vertical="justify" wrapText="1"/>
    </xf>
    <xf numFmtId="0" fontId="9" fillId="57" borderId="19" xfId="0" applyFont="1" applyFill="1" applyBorder="1" applyAlignment="1">
      <alignment vertical="justify" wrapText="1"/>
    </xf>
    <xf numFmtId="39" fontId="9" fillId="57" borderId="19" xfId="805" applyNumberFormat="1" applyFont="1" applyFill="1" applyBorder="1" applyAlignment="1">
      <alignment vertical="justify"/>
    </xf>
    <xf numFmtId="0" fontId="9" fillId="57" borderId="19" xfId="0" applyFont="1" applyFill="1" applyBorder="1" applyAlignment="1">
      <alignment horizontal="center" vertical="justify"/>
    </xf>
    <xf numFmtId="172" fontId="9" fillId="57" borderId="19" xfId="0" applyNumberFormat="1" applyFont="1" applyFill="1" applyBorder="1" applyAlignment="1">
      <alignment vertical="justify"/>
    </xf>
    <xf numFmtId="0" fontId="10" fillId="57" borderId="19" xfId="0" applyFont="1" applyFill="1" applyBorder="1" applyAlignment="1">
      <alignment horizontal="right" vertical="justify" wrapText="1"/>
    </xf>
    <xf numFmtId="0" fontId="10" fillId="57" borderId="19" xfId="0" quotePrefix="1" applyFont="1" applyFill="1" applyBorder="1" applyAlignment="1">
      <alignment horizontal="left" vertical="justify" wrapText="1"/>
    </xf>
    <xf numFmtId="0" fontId="9" fillId="57" borderId="19" xfId="0" quotePrefix="1" applyFont="1" applyFill="1" applyBorder="1" applyAlignment="1">
      <alignment horizontal="center"/>
    </xf>
    <xf numFmtId="0" fontId="9" fillId="57" borderId="19" xfId="0" applyFont="1" applyFill="1" applyBorder="1" applyAlignment="1">
      <alignment horizontal="left" vertical="top" wrapText="1"/>
    </xf>
    <xf numFmtId="39" fontId="9" fillId="57" borderId="19" xfId="805" applyNumberFormat="1" applyFont="1" applyFill="1" applyBorder="1" applyAlignment="1">
      <alignment horizontal="right" vertical="top"/>
    </xf>
    <xf numFmtId="0" fontId="9" fillId="57" borderId="19" xfId="0" applyFont="1" applyFill="1" applyBorder="1" applyAlignment="1">
      <alignment horizontal="center" vertical="top"/>
    </xf>
    <xf numFmtId="4" fontId="9" fillId="57" borderId="19" xfId="0" applyNumberFormat="1" applyFont="1" applyFill="1" applyBorder="1" applyAlignment="1">
      <alignment horizontal="right" vertical="top"/>
    </xf>
    <xf numFmtId="172" fontId="9" fillId="57" borderId="19" xfId="0" applyNumberFormat="1" applyFont="1" applyFill="1" applyBorder="1" applyAlignment="1">
      <alignment horizontal="center"/>
    </xf>
    <xf numFmtId="0" fontId="9" fillId="57" borderId="19" xfId="0" quotePrefix="1" applyFont="1" applyFill="1" applyBorder="1" applyAlignment="1">
      <alignment horizontal="left" vertical="justify" wrapText="1"/>
    </xf>
    <xf numFmtId="173" fontId="9" fillId="57" borderId="19" xfId="805" applyFont="1" applyFill="1" applyBorder="1"/>
    <xf numFmtId="0" fontId="9" fillId="57" borderId="19" xfId="0" quotePrefix="1" applyFont="1" applyFill="1" applyBorder="1" applyAlignment="1">
      <alignment horizontal="left" vertical="top" wrapText="1"/>
    </xf>
    <xf numFmtId="1" fontId="10" fillId="57" borderId="19" xfId="0" applyNumberFormat="1" applyFont="1" applyFill="1" applyBorder="1" applyAlignment="1">
      <alignment horizontal="right"/>
    </xf>
    <xf numFmtId="194" fontId="9" fillId="57" borderId="19" xfId="0" applyNumberFormat="1" applyFont="1" applyFill="1" applyBorder="1" applyAlignment="1">
      <alignment horizontal="right"/>
    </xf>
    <xf numFmtId="1" fontId="9" fillId="57" borderId="19" xfId="0" applyNumberFormat="1" applyFont="1" applyFill="1" applyBorder="1" applyAlignment="1">
      <alignment horizontal="right"/>
    </xf>
    <xf numFmtId="194" fontId="10" fillId="57" borderId="19" xfId="0" applyNumberFormat="1" applyFont="1" applyFill="1" applyBorder="1" applyAlignment="1">
      <alignment horizontal="center" vertical="center"/>
    </xf>
    <xf numFmtId="39" fontId="10" fillId="57" borderId="19" xfId="1047" applyNumberFormat="1" applyFont="1" applyFill="1" applyBorder="1" applyAlignment="1">
      <alignment horizontal="left" vertical="top" wrapText="1"/>
    </xf>
    <xf numFmtId="39" fontId="9" fillId="57" borderId="19" xfId="805" applyNumberFormat="1" applyFont="1" applyFill="1" applyBorder="1" applyAlignment="1">
      <alignment vertical="top" wrapText="1"/>
    </xf>
    <xf numFmtId="4" fontId="9" fillId="57" borderId="19" xfId="1047" applyNumberFormat="1" applyFont="1" applyFill="1" applyBorder="1" applyAlignment="1">
      <alignment horizontal="center" vertical="top" wrapText="1"/>
    </xf>
    <xf numFmtId="4" fontId="9" fillId="57" borderId="19" xfId="1047" applyNumberFormat="1" applyFont="1" applyFill="1" applyBorder="1" applyAlignment="1" applyProtection="1">
      <alignment vertical="top" wrapText="1"/>
      <protection locked="0"/>
    </xf>
    <xf numFmtId="39" fontId="9" fillId="57" borderId="19" xfId="1047" applyNumberFormat="1" applyFont="1" applyFill="1" applyBorder="1" applyAlignment="1">
      <alignment horizontal="right" vertical="top" wrapText="1"/>
    </xf>
    <xf numFmtId="39" fontId="9" fillId="57" borderId="19" xfId="1047" applyNumberFormat="1" applyFont="1" applyFill="1" applyBorder="1" applyAlignment="1">
      <alignment vertical="top" wrapText="1"/>
    </xf>
    <xf numFmtId="37" fontId="10" fillId="57" borderId="19" xfId="1047" applyNumberFormat="1" applyFont="1" applyFill="1" applyBorder="1" applyAlignment="1">
      <alignment horizontal="right" vertical="top" wrapText="1"/>
    </xf>
    <xf numFmtId="39" fontId="10" fillId="57" borderId="19" xfId="1047" applyNumberFormat="1" applyFont="1" applyFill="1" applyBorder="1" applyAlignment="1">
      <alignment vertical="top" wrapText="1"/>
    </xf>
    <xf numFmtId="198" fontId="9" fillId="57" borderId="19" xfId="1047" applyNumberFormat="1" applyFont="1" applyFill="1" applyBorder="1" applyAlignment="1">
      <alignment horizontal="right" vertical="top" wrapText="1"/>
    </xf>
    <xf numFmtId="4" fontId="9" fillId="57" borderId="19" xfId="0" applyNumberFormat="1" applyFont="1" applyFill="1" applyBorder="1" applyAlignment="1">
      <alignment vertical="center"/>
    </xf>
    <xf numFmtId="39" fontId="9" fillId="57" borderId="19" xfId="805" applyNumberFormat="1" applyFont="1" applyFill="1" applyBorder="1" applyAlignment="1" applyProtection="1">
      <alignment vertical="top" wrapText="1"/>
      <protection locked="0"/>
    </xf>
    <xf numFmtId="4" fontId="9" fillId="57" borderId="19" xfId="1047" applyNumberFormat="1" applyFont="1" applyFill="1" applyBorder="1"/>
    <xf numFmtId="0" fontId="9" fillId="57" borderId="19" xfId="1047" applyFont="1" applyFill="1" applyBorder="1"/>
    <xf numFmtId="39" fontId="9" fillId="57" borderId="19" xfId="805" applyNumberFormat="1" applyFont="1" applyFill="1" applyBorder="1" applyAlignment="1">
      <alignment horizontal="right" vertical="top" wrapText="1"/>
    </xf>
    <xf numFmtId="4" fontId="9" fillId="57" borderId="19" xfId="0" applyNumberFormat="1" applyFont="1" applyFill="1" applyBorder="1" applyAlignment="1">
      <alignment wrapText="1"/>
    </xf>
    <xf numFmtId="39" fontId="9" fillId="57" borderId="19" xfId="805" applyNumberFormat="1" applyFont="1" applyFill="1" applyBorder="1" applyAlignment="1">
      <alignment wrapText="1"/>
    </xf>
    <xf numFmtId="4" fontId="9" fillId="57" borderId="19" xfId="1047" applyNumberFormat="1" applyFont="1" applyFill="1" applyBorder="1" applyAlignment="1">
      <alignment horizontal="center" wrapText="1"/>
    </xf>
    <xf numFmtId="4" fontId="9" fillId="57" borderId="19" xfId="1047" applyNumberFormat="1" applyFont="1" applyFill="1" applyBorder="1" applyAlignment="1" applyProtection="1">
      <alignment wrapText="1"/>
      <protection locked="0"/>
    </xf>
    <xf numFmtId="37" fontId="9" fillId="57" borderId="19" xfId="1047" applyNumberFormat="1" applyFont="1" applyFill="1" applyBorder="1" applyAlignment="1">
      <alignment horizontal="right" vertical="top" wrapText="1"/>
    </xf>
    <xf numFmtId="1" fontId="10" fillId="57" borderId="19" xfId="0" applyNumberFormat="1" applyFont="1" applyFill="1" applyBorder="1" applyAlignment="1">
      <alignment horizontal="right" vertical="center" wrapText="1"/>
    </xf>
    <xf numFmtId="39" fontId="9" fillId="57" borderId="19" xfId="805" applyNumberFormat="1" applyFont="1" applyFill="1" applyBorder="1" applyAlignment="1">
      <alignment vertical="center"/>
    </xf>
    <xf numFmtId="4" fontId="9" fillId="57" borderId="19" xfId="0" applyNumberFormat="1" applyFont="1" applyFill="1" applyBorder="1" applyAlignment="1">
      <alignment horizontal="center" vertical="center"/>
    </xf>
    <xf numFmtId="194" fontId="9" fillId="57" borderId="19" xfId="0" applyNumberFormat="1" applyFont="1" applyFill="1" applyBorder="1" applyAlignment="1">
      <alignment horizontal="right" vertical="justify" wrapText="1"/>
    </xf>
    <xf numFmtId="4" fontId="9" fillId="57" borderId="19" xfId="0" applyNumberFormat="1" applyFont="1" applyFill="1" applyBorder="1" applyAlignment="1">
      <alignment horizontal="center" wrapText="1"/>
    </xf>
    <xf numFmtId="194" fontId="9" fillId="57" borderId="19" xfId="0" applyNumberFormat="1" applyFont="1" applyFill="1" applyBorder="1" applyAlignment="1">
      <alignment horizontal="right" vertical="center" wrapText="1"/>
    </xf>
    <xf numFmtId="1" fontId="9" fillId="57" borderId="19" xfId="0" applyNumberFormat="1" applyFont="1" applyFill="1" applyBorder="1" applyAlignment="1">
      <alignment horizontal="right" vertical="center" wrapText="1"/>
    </xf>
    <xf numFmtId="198" fontId="9" fillId="57" borderId="19" xfId="1047" applyNumberFormat="1" applyFont="1" applyFill="1" applyBorder="1" applyAlignment="1" applyProtection="1">
      <alignment horizontal="right" vertical="top" wrapText="1"/>
    </xf>
    <xf numFmtId="39" fontId="9" fillId="57" borderId="19" xfId="1047" applyNumberFormat="1" applyFont="1" applyFill="1" applyBorder="1" applyAlignment="1" applyProtection="1">
      <alignment vertical="top" wrapText="1"/>
    </xf>
    <xf numFmtId="4" fontId="9" fillId="57" borderId="19" xfId="1047" applyNumberFormat="1" applyFont="1" applyFill="1" applyBorder="1" applyAlignment="1" applyProtection="1">
      <alignment horizontal="center" vertical="top" wrapText="1"/>
    </xf>
    <xf numFmtId="4" fontId="9" fillId="57" borderId="19" xfId="1047" applyNumberFormat="1" applyFont="1" applyFill="1" applyBorder="1" applyAlignment="1" applyProtection="1">
      <alignment horizontal="center" wrapText="1"/>
    </xf>
    <xf numFmtId="39" fontId="9" fillId="57" borderId="19" xfId="1047" applyNumberFormat="1" applyFont="1" applyFill="1" applyBorder="1" applyAlignment="1">
      <alignment vertical="top"/>
    </xf>
    <xf numFmtId="39" fontId="9" fillId="57" borderId="19" xfId="1047" applyNumberFormat="1" applyFont="1" applyFill="1" applyBorder="1" applyAlignment="1">
      <alignment horizontal="left" vertical="top" wrapText="1"/>
    </xf>
    <xf numFmtId="49" fontId="10" fillId="57" borderId="19" xfId="0" applyNumberFormat="1" applyFont="1" applyFill="1" applyBorder="1" applyAlignment="1">
      <alignment horizontal="center" vertical="top" wrapText="1"/>
    </xf>
    <xf numFmtId="172" fontId="9" fillId="57" borderId="19" xfId="0" applyNumberFormat="1" applyFont="1" applyFill="1" applyBorder="1" applyAlignment="1">
      <alignment horizontal="center" vertical="top" wrapText="1"/>
    </xf>
    <xf numFmtId="39" fontId="9" fillId="57" borderId="19" xfId="0" applyNumberFormat="1" applyFont="1" applyFill="1" applyBorder="1" applyAlignment="1" applyProtection="1">
      <alignment vertical="top" wrapText="1"/>
      <protection locked="0"/>
    </xf>
    <xf numFmtId="49" fontId="10" fillId="57" borderId="19" xfId="0" applyNumberFormat="1" applyFont="1" applyFill="1" applyBorder="1" applyAlignment="1">
      <alignment horizontal="left" vertical="top" wrapText="1"/>
    </xf>
    <xf numFmtId="1" fontId="9" fillId="57" borderId="19" xfId="0" applyNumberFormat="1" applyFont="1" applyFill="1" applyBorder="1" applyAlignment="1">
      <alignment horizontal="right" vertical="top" wrapText="1"/>
    </xf>
    <xf numFmtId="49" fontId="9" fillId="57" borderId="19" xfId="0" applyNumberFormat="1" applyFont="1" applyFill="1" applyBorder="1" applyAlignment="1">
      <alignment horizontal="left" vertical="top" wrapText="1"/>
    </xf>
    <xf numFmtId="1" fontId="9" fillId="57" borderId="19" xfId="0" applyNumberFormat="1" applyFont="1" applyFill="1" applyBorder="1" applyAlignment="1">
      <alignment vertical="top" wrapText="1"/>
    </xf>
    <xf numFmtId="49" fontId="9" fillId="57" borderId="19" xfId="0" applyNumberFormat="1" applyFont="1" applyFill="1" applyBorder="1" applyAlignment="1">
      <alignment vertical="top" wrapText="1"/>
    </xf>
    <xf numFmtId="194" fontId="9" fillId="57" borderId="19" xfId="0" applyNumberFormat="1" applyFont="1" applyFill="1" applyBorder="1" applyAlignment="1">
      <alignment vertical="top" wrapText="1"/>
    </xf>
    <xf numFmtId="1" fontId="10" fillId="57" borderId="19" xfId="0" applyNumberFormat="1" applyFont="1" applyFill="1" applyBorder="1" applyAlignment="1">
      <alignment vertical="top" wrapText="1"/>
    </xf>
    <xf numFmtId="49" fontId="10" fillId="57" borderId="19" xfId="0" applyNumberFormat="1" applyFont="1" applyFill="1" applyBorder="1" applyAlignment="1">
      <alignment vertical="top" wrapText="1"/>
    </xf>
    <xf numFmtId="198" fontId="9" fillId="57" borderId="19" xfId="0" applyNumberFormat="1" applyFont="1" applyFill="1" applyBorder="1" applyAlignment="1">
      <alignment horizontal="right" vertical="top" wrapText="1"/>
    </xf>
    <xf numFmtId="37" fontId="10" fillId="57" borderId="19" xfId="0" applyNumberFormat="1" applyFont="1" applyFill="1" applyBorder="1" applyAlignment="1">
      <alignment horizontal="right" vertical="top" wrapText="1"/>
    </xf>
    <xf numFmtId="194" fontId="9" fillId="57" borderId="19" xfId="0" applyNumberFormat="1" applyFont="1" applyFill="1" applyBorder="1" applyAlignment="1">
      <alignment horizontal="right" vertical="top" wrapText="1"/>
    </xf>
    <xf numFmtId="2" fontId="9" fillId="57" borderId="19" xfId="0" applyNumberFormat="1" applyFont="1" applyFill="1" applyBorder="1" applyAlignment="1">
      <alignment horizontal="right" vertical="top" wrapText="1"/>
    </xf>
    <xf numFmtId="0" fontId="9" fillId="57" borderId="19" xfId="0" applyFont="1" applyFill="1" applyBorder="1" applyAlignment="1">
      <alignment vertical="top" wrapText="1"/>
    </xf>
    <xf numFmtId="39" fontId="9" fillId="57" borderId="19" xfId="0" applyNumberFormat="1" applyFont="1" applyFill="1" applyBorder="1" applyAlignment="1" applyProtection="1">
      <alignment wrapText="1"/>
      <protection locked="0"/>
    </xf>
    <xf numFmtId="1" fontId="10" fillId="57" borderId="19" xfId="1303" applyNumberFormat="1" applyFont="1" applyFill="1" applyBorder="1" applyAlignment="1">
      <alignment horizontal="right" vertical="top"/>
    </xf>
    <xf numFmtId="39" fontId="10" fillId="57" borderId="19" xfId="0" applyNumberFormat="1" applyFont="1" applyFill="1" applyBorder="1" applyAlignment="1">
      <alignment wrapText="1"/>
    </xf>
    <xf numFmtId="4" fontId="9" fillId="57" borderId="19" xfId="805" applyNumberFormat="1" applyFont="1" applyFill="1" applyBorder="1"/>
    <xf numFmtId="194" fontId="9" fillId="57" borderId="19" xfId="1303" applyNumberFormat="1" applyFont="1" applyFill="1" applyBorder="1" applyAlignment="1">
      <alignment horizontal="right" vertical="top"/>
    </xf>
    <xf numFmtId="39" fontId="9" fillId="57" borderId="19" xfId="0" applyNumberFormat="1" applyFont="1" applyFill="1" applyBorder="1" applyAlignment="1">
      <alignment vertical="top" wrapText="1"/>
    </xf>
    <xf numFmtId="173" fontId="9" fillId="57" borderId="19" xfId="805" applyFont="1" applyFill="1" applyBorder="1" applyAlignment="1">
      <alignment horizontal="center"/>
    </xf>
    <xf numFmtId="4" fontId="9" fillId="57" borderId="19" xfId="0" applyNumberFormat="1" applyFont="1" applyFill="1" applyBorder="1" applyAlignment="1">
      <alignment horizontal="center"/>
    </xf>
    <xf numFmtId="173" fontId="9" fillId="57" borderId="19" xfId="805" applyFont="1" applyFill="1" applyBorder="1" applyAlignment="1">
      <alignment vertical="top" wrapText="1"/>
    </xf>
    <xf numFmtId="0" fontId="9" fillId="57" borderId="19" xfId="0" applyFont="1" applyFill="1" applyBorder="1" applyAlignment="1">
      <alignment horizontal="center" vertical="top" wrapText="1"/>
    </xf>
    <xf numFmtId="173" fontId="9" fillId="57" borderId="19" xfId="805" applyFont="1" applyFill="1" applyBorder="1" applyAlignment="1" applyProtection="1">
      <alignment vertical="top" wrapText="1"/>
      <protection locked="0"/>
    </xf>
    <xf numFmtId="39" fontId="9" fillId="57" borderId="19" xfId="805" applyNumberFormat="1" applyFont="1" applyFill="1" applyBorder="1" applyAlignment="1">
      <alignment horizontal="right"/>
    </xf>
    <xf numFmtId="1" fontId="10" fillId="57" borderId="19" xfId="0" applyNumberFormat="1" applyFont="1" applyFill="1" applyBorder="1" applyAlignment="1">
      <alignment horizontal="center"/>
    </xf>
    <xf numFmtId="4" fontId="9" fillId="57" borderId="19" xfId="805" applyNumberFormat="1" applyFont="1" applyFill="1" applyBorder="1" applyAlignment="1">
      <alignment horizontal="center"/>
    </xf>
    <xf numFmtId="3" fontId="9" fillId="57" borderId="19" xfId="805" applyNumberFormat="1" applyFont="1" applyFill="1" applyBorder="1"/>
    <xf numFmtId="3" fontId="10" fillId="57" borderId="19" xfId="805" applyNumberFormat="1" applyFont="1" applyFill="1" applyBorder="1"/>
    <xf numFmtId="4" fontId="10" fillId="57" borderId="19" xfId="805" applyNumberFormat="1" applyFont="1" applyFill="1" applyBorder="1"/>
    <xf numFmtId="39" fontId="10" fillId="57" borderId="19" xfId="805" applyNumberFormat="1" applyFont="1" applyFill="1" applyBorder="1"/>
    <xf numFmtId="4" fontId="10" fillId="57" borderId="19" xfId="805" applyNumberFormat="1" applyFont="1" applyFill="1" applyBorder="1" applyAlignment="1">
      <alignment horizontal="center"/>
    </xf>
    <xf numFmtId="173" fontId="10" fillId="57" borderId="19" xfId="805" applyFont="1" applyFill="1" applyBorder="1"/>
    <xf numFmtId="192" fontId="9" fillId="57" borderId="19" xfId="805" applyNumberFormat="1" applyFont="1" applyFill="1" applyBorder="1"/>
    <xf numFmtId="2" fontId="9" fillId="57" borderId="19" xfId="805" applyNumberFormat="1" applyFont="1" applyFill="1" applyBorder="1"/>
    <xf numFmtId="4" fontId="9" fillId="57" borderId="19" xfId="805" applyNumberFormat="1" applyFont="1" applyFill="1" applyBorder="1" applyAlignment="1">
      <alignment horizontal="right" vertical="top" wrapText="1"/>
    </xf>
    <xf numFmtId="4" fontId="9" fillId="57" borderId="19" xfId="805" applyNumberFormat="1" applyFont="1" applyFill="1" applyBorder="1" applyAlignment="1">
      <alignment vertical="top" wrapText="1"/>
    </xf>
    <xf numFmtId="0" fontId="46" fillId="57" borderId="19" xfId="0" applyFont="1" applyFill="1" applyBorder="1" applyAlignment="1">
      <alignment horizontal="center" vertical="top"/>
    </xf>
    <xf numFmtId="0" fontId="46" fillId="57" borderId="19" xfId="0" applyFont="1" applyFill="1" applyBorder="1" applyAlignment="1">
      <alignment horizontal="left" vertical="top"/>
    </xf>
    <xf numFmtId="0" fontId="46" fillId="57" borderId="19" xfId="0" applyFont="1" applyFill="1" applyBorder="1" applyAlignment="1">
      <alignment horizontal="right" vertical="top"/>
    </xf>
    <xf numFmtId="172" fontId="47" fillId="57" borderId="19" xfId="0" applyNumberFormat="1" applyFont="1" applyFill="1" applyBorder="1" applyAlignment="1">
      <alignment horizontal="right"/>
    </xf>
    <xf numFmtId="0" fontId="47" fillId="57" borderId="19" xfId="0" applyFont="1" applyFill="1" applyBorder="1" applyAlignment="1">
      <alignment horizontal="center"/>
    </xf>
    <xf numFmtId="0" fontId="47" fillId="57" borderId="19" xfId="0" applyFont="1" applyFill="1" applyBorder="1" applyAlignment="1">
      <alignment horizontal="right" vertical="top"/>
    </xf>
    <xf numFmtId="0" fontId="47" fillId="57" borderId="19" xfId="0" applyFont="1" applyFill="1" applyBorder="1" applyAlignment="1">
      <alignment horizontal="left" vertical="top"/>
    </xf>
    <xf numFmtId="2" fontId="47" fillId="57" borderId="19" xfId="0" applyNumberFormat="1" applyFont="1" applyFill="1" applyBorder="1" applyAlignment="1">
      <alignment horizontal="center"/>
    </xf>
    <xf numFmtId="0" fontId="47" fillId="57" borderId="19" xfId="0" applyFont="1" applyFill="1" applyBorder="1" applyAlignment="1">
      <alignment horizontal="left" vertical="top" wrapText="1"/>
    </xf>
    <xf numFmtId="2" fontId="47" fillId="57" borderId="19" xfId="0" applyNumberFormat="1" applyFont="1" applyFill="1" applyBorder="1" applyAlignment="1">
      <alignment horizontal="right" vertical="top"/>
    </xf>
    <xf numFmtId="172" fontId="46" fillId="57" borderId="19" xfId="0" applyNumberFormat="1" applyFont="1" applyFill="1" applyBorder="1" applyAlignment="1">
      <alignment horizontal="center"/>
    </xf>
    <xf numFmtId="0" fontId="46" fillId="57" borderId="19" xfId="0" applyFont="1" applyFill="1" applyBorder="1" applyAlignment="1">
      <alignment horizontal="center"/>
    </xf>
    <xf numFmtId="172" fontId="46" fillId="57" borderId="19" xfId="0" applyNumberFormat="1" applyFont="1" applyFill="1" applyBorder="1" applyAlignment="1">
      <alignment horizontal="right"/>
    </xf>
    <xf numFmtId="172" fontId="47" fillId="57" borderId="19" xfId="0" applyNumberFormat="1" applyFont="1" applyFill="1" applyBorder="1" applyAlignment="1">
      <alignment horizontal="center"/>
    </xf>
    <xf numFmtId="172" fontId="47" fillId="57" borderId="19" xfId="0" applyNumberFormat="1" applyFont="1" applyFill="1" applyBorder="1" applyAlignment="1"/>
    <xf numFmtId="172" fontId="47" fillId="57" borderId="19" xfId="0" applyNumberFormat="1" applyFont="1" applyFill="1" applyBorder="1" applyAlignment="1">
      <alignment wrapText="1"/>
    </xf>
    <xf numFmtId="0" fontId="47" fillId="57" borderId="19" xfId="0" applyFont="1" applyFill="1" applyBorder="1" applyAlignment="1">
      <alignment horizontal="center" wrapText="1"/>
    </xf>
    <xf numFmtId="172" fontId="47" fillId="57" borderId="19" xfId="0" applyNumberFormat="1" applyFont="1" applyFill="1" applyBorder="1" applyAlignment="1">
      <alignment horizontal="right" wrapText="1"/>
    </xf>
    <xf numFmtId="0" fontId="47" fillId="57" borderId="74" xfId="0" applyFont="1" applyFill="1" applyBorder="1" applyAlignment="1">
      <alignment horizontal="left" vertical="top"/>
    </xf>
    <xf numFmtId="172" fontId="47" fillId="57" borderId="74" xfId="0" applyNumberFormat="1" applyFont="1" applyFill="1" applyBorder="1" applyAlignment="1"/>
    <xf numFmtId="0" fontId="47" fillId="57" borderId="74" xfId="0" applyFont="1" applyFill="1" applyBorder="1" applyAlignment="1">
      <alignment horizontal="center"/>
    </xf>
    <xf numFmtId="172" fontId="47" fillId="57" borderId="74" xfId="0" applyNumberFormat="1" applyFont="1" applyFill="1" applyBorder="1" applyAlignment="1">
      <alignment horizontal="right"/>
    </xf>
    <xf numFmtId="1" fontId="46" fillId="57" borderId="19" xfId="0" applyNumberFormat="1" applyFont="1" applyFill="1" applyBorder="1" applyAlignment="1">
      <alignment horizontal="right" vertical="top"/>
    </xf>
    <xf numFmtId="172" fontId="46" fillId="57" borderId="19" xfId="0" applyNumberFormat="1" applyFont="1" applyFill="1" applyBorder="1" applyAlignment="1"/>
    <xf numFmtId="194" fontId="47" fillId="57" borderId="19" xfId="0" applyNumberFormat="1" applyFont="1" applyFill="1" applyBorder="1" applyAlignment="1">
      <alignment vertical="top"/>
    </xf>
    <xf numFmtId="2" fontId="47" fillId="57" borderId="19" xfId="0" applyNumberFormat="1" applyFont="1" applyFill="1" applyBorder="1" applyAlignment="1">
      <alignment vertical="top"/>
    </xf>
    <xf numFmtId="4" fontId="9" fillId="57" borderId="19" xfId="868" applyNumberFormat="1" applyFont="1" applyFill="1" applyBorder="1" applyAlignment="1" applyProtection="1">
      <alignment horizontal="right" wrapText="1"/>
    </xf>
    <xf numFmtId="4" fontId="14" fillId="57" borderId="19" xfId="868" applyNumberFormat="1" applyFont="1" applyFill="1" applyBorder="1" applyAlignment="1">
      <alignment horizontal="right" vertical="center" wrapText="1"/>
    </xf>
    <xf numFmtId="4" fontId="14" fillId="57" borderId="19" xfId="868" applyNumberFormat="1" applyFont="1" applyFill="1" applyBorder="1" applyAlignment="1">
      <alignment horizontal="right" vertical="top" wrapText="1"/>
    </xf>
    <xf numFmtId="4" fontId="9" fillId="57" borderId="19" xfId="0" applyNumberFormat="1" applyFont="1" applyFill="1" applyBorder="1" applyAlignment="1">
      <alignment horizontal="right" wrapText="1"/>
    </xf>
    <xf numFmtId="2" fontId="9" fillId="57" borderId="19" xfId="0" applyNumberFormat="1" applyFont="1" applyFill="1" applyBorder="1" applyAlignment="1">
      <alignment horizontal="right" wrapText="1"/>
    </xf>
    <xf numFmtId="4" fontId="9" fillId="57" borderId="19" xfId="0" applyNumberFormat="1" applyFont="1" applyFill="1" applyBorder="1" applyAlignment="1">
      <alignment horizontal="right" vertical="top" wrapText="1"/>
    </xf>
    <xf numFmtId="4" fontId="9" fillId="57" borderId="19" xfId="1109" applyNumberFormat="1" applyFont="1" applyFill="1" applyBorder="1" applyAlignment="1">
      <alignment horizontal="right" wrapText="1"/>
    </xf>
    <xf numFmtId="4" fontId="9" fillId="57" borderId="25" xfId="0" applyNumberFormat="1" applyFont="1" applyFill="1" applyBorder="1" applyAlignment="1">
      <alignment horizontal="right" vertical="top" wrapText="1"/>
    </xf>
    <xf numFmtId="4" fontId="10" fillId="57" borderId="19" xfId="868" applyNumberFormat="1" applyFont="1" applyFill="1" applyBorder="1" applyAlignment="1" applyProtection="1">
      <alignment horizontal="right" wrapText="1"/>
    </xf>
    <xf numFmtId="4" fontId="9" fillId="57" borderId="19" xfId="868" applyNumberFormat="1" applyFont="1" applyFill="1" applyBorder="1" applyAlignment="1" applyProtection="1">
      <alignment horizontal="right" wrapText="1"/>
      <protection locked="0"/>
    </xf>
    <xf numFmtId="4" fontId="9" fillId="57" borderId="19" xfId="868" applyNumberFormat="1" applyFont="1" applyFill="1" applyBorder="1" applyAlignment="1">
      <alignment horizontal="right" vertical="top" wrapText="1"/>
    </xf>
    <xf numFmtId="4" fontId="10" fillId="57" borderId="19" xfId="868" applyNumberFormat="1" applyFont="1" applyFill="1" applyBorder="1" applyAlignment="1" applyProtection="1">
      <alignment horizontal="right" wrapText="1"/>
      <protection locked="0"/>
    </xf>
    <xf numFmtId="0" fontId="9" fillId="48" borderId="19" xfId="1210" applyFont="1" applyFill="1" applyBorder="1" applyAlignment="1">
      <alignment horizontal="left" vertical="center" wrapText="1"/>
    </xf>
    <xf numFmtId="4" fontId="9" fillId="0" borderId="19" xfId="1305" applyNumberFormat="1" applyFont="1" applyFill="1" applyBorder="1" applyAlignment="1">
      <alignment horizontal="right"/>
    </xf>
    <xf numFmtId="4" fontId="9" fillId="0" borderId="19" xfId="805" applyNumberFormat="1" applyFont="1" applyFill="1" applyBorder="1" applyAlignment="1">
      <alignment horizontal="right"/>
    </xf>
    <xf numFmtId="4" fontId="9" fillId="0" borderId="19" xfId="805" applyNumberFormat="1" applyFont="1" applyFill="1" applyBorder="1" applyAlignment="1">
      <alignment horizontal="center"/>
    </xf>
    <xf numFmtId="173" fontId="9" fillId="0" borderId="19" xfId="805" applyFont="1" applyFill="1" applyBorder="1" applyAlignment="1">
      <alignment horizontal="right"/>
    </xf>
    <xf numFmtId="49" fontId="9" fillId="48" borderId="19" xfId="1305" applyNumberFormat="1" applyFont="1" applyFill="1" applyBorder="1" applyAlignment="1">
      <alignment horizontal="right" vertical="center"/>
    </xf>
    <xf numFmtId="4" fontId="9" fillId="0" borderId="19" xfId="805" applyNumberFormat="1" applyFont="1" applyFill="1" applyBorder="1" applyAlignment="1">
      <alignment horizontal="right" vertical="center"/>
    </xf>
    <xf numFmtId="173" fontId="9" fillId="0" borderId="19" xfId="805" applyFont="1" applyFill="1" applyBorder="1" applyAlignment="1">
      <alignment horizontal="right" vertical="center"/>
    </xf>
    <xf numFmtId="39" fontId="9" fillId="48" borderId="0" xfId="1305" applyFont="1" applyFill="1" applyBorder="1" applyAlignment="1">
      <alignment vertical="center"/>
    </xf>
    <xf numFmtId="0" fontId="9" fillId="0" borderId="0" xfId="0" applyFont="1" applyFill="1" applyAlignment="1">
      <alignment vertical="center"/>
    </xf>
    <xf numFmtId="4" fontId="9" fillId="0" borderId="19" xfId="1305" applyNumberFormat="1" applyFont="1" applyFill="1" applyBorder="1" applyAlignment="1">
      <alignment horizontal="center"/>
    </xf>
    <xf numFmtId="4" fontId="9" fillId="0" borderId="19" xfId="868" applyNumberFormat="1" applyFont="1" applyFill="1" applyBorder="1" applyAlignment="1" applyProtection="1">
      <alignment horizontal="right" wrapText="1"/>
      <protection locked="0"/>
    </xf>
    <xf numFmtId="4" fontId="9" fillId="0" borderId="19" xfId="0" applyNumberFormat="1" applyFont="1" applyFill="1" applyBorder="1" applyAlignment="1">
      <alignment horizontal="right" vertical="center" wrapText="1"/>
    </xf>
    <xf numFmtId="0" fontId="9" fillId="0" borderId="24" xfId="0" applyFont="1" applyBorder="1"/>
    <xf numFmtId="0" fontId="9" fillId="0" borderId="24"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43" fontId="9" fillId="0" borderId="19" xfId="1306" applyNumberFormat="1" applyFill="1" applyBorder="1"/>
    <xf numFmtId="4" fontId="14" fillId="0" borderId="19" xfId="868" applyNumberFormat="1" applyFont="1" applyFill="1" applyBorder="1" applyAlignment="1">
      <alignment horizontal="center" vertical="top"/>
    </xf>
    <xf numFmtId="4" fontId="9" fillId="0" borderId="19" xfId="868" applyNumberFormat="1" applyFont="1" applyFill="1" applyBorder="1" applyAlignment="1">
      <alignment horizontal="right" vertical="top" wrapText="1"/>
    </xf>
    <xf numFmtId="4" fontId="9" fillId="0" borderId="19" xfId="0" applyNumberFormat="1" applyFont="1" applyFill="1" applyBorder="1" applyAlignment="1">
      <alignment vertical="top" wrapText="1"/>
    </xf>
    <xf numFmtId="4" fontId="9" fillId="0" borderId="19" xfId="0" applyNumberFormat="1" applyFont="1" applyFill="1" applyBorder="1" applyAlignment="1">
      <alignment horizontal="center"/>
    </xf>
    <xf numFmtId="4" fontId="9" fillId="0" borderId="25" xfId="868" applyNumberFormat="1" applyFont="1" applyFill="1" applyBorder="1" applyAlignment="1">
      <alignment horizontal="right" vertical="top" wrapText="1"/>
    </xf>
    <xf numFmtId="4" fontId="10" fillId="0" borderId="19" xfId="868" applyNumberFormat="1" applyFont="1" applyFill="1" applyBorder="1" applyAlignment="1" applyProtection="1">
      <alignment horizontal="right" wrapText="1"/>
      <protection locked="0"/>
    </xf>
    <xf numFmtId="0" fontId="9" fillId="48" borderId="19" xfId="0" applyNumberFormat="1" applyFont="1" applyFill="1" applyBorder="1" applyAlignment="1">
      <alignment vertical="center"/>
    </xf>
    <xf numFmtId="0" fontId="9" fillId="48" borderId="19" xfId="0" applyFont="1" applyFill="1" applyBorder="1" applyAlignment="1">
      <alignment vertical="center" wrapText="1"/>
    </xf>
    <xf numFmtId="188" fontId="14" fillId="48" borderId="19" xfId="838" applyNumberFormat="1" applyFont="1" applyFill="1" applyBorder="1" applyAlignment="1" applyProtection="1">
      <alignment vertical="center" wrapText="1"/>
    </xf>
    <xf numFmtId="4" fontId="9" fillId="0" borderId="19" xfId="868" applyNumberFormat="1" applyFont="1" applyFill="1" applyBorder="1" applyAlignment="1" applyProtection="1">
      <alignment vertical="center" wrapText="1"/>
    </xf>
    <xf numFmtId="4" fontId="9" fillId="0" borderId="19" xfId="868" applyNumberFormat="1" applyFont="1" applyFill="1" applyBorder="1" applyAlignment="1" applyProtection="1">
      <alignment vertical="center" wrapText="1"/>
      <protection locked="0"/>
    </xf>
    <xf numFmtId="185" fontId="9" fillId="48" borderId="19" xfId="0" applyNumberFormat="1" applyFont="1" applyFill="1" applyBorder="1" applyAlignment="1">
      <alignment vertical="center"/>
    </xf>
    <xf numFmtId="1" fontId="9" fillId="48" borderId="19" xfId="0" applyNumberFormat="1" applyFont="1" applyFill="1" applyBorder="1" applyAlignment="1">
      <alignment vertical="center" wrapText="1"/>
    </xf>
    <xf numFmtId="4" fontId="9" fillId="0" borderId="19" xfId="0" applyNumberFormat="1" applyFont="1" applyFill="1" applyBorder="1" applyAlignment="1">
      <alignment vertical="center" wrapText="1"/>
    </xf>
    <xf numFmtId="184" fontId="14" fillId="48" borderId="19" xfId="0" applyNumberFormat="1" applyFont="1" applyFill="1" applyBorder="1" applyAlignment="1" applyProtection="1">
      <alignment vertical="center"/>
    </xf>
    <xf numFmtId="4" fontId="14" fillId="0" borderId="19" xfId="868" applyNumberFormat="1" applyFont="1" applyFill="1" applyBorder="1" applyAlignment="1">
      <alignment vertical="center" wrapText="1"/>
    </xf>
    <xf numFmtId="4" fontId="9" fillId="0" borderId="19" xfId="868" applyNumberFormat="1" applyFont="1" applyFill="1" applyBorder="1" applyAlignment="1">
      <alignment horizontal="right" vertical="center" wrapText="1"/>
    </xf>
    <xf numFmtId="0" fontId="9" fillId="49" borderId="0" xfId="992" applyFill="1" applyBorder="1" applyAlignment="1">
      <alignment wrapText="1"/>
    </xf>
    <xf numFmtId="172" fontId="9" fillId="48" borderId="19" xfId="0" applyNumberFormat="1" applyFont="1" applyFill="1" applyBorder="1" applyAlignment="1">
      <alignment horizontal="right" wrapText="1"/>
    </xf>
    <xf numFmtId="172" fontId="9" fillId="48" borderId="19" xfId="0" applyNumberFormat="1" applyFont="1" applyFill="1" applyBorder="1" applyAlignment="1">
      <alignment horizontal="center"/>
    </xf>
    <xf numFmtId="39" fontId="9" fillId="48" borderId="0" xfId="0" applyNumberFormat="1" applyFont="1" applyFill="1" applyBorder="1"/>
    <xf numFmtId="198" fontId="9" fillId="48" borderId="19" xfId="0" applyNumberFormat="1" applyFont="1" applyFill="1" applyBorder="1" applyAlignment="1">
      <alignment horizontal="right"/>
    </xf>
    <xf numFmtId="39" fontId="9" fillId="48" borderId="19" xfId="0" applyNumberFormat="1" applyFont="1" applyFill="1" applyBorder="1" applyAlignment="1">
      <alignment horizontal="left"/>
    </xf>
    <xf numFmtId="39" fontId="9" fillId="48" borderId="19" xfId="0" applyNumberFormat="1" applyFont="1" applyFill="1" applyBorder="1" applyAlignment="1">
      <alignment horizontal="right"/>
    </xf>
    <xf numFmtId="39" fontId="9" fillId="48" borderId="19" xfId="0" applyNumberFormat="1" applyFont="1" applyFill="1" applyBorder="1"/>
    <xf numFmtId="39" fontId="9" fillId="48" borderId="19" xfId="0" applyNumberFormat="1" applyFont="1" applyFill="1" applyBorder="1" applyAlignment="1">
      <alignment horizontal="right" wrapText="1"/>
    </xf>
    <xf numFmtId="1" fontId="10" fillId="48" borderId="19" xfId="0" applyNumberFormat="1" applyFont="1" applyFill="1" applyBorder="1" applyAlignment="1">
      <alignment horizontal="right" vertical="top" wrapText="1"/>
    </xf>
    <xf numFmtId="39" fontId="10" fillId="48" borderId="19" xfId="0" applyNumberFormat="1" applyFont="1" applyFill="1" applyBorder="1" applyAlignment="1">
      <alignment horizontal="left" wrapText="1"/>
    </xf>
    <xf numFmtId="37" fontId="9" fillId="48" borderId="19" xfId="0" applyNumberFormat="1" applyFont="1" applyFill="1" applyBorder="1" applyAlignment="1">
      <alignment horizontal="right"/>
    </xf>
    <xf numFmtId="37" fontId="9" fillId="48" borderId="19" xfId="0" applyNumberFormat="1" applyFont="1" applyFill="1" applyBorder="1"/>
    <xf numFmtId="1" fontId="9" fillId="48" borderId="19" xfId="0" applyNumberFormat="1" applyFont="1" applyFill="1" applyBorder="1" applyAlignment="1">
      <alignment horizontal="right"/>
    </xf>
    <xf numFmtId="0" fontId="14" fillId="48" borderId="19" xfId="0" applyFont="1" applyFill="1" applyBorder="1" applyAlignment="1">
      <alignment horizontal="right" vertical="top" wrapText="1"/>
    </xf>
    <xf numFmtId="0" fontId="14" fillId="48" borderId="19" xfId="0" applyNumberFormat="1" applyFont="1" applyFill="1" applyBorder="1" applyAlignment="1">
      <alignment vertical="top" wrapText="1"/>
    </xf>
    <xf numFmtId="4" fontId="14" fillId="48" borderId="19" xfId="0" applyNumberFormat="1" applyFont="1" applyFill="1" applyBorder="1" applyAlignment="1">
      <alignment horizontal="right" wrapText="1"/>
    </xf>
    <xf numFmtId="43" fontId="14" fillId="48" borderId="19" xfId="0" applyNumberFormat="1" applyFont="1" applyFill="1" applyBorder="1" applyAlignment="1">
      <alignment horizontal="center" wrapText="1"/>
    </xf>
    <xf numFmtId="0" fontId="0" fillId="48" borderId="0" xfId="0" applyFill="1" applyBorder="1" applyAlignment="1">
      <alignment wrapText="1"/>
    </xf>
    <xf numFmtId="0" fontId="23" fillId="48" borderId="0" xfId="1295" applyFont="1" applyFill="1" applyBorder="1" applyAlignment="1">
      <alignment horizontal="center"/>
    </xf>
    <xf numFmtId="0" fontId="9" fillId="48" borderId="0" xfId="972" applyFill="1"/>
    <xf numFmtId="173" fontId="11" fillId="48" borderId="24" xfId="462" applyFont="1" applyFill="1" applyBorder="1" applyAlignment="1">
      <alignment horizontal="centerContinuous"/>
    </xf>
    <xf numFmtId="4" fontId="51" fillId="48" borderId="24" xfId="924" applyNumberFormat="1" applyFont="1" applyFill="1" applyBorder="1"/>
    <xf numFmtId="173" fontId="11" fillId="48" borderId="24" xfId="462" applyFont="1" applyFill="1" applyBorder="1"/>
    <xf numFmtId="0" fontId="11" fillId="48" borderId="0" xfId="1295" applyFont="1" applyFill="1" applyBorder="1"/>
    <xf numFmtId="0" fontId="45" fillId="48" borderId="0" xfId="1295" quotePrefix="1" applyFont="1" applyFill="1" applyBorder="1" applyAlignment="1">
      <alignment horizontal="left"/>
    </xf>
    <xf numFmtId="0" fontId="11" fillId="48" borderId="24" xfId="1295" applyFont="1" applyFill="1" applyBorder="1"/>
    <xf numFmtId="39" fontId="11" fillId="48" borderId="24" xfId="1295" applyNumberFormat="1" applyFont="1" applyFill="1" applyBorder="1"/>
    <xf numFmtId="39" fontId="45" fillId="48" borderId="24" xfId="1295" quotePrefix="1" applyNumberFormat="1" applyFont="1" applyFill="1" applyBorder="1" applyAlignment="1">
      <alignment horizontal="left"/>
    </xf>
    <xf numFmtId="39" fontId="45" fillId="48" borderId="24" xfId="1295" applyNumberFormat="1" applyFont="1" applyFill="1" applyBorder="1"/>
    <xf numFmtId="173" fontId="11" fillId="48" borderId="0" xfId="1295" applyNumberFormat="1" applyFont="1" applyFill="1" applyBorder="1"/>
    <xf numFmtId="39" fontId="11" fillId="48" borderId="0" xfId="1295" applyNumberFormat="1" applyFont="1" applyFill="1" applyBorder="1"/>
    <xf numFmtId="39" fontId="45" fillId="48" borderId="0" xfId="1295" applyNumberFormat="1" applyFont="1" applyFill="1" applyBorder="1" applyAlignment="1">
      <alignment horizontal="right"/>
    </xf>
    <xf numFmtId="0" fontId="45" fillId="48" borderId="24" xfId="1295" quotePrefix="1" applyFont="1" applyFill="1" applyBorder="1" applyAlignment="1">
      <alignment horizontal="left"/>
    </xf>
    <xf numFmtId="2" fontId="11" fillId="48" borderId="24" xfId="1295" applyNumberFormat="1" applyFont="1" applyFill="1" applyBorder="1"/>
    <xf numFmtId="0" fontId="45" fillId="48" borderId="24" xfId="1295" applyFont="1" applyFill="1" applyBorder="1" applyAlignment="1">
      <alignment horizontal="right"/>
    </xf>
    <xf numFmtId="39" fontId="45" fillId="48" borderId="24" xfId="1295" applyNumberFormat="1" applyFont="1" applyFill="1" applyBorder="1" applyAlignment="1">
      <alignment horizontal="right"/>
    </xf>
    <xf numFmtId="0" fontId="45" fillId="48" borderId="0" xfId="1295" applyFont="1" applyFill="1" applyBorder="1" applyAlignment="1">
      <alignment horizontal="right"/>
    </xf>
    <xf numFmtId="0" fontId="45" fillId="48" borderId="0" xfId="1295" applyFont="1" applyFill="1" applyBorder="1"/>
    <xf numFmtId="2" fontId="45" fillId="48" borderId="24" xfId="1295" applyNumberFormat="1" applyFont="1" applyFill="1" applyBorder="1" applyAlignment="1">
      <alignment horizontal="right"/>
    </xf>
    <xf numFmtId="2" fontId="45" fillId="48" borderId="0" xfId="1295" applyNumberFormat="1" applyFont="1" applyFill="1" applyBorder="1" applyAlignment="1">
      <alignment horizontal="right"/>
    </xf>
    <xf numFmtId="2" fontId="45" fillId="48" borderId="0" xfId="1295" applyNumberFormat="1" applyFont="1" applyFill="1" applyBorder="1"/>
    <xf numFmtId="2" fontId="45" fillId="48" borderId="0" xfId="1295" applyNumberFormat="1" applyFont="1" applyFill="1" applyBorder="1" applyAlignment="1">
      <alignment horizontal="left"/>
    </xf>
    <xf numFmtId="199" fontId="11" fillId="48" borderId="24" xfId="1295" applyNumberFormat="1" applyFont="1" applyFill="1" applyBorder="1"/>
    <xf numFmtId="0" fontId="31" fillId="48" borderId="0" xfId="1295" applyFont="1" applyFill="1" applyBorder="1"/>
    <xf numFmtId="0" fontId="30" fillId="48" borderId="0" xfId="1295" applyFont="1" applyFill="1" applyBorder="1"/>
    <xf numFmtId="39" fontId="31" fillId="48" borderId="0" xfId="1295" quotePrefix="1" applyNumberFormat="1" applyFont="1" applyFill="1" applyBorder="1" applyAlignment="1">
      <alignment horizontal="left"/>
    </xf>
    <xf numFmtId="4" fontId="30" fillId="48" borderId="0" xfId="1295" applyNumberFormat="1" applyFont="1" applyFill="1" applyBorder="1" applyAlignment="1">
      <alignment horizontal="right"/>
    </xf>
    <xf numFmtId="0" fontId="11" fillId="48" borderId="24" xfId="1295" quotePrefix="1" applyFont="1" applyFill="1" applyBorder="1" applyAlignment="1">
      <alignment horizontal="left"/>
    </xf>
    <xf numFmtId="0" fontId="24" fillId="48" borderId="0" xfId="1295" applyFont="1" applyFill="1" applyBorder="1" applyAlignment="1">
      <alignment horizontal="centerContinuous"/>
    </xf>
    <xf numFmtId="0" fontId="52" fillId="48" borderId="0" xfId="1295" applyFont="1" applyFill="1" applyBorder="1" applyAlignment="1">
      <alignment horizontal="centerContinuous"/>
    </xf>
    <xf numFmtId="174" fontId="11" fillId="48" borderId="0" xfId="1295" applyNumberFormat="1" applyFont="1" applyFill="1" applyBorder="1"/>
    <xf numFmtId="2" fontId="11" fillId="48" borderId="0" xfId="1295" applyNumberFormat="1" applyFont="1" applyFill="1" applyBorder="1"/>
    <xf numFmtId="173" fontId="45" fillId="48" borderId="24" xfId="462" applyFont="1" applyFill="1" applyBorder="1" applyAlignment="1">
      <alignment horizontal="right"/>
    </xf>
    <xf numFmtId="0" fontId="33" fillId="48" borderId="0" xfId="1050" applyFont="1" applyFill="1" applyBorder="1"/>
    <xf numFmtId="0" fontId="34" fillId="48" borderId="0" xfId="1050" applyFont="1" applyFill="1" applyBorder="1"/>
    <xf numFmtId="0" fontId="45" fillId="48" borderId="0" xfId="1297" applyFont="1" applyFill="1" applyBorder="1" applyAlignment="1">
      <alignment horizontal="center" vertical="center"/>
    </xf>
    <xf numFmtId="173" fontId="11" fillId="48" borderId="0" xfId="924" applyNumberFormat="1" applyFont="1" applyFill="1" applyBorder="1" applyAlignment="1">
      <alignment horizontal="right" vertical="center"/>
    </xf>
    <xf numFmtId="173" fontId="45" fillId="48" borderId="0" xfId="924" applyNumberFormat="1" applyFont="1" applyFill="1" applyBorder="1" applyAlignment="1" applyProtection="1">
      <alignment horizontal="right" vertical="center"/>
    </xf>
    <xf numFmtId="173" fontId="45" fillId="48" borderId="0" xfId="924" applyNumberFormat="1" applyFont="1" applyFill="1" applyBorder="1"/>
    <xf numFmtId="43" fontId="9" fillId="48" borderId="0" xfId="972" applyNumberFormat="1" applyFill="1"/>
    <xf numFmtId="0" fontId="35" fillId="48" borderId="0" xfId="1295" applyFont="1" applyFill="1"/>
    <xf numFmtId="39" fontId="35" fillId="48" borderId="0" xfId="1295" applyNumberFormat="1" applyFont="1" applyFill="1"/>
    <xf numFmtId="0" fontId="35" fillId="48" borderId="39" xfId="1295" applyFont="1" applyFill="1" applyBorder="1"/>
    <xf numFmtId="0" fontId="35" fillId="48" borderId="40" xfId="1295" applyFont="1" applyFill="1" applyBorder="1" applyAlignment="1">
      <alignment horizontal="centerContinuous"/>
    </xf>
    <xf numFmtId="173" fontId="35" fillId="48" borderId="40" xfId="462" applyFont="1" applyFill="1" applyBorder="1"/>
    <xf numFmtId="2" fontId="35" fillId="48" borderId="41" xfId="1295" applyNumberFormat="1" applyFont="1" applyFill="1" applyBorder="1"/>
    <xf numFmtId="0" fontId="10" fillId="48" borderId="0" xfId="1295" applyFont="1" applyFill="1"/>
    <xf numFmtId="4" fontId="9" fillId="48" borderId="0" xfId="972" applyNumberFormat="1" applyFont="1" applyFill="1" applyBorder="1" applyAlignment="1">
      <alignment horizontal="right"/>
    </xf>
    <xf numFmtId="4" fontId="10" fillId="48" borderId="0" xfId="972" applyNumberFormat="1" applyFont="1" applyFill="1" applyBorder="1" applyAlignment="1">
      <alignment horizontal="center"/>
    </xf>
    <xf numFmtId="43" fontId="10" fillId="48" borderId="0" xfId="741" applyNumberFormat="1" applyFont="1" applyFill="1" applyBorder="1" applyAlignment="1">
      <alignment horizontal="center"/>
    </xf>
    <xf numFmtId="0" fontId="10" fillId="48" borderId="19" xfId="972" applyFont="1" applyFill="1" applyBorder="1" applyAlignment="1">
      <alignment vertical="center" wrapText="1"/>
    </xf>
    <xf numFmtId="0" fontId="9" fillId="48" borderId="0" xfId="1295" applyFont="1" applyFill="1"/>
    <xf numFmtId="39" fontId="9" fillId="48" borderId="19" xfId="972" applyNumberFormat="1" applyFont="1" applyFill="1" applyBorder="1" applyAlignment="1">
      <alignment horizontal="left"/>
    </xf>
    <xf numFmtId="0" fontId="9" fillId="48" borderId="75" xfId="1295" applyFont="1" applyFill="1" applyBorder="1"/>
    <xf numFmtId="0" fontId="9" fillId="48" borderId="73" xfId="1295" applyFont="1" applyFill="1" applyBorder="1" applyAlignment="1">
      <alignment horizontal="centerContinuous"/>
    </xf>
    <xf numFmtId="39" fontId="9" fillId="48" borderId="73" xfId="1295" applyNumberFormat="1" applyFont="1" applyFill="1" applyBorder="1"/>
    <xf numFmtId="39" fontId="9" fillId="48" borderId="65" xfId="1295" applyNumberFormat="1" applyFont="1" applyFill="1" applyBorder="1"/>
    <xf numFmtId="0" fontId="9" fillId="48" borderId="60" xfId="1295" applyFont="1" applyFill="1" applyBorder="1"/>
    <xf numFmtId="0" fontId="9" fillId="48" borderId="19" xfId="1295" applyFont="1" applyFill="1" applyBorder="1" applyAlignment="1">
      <alignment horizontal="centerContinuous"/>
    </xf>
    <xf numFmtId="39" fontId="9" fillId="48" borderId="19" xfId="1295" applyNumberFormat="1" applyFont="1" applyFill="1" applyBorder="1"/>
    <xf numFmtId="39" fontId="9" fillId="48" borderId="61" xfId="1295" applyNumberFormat="1" applyFont="1" applyFill="1" applyBorder="1"/>
    <xf numFmtId="0" fontId="9" fillId="48" borderId="62" xfId="1295" applyFont="1" applyFill="1" applyBorder="1"/>
    <xf numFmtId="0" fontId="9" fillId="48" borderId="63" xfId="1295" applyFont="1" applyFill="1" applyBorder="1"/>
    <xf numFmtId="0" fontId="10" fillId="48" borderId="63" xfId="1295" applyFont="1" applyFill="1" applyBorder="1" applyAlignment="1">
      <alignment horizontal="right"/>
    </xf>
    <xf numFmtId="39" fontId="10" fillId="48" borderId="76" xfId="1295" applyNumberFormat="1" applyFont="1" applyFill="1" applyBorder="1" applyAlignment="1">
      <alignment horizontal="right"/>
    </xf>
    <xf numFmtId="0" fontId="9" fillId="48" borderId="0" xfId="1295" applyFont="1" applyFill="1" applyBorder="1"/>
    <xf numFmtId="0" fontId="10" fillId="48" borderId="0" xfId="1295" applyFont="1" applyFill="1" applyBorder="1" applyAlignment="1">
      <alignment horizontal="right"/>
    </xf>
    <xf numFmtId="39" fontId="10" fillId="48" borderId="0" xfId="1295" applyNumberFormat="1" applyFont="1" applyFill="1" applyBorder="1" applyAlignment="1">
      <alignment horizontal="right"/>
    </xf>
    <xf numFmtId="0" fontId="9" fillId="48" borderId="19" xfId="1295" applyFont="1" applyFill="1" applyBorder="1" applyAlignment="1">
      <alignment horizontal="center"/>
    </xf>
    <xf numFmtId="39" fontId="10" fillId="50" borderId="19" xfId="972" applyNumberFormat="1" applyFont="1" applyFill="1" applyBorder="1" applyAlignment="1">
      <alignment wrapText="1"/>
    </xf>
    <xf numFmtId="39" fontId="10" fillId="50" borderId="19" xfId="972" applyNumberFormat="1" applyFont="1" applyFill="1" applyBorder="1" applyAlignment="1">
      <alignment horizontal="left"/>
    </xf>
    <xf numFmtId="39" fontId="15" fillId="50" borderId="19" xfId="972" applyNumberFormat="1" applyFont="1" applyFill="1" applyBorder="1" applyAlignment="1">
      <alignment horizontal="left"/>
    </xf>
    <xf numFmtId="0" fontId="9" fillId="48" borderId="78" xfId="1295" applyFont="1" applyFill="1" applyBorder="1"/>
    <xf numFmtId="0" fontId="55" fillId="48" borderId="0" xfId="972" applyFont="1" applyFill="1" applyAlignment="1">
      <alignment horizontal="center"/>
    </xf>
    <xf numFmtId="0" fontId="33" fillId="48" borderId="0" xfId="972" applyFont="1" applyFill="1" applyAlignment="1">
      <alignment horizontal="right"/>
    </xf>
    <xf numFmtId="0" fontId="33" fillId="48" borderId="0" xfId="972" applyFont="1" applyFill="1"/>
    <xf numFmtId="0" fontId="34" fillId="48" borderId="0" xfId="972" applyFont="1" applyFill="1"/>
    <xf numFmtId="0" fontId="33" fillId="48" borderId="0" xfId="972" applyFont="1" applyFill="1" applyAlignment="1">
      <alignment horizontal="left"/>
    </xf>
    <xf numFmtId="0" fontId="34" fillId="48" borderId="39" xfId="972" applyFont="1" applyFill="1" applyBorder="1"/>
    <xf numFmtId="0" fontId="34" fillId="48" borderId="40" xfId="972" applyFont="1" applyFill="1" applyBorder="1" applyAlignment="1">
      <alignment horizontal="centerContinuous"/>
    </xf>
    <xf numFmtId="39" fontId="11" fillId="48" borderId="40" xfId="1295" applyNumberFormat="1" applyFont="1" applyFill="1" applyBorder="1"/>
    <xf numFmtId="39" fontId="34" fillId="48" borderId="41" xfId="972" applyNumberFormat="1" applyFont="1" applyFill="1" applyBorder="1"/>
    <xf numFmtId="0" fontId="34" fillId="48" borderId="0" xfId="972" applyFont="1" applyFill="1" applyBorder="1"/>
    <xf numFmtId="0" fontId="33" fillId="48" borderId="53" xfId="972" applyFont="1" applyFill="1" applyBorder="1" applyAlignment="1">
      <alignment horizontal="right"/>
    </xf>
    <xf numFmtId="39" fontId="33" fillId="48" borderId="54" xfId="972" applyNumberFormat="1" applyFont="1" applyFill="1" applyBorder="1" applyAlignment="1">
      <alignment horizontal="right"/>
    </xf>
    <xf numFmtId="4" fontId="35" fillId="48" borderId="40" xfId="972" applyNumberFormat="1" applyFont="1" applyFill="1" applyBorder="1" applyAlignment="1" applyProtection="1">
      <alignment horizontal="right" vertical="center"/>
    </xf>
    <xf numFmtId="0" fontId="34" fillId="48" borderId="48" xfId="972" applyFont="1" applyFill="1" applyBorder="1"/>
    <xf numFmtId="0" fontId="34" fillId="48" borderId="25" xfId="972" applyFont="1" applyFill="1" applyBorder="1" applyAlignment="1">
      <alignment horizontal="centerContinuous"/>
    </xf>
    <xf numFmtId="39" fontId="11" fillId="48" borderId="25" xfId="1295" applyNumberFormat="1" applyFont="1" applyFill="1" applyBorder="1"/>
    <xf numFmtId="0" fontId="34" fillId="48" borderId="55" xfId="972" applyFont="1" applyFill="1" applyBorder="1"/>
    <xf numFmtId="0" fontId="34" fillId="48" borderId="56" xfId="972" applyFont="1" applyFill="1" applyBorder="1"/>
    <xf numFmtId="0" fontId="33" fillId="48" borderId="0" xfId="972" applyFont="1" applyFill="1" applyBorder="1" applyAlignment="1"/>
    <xf numFmtId="0" fontId="33" fillId="48" borderId="55" xfId="972" applyFont="1" applyFill="1" applyBorder="1" applyAlignment="1"/>
    <xf numFmtId="39" fontId="33" fillId="48" borderId="55" xfId="972" applyNumberFormat="1" applyFont="1" applyFill="1" applyBorder="1" applyAlignment="1">
      <alignment horizontal="right"/>
    </xf>
    <xf numFmtId="39" fontId="33" fillId="48" borderId="57" xfId="972" applyNumberFormat="1" applyFont="1" applyFill="1" applyBorder="1" applyAlignment="1">
      <alignment horizontal="right"/>
    </xf>
    <xf numFmtId="0" fontId="11" fillId="48" borderId="0" xfId="1295" applyFont="1" applyFill="1"/>
    <xf numFmtId="0" fontId="9" fillId="48" borderId="79" xfId="972" applyFont="1" applyFill="1" applyBorder="1"/>
    <xf numFmtId="0" fontId="9" fillId="48" borderId="80" xfId="972" applyFont="1" applyFill="1" applyBorder="1"/>
    <xf numFmtId="0" fontId="9" fillId="48" borderId="55" xfId="972" applyFont="1" applyFill="1" applyBorder="1"/>
    <xf numFmtId="164" fontId="10" fillId="48" borderId="55" xfId="972" applyNumberFormat="1" applyFont="1" applyFill="1" applyBorder="1"/>
    <xf numFmtId="0" fontId="9" fillId="48" borderId="0" xfId="972" applyFont="1" applyFill="1" applyBorder="1" applyAlignment="1">
      <alignment horizontal="right"/>
    </xf>
    <xf numFmtId="2" fontId="9" fillId="48" borderId="0" xfId="972" applyNumberFormat="1" applyFont="1" applyFill="1"/>
    <xf numFmtId="0" fontId="9" fillId="48" borderId="0" xfId="972" applyFont="1" applyFill="1"/>
    <xf numFmtId="0" fontId="9" fillId="48" borderId="33" xfId="972" applyFont="1" applyFill="1" applyBorder="1"/>
    <xf numFmtId="0" fontId="9" fillId="48" borderId="28" xfId="972" applyFont="1" applyFill="1" applyBorder="1"/>
    <xf numFmtId="164" fontId="10" fillId="48" borderId="27" xfId="972" applyNumberFormat="1" applyFont="1" applyFill="1" applyBorder="1"/>
    <xf numFmtId="0" fontId="45" fillId="48" borderId="0" xfId="1295" applyFont="1" applyFill="1" applyAlignment="1">
      <alignment horizontal="right"/>
    </xf>
    <xf numFmtId="0" fontId="45" fillId="48" borderId="0" xfId="1295" applyFont="1" applyFill="1"/>
    <xf numFmtId="0" fontId="54" fillId="48" borderId="0" xfId="1294" applyFont="1" applyFill="1"/>
    <xf numFmtId="0" fontId="32" fillId="50" borderId="0" xfId="1050" applyFont="1" applyFill="1" applyAlignment="1">
      <alignment horizontal="center"/>
    </xf>
    <xf numFmtId="2" fontId="33" fillId="50" borderId="0" xfId="1050" applyNumberFormat="1" applyFont="1" applyFill="1" applyAlignment="1">
      <alignment horizontal="center"/>
    </xf>
    <xf numFmtId="0" fontId="33" fillId="50" borderId="0" xfId="1050" applyFont="1" applyFill="1"/>
    <xf numFmtId="0" fontId="34" fillId="50" borderId="0" xfId="1050" applyFont="1" applyFill="1"/>
    <xf numFmtId="2" fontId="33" fillId="48" borderId="0" xfId="1050" applyNumberFormat="1" applyFont="1" applyFill="1" applyAlignment="1">
      <alignment horizontal="center"/>
    </xf>
    <xf numFmtId="0" fontId="33" fillId="48" borderId="0" xfId="1050" applyFont="1" applyFill="1"/>
    <xf numFmtId="0" fontId="34" fillId="48" borderId="0" xfId="1050" applyFont="1" applyFill="1"/>
    <xf numFmtId="172" fontId="9" fillId="50" borderId="19" xfId="0" applyNumberFormat="1" applyFont="1" applyFill="1" applyBorder="1" applyAlignment="1">
      <alignment horizontal="center"/>
    </xf>
    <xf numFmtId="0" fontId="9" fillId="48" borderId="19" xfId="0" applyNumberFormat="1" applyFont="1" applyFill="1" applyBorder="1" applyAlignment="1">
      <alignment horizontal="left" vertical="center" wrapText="1"/>
    </xf>
    <xf numFmtId="189" fontId="14" fillId="48" borderId="19" xfId="838" applyNumberFormat="1" applyFont="1" applyFill="1" applyBorder="1" applyAlignment="1" applyProtection="1">
      <alignment horizontal="right" vertical="center"/>
    </xf>
    <xf numFmtId="173" fontId="11" fillId="58" borderId="24" xfId="462" applyFont="1" applyFill="1" applyBorder="1"/>
    <xf numFmtId="185" fontId="9" fillId="0" borderId="19" xfId="1281" applyNumberFormat="1" applyFont="1" applyFill="1" applyBorder="1" applyAlignment="1" applyProtection="1">
      <alignment horizontal="right" vertical="center"/>
    </xf>
    <xf numFmtId="0" fontId="9" fillId="0" borderId="19" xfId="0" applyNumberFormat="1" applyFont="1" applyFill="1" applyBorder="1" applyAlignment="1">
      <alignment horizontal="left" vertical="center" wrapText="1"/>
    </xf>
    <xf numFmtId="4" fontId="9" fillId="0" borderId="19" xfId="0" applyNumberFormat="1" applyFont="1" applyFill="1" applyBorder="1" applyAlignment="1">
      <alignment horizontal="center" vertical="center"/>
    </xf>
    <xf numFmtId="4" fontId="9" fillId="0" borderId="19" xfId="868" applyNumberFormat="1" applyFont="1" applyFill="1" applyBorder="1" applyAlignment="1" applyProtection="1">
      <alignment horizontal="right" vertical="center" wrapText="1"/>
      <protection locked="0"/>
    </xf>
    <xf numFmtId="43" fontId="10" fillId="0" borderId="0" xfId="699" applyFont="1" applyFill="1" applyAlignment="1">
      <alignment wrapText="1"/>
    </xf>
    <xf numFmtId="43" fontId="10" fillId="0" borderId="0" xfId="699" applyFont="1" applyFill="1" applyAlignment="1">
      <alignment vertical="top" wrapText="1"/>
    </xf>
    <xf numFmtId="201" fontId="10" fillId="0" borderId="0" xfId="0" applyNumberFormat="1" applyFont="1" applyFill="1" applyAlignment="1">
      <alignment vertical="top" wrapText="1"/>
    </xf>
    <xf numFmtId="185" fontId="9" fillId="0" borderId="19" xfId="0" applyNumberFormat="1" applyFont="1" applyFill="1" applyBorder="1" applyAlignment="1">
      <alignment horizontal="right" vertical="justify" wrapText="1"/>
    </xf>
    <xf numFmtId="0" fontId="9" fillId="0" borderId="19" xfId="0" applyNumberFormat="1" applyFont="1" applyFill="1" applyBorder="1" applyAlignment="1">
      <alignment horizontal="left"/>
    </xf>
    <xf numFmtId="0" fontId="9" fillId="0" borderId="19" xfId="0" applyNumberFormat="1" applyFont="1" applyFill="1" applyBorder="1" applyAlignment="1">
      <alignment horizontal="left" vertical="top" wrapText="1"/>
    </xf>
    <xf numFmtId="185" fontId="9" fillId="0" borderId="19" xfId="1281" applyNumberFormat="1" applyFont="1" applyFill="1" applyBorder="1" applyAlignment="1" applyProtection="1">
      <alignment horizontal="right" vertical="top"/>
    </xf>
    <xf numFmtId="4" fontId="9" fillId="50" borderId="19" xfId="0" applyNumberFormat="1" applyFont="1" applyFill="1" applyBorder="1" applyAlignment="1">
      <alignment wrapText="1"/>
    </xf>
    <xf numFmtId="4" fontId="9" fillId="0" borderId="19" xfId="0" applyNumberFormat="1" applyFont="1" applyFill="1" applyBorder="1" applyAlignment="1">
      <alignment horizontal="right" wrapText="1"/>
    </xf>
    <xf numFmtId="0" fontId="9" fillId="0" borderId="19" xfId="1241" applyFont="1" applyFill="1" applyBorder="1" applyAlignment="1">
      <alignment horizontal="left" vertical="center" wrapText="1"/>
    </xf>
    <xf numFmtId="185" fontId="14" fillId="0" borderId="19" xfId="0" applyNumberFormat="1" applyFont="1" applyFill="1" applyBorder="1" applyAlignment="1" applyProtection="1">
      <alignment horizontal="right" vertical="center"/>
    </xf>
    <xf numFmtId="0" fontId="9" fillId="0" borderId="19" xfId="0" applyNumberFormat="1" applyFont="1" applyFill="1" applyBorder="1" applyAlignment="1">
      <alignment vertical="center" wrapText="1"/>
    </xf>
    <xf numFmtId="4" fontId="9" fillId="0" borderId="19" xfId="0" applyNumberFormat="1" applyFont="1" applyFill="1" applyBorder="1" applyAlignment="1">
      <alignment horizontal="center" vertical="center" wrapText="1"/>
    </xf>
    <xf numFmtId="4" fontId="9" fillId="0" borderId="0" xfId="0" applyNumberFormat="1" applyFont="1" applyFill="1" applyBorder="1" applyAlignment="1">
      <alignment vertical="center" wrapText="1"/>
    </xf>
    <xf numFmtId="185" fontId="14" fillId="0" borderId="19" xfId="0" applyNumberFormat="1" applyFont="1" applyFill="1" applyBorder="1" applyAlignment="1" applyProtection="1">
      <alignment horizontal="right" vertical="top"/>
    </xf>
    <xf numFmtId="4" fontId="9" fillId="0" borderId="19" xfId="0" applyNumberFormat="1" applyFont="1" applyFill="1" applyBorder="1" applyAlignment="1">
      <alignment horizontal="center" wrapText="1"/>
    </xf>
    <xf numFmtId="4" fontId="9" fillId="0" borderId="0" xfId="0" applyNumberFormat="1" applyFont="1" applyFill="1" applyBorder="1" applyAlignment="1">
      <alignment wrapText="1"/>
    </xf>
    <xf numFmtId="0" fontId="33" fillId="48" borderId="0" xfId="972" applyFont="1" applyFill="1" applyBorder="1" applyAlignment="1">
      <alignment horizontal="center"/>
    </xf>
    <xf numFmtId="39" fontId="33" fillId="48" borderId="0" xfId="972" applyNumberFormat="1" applyFont="1" applyFill="1" applyBorder="1" applyAlignment="1">
      <alignment horizontal="right"/>
    </xf>
    <xf numFmtId="4" fontId="11" fillId="48" borderId="40" xfId="972" applyNumberFormat="1" applyFont="1" applyFill="1" applyBorder="1" applyAlignment="1" applyProtection="1">
      <alignment horizontal="right" vertical="center"/>
    </xf>
    <xf numFmtId="39" fontId="11" fillId="48" borderId="25" xfId="1295" applyNumberFormat="1" applyFont="1" applyFill="1" applyBorder="1" applyAlignment="1">
      <alignment horizontal="right" vertical="center"/>
    </xf>
    <xf numFmtId="4" fontId="11" fillId="48" borderId="25" xfId="972" applyNumberFormat="1" applyFont="1" applyFill="1" applyBorder="1" applyAlignment="1" applyProtection="1">
      <alignment horizontal="right" vertical="center"/>
    </xf>
    <xf numFmtId="39" fontId="34" fillId="48" borderId="72" xfId="972" applyNumberFormat="1" applyFont="1" applyFill="1" applyBorder="1"/>
    <xf numFmtId="0" fontId="34" fillId="48" borderId="39" xfId="972" applyFont="1" applyFill="1" applyBorder="1" applyAlignment="1">
      <alignment vertical="center" wrapText="1"/>
    </xf>
    <xf numFmtId="2" fontId="34" fillId="48" borderId="40" xfId="972" applyNumberFormat="1" applyFont="1" applyFill="1" applyBorder="1" applyAlignment="1">
      <alignment vertical="center"/>
    </xf>
    <xf numFmtId="0" fontId="34" fillId="48" borderId="40" xfId="972" applyFont="1" applyFill="1" applyBorder="1" applyAlignment="1">
      <alignment horizontal="center" vertical="center"/>
    </xf>
    <xf numFmtId="39" fontId="34" fillId="48" borderId="41" xfId="972" applyNumberFormat="1" applyFont="1" applyFill="1" applyBorder="1" applyAlignment="1">
      <alignment vertical="center"/>
    </xf>
    <xf numFmtId="0" fontId="9" fillId="48" borderId="0" xfId="972" applyFill="1" applyAlignment="1">
      <alignment vertical="center"/>
    </xf>
    <xf numFmtId="0" fontId="9" fillId="0" borderId="74" xfId="0" applyFont="1" applyFill="1" applyBorder="1" applyAlignment="1">
      <alignment horizontal="right" wrapText="1"/>
    </xf>
    <xf numFmtId="4" fontId="9" fillId="50" borderId="19" xfId="868" applyNumberFormat="1" applyFont="1" applyFill="1" applyBorder="1" applyAlignment="1" applyProtection="1">
      <alignment horizontal="right" vertical="center" wrapText="1"/>
    </xf>
    <xf numFmtId="188" fontId="14" fillId="0" borderId="19" xfId="838" applyNumberFormat="1" applyFont="1" applyFill="1" applyBorder="1" applyAlignment="1" applyProtection="1">
      <alignment horizontal="right" vertical="top" wrapText="1"/>
    </xf>
    <xf numFmtId="184" fontId="15" fillId="0" borderId="19" xfId="0" applyNumberFormat="1" applyFont="1" applyFill="1" applyBorder="1" applyAlignment="1" applyProtection="1">
      <alignment horizontal="right" vertical="center"/>
    </xf>
    <xf numFmtId="0" fontId="10" fillId="0" borderId="19" xfId="0" applyFont="1" applyFill="1" applyBorder="1" applyAlignment="1">
      <alignment vertical="center" wrapText="1"/>
    </xf>
    <xf numFmtId="49" fontId="9" fillId="50" borderId="19" xfId="1305" applyNumberFormat="1" applyFont="1" applyFill="1" applyBorder="1" applyAlignment="1">
      <alignment horizontal="right" vertical="top"/>
    </xf>
    <xf numFmtId="172" fontId="9" fillId="0" borderId="19" xfId="0" applyNumberFormat="1" applyFont="1" applyFill="1" applyBorder="1" applyAlignment="1">
      <alignment horizontal="right" wrapText="1"/>
    </xf>
    <xf numFmtId="172" fontId="9" fillId="0" borderId="19" xfId="0" applyNumberFormat="1" applyFont="1" applyFill="1" applyBorder="1" applyAlignment="1">
      <alignment horizontal="center"/>
    </xf>
    <xf numFmtId="39" fontId="9" fillId="0" borderId="0" xfId="0" applyNumberFormat="1" applyFont="1" applyFill="1" applyBorder="1"/>
    <xf numFmtId="198" fontId="9" fillId="0" borderId="19" xfId="0" applyNumberFormat="1" applyFont="1" applyFill="1" applyBorder="1" applyAlignment="1">
      <alignment horizontal="right"/>
    </xf>
    <xf numFmtId="39" fontId="9" fillId="0" borderId="19" xfId="0" applyNumberFormat="1" applyFont="1" applyFill="1" applyBorder="1" applyAlignment="1">
      <alignment horizontal="left"/>
    </xf>
    <xf numFmtId="39" fontId="49" fillId="0" borderId="0" xfId="0" applyNumberFormat="1" applyFont="1" applyFill="1" applyBorder="1"/>
    <xf numFmtId="4" fontId="9" fillId="0" borderId="19" xfId="805" applyNumberFormat="1" applyFont="1" applyFill="1" applyBorder="1" applyAlignment="1" applyProtection="1">
      <alignment horizontal="right" vertical="top" wrapText="1"/>
    </xf>
    <xf numFmtId="0" fontId="15" fillId="48" borderId="19" xfId="0" applyFont="1" applyFill="1" applyBorder="1" applyAlignment="1">
      <alignment horizontal="center" vertical="top" wrapText="1"/>
    </xf>
    <xf numFmtId="0" fontId="10" fillId="48" borderId="78" xfId="0" applyFont="1" applyFill="1" applyBorder="1" applyAlignment="1">
      <alignment horizontal="left"/>
    </xf>
    <xf numFmtId="4" fontId="14" fillId="48" borderId="19" xfId="0" applyNumberFormat="1" applyFont="1" applyFill="1" applyBorder="1" applyAlignment="1">
      <alignment vertical="top"/>
    </xf>
    <xf numFmtId="4" fontId="14" fillId="48" borderId="19" xfId="0" applyNumberFormat="1" applyFont="1" applyFill="1" applyBorder="1" applyAlignment="1">
      <alignment horizontal="center" vertical="top"/>
    </xf>
    <xf numFmtId="172" fontId="9" fillId="48" borderId="19" xfId="0" applyNumberFormat="1" applyFont="1" applyFill="1" applyBorder="1" applyAlignment="1">
      <alignment vertical="top"/>
    </xf>
    <xf numFmtId="4" fontId="9" fillId="48" borderId="74" xfId="0" applyNumberFormat="1" applyFont="1" applyFill="1" applyBorder="1" applyAlignment="1">
      <alignment vertical="top"/>
    </xf>
    <xf numFmtId="0" fontId="0" fillId="48" borderId="0" xfId="0" applyFill="1" applyBorder="1"/>
    <xf numFmtId="0" fontId="47" fillId="48" borderId="0" xfId="0" applyFont="1" applyFill="1" applyBorder="1" applyAlignment="1">
      <alignment vertical="center"/>
    </xf>
    <xf numFmtId="0" fontId="15" fillId="48" borderId="19" xfId="0" applyFont="1" applyFill="1" applyBorder="1" applyAlignment="1">
      <alignment vertical="top" wrapText="1"/>
    </xf>
    <xf numFmtId="0" fontId="14" fillId="48" borderId="74" xfId="0" applyNumberFormat="1" applyFont="1" applyFill="1" applyBorder="1" applyAlignment="1">
      <alignment vertical="top" wrapText="1"/>
    </xf>
    <xf numFmtId="4" fontId="14" fillId="0" borderId="19" xfId="0" applyNumberFormat="1" applyFont="1" applyFill="1" applyBorder="1" applyAlignment="1">
      <alignment vertical="top"/>
    </xf>
    <xf numFmtId="4" fontId="14" fillId="0" borderId="19" xfId="0" applyNumberFormat="1" applyFont="1" applyFill="1" applyBorder="1" applyAlignment="1">
      <alignment horizontal="center" vertical="top"/>
    </xf>
    <xf numFmtId="172" fontId="9" fillId="0" borderId="19" xfId="0" applyNumberFormat="1" applyFont="1" applyFill="1" applyBorder="1" applyAlignment="1">
      <alignment vertical="top"/>
    </xf>
    <xf numFmtId="0" fontId="0" fillId="0" borderId="19" xfId="0" applyFill="1" applyBorder="1"/>
    <xf numFmtId="4" fontId="9" fillId="0" borderId="19" xfId="0" applyNumberFormat="1" applyFont="1" applyFill="1" applyBorder="1" applyAlignment="1">
      <alignment vertical="top"/>
    </xf>
    <xf numFmtId="4" fontId="9" fillId="0" borderId="19" xfId="0" applyNumberFormat="1" applyFont="1" applyFill="1" applyBorder="1" applyAlignment="1">
      <alignment horizontal="center" vertical="top"/>
    </xf>
    <xf numFmtId="4" fontId="0" fillId="48" borderId="0" xfId="0" applyNumberFormat="1" applyFill="1" applyBorder="1"/>
    <xf numFmtId="4" fontId="9" fillId="48" borderId="0" xfId="0" applyNumberFormat="1" applyFont="1" applyFill="1" applyBorder="1" applyAlignment="1">
      <alignment vertical="top"/>
    </xf>
    <xf numFmtId="0" fontId="9" fillId="0" borderId="19" xfId="0" applyFont="1" applyFill="1" applyBorder="1" applyAlignment="1">
      <alignment horizontal="left"/>
    </xf>
    <xf numFmtId="0" fontId="9" fillId="0" borderId="0" xfId="972"/>
    <xf numFmtId="4" fontId="9" fillId="0" borderId="0" xfId="972" applyNumberFormat="1"/>
    <xf numFmtId="0" fontId="58" fillId="0" borderId="0" xfId="1293" applyFont="1" applyFill="1" applyAlignment="1">
      <alignment horizontal="left"/>
    </xf>
    <xf numFmtId="4" fontId="58" fillId="0" borderId="0" xfId="1293" applyNumberFormat="1" applyFont="1" applyFill="1" applyAlignment="1"/>
    <xf numFmtId="0" fontId="58" fillId="0" borderId="0" xfId="1293" applyFont="1" applyFill="1" applyAlignment="1"/>
    <xf numFmtId="0" fontId="59" fillId="0" borderId="0" xfId="1293" quotePrefix="1" applyFont="1" applyFill="1" applyAlignment="1">
      <alignment horizontal="left"/>
    </xf>
    <xf numFmtId="4" fontId="60" fillId="0" borderId="0" xfId="1293" applyNumberFormat="1" applyFont="1" applyFill="1"/>
    <xf numFmtId="0" fontId="60" fillId="0" borderId="0" xfId="1293" applyFont="1" applyFill="1"/>
    <xf numFmtId="0" fontId="60" fillId="0" borderId="39" xfId="1293" applyFont="1" applyFill="1" applyBorder="1"/>
    <xf numFmtId="4" fontId="60" fillId="0" borderId="40" xfId="1293" applyNumberFormat="1" applyFont="1" applyFill="1" applyBorder="1"/>
    <xf numFmtId="0" fontId="60" fillId="0" borderId="40" xfId="1293" applyFont="1" applyFill="1" applyBorder="1" applyAlignment="1">
      <alignment horizontal="centerContinuous"/>
    </xf>
    <xf numFmtId="4" fontId="60" fillId="0" borderId="41" xfId="1293" applyNumberFormat="1" applyFont="1" applyFill="1" applyBorder="1"/>
    <xf numFmtId="0" fontId="60" fillId="0" borderId="42" xfId="1293" applyFont="1" applyFill="1" applyBorder="1"/>
    <xf numFmtId="4" fontId="60" fillId="0" borderId="24" xfId="1293" applyNumberFormat="1" applyFont="1" applyFill="1" applyBorder="1"/>
    <xf numFmtId="0" fontId="60" fillId="0" borderId="24" xfId="1293" applyFont="1" applyFill="1" applyBorder="1" applyAlignment="1">
      <alignment horizontal="centerContinuous"/>
    </xf>
    <xf numFmtId="4" fontId="60" fillId="0" borderId="43" xfId="1293" applyNumberFormat="1" applyFont="1" applyFill="1" applyBorder="1"/>
    <xf numFmtId="0" fontId="60" fillId="0" borderId="44" xfId="1293" applyFont="1" applyFill="1" applyBorder="1"/>
    <xf numFmtId="4" fontId="60" fillId="0" borderId="45" xfId="1293" applyNumberFormat="1" applyFont="1" applyFill="1" applyBorder="1"/>
    <xf numFmtId="0" fontId="60" fillId="0" borderId="45" xfId="1293" applyFont="1" applyFill="1" applyBorder="1"/>
    <xf numFmtId="4" fontId="59" fillId="0" borderId="45" xfId="1293" applyNumberFormat="1" applyFont="1" applyFill="1" applyBorder="1" applyAlignment="1">
      <alignment horizontal="right"/>
    </xf>
    <xf numFmtId="4" fontId="59" fillId="0" borderId="46" xfId="1293" applyNumberFormat="1" applyFont="1" applyFill="1" applyBorder="1" applyAlignment="1">
      <alignment horizontal="right"/>
    </xf>
    <xf numFmtId="0" fontId="60" fillId="0" borderId="0" xfId="1293" applyFont="1" applyFill="1" applyBorder="1"/>
    <xf numFmtId="4" fontId="60" fillId="0" borderId="0" xfId="1293" applyNumberFormat="1" applyFont="1" applyFill="1" applyBorder="1"/>
    <xf numFmtId="4" fontId="59" fillId="0" borderId="0" xfId="1293" applyNumberFormat="1" applyFont="1" applyFill="1" applyBorder="1" applyAlignment="1">
      <alignment horizontal="right"/>
    </xf>
    <xf numFmtId="0" fontId="59" fillId="0" borderId="0" xfId="1293" applyFont="1" applyFill="1" applyAlignment="1">
      <alignment horizontal="left"/>
    </xf>
    <xf numFmtId="0" fontId="59" fillId="0" borderId="0" xfId="1293" applyFont="1" applyFill="1" applyAlignment="1">
      <alignment horizontal="centerContinuous"/>
    </xf>
    <xf numFmtId="4" fontId="59" fillId="0" borderId="0" xfId="1293" applyNumberFormat="1" applyFont="1" applyFill="1" applyAlignment="1">
      <alignment horizontal="centerContinuous"/>
    </xf>
    <xf numFmtId="0" fontId="60" fillId="0" borderId="24" xfId="1293" applyFont="1" applyFill="1" applyBorder="1" applyAlignment="1">
      <alignment horizontal="center"/>
    </xf>
    <xf numFmtId="0" fontId="59" fillId="0" borderId="0" xfId="1293" applyFont="1" applyFill="1" applyAlignment="1"/>
    <xf numFmtId="0" fontId="59" fillId="0" borderId="0" xfId="1293" applyFont="1" applyFill="1"/>
    <xf numFmtId="0" fontId="60" fillId="0" borderId="24" xfId="1293" applyFont="1" applyFill="1" applyBorder="1"/>
    <xf numFmtId="4" fontId="59" fillId="0" borderId="24" xfId="1293" applyNumberFormat="1" applyFont="1" applyFill="1" applyBorder="1" applyAlignment="1">
      <alignment horizontal="right"/>
    </xf>
    <xf numFmtId="4" fontId="59" fillId="0" borderId="0" xfId="1293" applyNumberFormat="1" applyFont="1" applyFill="1"/>
    <xf numFmtId="0" fontId="61" fillId="0" borderId="0" xfId="1293" applyFont="1" applyFill="1"/>
    <xf numFmtId="4" fontId="61" fillId="0" borderId="0" xfId="1293" applyNumberFormat="1" applyFont="1" applyFill="1"/>
    <xf numFmtId="188" fontId="14" fillId="0" borderId="19" xfId="838" applyNumberFormat="1" applyFont="1" applyFill="1" applyBorder="1" applyAlignment="1" applyProtection="1">
      <alignment horizontal="right" vertical="center" wrapText="1"/>
    </xf>
    <xf numFmtId="0" fontId="9" fillId="0" borderId="19" xfId="0" applyNumberFormat="1" applyFont="1" applyFill="1" applyBorder="1" applyAlignment="1">
      <alignment horizontal="left" vertical="justify" wrapText="1"/>
    </xf>
    <xf numFmtId="0" fontId="9" fillId="0" borderId="19" xfId="0" applyFont="1" applyFill="1" applyBorder="1" applyAlignment="1">
      <alignment vertical="justify"/>
    </xf>
    <xf numFmtId="188" fontId="15" fillId="50" borderId="19" xfId="838" applyNumberFormat="1" applyFont="1" applyFill="1" applyBorder="1" applyAlignment="1" applyProtection="1">
      <alignment horizontal="center" vertical="top"/>
    </xf>
    <xf numFmtId="0" fontId="10" fillId="50" borderId="19" xfId="1210" applyFont="1" applyFill="1" applyBorder="1" applyAlignment="1">
      <alignment horizontal="left" vertical="top" wrapText="1"/>
    </xf>
    <xf numFmtId="4" fontId="14" fillId="50" borderId="19" xfId="868" applyNumberFormat="1" applyFont="1" applyFill="1" applyBorder="1" applyAlignment="1">
      <alignment horizontal="right" vertical="center" wrapText="1"/>
    </xf>
    <xf numFmtId="4" fontId="14" fillId="50" borderId="19" xfId="868" applyNumberFormat="1" applyFont="1" applyFill="1" applyBorder="1" applyAlignment="1">
      <alignment horizontal="center" vertical="center"/>
    </xf>
    <xf numFmtId="4" fontId="9" fillId="50" borderId="19" xfId="868" applyNumberFormat="1" applyFont="1" applyFill="1" applyBorder="1" applyAlignment="1">
      <alignment horizontal="right" vertical="center" wrapText="1"/>
    </xf>
    <xf numFmtId="4" fontId="9" fillId="50" borderId="19" xfId="0" applyNumberFormat="1" applyFont="1" applyFill="1" applyBorder="1" applyAlignment="1">
      <alignment vertical="top" wrapText="1"/>
    </xf>
    <xf numFmtId="0" fontId="0" fillId="0" borderId="19" xfId="1241" applyFont="1" applyFill="1" applyBorder="1" applyAlignment="1">
      <alignment horizontal="left" vertical="center" wrapText="1"/>
    </xf>
    <xf numFmtId="1" fontId="10" fillId="50" borderId="19" xfId="0" applyNumberFormat="1" applyFont="1" applyFill="1" applyBorder="1" applyAlignment="1">
      <alignment horizontal="right"/>
    </xf>
    <xf numFmtId="0" fontId="10" fillId="50" borderId="19" xfId="0" applyFont="1" applyFill="1" applyBorder="1" applyAlignment="1">
      <alignment horizontal="left"/>
    </xf>
    <xf numFmtId="172" fontId="9" fillId="50" borderId="19" xfId="0" applyNumberFormat="1" applyFont="1" applyFill="1" applyBorder="1"/>
    <xf numFmtId="0" fontId="9" fillId="50" borderId="19" xfId="0" applyFont="1" applyFill="1" applyBorder="1" applyAlignment="1">
      <alignment horizontal="left"/>
    </xf>
    <xf numFmtId="0" fontId="82" fillId="0" borderId="0" xfId="972" applyFont="1"/>
    <xf numFmtId="4" fontId="59" fillId="50" borderId="46" xfId="1293" applyNumberFormat="1" applyFont="1" applyFill="1" applyBorder="1" applyAlignment="1">
      <alignment horizontal="right"/>
    </xf>
    <xf numFmtId="4" fontId="59" fillId="50" borderId="43" xfId="1293" applyNumberFormat="1" applyFont="1" applyFill="1" applyBorder="1" applyAlignment="1">
      <alignment horizontal="right"/>
    </xf>
    <xf numFmtId="185" fontId="14" fillId="50" borderId="19" xfId="0" applyNumberFormat="1" applyFont="1" applyFill="1" applyBorder="1" applyAlignment="1" applyProtection="1">
      <alignment horizontal="right" vertical="top"/>
    </xf>
    <xf numFmtId="4" fontId="14" fillId="50" borderId="19" xfId="868" applyNumberFormat="1" applyFont="1" applyFill="1" applyBorder="1" applyAlignment="1">
      <alignment horizontal="right" vertical="top" wrapText="1"/>
    </xf>
    <xf numFmtId="4" fontId="14" fillId="50" borderId="19" xfId="868" applyNumberFormat="1" applyFont="1" applyFill="1" applyBorder="1" applyAlignment="1">
      <alignment horizontal="center" vertical="top"/>
    </xf>
    <xf numFmtId="4" fontId="9" fillId="50" borderId="19" xfId="868" applyNumberFormat="1" applyFont="1" applyFill="1" applyBorder="1" applyAlignment="1">
      <alignment horizontal="right" vertical="top" wrapText="1"/>
    </xf>
    <xf numFmtId="4" fontId="9" fillId="50" borderId="0" xfId="0" applyNumberFormat="1" applyFont="1" applyFill="1" applyAlignment="1">
      <alignment vertical="top" wrapText="1"/>
    </xf>
    <xf numFmtId="0" fontId="9" fillId="50" borderId="19" xfId="1210" applyFont="1" applyFill="1" applyBorder="1" applyAlignment="1">
      <alignment horizontal="left" vertical="top" wrapText="1"/>
    </xf>
    <xf numFmtId="43" fontId="0" fillId="0" borderId="0" xfId="699" applyFont="1"/>
    <xf numFmtId="0" fontId="10" fillId="55" borderId="66" xfId="0" applyFont="1" applyFill="1" applyBorder="1" applyAlignment="1">
      <alignment horizontal="center" vertical="center" wrapText="1"/>
    </xf>
    <xf numFmtId="0" fontId="10" fillId="0" borderId="68" xfId="0" applyFont="1" applyFill="1" applyBorder="1" applyAlignment="1">
      <alignment vertical="top" wrapText="1"/>
    </xf>
    <xf numFmtId="0" fontId="10" fillId="48" borderId="74" xfId="0" applyFont="1" applyFill="1" applyBorder="1" applyAlignment="1">
      <alignment vertical="top" wrapText="1"/>
    </xf>
    <xf numFmtId="4" fontId="9" fillId="48" borderId="74" xfId="0" applyNumberFormat="1" applyFont="1" applyFill="1" applyBorder="1" applyAlignment="1">
      <alignment vertical="top" wrapText="1"/>
    </xf>
    <xf numFmtId="4" fontId="9" fillId="0" borderId="74" xfId="0" applyNumberFormat="1" applyFont="1" applyFill="1" applyBorder="1" applyAlignment="1">
      <alignment horizontal="right" vertical="center" wrapText="1"/>
    </xf>
    <xf numFmtId="4" fontId="9" fillId="48" borderId="74" xfId="0" applyNumberFormat="1" applyFont="1" applyFill="1" applyBorder="1" applyAlignment="1">
      <alignment vertical="center" wrapText="1"/>
    </xf>
    <xf numFmtId="4" fontId="9" fillId="0" borderId="74" xfId="0" applyNumberFormat="1" applyFont="1" applyFill="1" applyBorder="1" applyAlignment="1">
      <alignment vertical="center" wrapText="1"/>
    </xf>
    <xf numFmtId="4" fontId="9" fillId="0" borderId="74" xfId="0" applyNumberFormat="1" applyFont="1" applyFill="1" applyBorder="1" applyAlignment="1">
      <alignment horizontal="right" wrapText="1"/>
    </xf>
    <xf numFmtId="4" fontId="9" fillId="48" borderId="74" xfId="0" applyNumberFormat="1" applyFont="1" applyFill="1" applyBorder="1" applyAlignment="1">
      <alignment horizontal="right" wrapText="1"/>
    </xf>
    <xf numFmtId="0" fontId="9" fillId="0" borderId="74" xfId="0" applyFont="1" applyFill="1" applyBorder="1"/>
    <xf numFmtId="4" fontId="9" fillId="48" borderId="74" xfId="0" applyNumberFormat="1" applyFont="1" applyFill="1" applyBorder="1" applyAlignment="1">
      <alignment horizontal="right" vertical="center" wrapText="1"/>
    </xf>
    <xf numFmtId="4" fontId="9" fillId="48" borderId="74" xfId="0" applyNumberFormat="1" applyFont="1" applyFill="1" applyBorder="1" applyAlignment="1">
      <alignment wrapText="1"/>
    </xf>
    <xf numFmtId="4" fontId="9" fillId="0" borderId="74" xfId="0" applyNumberFormat="1" applyFont="1" applyFill="1" applyBorder="1" applyAlignment="1">
      <alignment wrapText="1"/>
    </xf>
    <xf numFmtId="43" fontId="9" fillId="48" borderId="74" xfId="699" applyFont="1" applyFill="1" applyBorder="1" applyAlignment="1">
      <alignment vertical="center" wrapText="1"/>
    </xf>
    <xf numFmtId="4" fontId="10" fillId="55" borderId="74" xfId="868" applyNumberFormat="1" applyFont="1" applyFill="1" applyBorder="1" applyAlignment="1">
      <alignment horizontal="right" vertical="center" wrapText="1"/>
    </xf>
    <xf numFmtId="4" fontId="10" fillId="57" borderId="74" xfId="868" applyNumberFormat="1" applyFont="1" applyFill="1" applyBorder="1" applyAlignment="1">
      <alignment horizontal="right" vertical="center" wrapText="1"/>
    </xf>
    <xf numFmtId="4" fontId="10" fillId="57" borderId="74" xfId="839" applyNumberFormat="1" applyFont="1" applyFill="1" applyBorder="1" applyAlignment="1">
      <alignment horizontal="right" vertical="top" wrapText="1"/>
    </xf>
    <xf numFmtId="4" fontId="9" fillId="57" borderId="74" xfId="0" applyNumberFormat="1" applyFont="1" applyFill="1" applyBorder="1" applyAlignment="1">
      <alignment horizontal="right"/>
    </xf>
    <xf numFmtId="39" fontId="9" fillId="57" borderId="74" xfId="805" applyNumberFormat="1" applyFont="1" applyFill="1" applyBorder="1"/>
    <xf numFmtId="172" fontId="47" fillId="57" borderId="74" xfId="0" applyNumberFormat="1" applyFont="1" applyFill="1" applyBorder="1" applyAlignment="1">
      <alignment horizontal="right" wrapText="1"/>
    </xf>
    <xf numFmtId="39" fontId="10" fillId="49" borderId="74" xfId="0" applyNumberFormat="1" applyFont="1" applyFill="1" applyBorder="1" applyAlignment="1" applyProtection="1">
      <alignment vertical="top" wrapText="1"/>
    </xf>
    <xf numFmtId="4" fontId="9" fillId="48" borderId="74" xfId="1305" applyNumberFormat="1" applyFont="1" applyFill="1" applyBorder="1" applyAlignment="1">
      <alignment horizontal="right" wrapText="1"/>
    </xf>
    <xf numFmtId="39" fontId="9" fillId="48" borderId="74" xfId="805" applyNumberFormat="1" applyFont="1" applyFill="1" applyBorder="1"/>
    <xf numFmtId="39" fontId="9" fillId="48" borderId="74" xfId="805" applyNumberFormat="1" applyFont="1" applyFill="1" applyBorder="1" applyAlignment="1">
      <alignment vertical="center"/>
    </xf>
    <xf numFmtId="39" fontId="9" fillId="0" borderId="74" xfId="805" applyNumberFormat="1" applyFont="1" applyFill="1" applyBorder="1"/>
    <xf numFmtId="4" fontId="10" fillId="49" borderId="74" xfId="1305" applyNumberFormat="1" applyFont="1" applyFill="1" applyBorder="1" applyAlignment="1">
      <alignment horizontal="right"/>
    </xf>
    <xf numFmtId="4" fontId="9" fillId="48" borderId="74" xfId="1305" applyNumberFormat="1" applyFont="1" applyFill="1" applyBorder="1" applyAlignment="1">
      <alignment horizontal="right"/>
    </xf>
    <xf numFmtId="4" fontId="9" fillId="0" borderId="74" xfId="0" applyNumberFormat="1" applyFont="1" applyFill="1" applyBorder="1" applyAlignment="1">
      <alignment vertical="top"/>
    </xf>
    <xf numFmtId="172" fontId="9" fillId="48" borderId="74" xfId="0" applyNumberFormat="1" applyFont="1" applyFill="1" applyBorder="1" applyAlignment="1">
      <alignment horizontal="right" wrapText="1"/>
    </xf>
    <xf numFmtId="172" fontId="9" fillId="50" borderId="0" xfId="0" applyNumberFormat="1" applyFont="1" applyFill="1" applyBorder="1"/>
    <xf numFmtId="172" fontId="9" fillId="0" borderId="74" xfId="0" applyNumberFormat="1" applyFont="1" applyFill="1" applyBorder="1" applyAlignment="1">
      <alignment horizontal="right" wrapText="1"/>
    </xf>
    <xf numFmtId="39" fontId="9" fillId="48" borderId="74" xfId="0" applyNumberFormat="1" applyFont="1" applyFill="1" applyBorder="1" applyAlignment="1">
      <alignment horizontal="right" wrapText="1"/>
    </xf>
    <xf numFmtId="4" fontId="14" fillId="48" borderId="74" xfId="0" applyNumberFormat="1" applyFont="1" applyFill="1" applyBorder="1" applyAlignment="1">
      <alignment horizontal="right" wrapText="1"/>
    </xf>
    <xf numFmtId="0" fontId="9" fillId="0" borderId="0" xfId="0" applyFont="1" applyFill="1" applyBorder="1" applyAlignment="1">
      <alignment vertical="top" wrapText="1"/>
    </xf>
    <xf numFmtId="0" fontId="9" fillId="49" borderId="0" xfId="0" applyFont="1" applyFill="1" applyBorder="1" applyAlignment="1">
      <alignment horizontal="center" vertical="center" wrapText="1"/>
    </xf>
    <xf numFmtId="4" fontId="9" fillId="0" borderId="0" xfId="0" applyNumberFormat="1" applyFont="1" applyFill="1" applyBorder="1" applyAlignment="1">
      <alignment vertical="top" wrapText="1"/>
    </xf>
    <xf numFmtId="43" fontId="10" fillId="0" borderId="0" xfId="699" applyFont="1" applyFill="1" applyBorder="1" applyAlignment="1">
      <alignment vertical="top" wrapText="1"/>
    </xf>
    <xf numFmtId="201" fontId="10" fillId="0" borderId="0" xfId="0" applyNumberFormat="1" applyFont="1" applyFill="1" applyBorder="1" applyAlignment="1">
      <alignment vertical="top" wrapText="1"/>
    </xf>
    <xf numFmtId="0" fontId="10" fillId="0" borderId="0" xfId="0" applyFont="1" applyFill="1" applyBorder="1" applyAlignment="1">
      <alignment vertical="center" wrapText="1"/>
    </xf>
    <xf numFmtId="43" fontId="10" fillId="0" borderId="0" xfId="0" applyNumberFormat="1" applyFont="1" applyFill="1" applyBorder="1" applyAlignment="1">
      <alignment vertical="center" wrapText="1"/>
    </xf>
    <xf numFmtId="0" fontId="9" fillId="48" borderId="0" xfId="0" applyFont="1" applyFill="1" applyBorder="1" applyAlignment="1">
      <alignment vertical="top"/>
    </xf>
    <xf numFmtId="0" fontId="10" fillId="48" borderId="0" xfId="0" applyFont="1" applyFill="1" applyBorder="1" applyAlignment="1">
      <alignment vertical="justify"/>
    </xf>
    <xf numFmtId="39" fontId="10" fillId="48" borderId="0" xfId="0" applyNumberFormat="1" applyFont="1" applyFill="1" applyBorder="1" applyAlignment="1"/>
    <xf numFmtId="39" fontId="9" fillId="48" borderId="0" xfId="805" applyNumberFormat="1" applyFont="1" applyFill="1" applyBorder="1"/>
    <xf numFmtId="4" fontId="9" fillId="48" borderId="0" xfId="805" applyNumberFormat="1" applyFont="1" applyFill="1" applyBorder="1" applyAlignment="1">
      <alignment horizontal="right" vertical="top" wrapText="1"/>
    </xf>
    <xf numFmtId="4" fontId="9" fillId="48" borderId="0" xfId="1047" applyNumberFormat="1" applyFont="1" applyFill="1" applyBorder="1" applyAlignment="1" applyProtection="1">
      <alignment vertical="top" wrapText="1"/>
      <protection locked="0"/>
    </xf>
    <xf numFmtId="4" fontId="46" fillId="48" borderId="0" xfId="0" applyNumberFormat="1" applyFont="1" applyFill="1" applyBorder="1"/>
    <xf numFmtId="4" fontId="48" fillId="48" borderId="0" xfId="0" applyNumberFormat="1" applyFont="1" applyFill="1" applyBorder="1"/>
    <xf numFmtId="0" fontId="46" fillId="48" borderId="0" xfId="0" applyFont="1" applyFill="1" applyBorder="1"/>
    <xf numFmtId="0" fontId="47" fillId="48" borderId="0" xfId="0" applyFont="1" applyFill="1" applyBorder="1" applyAlignment="1">
      <alignment wrapText="1"/>
    </xf>
    <xf numFmtId="4" fontId="9" fillId="59" borderId="0" xfId="0" applyNumberFormat="1" applyFont="1" applyFill="1" applyBorder="1" applyAlignment="1">
      <alignment vertical="top" wrapText="1"/>
    </xf>
    <xf numFmtId="0" fontId="10" fillId="59" borderId="0" xfId="0" applyFont="1" applyFill="1" applyBorder="1" applyAlignment="1">
      <alignment vertical="top" wrapText="1"/>
    </xf>
    <xf numFmtId="39" fontId="18" fillId="48" borderId="0" xfId="0" applyNumberFormat="1" applyFont="1" applyFill="1" applyBorder="1"/>
    <xf numFmtId="39" fontId="49" fillId="48" borderId="0" xfId="0" applyNumberFormat="1" applyFont="1" applyFill="1" applyBorder="1"/>
    <xf numFmtId="39" fontId="50" fillId="48" borderId="0" xfId="0" applyNumberFormat="1" applyFont="1" applyFill="1" applyBorder="1" applyAlignment="1">
      <alignment vertical="center"/>
    </xf>
    <xf numFmtId="4" fontId="10" fillId="49" borderId="0" xfId="992" applyNumberFormat="1" applyFont="1" applyFill="1" applyBorder="1" applyAlignment="1">
      <alignment wrapText="1"/>
    </xf>
    <xf numFmtId="0" fontId="9" fillId="50" borderId="19" xfId="0" applyNumberFormat="1" applyFont="1" applyFill="1" applyBorder="1" applyAlignment="1">
      <alignment horizontal="left" vertical="justify" wrapText="1"/>
    </xf>
    <xf numFmtId="4" fontId="9" fillId="50" borderId="19" xfId="868" applyNumberFormat="1" applyFont="1" applyFill="1" applyBorder="1" applyAlignment="1" applyProtection="1">
      <alignment horizontal="right" wrapText="1"/>
    </xf>
    <xf numFmtId="4" fontId="9" fillId="50" borderId="19" xfId="0" applyNumberFormat="1" applyFont="1" applyFill="1" applyBorder="1" applyAlignment="1">
      <alignment horizontal="center"/>
    </xf>
    <xf numFmtId="4" fontId="10" fillId="0" borderId="19" xfId="0" applyNumberFormat="1" applyFont="1" applyFill="1" applyBorder="1" applyAlignment="1">
      <alignment horizontal="center"/>
    </xf>
    <xf numFmtId="39" fontId="10" fillId="60" borderId="19" xfId="972" applyNumberFormat="1" applyFont="1" applyFill="1" applyBorder="1" applyAlignment="1">
      <alignment horizontal="left"/>
    </xf>
    <xf numFmtId="0" fontId="9" fillId="60" borderId="19" xfId="0" quotePrefix="1" applyFont="1" applyFill="1" applyBorder="1" applyAlignment="1">
      <alignment horizontal="left"/>
    </xf>
    <xf numFmtId="0" fontId="9" fillId="60" borderId="19" xfId="0" applyFont="1" applyFill="1" applyBorder="1"/>
    <xf numFmtId="0" fontId="9" fillId="60" borderId="19" xfId="0" applyFont="1" applyFill="1" applyBorder="1" applyAlignment="1">
      <alignment horizontal="left"/>
    </xf>
    <xf numFmtId="0" fontId="45" fillId="60" borderId="0" xfId="1295" applyFont="1" applyFill="1" applyBorder="1"/>
    <xf numFmtId="0" fontId="10" fillId="60" borderId="19" xfId="972" applyFont="1" applyFill="1" applyBorder="1" applyAlignment="1">
      <alignment vertical="center"/>
    </xf>
    <xf numFmtId="0" fontId="9" fillId="60" borderId="19" xfId="0" applyFont="1" applyFill="1" applyBorder="1" applyAlignment="1">
      <alignment wrapText="1"/>
    </xf>
    <xf numFmtId="49" fontId="82" fillId="57" borderId="19" xfId="0" applyNumberFormat="1" applyFont="1" applyFill="1" applyBorder="1" applyAlignment="1">
      <alignment vertical="top" wrapText="1"/>
    </xf>
    <xf numFmtId="4" fontId="82" fillId="57" borderId="19" xfId="1047" applyNumberFormat="1" applyFont="1" applyFill="1" applyBorder="1" applyAlignment="1" applyProtection="1">
      <alignment vertical="top" wrapText="1"/>
      <protection locked="0"/>
    </xf>
    <xf numFmtId="182" fontId="9" fillId="48" borderId="0" xfId="0" applyNumberFormat="1" applyFont="1" applyFill="1" applyBorder="1"/>
    <xf numFmtId="0" fontId="38" fillId="60" borderId="0" xfId="1295" applyFont="1" applyFill="1"/>
    <xf numFmtId="39" fontId="9" fillId="60" borderId="19" xfId="1047" applyNumberFormat="1" applyFont="1" applyFill="1" applyBorder="1" applyAlignment="1">
      <alignment vertical="top" wrapText="1"/>
    </xf>
    <xf numFmtId="49" fontId="9" fillId="60" borderId="19" xfId="0" applyNumberFormat="1" applyFont="1" applyFill="1" applyBorder="1" applyAlignment="1">
      <alignment vertical="top" wrapText="1"/>
    </xf>
    <xf numFmtId="39" fontId="82" fillId="57" borderId="19" xfId="0" applyNumberFormat="1" applyFont="1" applyFill="1" applyBorder="1" applyAlignment="1" applyProtection="1">
      <alignment vertical="top" wrapText="1"/>
      <protection locked="0"/>
    </xf>
    <xf numFmtId="4" fontId="9" fillId="60" borderId="19" xfId="805" applyNumberFormat="1" applyFont="1" applyFill="1" applyBorder="1"/>
    <xf numFmtId="4" fontId="82" fillId="57" borderId="19" xfId="805" applyNumberFormat="1" applyFont="1" applyFill="1" applyBorder="1" applyAlignment="1">
      <alignment horizontal="center"/>
    </xf>
    <xf numFmtId="0" fontId="62" fillId="48" borderId="19" xfId="1210" applyFont="1" applyFill="1" applyBorder="1" applyAlignment="1">
      <alignment horizontal="left" vertical="top" wrapText="1"/>
    </xf>
    <xf numFmtId="39" fontId="90" fillId="61" borderId="24" xfId="1295" applyNumberFormat="1" applyFont="1" applyFill="1" applyBorder="1" applyAlignment="1">
      <alignment horizontal="right"/>
    </xf>
    <xf numFmtId="37" fontId="91" fillId="57" borderId="19" xfId="0" applyNumberFormat="1" applyFont="1" applyFill="1" applyBorder="1" applyAlignment="1">
      <alignment horizontal="right" vertical="center"/>
    </xf>
    <xf numFmtId="0" fontId="91" fillId="57" borderId="19" xfId="0" applyFont="1" applyFill="1" applyBorder="1" applyAlignment="1">
      <alignment horizontal="right"/>
    </xf>
    <xf numFmtId="0" fontId="91" fillId="57" borderId="19" xfId="0" applyFont="1" applyFill="1" applyBorder="1" applyAlignment="1">
      <alignment horizontal="right" vertical="top" wrapText="1"/>
    </xf>
    <xf numFmtId="0" fontId="91" fillId="57" borderId="19" xfId="0" applyFont="1" applyFill="1" applyBorder="1" applyAlignment="1">
      <alignment horizontal="right" vertical="justify" wrapText="1"/>
    </xf>
    <xf numFmtId="0" fontId="9" fillId="0" borderId="0" xfId="0" applyFont="1"/>
    <xf numFmtId="0" fontId="9" fillId="48" borderId="0" xfId="0" applyFont="1" applyFill="1" applyAlignment="1">
      <alignment horizontal="center" vertical="top"/>
    </xf>
    <xf numFmtId="39" fontId="9" fillId="48" borderId="19" xfId="0" applyNumberFormat="1" applyFont="1" applyFill="1" applyBorder="1" applyAlignment="1">
      <alignment horizontal="center"/>
    </xf>
    <xf numFmtId="0" fontId="9" fillId="48" borderId="0" xfId="0" applyFont="1" applyFill="1" applyAlignment="1">
      <alignment horizontal="center"/>
    </xf>
    <xf numFmtId="0" fontId="9" fillId="0" borderId="0" xfId="0" applyFont="1" applyFill="1" applyAlignment="1">
      <alignment horizontal="center"/>
    </xf>
    <xf numFmtId="0" fontId="63" fillId="0" borderId="19" xfId="0" applyFont="1" applyFill="1" applyBorder="1" applyAlignment="1">
      <alignment horizontal="center" vertical="top"/>
    </xf>
    <xf numFmtId="0" fontId="63" fillId="0" borderId="78" xfId="0" applyFont="1" applyFill="1" applyBorder="1" applyAlignment="1">
      <alignment horizontal="center" vertical="center"/>
    </xf>
    <xf numFmtId="172" fontId="63" fillId="0" borderId="19" xfId="0" applyNumberFormat="1" applyFont="1" applyFill="1" applyBorder="1" applyAlignment="1">
      <alignment horizontal="center" vertical="center"/>
    </xf>
    <xf numFmtId="4" fontId="63" fillId="0" borderId="19" xfId="0" applyNumberFormat="1" applyFont="1" applyFill="1" applyBorder="1" applyAlignment="1">
      <alignment horizontal="center" vertical="center"/>
    </xf>
    <xf numFmtId="172" fontId="64" fillId="0" borderId="19" xfId="0" applyNumberFormat="1" applyFont="1" applyFill="1" applyBorder="1" applyAlignment="1">
      <alignment horizontal="center" vertical="center"/>
    </xf>
    <xf numFmtId="0" fontId="43" fillId="48" borderId="0" xfId="0" applyFont="1" applyFill="1"/>
    <xf numFmtId="0" fontId="63" fillId="0" borderId="78" xfId="0" applyNumberFormat="1" applyFont="1" applyFill="1" applyBorder="1" applyAlignment="1">
      <alignment wrapText="1"/>
    </xf>
    <xf numFmtId="1" fontId="31" fillId="0" borderId="19" xfId="0" applyNumberFormat="1" applyFont="1" applyFill="1" applyBorder="1" applyAlignment="1">
      <alignment horizontal="right"/>
    </xf>
    <xf numFmtId="0" fontId="31" fillId="0" borderId="19" xfId="0" applyFont="1" applyFill="1" applyBorder="1"/>
    <xf numFmtId="194" fontId="30" fillId="0" borderId="19" xfId="0" applyNumberFormat="1" applyFont="1" applyFill="1" applyBorder="1" applyAlignment="1">
      <alignment horizontal="right"/>
    </xf>
    <xf numFmtId="0" fontId="30" fillId="0" borderId="19" xfId="0" applyFont="1" applyFill="1" applyBorder="1"/>
    <xf numFmtId="172" fontId="30" fillId="0" borderId="19" xfId="0" applyNumberFormat="1" applyFont="1" applyFill="1" applyBorder="1"/>
    <xf numFmtId="172" fontId="30" fillId="0" borderId="19" xfId="0" applyNumberFormat="1" applyFont="1" applyFill="1" applyBorder="1" applyAlignment="1">
      <alignment horizontal="center"/>
    </xf>
    <xf numFmtId="4" fontId="30" fillId="0" borderId="19" xfId="0" applyNumberFormat="1" applyFont="1" applyFill="1" applyBorder="1" applyAlignment="1" applyProtection="1">
      <alignment horizontal="right" vertical="justify"/>
      <protection locked="0"/>
    </xf>
    <xf numFmtId="2" fontId="30" fillId="0" borderId="19" xfId="0" applyNumberFormat="1" applyFont="1" applyFill="1" applyBorder="1" applyAlignment="1">
      <alignment horizontal="center"/>
    </xf>
    <xf numFmtId="194" fontId="30" fillId="0" borderId="19" xfId="0" applyNumberFormat="1" applyFont="1" applyFill="1" applyBorder="1" applyAlignment="1">
      <alignment horizontal="right" vertical="center"/>
    </xf>
    <xf numFmtId="0" fontId="30" fillId="0" borderId="19" xfId="0" applyFont="1" applyFill="1" applyBorder="1" applyAlignment="1">
      <alignment wrapText="1"/>
    </xf>
    <xf numFmtId="172" fontId="30" fillId="0" borderId="19" xfId="0" applyNumberFormat="1" applyFont="1" applyFill="1" applyBorder="1" applyAlignment="1">
      <alignment vertical="center"/>
    </xf>
    <xf numFmtId="172" fontId="30" fillId="0" borderId="19" xfId="0" applyNumberFormat="1" applyFont="1" applyFill="1" applyBorder="1" applyAlignment="1">
      <alignment horizontal="center" vertical="center"/>
    </xf>
    <xf numFmtId="4" fontId="30" fillId="0" borderId="19" xfId="0" applyNumberFormat="1" applyFont="1" applyFill="1" applyBorder="1" applyAlignment="1" applyProtection="1">
      <alignment horizontal="right" vertical="center"/>
      <protection locked="0"/>
    </xf>
    <xf numFmtId="0" fontId="43" fillId="48" borderId="0" xfId="0" applyFont="1" applyFill="1" applyAlignment="1">
      <alignment vertical="center"/>
    </xf>
    <xf numFmtId="2" fontId="30" fillId="0" borderId="25" xfId="0" applyNumberFormat="1" applyFont="1" applyFill="1" applyBorder="1" applyAlignment="1">
      <alignment horizontal="right"/>
    </xf>
    <xf numFmtId="0" fontId="30" fillId="0" borderId="25" xfId="0" quotePrefix="1" applyFont="1" applyFill="1" applyBorder="1" applyAlignment="1">
      <alignment horizontal="left"/>
    </xf>
    <xf numFmtId="172" fontId="30" fillId="0" borderId="25" xfId="0" applyNumberFormat="1" applyFont="1" applyFill="1" applyBorder="1"/>
    <xf numFmtId="172" fontId="30" fillId="0" borderId="25" xfId="0" applyNumberFormat="1" applyFont="1" applyFill="1" applyBorder="1" applyAlignment="1">
      <alignment horizontal="center"/>
    </xf>
    <xf numFmtId="4" fontId="30" fillId="0" borderId="25" xfId="0" applyNumberFormat="1" applyFont="1" applyFill="1" applyBorder="1" applyAlignment="1" applyProtection="1">
      <alignment horizontal="right" vertical="justify"/>
      <protection locked="0"/>
    </xf>
    <xf numFmtId="4" fontId="43" fillId="48" borderId="0" xfId="0" applyNumberFormat="1" applyFont="1" applyFill="1"/>
    <xf numFmtId="0" fontId="30" fillId="0" borderId="19" xfId="0" applyFont="1" applyFill="1" applyBorder="1" applyAlignment="1">
      <alignment horizontal="left" wrapText="1"/>
    </xf>
    <xf numFmtId="2" fontId="30" fillId="0" borderId="19" xfId="0" applyNumberFormat="1" applyFont="1" applyFill="1" applyBorder="1" applyAlignment="1">
      <alignment horizontal="right"/>
    </xf>
    <xf numFmtId="0" fontId="30" fillId="0" borderId="19" xfId="0" quotePrefix="1" applyFont="1" applyFill="1" applyBorder="1" applyAlignment="1">
      <alignment horizontal="left"/>
    </xf>
    <xf numFmtId="1" fontId="30" fillId="0" borderId="19" xfId="0" applyNumberFormat="1" applyFont="1" applyFill="1" applyBorder="1" applyAlignment="1">
      <alignment horizontal="right"/>
    </xf>
    <xf numFmtId="1" fontId="30" fillId="0" borderId="19" xfId="0" applyNumberFormat="1" applyFont="1" applyFill="1" applyBorder="1" applyAlignment="1">
      <alignment horizontal="right" vertical="top"/>
    </xf>
    <xf numFmtId="4" fontId="30" fillId="0" borderId="19" xfId="0" applyNumberFormat="1" applyFont="1" applyFill="1" applyBorder="1" applyAlignment="1" applyProtection="1">
      <alignment vertical="center"/>
      <protection locked="0"/>
    </xf>
    <xf numFmtId="1" fontId="31" fillId="0" borderId="19" xfId="0" applyNumberFormat="1" applyFont="1" applyFill="1" applyBorder="1" applyAlignment="1">
      <alignment horizontal="right" vertical="top" wrapText="1"/>
    </xf>
    <xf numFmtId="0" fontId="31" fillId="0" borderId="19" xfId="0" applyFont="1" applyFill="1" applyBorder="1" applyAlignment="1">
      <alignment vertical="top" wrapText="1"/>
    </xf>
    <xf numFmtId="0" fontId="30" fillId="0" borderId="19" xfId="0" applyFont="1" applyFill="1" applyBorder="1" applyAlignment="1">
      <alignment horizontal="right" vertical="center"/>
    </xf>
    <xf numFmtId="194" fontId="30" fillId="0" borderId="19" xfId="0" applyNumberFormat="1" applyFont="1" applyFill="1" applyBorder="1" applyAlignment="1">
      <alignment vertical="center"/>
    </xf>
    <xf numFmtId="172" fontId="30" fillId="0" borderId="19" xfId="792" applyNumberFormat="1" applyFont="1" applyFill="1" applyBorder="1"/>
    <xf numFmtId="172" fontId="43" fillId="48" borderId="0" xfId="0" applyNumberFormat="1" applyFont="1" applyFill="1"/>
    <xf numFmtId="0" fontId="30" fillId="0" borderId="19" xfId="0" applyFont="1" applyFill="1" applyBorder="1" applyAlignment="1">
      <alignment horizontal="left"/>
    </xf>
    <xf numFmtId="2" fontId="31" fillId="0" borderId="19" xfId="0" applyNumberFormat="1" applyFont="1" applyFill="1" applyBorder="1" applyAlignment="1">
      <alignment horizontal="right" vertical="top" wrapText="1"/>
    </xf>
    <xf numFmtId="172" fontId="31" fillId="0" borderId="19" xfId="792" applyNumberFormat="1" applyFont="1" applyFill="1" applyBorder="1"/>
    <xf numFmtId="172" fontId="31" fillId="0" borderId="19" xfId="0" applyNumberFormat="1" applyFont="1" applyFill="1" applyBorder="1" applyAlignment="1">
      <alignment horizontal="center"/>
    </xf>
    <xf numFmtId="172" fontId="31" fillId="0" borderId="19" xfId="0" applyNumberFormat="1" applyFont="1" applyFill="1" applyBorder="1"/>
    <xf numFmtId="194" fontId="30" fillId="0" borderId="19" xfId="0" applyNumberFormat="1" applyFont="1" applyFill="1" applyBorder="1" applyAlignment="1">
      <alignment horizontal="right" vertical="justify"/>
    </xf>
    <xf numFmtId="172" fontId="30" fillId="0" borderId="19" xfId="792" applyNumberFormat="1" applyFont="1" applyFill="1" applyBorder="1" applyAlignment="1">
      <alignment vertical="center"/>
    </xf>
    <xf numFmtId="0" fontId="30" fillId="0" borderId="25" xfId="0" applyFont="1" applyFill="1" applyBorder="1"/>
    <xf numFmtId="172" fontId="30" fillId="0" borderId="25" xfId="792" applyNumberFormat="1" applyFont="1" applyFill="1" applyBorder="1"/>
    <xf numFmtId="2" fontId="43" fillId="48" borderId="0" xfId="0" applyNumberFormat="1" applyFont="1" applyFill="1"/>
    <xf numFmtId="172" fontId="30" fillId="0" borderId="78" xfId="0" applyNumberFormat="1" applyFont="1" applyFill="1" applyBorder="1"/>
    <xf numFmtId="194" fontId="92" fillId="0" borderId="19" xfId="0" applyNumberFormat="1" applyFont="1" applyFill="1" applyBorder="1" applyAlignment="1">
      <alignment horizontal="right" vertical="center"/>
    </xf>
    <xf numFmtId="0" fontId="92" fillId="0" borderId="19" xfId="0" applyFont="1" applyFill="1" applyBorder="1" applyAlignment="1">
      <alignment vertical="center" wrapText="1"/>
    </xf>
    <xf numFmtId="4" fontId="92" fillId="0" borderId="19" xfId="0" applyNumberFormat="1" applyFont="1" applyFill="1" applyBorder="1" applyAlignment="1" applyProtection="1">
      <alignment horizontal="right" vertical="center"/>
      <protection locked="0"/>
    </xf>
    <xf numFmtId="0" fontId="30" fillId="0" borderId="78" xfId="0" applyFont="1" applyFill="1" applyBorder="1"/>
    <xf numFmtId="1" fontId="92" fillId="0" borderId="19" xfId="0" applyNumberFormat="1" applyFont="1" applyFill="1" applyBorder="1" applyAlignment="1">
      <alignment horizontal="right"/>
    </xf>
    <xf numFmtId="0" fontId="92" fillId="0" borderId="19" xfId="0" applyFont="1" applyFill="1" applyBorder="1"/>
    <xf numFmtId="4" fontId="92" fillId="0" borderId="19" xfId="0" applyNumberFormat="1" applyFont="1" applyFill="1" applyBorder="1" applyAlignment="1" applyProtection="1">
      <alignment horizontal="right" vertical="justify"/>
      <protection locked="0"/>
    </xf>
    <xf numFmtId="0" fontId="30" fillId="0" borderId="74" xfId="0" applyFont="1" applyFill="1" applyBorder="1"/>
    <xf numFmtId="39" fontId="43" fillId="0" borderId="0" xfId="0" applyNumberFormat="1" applyFont="1" applyFill="1"/>
    <xf numFmtId="0" fontId="43" fillId="0" borderId="0" xfId="0" applyFont="1" applyFill="1"/>
    <xf numFmtId="172" fontId="43" fillId="0" borderId="0" xfId="0" applyNumberFormat="1" applyFont="1" applyFill="1"/>
    <xf numFmtId="4" fontId="43" fillId="0" borderId="0" xfId="0" applyNumberFormat="1" applyFont="1" applyFill="1"/>
    <xf numFmtId="1" fontId="31" fillId="0" borderId="19" xfId="0" applyNumberFormat="1" applyFont="1" applyFill="1" applyBorder="1" applyAlignment="1">
      <alignment horizontal="right" vertical="justify"/>
    </xf>
    <xf numFmtId="0" fontId="31" fillId="0" borderId="74" xfId="0" applyFont="1" applyFill="1" applyBorder="1" applyAlignment="1">
      <alignment vertical="justify"/>
    </xf>
    <xf numFmtId="172" fontId="31" fillId="0" borderId="19" xfId="792" applyNumberFormat="1" applyFont="1" applyFill="1" applyBorder="1" applyAlignment="1">
      <alignment vertical="top"/>
    </xf>
    <xf numFmtId="0" fontId="31" fillId="0" borderId="19" xfId="0" applyFont="1" applyFill="1" applyBorder="1" applyAlignment="1">
      <alignment vertical="top"/>
    </xf>
    <xf numFmtId="172" fontId="31" fillId="0" borderId="78" xfId="0" applyNumberFormat="1" applyFont="1" applyFill="1" applyBorder="1" applyAlignment="1">
      <alignment vertical="top"/>
    </xf>
    <xf numFmtId="194" fontId="30" fillId="0" borderId="19" xfId="0" applyNumberFormat="1" applyFont="1" applyFill="1" applyBorder="1" applyAlignment="1">
      <alignment horizontal="right" vertical="top"/>
    </xf>
    <xf numFmtId="4" fontId="30" fillId="0" borderId="19" xfId="0" applyNumberFormat="1" applyFont="1" applyFill="1" applyBorder="1" applyAlignment="1" applyProtection="1">
      <alignment horizontal="right"/>
      <protection locked="0"/>
    </xf>
    <xf numFmtId="0" fontId="65" fillId="0" borderId="19" xfId="0" applyFont="1" applyFill="1" applyBorder="1" applyAlignment="1">
      <alignment vertical="top" wrapText="1"/>
    </xf>
    <xf numFmtId="172" fontId="43" fillId="0" borderId="19" xfId="0" applyNumberFormat="1" applyFont="1" applyFill="1" applyBorder="1" applyAlignment="1">
      <alignment vertical="center"/>
    </xf>
    <xf numFmtId="0" fontId="37" fillId="0" borderId="19" xfId="0" applyFont="1" applyFill="1" applyBorder="1" applyAlignment="1">
      <alignment horizontal="center" vertical="top" wrapText="1"/>
    </xf>
    <xf numFmtId="2" fontId="31" fillId="0" borderId="19" xfId="1298" applyNumberFormat="1" applyFont="1" applyFill="1" applyBorder="1" applyAlignment="1">
      <alignment horizontal="center"/>
    </xf>
    <xf numFmtId="172" fontId="43" fillId="0" borderId="19" xfId="1298" applyNumberFormat="1" applyFont="1" applyFill="1" applyBorder="1" applyAlignment="1">
      <alignment vertical="center"/>
    </xf>
    <xf numFmtId="39" fontId="43" fillId="0" borderId="19" xfId="1298" applyNumberFormat="1" applyFont="1" applyFill="1" applyBorder="1" applyAlignment="1" applyProtection="1"/>
    <xf numFmtId="172" fontId="43" fillId="0" borderId="19" xfId="1298" applyNumberFormat="1" applyFont="1" applyFill="1" applyBorder="1" applyAlignment="1" applyProtection="1">
      <alignment vertical="center"/>
    </xf>
    <xf numFmtId="4" fontId="43" fillId="0" borderId="19" xfId="1298" applyNumberFormat="1" applyFont="1" applyFill="1" applyBorder="1" applyAlignment="1" applyProtection="1">
      <alignment vertical="center"/>
      <protection locked="0"/>
    </xf>
    <xf numFmtId="194" fontId="30" fillId="0" borderId="19" xfId="1304" applyNumberFormat="1" applyFont="1" applyFill="1" applyBorder="1" applyAlignment="1">
      <alignment vertical="center"/>
    </xf>
    <xf numFmtId="39" fontId="30" fillId="0" borderId="19" xfId="1304" applyFont="1" applyFill="1" applyBorder="1" applyAlignment="1">
      <alignment vertical="center"/>
    </xf>
    <xf numFmtId="172" fontId="30" fillId="0" borderId="19" xfId="922" applyNumberFormat="1" applyFont="1" applyFill="1" applyBorder="1" applyAlignment="1">
      <alignment vertical="center"/>
    </xf>
    <xf numFmtId="39" fontId="30" fillId="0" borderId="19" xfId="1304" applyFont="1" applyFill="1" applyBorder="1" applyAlignment="1">
      <alignment horizontal="center"/>
    </xf>
    <xf numFmtId="0" fontId="30" fillId="0" borderId="19" xfId="0" applyFont="1" applyFill="1" applyBorder="1" applyAlignment="1">
      <alignment vertical="center" wrapText="1"/>
    </xf>
    <xf numFmtId="172" fontId="30" fillId="0" borderId="19" xfId="1298" applyNumberFormat="1" applyFont="1" applyFill="1" applyBorder="1" applyAlignment="1">
      <alignment vertical="center"/>
    </xf>
    <xf numFmtId="39" fontId="30" fillId="0" borderId="19" xfId="1298" applyNumberFormat="1" applyFont="1" applyFill="1" applyBorder="1" applyAlignment="1" applyProtection="1">
      <alignment horizontal="center"/>
    </xf>
    <xf numFmtId="194" fontId="30" fillId="0" borderId="19" xfId="1304" applyNumberFormat="1" applyFont="1" applyFill="1" applyBorder="1" applyAlignment="1">
      <alignment vertical="top"/>
    </xf>
    <xf numFmtId="39" fontId="30" fillId="0" borderId="19" xfId="1304" applyFont="1" applyFill="1" applyBorder="1" applyAlignment="1">
      <alignment vertical="center" wrapText="1"/>
    </xf>
    <xf numFmtId="172" fontId="30" fillId="0" borderId="19" xfId="1298" applyNumberFormat="1" applyFont="1" applyFill="1" applyBorder="1" applyAlignment="1"/>
    <xf numFmtId="39" fontId="30" fillId="0" borderId="74" xfId="1304" applyFont="1" applyFill="1" applyBorder="1" applyAlignment="1">
      <alignment horizontal="center" vertical="center"/>
    </xf>
    <xf numFmtId="39" fontId="30" fillId="0" borderId="19" xfId="1304" applyFont="1" applyFill="1" applyBorder="1" applyAlignment="1">
      <alignment horizontal="center" vertical="center"/>
    </xf>
    <xf numFmtId="39" fontId="30" fillId="0" borderId="19" xfId="1304" applyFont="1" applyFill="1" applyBorder="1" applyAlignment="1">
      <alignment wrapText="1"/>
    </xf>
    <xf numFmtId="2" fontId="30" fillId="0" borderId="19" xfId="1304" applyNumberFormat="1" applyFont="1" applyFill="1" applyBorder="1" applyAlignment="1">
      <alignment vertical="center"/>
    </xf>
    <xf numFmtId="39" fontId="30" fillId="0" borderId="74" xfId="1304" applyFont="1" applyFill="1" applyBorder="1" applyAlignment="1">
      <alignment vertical="center"/>
    </xf>
    <xf numFmtId="172" fontId="30" fillId="0" borderId="74" xfId="922" applyNumberFormat="1" applyFont="1" applyFill="1" applyBorder="1" applyAlignment="1">
      <alignment vertical="center"/>
    </xf>
    <xf numFmtId="2" fontId="30" fillId="0" borderId="74" xfId="1304" applyNumberFormat="1" applyFont="1" applyFill="1" applyBorder="1" applyAlignment="1">
      <alignment vertical="center"/>
    </xf>
    <xf numFmtId="39" fontId="31" fillId="0" borderId="74" xfId="1304" applyFont="1" applyFill="1" applyBorder="1" applyAlignment="1">
      <alignment horizontal="center"/>
    </xf>
    <xf numFmtId="172" fontId="30" fillId="0" borderId="19" xfId="1298" applyNumberFormat="1" applyFont="1" applyFill="1" applyBorder="1" applyAlignment="1" applyProtection="1">
      <alignment vertical="center"/>
    </xf>
    <xf numFmtId="4" fontId="30" fillId="0" borderId="19" xfId="792" applyNumberFormat="1" applyFont="1" applyFill="1" applyBorder="1" applyAlignment="1">
      <alignment vertical="center" wrapText="1"/>
    </xf>
    <xf numFmtId="202" fontId="30" fillId="0" borderId="74" xfId="1304" applyNumberFormat="1" applyFont="1" applyFill="1" applyBorder="1" applyAlignment="1">
      <alignment vertical="top"/>
    </xf>
    <xf numFmtId="172" fontId="30" fillId="0" borderId="19" xfId="922" applyNumberFormat="1" applyFont="1" applyFill="1" applyBorder="1" applyAlignment="1"/>
    <xf numFmtId="182" fontId="30" fillId="0" borderId="74" xfId="1304" applyNumberFormat="1" applyFont="1" applyFill="1" applyBorder="1" applyAlignment="1">
      <alignment vertical="top"/>
    </xf>
    <xf numFmtId="2" fontId="31" fillId="0" borderId="19" xfId="0" applyNumberFormat="1" applyFont="1" applyFill="1" applyBorder="1" applyAlignment="1">
      <alignment horizontal="center" vertical="center" wrapText="1"/>
    </xf>
    <xf numFmtId="172" fontId="30" fillId="0" borderId="19" xfId="792" applyNumberFormat="1" applyFont="1" applyFill="1" applyBorder="1" applyAlignment="1"/>
    <xf numFmtId="0" fontId="30" fillId="0" borderId="19" xfId="0" applyFont="1" applyFill="1" applyBorder="1" applyAlignment="1">
      <alignment horizontal="center"/>
    </xf>
    <xf numFmtId="172" fontId="30" fillId="0" borderId="19" xfId="798" applyNumberFormat="1" applyFont="1" applyFill="1" applyBorder="1" applyAlignment="1">
      <alignment horizontal="right"/>
    </xf>
    <xf numFmtId="4" fontId="30" fillId="0" borderId="19" xfId="792" applyNumberFormat="1" applyFont="1" applyFill="1" applyBorder="1" applyAlignment="1"/>
    <xf numFmtId="0" fontId="30" fillId="0" borderId="19" xfId="0" applyFont="1" applyFill="1" applyBorder="1" applyAlignment="1">
      <alignment horizontal="right" vertical="top" wrapText="1"/>
    </xf>
    <xf numFmtId="0" fontId="30" fillId="0" borderId="19" xfId="0" applyFont="1" applyFill="1" applyBorder="1" applyAlignment="1">
      <alignment horizontal="left" vertical="center" wrapText="1"/>
    </xf>
    <xf numFmtId="172" fontId="30" fillId="0" borderId="19" xfId="792" applyNumberFormat="1" applyFont="1" applyFill="1" applyBorder="1" applyAlignment="1">
      <alignment vertical="center" wrapText="1"/>
    </xf>
    <xf numFmtId="4" fontId="30" fillId="0" borderId="19" xfId="792" applyNumberFormat="1" applyFont="1" applyFill="1" applyBorder="1" applyAlignment="1">
      <alignment horizontal="center" vertical="center" wrapText="1"/>
    </xf>
    <xf numFmtId="0" fontId="30" fillId="0" borderId="19" xfId="0" applyFont="1" applyFill="1" applyBorder="1" applyAlignment="1" applyProtection="1">
      <alignment horizontal="center"/>
    </xf>
    <xf numFmtId="2" fontId="30" fillId="0" borderId="19" xfId="0" applyNumberFormat="1" applyFont="1" applyFill="1" applyBorder="1" applyAlignment="1">
      <alignment horizontal="right" vertical="top" wrapText="1"/>
    </xf>
    <xf numFmtId="39" fontId="31" fillId="0" borderId="74" xfId="1304" applyFont="1" applyFill="1" applyBorder="1" applyAlignment="1">
      <alignment horizontal="center" vertical="center"/>
    </xf>
    <xf numFmtId="202" fontId="30" fillId="0" borderId="74" xfId="1304" applyNumberFormat="1" applyFont="1" applyFill="1" applyBorder="1" applyAlignment="1">
      <alignment vertical="center"/>
    </xf>
    <xf numFmtId="39" fontId="31" fillId="0" borderId="19" xfId="1298" applyFont="1" applyFill="1" applyBorder="1" applyAlignment="1">
      <alignment vertical="center"/>
    </xf>
    <xf numFmtId="172" fontId="30" fillId="0" borderId="19" xfId="1298" applyNumberFormat="1" applyFont="1" applyFill="1" applyBorder="1" applyAlignment="1" applyProtection="1">
      <alignment horizontal="right"/>
    </xf>
    <xf numFmtId="4" fontId="30" fillId="0" borderId="74" xfId="1293" applyNumberFormat="1" applyFont="1" applyFill="1" applyBorder="1" applyAlignment="1">
      <alignment horizontal="right"/>
    </xf>
    <xf numFmtId="172" fontId="30" fillId="0" borderId="74" xfId="1298" applyNumberFormat="1" applyFont="1" applyFill="1" applyBorder="1" applyAlignment="1" applyProtection="1">
      <alignment vertical="center"/>
    </xf>
    <xf numFmtId="39" fontId="31" fillId="0" borderId="19" xfId="1304" applyFont="1" applyFill="1" applyBorder="1" applyAlignment="1">
      <alignment vertical="center"/>
    </xf>
    <xf numFmtId="172" fontId="30" fillId="0" borderId="19" xfId="1298" applyNumberFormat="1" applyFont="1" applyFill="1" applyBorder="1" applyAlignment="1" applyProtection="1"/>
    <xf numFmtId="172" fontId="30" fillId="0" borderId="19" xfId="798" applyNumberFormat="1" applyFont="1" applyFill="1" applyBorder="1" applyAlignment="1">
      <alignment vertical="center" wrapText="1"/>
    </xf>
    <xf numFmtId="0" fontId="92" fillId="0" borderId="19" xfId="0" applyFont="1" applyFill="1" applyBorder="1" applyAlignment="1">
      <alignment horizontal="justify" vertical="center" wrapText="1"/>
    </xf>
    <xf numFmtId="0" fontId="92" fillId="0" borderId="19" xfId="0" applyFont="1" applyFill="1" applyBorder="1" applyAlignment="1">
      <alignment vertical="top" wrapText="1"/>
    </xf>
    <xf numFmtId="0" fontId="92" fillId="0" borderId="74" xfId="0" applyFont="1" applyFill="1" applyBorder="1" applyAlignment="1">
      <alignment horizontal="justify" vertical="center" wrapText="1"/>
    </xf>
    <xf numFmtId="0" fontId="92" fillId="0" borderId="19" xfId="0" applyFont="1" applyFill="1" applyBorder="1" applyAlignment="1">
      <alignment horizontal="justify" vertical="center"/>
    </xf>
    <xf numFmtId="4" fontId="64" fillId="0" borderId="19" xfId="0" applyNumberFormat="1" applyFont="1" applyFill="1" applyBorder="1" applyAlignment="1">
      <alignment vertical="top"/>
    </xf>
    <xf numFmtId="0" fontId="10" fillId="48" borderId="0" xfId="0" applyFont="1" applyFill="1" applyBorder="1" applyAlignment="1">
      <alignment vertical="top" wrapText="1"/>
    </xf>
    <xf numFmtId="4" fontId="47" fillId="48" borderId="0" xfId="0" applyNumberFormat="1" applyFont="1" applyFill="1" applyBorder="1" applyAlignment="1"/>
    <xf numFmtId="4" fontId="64" fillId="0" borderId="19" xfId="0" applyNumberFormat="1" applyFont="1" applyFill="1" applyBorder="1" applyAlignment="1">
      <alignment horizontal="center" vertical="center"/>
    </xf>
    <xf numFmtId="4" fontId="9" fillId="48" borderId="19" xfId="0" applyNumberFormat="1" applyFont="1" applyFill="1" applyBorder="1" applyAlignment="1">
      <alignment vertical="top"/>
    </xf>
    <xf numFmtId="4" fontId="9" fillId="48" borderId="19" xfId="0" applyNumberFormat="1" applyFont="1" applyFill="1" applyBorder="1" applyAlignment="1">
      <alignment horizontal="center" vertical="top"/>
    </xf>
    <xf numFmtId="172" fontId="30" fillId="0" borderId="19" xfId="1304" applyNumberFormat="1" applyFont="1" applyFill="1" applyBorder="1" applyAlignment="1">
      <alignment vertical="center"/>
    </xf>
    <xf numFmtId="4" fontId="43" fillId="0" borderId="19" xfId="0" applyNumberFormat="1" applyFont="1" applyFill="1" applyBorder="1" applyAlignment="1">
      <alignment horizontal="center"/>
    </xf>
    <xf numFmtId="0" fontId="30" fillId="48" borderId="0" xfId="0" applyFont="1" applyFill="1" applyBorder="1"/>
    <xf numFmtId="0" fontId="43" fillId="48" borderId="0" xfId="0" applyFont="1" applyFill="1" applyBorder="1"/>
    <xf numFmtId="0" fontId="66" fillId="0" borderId="0" xfId="1293" applyFont="1" applyFill="1" applyBorder="1"/>
    <xf numFmtId="0" fontId="67" fillId="0" borderId="0" xfId="1293" applyFont="1" applyFill="1" applyBorder="1"/>
    <xf numFmtId="0" fontId="67" fillId="0" borderId="0" xfId="1293" applyFont="1" applyFill="1" applyBorder="1" applyAlignment="1">
      <alignment horizontal="right"/>
    </xf>
    <xf numFmtId="39" fontId="67" fillId="0" borderId="0" xfId="1293" applyNumberFormat="1" applyFont="1" applyFill="1" applyBorder="1" applyAlignment="1">
      <alignment horizontal="right"/>
    </xf>
    <xf numFmtId="0" fontId="67" fillId="0" borderId="0" xfId="1293" applyFont="1" applyFill="1" applyBorder="1" applyAlignment="1">
      <alignment wrapText="1"/>
    </xf>
    <xf numFmtId="2" fontId="67" fillId="0" borderId="0" xfId="1293" applyNumberFormat="1" applyFont="1" applyFill="1" applyBorder="1"/>
    <xf numFmtId="0" fontId="67" fillId="0" borderId="0" xfId="1293" applyFont="1" applyFill="1" applyBorder="1" applyAlignment="1">
      <alignment horizontal="centerContinuous"/>
    </xf>
    <xf numFmtId="39" fontId="67" fillId="0" borderId="0" xfId="1293" applyNumberFormat="1" applyFont="1" applyFill="1" applyBorder="1"/>
    <xf numFmtId="0" fontId="67" fillId="0" borderId="0" xfId="1293" applyFont="1" applyFill="1" applyBorder="1" applyAlignment="1">
      <alignment horizontal="center"/>
    </xf>
    <xf numFmtId="39" fontId="66" fillId="0" borderId="0" xfId="1293" applyNumberFormat="1" applyFont="1" applyFill="1" applyBorder="1" applyAlignment="1">
      <alignment horizontal="right"/>
    </xf>
    <xf numFmtId="0" fontId="66" fillId="0" borderId="0" xfId="1293" applyFont="1" applyFill="1" applyBorder="1" applyAlignment="1">
      <alignment horizontal="right"/>
    </xf>
    <xf numFmtId="2" fontId="66" fillId="0" borderId="0" xfId="1293" applyNumberFormat="1" applyFont="1" applyFill="1" applyBorder="1"/>
    <xf numFmtId="39" fontId="66" fillId="0" borderId="0" xfId="1293" applyNumberFormat="1" applyFont="1" applyFill="1" applyBorder="1"/>
    <xf numFmtId="0" fontId="9" fillId="0" borderId="79" xfId="0" applyFont="1" applyFill="1" applyBorder="1"/>
    <xf numFmtId="2" fontId="9" fillId="0" borderId="73" xfId="1293" applyNumberFormat="1" applyFont="1" applyFill="1" applyBorder="1"/>
    <xf numFmtId="39" fontId="9" fillId="0" borderId="73" xfId="1293" applyNumberFormat="1" applyFont="1" applyFill="1" applyBorder="1" applyAlignment="1">
      <alignment horizontal="center"/>
    </xf>
    <xf numFmtId="173" fontId="9" fillId="0" borderId="73" xfId="462" applyFont="1" applyFill="1" applyBorder="1"/>
    <xf numFmtId="0" fontId="9" fillId="0" borderId="80" xfId="0" applyFont="1" applyFill="1" applyBorder="1"/>
    <xf numFmtId="2" fontId="9" fillId="0" borderId="19" xfId="1293" applyNumberFormat="1" applyFont="1" applyFill="1" applyBorder="1"/>
    <xf numFmtId="39" fontId="9" fillId="0" borderId="19" xfId="1293" applyNumberFormat="1" applyFont="1" applyFill="1" applyBorder="1" applyAlignment="1">
      <alignment horizontal="center"/>
    </xf>
    <xf numFmtId="173" fontId="9" fillId="0" borderId="19" xfId="462" applyFont="1" applyFill="1" applyBorder="1"/>
    <xf numFmtId="0" fontId="9" fillId="0" borderId="60" xfId="0" applyFont="1" applyFill="1" applyBorder="1"/>
    <xf numFmtId="0" fontId="9" fillId="0" borderId="62" xfId="0" applyFont="1" applyFill="1" applyBorder="1"/>
    <xf numFmtId="2" fontId="9" fillId="0" borderId="63" xfId="1293" applyNumberFormat="1" applyFont="1" applyFill="1" applyBorder="1"/>
    <xf numFmtId="39" fontId="9" fillId="0" borderId="63" xfId="1293" applyNumberFormat="1" applyFont="1" applyFill="1" applyBorder="1" applyAlignment="1">
      <alignment horizontal="center"/>
    </xf>
    <xf numFmtId="173" fontId="9" fillId="0" borderId="63" xfId="462" applyFont="1" applyFill="1" applyBorder="1"/>
    <xf numFmtId="39" fontId="10" fillId="0" borderId="40" xfId="1293" applyNumberFormat="1" applyFont="1" applyFill="1" applyBorder="1" applyAlignment="1">
      <alignment horizontal="right"/>
    </xf>
    <xf numFmtId="173" fontId="10" fillId="0" borderId="56" xfId="917" applyFont="1" applyFill="1" applyBorder="1"/>
    <xf numFmtId="4" fontId="14" fillId="48" borderId="0" xfId="1293" applyNumberFormat="1" applyFont="1" applyFill="1"/>
    <xf numFmtId="0" fontId="14" fillId="48" borderId="0" xfId="1293" applyFont="1" applyFill="1"/>
    <xf numFmtId="4" fontId="14" fillId="48" borderId="0" xfId="1293" applyNumberFormat="1" applyFont="1" applyFill="1" applyBorder="1"/>
    <xf numFmtId="0" fontId="14" fillId="48" borderId="0" xfId="1293" applyFont="1" applyFill="1" applyBorder="1"/>
    <xf numFmtId="0" fontId="11" fillId="48" borderId="39" xfId="1293" applyFont="1" applyFill="1" applyBorder="1"/>
    <xf numFmtId="186" fontId="14" fillId="48" borderId="19" xfId="0" applyNumberFormat="1" applyFont="1" applyFill="1" applyBorder="1" applyAlignment="1" applyProtection="1">
      <alignment horizontal="right" vertical="center"/>
    </xf>
    <xf numFmtId="4" fontId="9" fillId="48" borderId="19" xfId="0" applyNumberFormat="1" applyFont="1" applyFill="1" applyBorder="1" applyAlignment="1">
      <alignment horizontal="right" vertical="center" wrapText="1"/>
    </xf>
    <xf numFmtId="0" fontId="9" fillId="48" borderId="19" xfId="0" applyNumberFormat="1" applyFont="1" applyFill="1" applyBorder="1" applyAlignment="1">
      <alignment vertical="center" wrapText="1"/>
    </xf>
    <xf numFmtId="4" fontId="9" fillId="57" borderId="19" xfId="0" applyNumberFormat="1" applyFont="1" applyFill="1" applyBorder="1" applyAlignment="1">
      <alignment horizontal="right" vertical="center" wrapText="1"/>
    </xf>
    <xf numFmtId="4" fontId="9" fillId="57" borderId="0" xfId="0" applyNumberFormat="1" applyFont="1" applyFill="1" applyBorder="1" applyAlignment="1">
      <alignment vertical="center" wrapText="1"/>
    </xf>
    <xf numFmtId="0" fontId="10" fillId="48" borderId="0" xfId="0" applyFont="1" applyFill="1" applyBorder="1" applyAlignment="1">
      <alignment horizontal="center" vertical="top" wrapText="1"/>
    </xf>
    <xf numFmtId="0" fontId="10" fillId="48" borderId="0" xfId="0" applyFont="1" applyFill="1" applyAlignment="1">
      <alignment horizontal="center" vertical="top" wrapText="1"/>
    </xf>
    <xf numFmtId="39" fontId="82" fillId="0" borderId="19" xfId="805" applyNumberFormat="1" applyFont="1" applyFill="1" applyBorder="1"/>
    <xf numFmtId="0" fontId="9" fillId="60" borderId="19" xfId="0" quotePrefix="1" applyFont="1" applyFill="1" applyBorder="1" applyAlignment="1">
      <alignment horizontal="left" wrapText="1"/>
    </xf>
    <xf numFmtId="0" fontId="9" fillId="0" borderId="0" xfId="0" applyFont="1" applyAlignment="1">
      <alignment horizontal="center" vertical="center"/>
    </xf>
    <xf numFmtId="0" fontId="0" fillId="0" borderId="0" xfId="0" applyAlignment="1">
      <alignment horizontal="center" vertical="center"/>
    </xf>
    <xf numFmtId="0" fontId="82" fillId="0" borderId="0" xfId="0" applyFont="1" applyAlignment="1">
      <alignment horizontal="center" vertical="center"/>
    </xf>
    <xf numFmtId="0" fontId="9" fillId="0" borderId="19" xfId="0" quotePrefix="1" applyFont="1" applyFill="1" applyBorder="1" applyAlignment="1">
      <alignment horizontal="left"/>
    </xf>
    <xf numFmtId="0" fontId="11" fillId="48" borderId="24" xfId="1295" applyFont="1" applyFill="1" applyBorder="1" applyAlignment="1">
      <alignment vertical="center"/>
    </xf>
    <xf numFmtId="39" fontId="11" fillId="48" borderId="24" xfId="1295" applyNumberFormat="1" applyFont="1" applyFill="1" applyBorder="1" applyAlignment="1">
      <alignment horizontal="center" vertical="center"/>
    </xf>
    <xf numFmtId="39" fontId="11" fillId="48" borderId="24" xfId="1295" applyNumberFormat="1" applyFont="1" applyFill="1" applyBorder="1" applyAlignment="1">
      <alignment vertical="center"/>
    </xf>
    <xf numFmtId="173" fontId="11" fillId="48" borderId="24" xfId="462" applyFont="1" applyFill="1" applyBorder="1" applyAlignment="1">
      <alignment vertical="center"/>
    </xf>
    <xf numFmtId="0" fontId="0" fillId="0" borderId="0" xfId="0" applyAlignment="1">
      <alignment vertical="center"/>
    </xf>
    <xf numFmtId="0" fontId="11" fillId="48" borderId="24" xfId="1295" applyFont="1" applyFill="1" applyBorder="1" applyAlignment="1">
      <alignment horizontal="center" vertical="center"/>
    </xf>
    <xf numFmtId="0" fontId="11" fillId="48" borderId="24" xfId="1295" applyFont="1" applyFill="1" applyBorder="1" applyAlignment="1">
      <alignment horizontal="left" wrapText="1"/>
    </xf>
    <xf numFmtId="0" fontId="23" fillId="48" borderId="0" xfId="1295" applyFont="1" applyFill="1" applyBorder="1" applyAlignment="1">
      <alignment horizontal="center" vertical="center"/>
    </xf>
    <xf numFmtId="173" fontId="11" fillId="48" borderId="24" xfId="462" applyFont="1" applyFill="1" applyBorder="1" applyAlignment="1">
      <alignment horizontal="centerContinuous" vertical="center"/>
    </xf>
    <xf numFmtId="0" fontId="11" fillId="48" borderId="0" xfId="1295" applyFont="1" applyFill="1" applyBorder="1" applyAlignment="1">
      <alignment vertical="center"/>
    </xf>
    <xf numFmtId="0" fontId="11" fillId="48" borderId="24" xfId="1295" applyFont="1" applyFill="1" applyBorder="1" applyAlignment="1">
      <alignment horizontal="centerContinuous" vertical="center"/>
    </xf>
    <xf numFmtId="39" fontId="45" fillId="48" borderId="24" xfId="1295" quotePrefix="1" applyNumberFormat="1" applyFont="1" applyFill="1" applyBorder="1" applyAlignment="1">
      <alignment horizontal="left" vertical="center"/>
    </xf>
    <xf numFmtId="39" fontId="11" fillId="48" borderId="0" xfId="1295" quotePrefix="1" applyNumberFormat="1" applyFont="1" applyFill="1" applyBorder="1" applyAlignment="1">
      <alignment horizontal="left" vertical="center"/>
    </xf>
    <xf numFmtId="39" fontId="11" fillId="48" borderId="24" xfId="1295" applyNumberFormat="1" applyFont="1" applyFill="1" applyBorder="1" applyAlignment="1">
      <alignment horizontal="centerContinuous" vertical="center"/>
    </xf>
    <xf numFmtId="0" fontId="11" fillId="48" borderId="0" xfId="1295" applyFont="1" applyFill="1" applyBorder="1" applyAlignment="1">
      <alignment horizontal="centerContinuous" vertical="center"/>
    </xf>
    <xf numFmtId="0" fontId="10" fillId="48" borderId="0" xfId="972" quotePrefix="1" applyFont="1" applyFill="1" applyBorder="1" applyAlignment="1">
      <alignment horizontal="center" vertical="center"/>
    </xf>
    <xf numFmtId="0" fontId="9" fillId="48" borderId="73" xfId="1295" applyFont="1" applyFill="1" applyBorder="1" applyAlignment="1">
      <alignment vertical="center"/>
    </xf>
    <xf numFmtId="2" fontId="9" fillId="48" borderId="19" xfId="1295" applyNumberFormat="1" applyFont="1" applyFill="1" applyBorder="1" applyAlignment="1">
      <alignment vertical="center"/>
    </xf>
    <xf numFmtId="0" fontId="9" fillId="48" borderId="63" xfId="1295" applyFont="1" applyFill="1" applyBorder="1" applyAlignment="1">
      <alignment vertical="center"/>
    </xf>
    <xf numFmtId="0" fontId="9" fillId="48" borderId="0" xfId="1295" applyFont="1" applyFill="1" applyBorder="1" applyAlignment="1">
      <alignment vertical="center"/>
    </xf>
    <xf numFmtId="0" fontId="9" fillId="48" borderId="0" xfId="1295" applyFont="1" applyFill="1" applyAlignment="1">
      <alignment vertical="center"/>
    </xf>
    <xf numFmtId="39" fontId="11" fillId="48" borderId="0" xfId="1295" applyNumberFormat="1" applyFont="1" applyFill="1" applyBorder="1" applyAlignment="1">
      <alignment horizontal="centerContinuous" vertical="center"/>
    </xf>
    <xf numFmtId="0" fontId="30" fillId="48" borderId="0" xfId="1295" applyFont="1" applyFill="1" applyBorder="1" applyAlignment="1">
      <alignment horizontal="center" vertical="center"/>
    </xf>
    <xf numFmtId="0" fontId="52" fillId="48" borderId="0" xfId="1295" applyFont="1" applyFill="1" applyBorder="1" applyAlignment="1">
      <alignment horizontal="centerContinuous" vertical="center"/>
    </xf>
    <xf numFmtId="0" fontId="45" fillId="48" borderId="0" xfId="1295" applyFont="1" applyFill="1" applyBorder="1" applyAlignment="1">
      <alignment vertical="center"/>
    </xf>
    <xf numFmtId="0" fontId="34" fillId="48" borderId="0" xfId="1050" applyFont="1" applyFill="1" applyBorder="1" applyAlignment="1">
      <alignment vertical="center"/>
    </xf>
    <xf numFmtId="0" fontId="35" fillId="48" borderId="0" xfId="1295" applyFont="1" applyFill="1" applyAlignment="1">
      <alignment vertical="center"/>
    </xf>
    <xf numFmtId="174" fontId="35" fillId="48" borderId="40" xfId="1295" applyNumberFormat="1" applyFont="1" applyFill="1" applyBorder="1" applyAlignment="1">
      <alignment vertical="center"/>
    </xf>
    <xf numFmtId="0" fontId="34" fillId="48" borderId="0" xfId="972" applyFont="1" applyFill="1" applyBorder="1" applyAlignment="1">
      <alignment vertical="center"/>
    </xf>
    <xf numFmtId="2" fontId="33" fillId="48" borderId="0" xfId="972" applyNumberFormat="1" applyFont="1" applyFill="1" applyAlignment="1">
      <alignment horizontal="center" vertical="center"/>
    </xf>
    <xf numFmtId="0" fontId="34" fillId="48" borderId="25" xfId="972" applyFont="1" applyFill="1" applyBorder="1" applyAlignment="1">
      <alignment vertical="center"/>
    </xf>
    <xf numFmtId="0" fontId="34" fillId="48" borderId="55" xfId="972" applyFont="1" applyFill="1" applyBorder="1" applyAlignment="1">
      <alignment vertical="center"/>
    </xf>
    <xf numFmtId="0" fontId="33" fillId="48" borderId="0" xfId="972" applyFont="1" applyFill="1" applyBorder="1" applyAlignment="1">
      <alignment vertical="center"/>
    </xf>
    <xf numFmtId="0" fontId="11" fillId="48" borderId="0" xfId="1295" applyFont="1" applyFill="1" applyAlignment="1">
      <alignment vertical="center"/>
    </xf>
    <xf numFmtId="0" fontId="55" fillId="48" borderId="0" xfId="972" applyFont="1" applyFill="1" applyAlignment="1">
      <alignment horizontal="center" vertical="center"/>
    </xf>
    <xf numFmtId="0" fontId="34" fillId="48" borderId="40" xfId="972" applyFont="1" applyFill="1" applyBorder="1" applyAlignment="1">
      <alignment vertical="center"/>
    </xf>
    <xf numFmtId="39" fontId="9" fillId="48" borderId="73" xfId="972" applyNumberFormat="1" applyFont="1" applyFill="1" applyBorder="1" applyAlignment="1">
      <alignment vertical="center"/>
    </xf>
    <xf numFmtId="39" fontId="9" fillId="48" borderId="19" xfId="972" applyNumberFormat="1" applyFont="1" applyFill="1" applyBorder="1" applyAlignment="1">
      <alignment vertical="center"/>
    </xf>
    <xf numFmtId="2" fontId="9" fillId="48" borderId="63" xfId="972" applyNumberFormat="1" applyFont="1" applyFill="1" applyBorder="1" applyAlignment="1">
      <alignment vertical="center"/>
    </xf>
    <xf numFmtId="0" fontId="9" fillId="48" borderId="55" xfId="972" applyFont="1" applyFill="1" applyBorder="1" applyAlignment="1">
      <alignment vertical="center"/>
    </xf>
    <xf numFmtId="200" fontId="9" fillId="48" borderId="0" xfId="972" applyNumberFormat="1" applyFont="1" applyFill="1" applyAlignment="1">
      <alignment vertical="center"/>
    </xf>
    <xf numFmtId="0" fontId="9" fillId="48" borderId="0" xfId="972" applyFont="1" applyFill="1" applyAlignment="1">
      <alignment vertical="center"/>
    </xf>
    <xf numFmtId="2" fontId="34" fillId="48" borderId="25" xfId="972" applyNumberFormat="1" applyFont="1" applyFill="1" applyBorder="1" applyAlignment="1">
      <alignment vertical="center"/>
    </xf>
    <xf numFmtId="0" fontId="33" fillId="48" borderId="0" xfId="972" applyFont="1" applyFill="1" applyBorder="1" applyAlignment="1">
      <alignment horizontal="center" vertical="center"/>
    </xf>
    <xf numFmtId="0" fontId="9" fillId="48" borderId="0" xfId="1293" applyFont="1" applyFill="1" applyBorder="1" applyAlignment="1">
      <alignment vertical="center"/>
    </xf>
    <xf numFmtId="0" fontId="9" fillId="48" borderId="40" xfId="1293" applyFont="1" applyFill="1" applyBorder="1" applyAlignment="1">
      <alignment vertical="center"/>
    </xf>
    <xf numFmtId="0" fontId="34" fillId="48" borderId="0" xfId="1293" applyFont="1" applyFill="1" applyAlignment="1">
      <alignment vertical="center"/>
    </xf>
    <xf numFmtId="0" fontId="32" fillId="50" borderId="0" xfId="1050" applyFont="1" applyFill="1" applyAlignment="1">
      <alignment horizontal="center" vertical="center"/>
    </xf>
    <xf numFmtId="0" fontId="33" fillId="50" borderId="0" xfId="1050" applyFont="1" applyFill="1" applyAlignment="1">
      <alignment horizontal="right" vertical="center"/>
    </xf>
    <xf numFmtId="0" fontId="33" fillId="50" borderId="0" xfId="1050" applyFont="1" applyFill="1" applyAlignment="1">
      <alignment horizontal="left" vertical="center"/>
    </xf>
    <xf numFmtId="0" fontId="33" fillId="48" borderId="0" xfId="1050" applyFont="1" applyFill="1" applyAlignment="1">
      <alignment horizontal="left" vertical="center"/>
    </xf>
    <xf numFmtId="0" fontId="9" fillId="48" borderId="20" xfId="1295" applyFont="1" applyFill="1" applyBorder="1" applyAlignment="1">
      <alignment vertical="center"/>
    </xf>
    <xf numFmtId="0" fontId="9" fillId="48" borderId="20" xfId="1295" applyFont="1" applyFill="1" applyBorder="1" applyAlignment="1">
      <alignment horizontal="centerContinuous"/>
    </xf>
    <xf numFmtId="39" fontId="9" fillId="48" borderId="20" xfId="1295" applyNumberFormat="1" applyFont="1" applyFill="1" applyBorder="1"/>
    <xf numFmtId="0" fontId="9" fillId="48" borderId="19" xfId="1295" applyFont="1" applyFill="1" applyBorder="1"/>
    <xf numFmtId="0" fontId="9" fillId="48" borderId="25" xfId="1295" applyFont="1" applyFill="1" applyBorder="1"/>
    <xf numFmtId="0" fontId="9" fillId="48" borderId="25" xfId="1295" applyFont="1" applyFill="1" applyBorder="1" applyAlignment="1">
      <alignment vertical="center"/>
    </xf>
    <xf numFmtId="0" fontId="10" fillId="48" borderId="25" xfId="1295" applyFont="1" applyFill="1" applyBorder="1" applyAlignment="1">
      <alignment horizontal="right"/>
    </xf>
    <xf numFmtId="39" fontId="10" fillId="48" borderId="97" xfId="1295" applyNumberFormat="1" applyFont="1" applyFill="1" applyBorder="1" applyAlignment="1">
      <alignment horizontal="right"/>
    </xf>
    <xf numFmtId="173" fontId="11" fillId="48" borderId="24" xfId="462" applyFont="1" applyFill="1" applyBorder="1" applyAlignment="1">
      <alignment horizontal="center" vertical="center"/>
    </xf>
    <xf numFmtId="0" fontId="11" fillId="48" borderId="24" xfId="1295" applyFont="1" applyFill="1" applyBorder="1" applyAlignment="1">
      <alignment vertical="center" wrapText="1"/>
    </xf>
    <xf numFmtId="4" fontId="51" fillId="48" borderId="24" xfId="924" applyNumberFormat="1" applyFont="1" applyFill="1" applyBorder="1" applyAlignment="1">
      <alignment vertical="center"/>
    </xf>
    <xf numFmtId="4" fontId="51" fillId="48" borderId="24" xfId="924" applyNumberFormat="1" applyFont="1" applyFill="1" applyBorder="1" applyAlignment="1">
      <alignment horizontal="right"/>
    </xf>
    <xf numFmtId="0" fontId="93" fillId="50" borderId="0" xfId="0" applyFont="1" applyFill="1" applyAlignment="1">
      <alignment horizontal="center" vertical="center"/>
    </xf>
    <xf numFmtId="0" fontId="9" fillId="0" borderId="19" xfId="0" quotePrefix="1" applyFont="1" applyFill="1" applyBorder="1" applyAlignment="1">
      <alignment horizontal="left" vertical="center"/>
    </xf>
    <xf numFmtId="0" fontId="9" fillId="0" borderId="0" xfId="0" applyFont="1" applyAlignment="1">
      <alignment vertical="center"/>
    </xf>
    <xf numFmtId="0" fontId="9" fillId="0" borderId="19" xfId="0" quotePrefix="1" applyFont="1" applyFill="1" applyBorder="1" applyAlignment="1">
      <alignment horizontal="left" vertical="center" wrapText="1"/>
    </xf>
    <xf numFmtId="0" fontId="9" fillId="0" borderId="19" xfId="0" applyFont="1" applyFill="1" applyBorder="1" applyAlignment="1">
      <alignment vertical="center"/>
    </xf>
    <xf numFmtId="0" fontId="0" fillId="50" borderId="0" xfId="0" applyFill="1" applyAlignment="1">
      <alignment vertical="center"/>
    </xf>
    <xf numFmtId="0" fontId="82" fillId="63" borderId="0" xfId="0" applyFont="1" applyFill="1"/>
    <xf numFmtId="0" fontId="0" fillId="63" borderId="0" xfId="0" applyFill="1"/>
    <xf numFmtId="0" fontId="9" fillId="63" borderId="0" xfId="0" applyFont="1" applyFill="1"/>
    <xf numFmtId="0" fontId="82" fillId="0" borderId="0" xfId="0" quotePrefix="1" applyFont="1" applyFill="1" applyBorder="1" applyAlignment="1">
      <alignment horizontal="left"/>
    </xf>
    <xf numFmtId="2" fontId="82" fillId="48" borderId="19" xfId="1295" applyNumberFormat="1" applyFont="1" applyFill="1" applyBorder="1" applyAlignment="1">
      <alignment vertical="center"/>
    </xf>
    <xf numFmtId="39" fontId="82" fillId="48" borderId="19" xfId="1295" applyNumberFormat="1" applyFont="1" applyFill="1" applyBorder="1"/>
    <xf numFmtId="0" fontId="82" fillId="0" borderId="75" xfId="0" applyFont="1" applyFill="1" applyBorder="1"/>
    <xf numFmtId="0" fontId="9" fillId="48" borderId="55" xfId="1295" applyFont="1" applyFill="1" applyBorder="1" applyAlignment="1">
      <alignment vertical="center"/>
    </xf>
    <xf numFmtId="0" fontId="9" fillId="48" borderId="55" xfId="1295" applyFont="1" applyFill="1" applyBorder="1"/>
    <xf numFmtId="0" fontId="9" fillId="48" borderId="56" xfId="1295" applyFont="1" applyFill="1" applyBorder="1"/>
    <xf numFmtId="39" fontId="10" fillId="48" borderId="98" xfId="1295" applyNumberFormat="1" applyFont="1" applyFill="1" applyBorder="1" applyAlignment="1">
      <alignment horizontal="right"/>
    </xf>
    <xf numFmtId="0" fontId="82" fillId="0" borderId="75" xfId="0" quotePrefix="1" applyFont="1" applyFill="1" applyBorder="1" applyAlignment="1">
      <alignment horizontal="left"/>
    </xf>
    <xf numFmtId="39" fontId="9" fillId="48" borderId="52" xfId="1295" applyNumberFormat="1" applyFont="1" applyFill="1" applyBorder="1"/>
    <xf numFmtId="0" fontId="9" fillId="48" borderId="84" xfId="1295" applyFont="1" applyFill="1" applyBorder="1"/>
    <xf numFmtId="0" fontId="82" fillId="0" borderId="53" xfId="0" applyFont="1" applyFill="1" applyBorder="1"/>
    <xf numFmtId="0" fontId="11" fillId="48" borderId="55" xfId="1295" applyFont="1" applyFill="1" applyBorder="1" applyAlignment="1">
      <alignment vertical="center"/>
    </xf>
    <xf numFmtId="0" fontId="11" fillId="48" borderId="55" xfId="1295" applyFont="1" applyFill="1" applyBorder="1"/>
    <xf numFmtId="0" fontId="11" fillId="48" borderId="56" xfId="1295" applyFont="1" applyFill="1" applyBorder="1"/>
    <xf numFmtId="0" fontId="11" fillId="48" borderId="42" xfId="1295" applyFont="1" applyFill="1" applyBorder="1"/>
    <xf numFmtId="173" fontId="11" fillId="48" borderId="43" xfId="462" applyFont="1" applyFill="1" applyBorder="1"/>
    <xf numFmtId="0" fontId="11" fillId="48" borderId="44" xfId="1295" applyFont="1" applyFill="1" applyBorder="1"/>
    <xf numFmtId="39" fontId="11" fillId="48" borderId="45" xfId="1295" applyNumberFormat="1" applyFont="1" applyFill="1" applyBorder="1" applyAlignment="1">
      <alignment horizontal="centerContinuous" vertical="center"/>
    </xf>
    <xf numFmtId="39" fontId="11" fillId="48" borderId="45" xfId="1295" applyNumberFormat="1" applyFont="1" applyFill="1" applyBorder="1"/>
    <xf numFmtId="39" fontId="45" fillId="48" borderId="45" xfId="1295" quotePrefix="1" applyNumberFormat="1" applyFont="1" applyFill="1" applyBorder="1" applyAlignment="1">
      <alignment horizontal="right"/>
    </xf>
    <xf numFmtId="2" fontId="45" fillId="48" borderId="46" xfId="1295" applyNumberFormat="1" applyFont="1" applyFill="1" applyBorder="1" applyAlignment="1">
      <alignment horizontal="right"/>
    </xf>
    <xf numFmtId="0" fontId="11" fillId="48" borderId="48" xfId="1295" applyFont="1" applyFill="1" applyBorder="1"/>
    <xf numFmtId="39" fontId="11" fillId="48" borderId="25" xfId="1295" applyNumberFormat="1" applyFont="1" applyFill="1" applyBorder="1" applyAlignment="1">
      <alignment horizontal="centerContinuous" vertical="center"/>
    </xf>
    <xf numFmtId="0" fontId="11" fillId="48" borderId="25" xfId="1295" applyFont="1" applyFill="1" applyBorder="1"/>
    <xf numFmtId="173" fontId="11" fillId="48" borderId="25" xfId="462" applyFont="1" applyFill="1" applyBorder="1"/>
    <xf numFmtId="173" fontId="11" fillId="48" borderId="72" xfId="462" applyFont="1" applyFill="1" applyBorder="1"/>
    <xf numFmtId="0" fontId="11" fillId="48" borderId="84" xfId="1295" applyFont="1" applyFill="1" applyBorder="1" applyAlignment="1">
      <alignment vertical="center"/>
    </xf>
    <xf numFmtId="0" fontId="11" fillId="48" borderId="84" xfId="1295" applyFont="1" applyFill="1" applyBorder="1"/>
    <xf numFmtId="0" fontId="11" fillId="48" borderId="57" xfId="1295" applyFont="1" applyFill="1" applyBorder="1"/>
    <xf numFmtId="173" fontId="94" fillId="48" borderId="24" xfId="462" applyFont="1" applyFill="1" applyBorder="1"/>
    <xf numFmtId="0" fontId="9" fillId="0" borderId="0" xfId="972" applyFill="1"/>
    <xf numFmtId="0" fontId="11" fillId="0" borderId="24" xfId="1295" applyFont="1" applyFill="1" applyBorder="1"/>
    <xf numFmtId="39" fontId="11" fillId="0" borderId="24" xfId="1295" applyNumberFormat="1" applyFont="1" applyFill="1" applyBorder="1" applyAlignment="1">
      <alignment horizontal="centerContinuous" vertical="center"/>
    </xf>
    <xf numFmtId="173" fontId="11" fillId="0" borderId="24" xfId="462" applyFont="1" applyFill="1" applyBorder="1"/>
    <xf numFmtId="39" fontId="11" fillId="0" borderId="24" xfId="1295" applyNumberFormat="1" applyFont="1" applyFill="1" applyBorder="1"/>
    <xf numFmtId="173" fontId="11" fillId="0" borderId="24" xfId="462" applyFont="1" applyFill="1" applyBorder="1" applyAlignment="1">
      <alignment horizontal="centerContinuous"/>
    </xf>
    <xf numFmtId="0" fontId="45" fillId="0" borderId="79" xfId="1295" applyFont="1" applyFill="1" applyBorder="1"/>
    <xf numFmtId="0" fontId="11" fillId="0" borderId="55" xfId="1295" applyFont="1" applyFill="1" applyBorder="1" applyAlignment="1">
      <alignment vertical="center"/>
    </xf>
    <xf numFmtId="0" fontId="11" fillId="0" borderId="55" xfId="1295" applyFont="1" applyFill="1" applyBorder="1"/>
    <xf numFmtId="0" fontId="11" fillId="0" borderId="56" xfId="1295" applyFont="1" applyFill="1" applyBorder="1"/>
    <xf numFmtId="0" fontId="11" fillId="0" borderId="42" xfId="1295" applyFont="1" applyFill="1" applyBorder="1"/>
    <xf numFmtId="173" fontId="11" fillId="0" borderId="43" xfId="462" applyFont="1" applyFill="1" applyBorder="1"/>
    <xf numFmtId="0" fontId="11" fillId="0" borderId="44" xfId="1295" applyFont="1" applyFill="1" applyBorder="1"/>
    <xf numFmtId="39" fontId="11" fillId="0" borderId="45" xfId="1295" applyNumberFormat="1" applyFont="1" applyFill="1" applyBorder="1" applyAlignment="1">
      <alignment horizontal="centerContinuous" vertical="center"/>
    </xf>
    <xf numFmtId="39" fontId="11" fillId="0" borderId="45" xfId="1295" applyNumberFormat="1" applyFont="1" applyFill="1" applyBorder="1"/>
    <xf numFmtId="39" fontId="45" fillId="0" borderId="45" xfId="1295" quotePrefix="1" applyNumberFormat="1" applyFont="1" applyFill="1" applyBorder="1" applyAlignment="1">
      <alignment horizontal="right"/>
    </xf>
    <xf numFmtId="0" fontId="11" fillId="0" borderId="78" xfId="1295" applyFont="1" applyFill="1" applyBorder="1"/>
    <xf numFmtId="39" fontId="11" fillId="0" borderId="0" xfId="1295" applyNumberFormat="1" applyFont="1" applyFill="1" applyBorder="1" applyAlignment="1">
      <alignment horizontal="centerContinuous" vertical="center"/>
    </xf>
    <xf numFmtId="39" fontId="11" fillId="0" borderId="0" xfId="1295" applyNumberFormat="1" applyFont="1" applyFill="1" applyBorder="1"/>
    <xf numFmtId="39" fontId="45" fillId="0" borderId="0" xfId="1295" quotePrefix="1" applyNumberFormat="1" applyFont="1" applyFill="1" applyBorder="1" applyAlignment="1">
      <alignment horizontal="right"/>
    </xf>
    <xf numFmtId="2" fontId="90" fillId="0" borderId="0" xfId="1295" applyNumberFormat="1" applyFont="1" applyFill="1" applyBorder="1" applyAlignment="1">
      <alignment horizontal="right"/>
    </xf>
    <xf numFmtId="0" fontId="45" fillId="48" borderId="79" xfId="1295" quotePrefix="1" applyFont="1" applyFill="1" applyBorder="1" applyAlignment="1">
      <alignment horizontal="left"/>
    </xf>
    <xf numFmtId="0" fontId="11" fillId="48" borderId="55" xfId="1295" applyFont="1" applyFill="1" applyBorder="1" applyAlignment="1">
      <alignment horizontal="centerContinuous" vertical="center"/>
    </xf>
    <xf numFmtId="2" fontId="11" fillId="48" borderId="43" xfId="1295" applyNumberFormat="1" applyFont="1" applyFill="1" applyBorder="1"/>
    <xf numFmtId="0" fontId="11" fillId="48" borderId="45" xfId="1295" applyFont="1" applyFill="1" applyBorder="1" applyAlignment="1">
      <alignment vertical="center"/>
    </xf>
    <xf numFmtId="0" fontId="11" fillId="48" borderId="45" xfId="1295" applyFont="1" applyFill="1" applyBorder="1"/>
    <xf numFmtId="0" fontId="45" fillId="48" borderId="45" xfId="1295" applyFont="1" applyFill="1" applyBorder="1" applyAlignment="1">
      <alignment horizontal="right"/>
    </xf>
    <xf numFmtId="39" fontId="45" fillId="48" borderId="46" xfId="1295" applyNumberFormat="1" applyFont="1" applyFill="1" applyBorder="1" applyAlignment="1">
      <alignment horizontal="right"/>
    </xf>
    <xf numFmtId="39" fontId="11" fillId="48" borderId="55" xfId="1295" applyNumberFormat="1" applyFont="1" applyFill="1" applyBorder="1"/>
    <xf numFmtId="0" fontId="11" fillId="48" borderId="45" xfId="1295" applyFont="1" applyFill="1" applyBorder="1" applyAlignment="1">
      <alignment horizontal="centerContinuous" vertical="center"/>
    </xf>
    <xf numFmtId="2" fontId="11" fillId="48" borderId="45" xfId="1295" applyNumberFormat="1" applyFont="1" applyFill="1" applyBorder="1"/>
    <xf numFmtId="2" fontId="45" fillId="48" borderId="45" xfId="1295" applyNumberFormat="1" applyFont="1" applyFill="1" applyBorder="1" applyAlignment="1">
      <alignment horizontal="right"/>
    </xf>
    <xf numFmtId="0" fontId="11" fillId="48" borderId="42" xfId="1295" applyFont="1" applyFill="1" applyBorder="1" applyAlignment="1">
      <alignment vertical="center" wrapText="1"/>
    </xf>
    <xf numFmtId="2" fontId="11" fillId="48" borderId="24" xfId="1295" applyNumberFormat="1" applyFont="1" applyFill="1" applyBorder="1" applyAlignment="1">
      <alignment vertical="center"/>
    </xf>
    <xf numFmtId="173" fontId="11" fillId="48" borderId="43" xfId="462" applyFont="1" applyFill="1" applyBorder="1" applyAlignment="1">
      <alignment vertical="center"/>
    </xf>
    <xf numFmtId="39" fontId="45" fillId="48" borderId="45" xfId="1295" applyNumberFormat="1" applyFont="1" applyFill="1" applyBorder="1" applyAlignment="1">
      <alignment horizontal="right"/>
    </xf>
    <xf numFmtId="0" fontId="45" fillId="0" borderId="79" xfId="1295" quotePrefix="1" applyFont="1" applyFill="1" applyBorder="1" applyAlignment="1">
      <alignment horizontal="left"/>
    </xf>
    <xf numFmtId="2" fontId="45" fillId="0" borderId="46" xfId="1295" applyNumberFormat="1" applyFont="1" applyFill="1" applyBorder="1" applyAlignment="1">
      <alignment horizontal="right"/>
    </xf>
    <xf numFmtId="0" fontId="91" fillId="0" borderId="0" xfId="0" applyFont="1"/>
    <xf numFmtId="0" fontId="9" fillId="0" borderId="19" xfId="0" applyFont="1" applyFill="1" applyBorder="1" applyAlignment="1">
      <alignment horizontal="left" vertical="top" wrapText="1"/>
    </xf>
    <xf numFmtId="0" fontId="10" fillId="0" borderId="0" xfId="0" applyFont="1"/>
    <xf numFmtId="0" fontId="10" fillId="0" borderId="19" xfId="0" applyFont="1" applyFill="1" applyBorder="1" applyAlignment="1">
      <alignment horizontal="left" vertical="top" wrapText="1"/>
    </xf>
    <xf numFmtId="0" fontId="9" fillId="48" borderId="0" xfId="0" applyFont="1" applyFill="1" applyAlignment="1">
      <alignment vertical="center"/>
    </xf>
    <xf numFmtId="0" fontId="9" fillId="48" borderId="0" xfId="0" applyFont="1" applyFill="1" applyBorder="1" applyAlignment="1">
      <alignment horizontal="center" vertical="center" wrapText="1"/>
    </xf>
    <xf numFmtId="4" fontId="9" fillId="48" borderId="0" xfId="0" applyNumberFormat="1" applyFont="1" applyFill="1" applyBorder="1" applyAlignment="1">
      <alignment vertical="top" wrapText="1"/>
    </xf>
    <xf numFmtId="43" fontId="10" fillId="48" borderId="0" xfId="699" applyFont="1" applyFill="1" applyBorder="1" applyAlignment="1">
      <alignment vertical="top" wrapText="1"/>
    </xf>
    <xf numFmtId="201" fontId="10" fillId="48" borderId="0" xfId="0" applyNumberFormat="1" applyFont="1" applyFill="1" applyBorder="1" applyAlignment="1">
      <alignment vertical="top" wrapText="1"/>
    </xf>
    <xf numFmtId="4" fontId="9" fillId="48" borderId="0" xfId="0" applyNumberFormat="1" applyFont="1" applyFill="1" applyBorder="1" applyAlignment="1">
      <alignment vertical="center" wrapText="1"/>
    </xf>
    <xf numFmtId="0" fontId="10" fillId="48" borderId="0" xfId="0" applyFont="1" applyFill="1" applyBorder="1" applyAlignment="1">
      <alignment vertical="center" wrapText="1"/>
    </xf>
    <xf numFmtId="0" fontId="9" fillId="48" borderId="19" xfId="1241" applyFont="1" applyFill="1" applyBorder="1" applyAlignment="1">
      <alignment horizontal="left" vertical="center" wrapText="1"/>
    </xf>
    <xf numFmtId="4" fontId="9" fillId="48" borderId="19" xfId="868" applyNumberFormat="1" applyFont="1" applyFill="1" applyBorder="1" applyAlignment="1" applyProtection="1">
      <alignment vertical="center" wrapText="1"/>
      <protection locked="0"/>
    </xf>
    <xf numFmtId="43" fontId="10" fillId="48" borderId="0" xfId="0" applyNumberFormat="1" applyFont="1" applyFill="1" applyBorder="1" applyAlignment="1">
      <alignment vertical="center" wrapText="1"/>
    </xf>
    <xf numFmtId="172" fontId="9" fillId="48" borderId="19" xfId="0" applyNumberFormat="1" applyFont="1" applyFill="1" applyBorder="1" applyAlignment="1">
      <alignment vertical="center"/>
    </xf>
    <xf numFmtId="172" fontId="9" fillId="48" borderId="19" xfId="0" applyNumberFormat="1" applyFont="1" applyFill="1" applyBorder="1" applyAlignment="1">
      <alignment horizontal="center" vertical="center"/>
    </xf>
    <xf numFmtId="173" fontId="9" fillId="48" borderId="19" xfId="805" applyFont="1" applyFill="1" applyBorder="1" applyAlignment="1">
      <alignment horizontal="right" vertical="center"/>
    </xf>
    <xf numFmtId="0" fontId="9" fillId="48" borderId="19" xfId="0" quotePrefix="1" applyFont="1" applyFill="1" applyBorder="1" applyAlignment="1">
      <alignment horizontal="left"/>
    </xf>
    <xf numFmtId="0" fontId="9" fillId="48" borderId="19" xfId="0" quotePrefix="1" applyFont="1" applyFill="1" applyBorder="1" applyAlignment="1">
      <alignment horizontal="left" wrapText="1"/>
    </xf>
    <xf numFmtId="0" fontId="10" fillId="48" borderId="0" xfId="0" applyFont="1" applyFill="1" applyBorder="1" applyAlignment="1">
      <alignment vertical="center"/>
    </xf>
    <xf numFmtId="4" fontId="9" fillId="48" borderId="19" xfId="0" applyNumberFormat="1" applyFont="1" applyFill="1" applyBorder="1" applyAlignment="1">
      <alignment vertical="center"/>
    </xf>
    <xf numFmtId="0" fontId="9" fillId="48" borderId="0" xfId="0" applyFont="1" applyFill="1" applyBorder="1" applyAlignment="1">
      <alignment vertical="center" wrapText="1"/>
    </xf>
    <xf numFmtId="16" fontId="10" fillId="48" borderId="0" xfId="0" applyNumberFormat="1" applyFont="1" applyFill="1" applyBorder="1" applyAlignment="1"/>
    <xf numFmtId="14" fontId="10" fillId="48" borderId="0" xfId="0" applyNumberFormat="1" applyFont="1" applyFill="1" applyBorder="1" applyAlignment="1"/>
    <xf numFmtId="2" fontId="10" fillId="48" borderId="0" xfId="0" applyNumberFormat="1" applyFont="1" applyFill="1" applyBorder="1" applyAlignment="1"/>
    <xf numFmtId="39" fontId="9" fillId="48" borderId="19" xfId="1047" applyNumberFormat="1" applyFont="1" applyFill="1" applyBorder="1" applyAlignment="1">
      <alignment vertical="top" wrapText="1"/>
    </xf>
    <xf numFmtId="4" fontId="9" fillId="48" borderId="19" xfId="1047" applyNumberFormat="1" applyFont="1" applyFill="1" applyBorder="1" applyAlignment="1">
      <alignment horizontal="center" vertical="center" wrapText="1"/>
    </xf>
    <xf numFmtId="4" fontId="9" fillId="48" borderId="19" xfId="1047" applyNumberFormat="1" applyFont="1" applyFill="1" applyBorder="1" applyAlignment="1" applyProtection="1">
      <alignment vertical="center" wrapText="1"/>
      <protection locked="0"/>
    </xf>
    <xf numFmtId="39" fontId="9" fillId="48" borderId="19" xfId="0" applyNumberFormat="1" applyFont="1" applyFill="1" applyBorder="1" applyAlignment="1">
      <alignment vertical="center" wrapText="1"/>
    </xf>
    <xf numFmtId="39" fontId="9" fillId="48" borderId="19" xfId="0" applyNumberFormat="1" applyFont="1" applyFill="1" applyBorder="1" applyAlignment="1">
      <alignment vertical="top" wrapText="1"/>
    </xf>
    <xf numFmtId="39" fontId="10" fillId="48" borderId="19" xfId="0" applyNumberFormat="1" applyFont="1" applyFill="1" applyBorder="1" applyAlignment="1">
      <alignment horizontal="left" vertical="top" wrapText="1"/>
    </xf>
    <xf numFmtId="39" fontId="9" fillId="48" borderId="19" xfId="0" applyNumberFormat="1" applyFont="1" applyFill="1" applyBorder="1" applyAlignment="1">
      <alignment horizontal="left" vertical="top" wrapText="1"/>
    </xf>
    <xf numFmtId="49" fontId="9" fillId="48" borderId="19" xfId="0" applyNumberFormat="1" applyFont="1" applyFill="1" applyBorder="1" applyAlignment="1">
      <alignment vertical="top" wrapText="1"/>
    </xf>
    <xf numFmtId="4" fontId="9" fillId="48" borderId="19" xfId="805" applyNumberFormat="1" applyFont="1" applyFill="1" applyBorder="1"/>
    <xf numFmtId="44" fontId="45" fillId="48" borderId="0" xfId="0" applyNumberFormat="1" applyFont="1" applyFill="1" applyBorder="1" applyAlignment="1" applyProtection="1">
      <alignment horizontal="center" vertical="center"/>
    </xf>
    <xf numFmtId="0" fontId="45" fillId="48" borderId="0" xfId="0" applyFont="1" applyFill="1" applyBorder="1" applyAlignment="1">
      <alignment horizontal="center" vertical="center"/>
    </xf>
    <xf numFmtId="0" fontId="11" fillId="48" borderId="0" xfId="0" applyFont="1" applyFill="1" applyBorder="1" applyAlignment="1">
      <alignment vertical="top"/>
    </xf>
    <xf numFmtId="43" fontId="9" fillId="48" borderId="0" xfId="699" applyFont="1" applyFill="1" applyBorder="1" applyAlignment="1">
      <alignment vertical="center"/>
    </xf>
    <xf numFmtId="0" fontId="9" fillId="48" borderId="0" xfId="0" applyFont="1" applyFill="1" applyAlignment="1">
      <alignment vertical="center" wrapText="1"/>
    </xf>
    <xf numFmtId="0" fontId="10" fillId="48" borderId="19" xfId="0" applyNumberFormat="1" applyFont="1" applyFill="1" applyBorder="1" applyAlignment="1">
      <alignment horizontal="center" vertical="top"/>
    </xf>
    <xf numFmtId="4" fontId="10" fillId="48" borderId="0" xfId="0" applyNumberFormat="1" applyFont="1" applyFill="1" applyBorder="1" applyAlignment="1">
      <alignment vertical="center" wrapText="1"/>
    </xf>
    <xf numFmtId="0" fontId="9" fillId="48" borderId="19" xfId="0" applyFont="1" applyFill="1" applyBorder="1" applyAlignment="1">
      <alignment horizontal="justify" vertical="center" wrapText="1"/>
    </xf>
    <xf numFmtId="4" fontId="9" fillId="48" borderId="19" xfId="868" applyNumberFormat="1" applyFont="1" applyFill="1" applyBorder="1" applyAlignment="1">
      <alignment vertical="center" wrapText="1"/>
    </xf>
    <xf numFmtId="0" fontId="9" fillId="48" borderId="0" xfId="0" applyFont="1" applyFill="1" applyBorder="1" applyAlignment="1" applyProtection="1">
      <alignment horizontal="right" vertical="center" wrapText="1"/>
    </xf>
    <xf numFmtId="0" fontId="9" fillId="48" borderId="0" xfId="0" applyFont="1" applyFill="1" applyBorder="1" applyAlignment="1">
      <alignment horizontal="justify" vertical="center" wrapText="1"/>
    </xf>
    <xf numFmtId="4" fontId="9" fillId="48" borderId="0" xfId="868" applyNumberFormat="1" applyFont="1" applyFill="1" applyBorder="1" applyAlignment="1">
      <alignment vertical="center"/>
    </xf>
    <xf numFmtId="0" fontId="9" fillId="48" borderId="0" xfId="0" applyFont="1" applyFill="1" applyBorder="1" applyAlignment="1">
      <alignment horizontal="center" vertical="center"/>
    </xf>
    <xf numFmtId="4" fontId="9" fillId="48" borderId="0" xfId="868" applyNumberFormat="1" applyFont="1" applyFill="1" applyBorder="1" applyAlignment="1">
      <alignment horizontal="right" vertical="center"/>
    </xf>
    <xf numFmtId="49" fontId="9" fillId="48" borderId="0" xfId="0" applyNumberFormat="1" applyFont="1" applyFill="1" applyBorder="1" applyAlignment="1">
      <alignment horizontal="right" vertical="center" wrapText="1"/>
    </xf>
    <xf numFmtId="0" fontId="9" fillId="48" borderId="0" xfId="0" applyFont="1" applyFill="1" applyBorder="1" applyAlignment="1">
      <alignment horizontal="left" vertical="top" wrapText="1"/>
    </xf>
    <xf numFmtId="2" fontId="9" fillId="48" borderId="0" xfId="0" applyNumberFormat="1" applyFont="1" applyFill="1" applyBorder="1" applyAlignment="1">
      <alignment vertical="center"/>
    </xf>
    <xf numFmtId="4" fontId="9" fillId="48" borderId="0" xfId="0" applyNumberFormat="1" applyFont="1" applyFill="1" applyBorder="1" applyAlignment="1">
      <alignment vertical="center"/>
    </xf>
    <xf numFmtId="4" fontId="9" fillId="48" borderId="0" xfId="925" applyNumberFormat="1" applyFont="1" applyFill="1" applyBorder="1" applyAlignment="1">
      <alignment horizontal="right" vertical="center" wrapText="1"/>
    </xf>
    <xf numFmtId="4" fontId="10" fillId="48" borderId="0" xfId="0" applyNumberFormat="1" applyFont="1" applyFill="1" applyBorder="1" applyAlignment="1">
      <alignment horizontal="left" vertical="center" wrapText="1"/>
    </xf>
    <xf numFmtId="2" fontId="9" fillId="48" borderId="0" xfId="0" applyNumberFormat="1" applyFont="1" applyFill="1" applyBorder="1" applyAlignment="1" applyProtection="1">
      <alignment horizontal="right" vertical="center" wrapText="1"/>
    </xf>
    <xf numFmtId="4" fontId="9" fillId="48" borderId="19" xfId="1305" applyNumberFormat="1" applyFont="1" applyFill="1" applyBorder="1" applyAlignment="1">
      <alignment horizontal="center" vertical="center"/>
    </xf>
    <xf numFmtId="172" fontId="33" fillId="48" borderId="19" xfId="0" applyNumberFormat="1" applyFont="1" applyFill="1" applyBorder="1" applyAlignment="1">
      <alignment horizontal="center" vertical="center"/>
    </xf>
    <xf numFmtId="0" fontId="9" fillId="48" borderId="19" xfId="0" applyFont="1" applyFill="1" applyBorder="1" applyAlignment="1">
      <alignment horizontal="left" wrapText="1"/>
    </xf>
    <xf numFmtId="4" fontId="33" fillId="48" borderId="19" xfId="0" applyNumberFormat="1" applyFont="1" applyFill="1" applyBorder="1" applyAlignment="1">
      <alignment horizontal="center" vertical="center"/>
    </xf>
    <xf numFmtId="0" fontId="0" fillId="0" borderId="19" xfId="0" applyBorder="1"/>
    <xf numFmtId="0" fontId="9" fillId="48" borderId="25" xfId="0" applyFont="1" applyFill="1" applyBorder="1"/>
    <xf numFmtId="0" fontId="72" fillId="0" borderId="0" xfId="0" applyFont="1"/>
    <xf numFmtId="0" fontId="10" fillId="0" borderId="19" xfId="0" applyFont="1" applyBorder="1" applyAlignment="1">
      <alignment vertical="center" wrapText="1"/>
    </xf>
    <xf numFmtId="0" fontId="9" fillId="48" borderId="19" xfId="0" applyFont="1" applyFill="1" applyBorder="1" applyAlignment="1">
      <alignment horizontal="center" vertical="center"/>
    </xf>
    <xf numFmtId="0" fontId="9" fillId="48" borderId="19" xfId="0" applyFont="1" applyFill="1" applyBorder="1" applyAlignment="1">
      <alignment vertical="center"/>
    </xf>
    <xf numFmtId="0" fontId="0" fillId="0" borderId="25" xfId="0" applyBorder="1"/>
    <xf numFmtId="10" fontId="9" fillId="48" borderId="19" xfId="1334" applyNumberFormat="1" applyFont="1" applyFill="1" applyBorder="1"/>
    <xf numFmtId="10" fontId="9" fillId="48" borderId="19" xfId="1334" applyNumberFormat="1" applyFont="1" applyFill="1" applyBorder="1" applyAlignment="1">
      <alignment vertical="center"/>
    </xf>
    <xf numFmtId="0" fontId="10" fillId="48" borderId="78" xfId="0" applyFont="1" applyFill="1" applyBorder="1" applyAlignment="1">
      <alignment vertical="center"/>
    </xf>
    <xf numFmtId="0" fontId="10" fillId="0" borderId="19" xfId="0" applyFont="1" applyBorder="1"/>
    <xf numFmtId="0" fontId="0" fillId="0" borderId="19" xfId="0" applyBorder="1" applyAlignment="1">
      <alignment horizontal="center" vertical="center"/>
    </xf>
    <xf numFmtId="0" fontId="10" fillId="0" borderId="19" xfId="0" applyFont="1" applyBorder="1" applyAlignment="1">
      <alignment horizontal="center"/>
    </xf>
    <xf numFmtId="0" fontId="10" fillId="0" borderId="19" xfId="0" applyFont="1" applyBorder="1" applyAlignment="1">
      <alignment wrapText="1"/>
    </xf>
    <xf numFmtId="0" fontId="0" fillId="0" borderId="19" xfId="0" applyBorder="1" applyAlignment="1">
      <alignment horizontal="right"/>
    </xf>
    <xf numFmtId="0" fontId="0" fillId="0" borderId="19" xfId="0" applyBorder="1" applyAlignment="1">
      <alignment vertical="center"/>
    </xf>
    <xf numFmtId="0" fontId="0" fillId="0" borderId="19" xfId="0" applyBorder="1" applyAlignment="1">
      <alignment wrapText="1"/>
    </xf>
    <xf numFmtId="0" fontId="0" fillId="0" borderId="19" xfId="0" applyBorder="1" applyAlignment="1">
      <alignment horizontal="right" vertical="center"/>
    </xf>
    <xf numFmtId="0" fontId="9" fillId="48" borderId="25" xfId="0" applyFont="1" applyFill="1" applyBorder="1" applyAlignment="1">
      <alignment wrapText="1"/>
    </xf>
    <xf numFmtId="4" fontId="9" fillId="48" borderId="25" xfId="868" applyNumberFormat="1" applyFont="1" applyFill="1" applyBorder="1" applyAlignment="1">
      <alignment horizontal="right" vertical="center" wrapText="1"/>
    </xf>
    <xf numFmtId="4" fontId="9" fillId="48" borderId="25" xfId="0" applyNumberFormat="1" applyFont="1" applyFill="1" applyBorder="1" applyAlignment="1">
      <alignment horizontal="right" vertical="center" wrapText="1"/>
    </xf>
    <xf numFmtId="0" fontId="9" fillId="48" borderId="25" xfId="0" applyFont="1" applyFill="1" applyBorder="1" applyAlignment="1">
      <alignment horizontal="center" vertical="center"/>
    </xf>
    <xf numFmtId="172" fontId="9" fillId="48" borderId="25" xfId="0" applyNumberFormat="1" applyFont="1" applyFill="1" applyBorder="1" applyAlignment="1">
      <alignment vertical="center"/>
    </xf>
    <xf numFmtId="0" fontId="9" fillId="48" borderId="25" xfId="0" applyFont="1" applyFill="1" applyBorder="1" applyAlignment="1">
      <alignment vertical="center"/>
    </xf>
    <xf numFmtId="0" fontId="9" fillId="48" borderId="25" xfId="0" applyFont="1" applyFill="1" applyBorder="1" applyAlignment="1">
      <alignment vertical="center" wrapText="1"/>
    </xf>
    <xf numFmtId="172" fontId="9" fillId="48" borderId="25" xfId="0" applyNumberFormat="1" applyFont="1" applyFill="1" applyBorder="1" applyAlignment="1">
      <alignment horizontal="center" vertical="center"/>
    </xf>
    <xf numFmtId="4" fontId="9" fillId="48" borderId="25" xfId="0" applyNumberFormat="1" applyFont="1" applyFill="1" applyBorder="1" applyAlignment="1">
      <alignment vertical="center"/>
    </xf>
    <xf numFmtId="4" fontId="9" fillId="48" borderId="25" xfId="0" applyNumberFormat="1" applyFont="1" applyFill="1" applyBorder="1" applyAlignment="1">
      <alignment horizontal="center" vertical="center"/>
    </xf>
    <xf numFmtId="0" fontId="9" fillId="48" borderId="25" xfId="0" applyNumberFormat="1" applyFont="1" applyFill="1" applyBorder="1" applyAlignment="1">
      <alignment horizontal="left" vertical="center" wrapText="1"/>
    </xf>
    <xf numFmtId="0" fontId="9" fillId="48" borderId="25" xfId="0" applyFont="1" applyFill="1" applyBorder="1" applyAlignment="1">
      <alignment horizontal="left" vertical="center" wrapText="1"/>
    </xf>
    <xf numFmtId="0" fontId="9" fillId="48" borderId="25" xfId="0" applyNumberFormat="1" applyFont="1" applyFill="1" applyBorder="1" applyAlignment="1">
      <alignment horizontal="left" vertical="justify" wrapText="1"/>
    </xf>
    <xf numFmtId="4" fontId="9" fillId="48" borderId="25" xfId="868" applyNumberFormat="1" applyFont="1" applyFill="1" applyBorder="1" applyAlignment="1" applyProtection="1">
      <alignment horizontal="right" vertical="center" wrapText="1"/>
      <protection locked="0"/>
    </xf>
    <xf numFmtId="4" fontId="9" fillId="48" borderId="19" xfId="868" applyNumberFormat="1" applyFont="1" applyFill="1" applyBorder="1" applyAlignment="1">
      <alignment horizontal="center" vertical="center" wrapText="1"/>
    </xf>
    <xf numFmtId="0" fontId="10" fillId="49" borderId="19" xfId="0" applyFont="1" applyFill="1" applyBorder="1" applyAlignment="1">
      <alignment horizontal="center" vertical="center"/>
    </xf>
    <xf numFmtId="4" fontId="10" fillId="49" borderId="19" xfId="868" applyNumberFormat="1" applyFont="1" applyFill="1" applyBorder="1" applyAlignment="1">
      <alignment horizontal="center" vertical="center" wrapText="1"/>
    </xf>
    <xf numFmtId="173" fontId="9" fillId="48" borderId="25" xfId="805" applyFont="1" applyFill="1" applyBorder="1" applyAlignment="1">
      <alignment horizontal="right" vertical="center"/>
    </xf>
    <xf numFmtId="0" fontId="9" fillId="48" borderId="25" xfId="0" quotePrefix="1" applyFont="1" applyFill="1" applyBorder="1" applyAlignment="1">
      <alignment horizontal="left" wrapText="1"/>
    </xf>
    <xf numFmtId="2" fontId="0" fillId="0" borderId="19" xfId="0" applyNumberFormat="1" applyBorder="1" applyAlignment="1">
      <alignment horizontal="center" vertical="center"/>
    </xf>
    <xf numFmtId="2" fontId="9" fillId="48" borderId="19" xfId="868" applyNumberFormat="1" applyFont="1" applyFill="1" applyBorder="1" applyAlignment="1">
      <alignment horizontal="center" vertical="center" wrapText="1"/>
    </xf>
    <xf numFmtId="2" fontId="9" fillId="48" borderId="19" xfId="0" applyNumberFormat="1" applyFont="1" applyFill="1" applyBorder="1" applyAlignment="1">
      <alignment horizontal="center" vertical="center"/>
    </xf>
    <xf numFmtId="2" fontId="0" fillId="0" borderId="19" xfId="0" applyNumberFormat="1" applyBorder="1"/>
    <xf numFmtId="0" fontId="10" fillId="49" borderId="25" xfId="0" applyFont="1" applyFill="1" applyBorder="1" applyAlignment="1">
      <alignment horizontal="center" vertical="center"/>
    </xf>
    <xf numFmtId="4" fontId="10" fillId="49" borderId="25" xfId="868" applyNumberFormat="1" applyFont="1" applyFill="1" applyBorder="1" applyAlignment="1">
      <alignment horizontal="center" vertical="center" wrapText="1"/>
    </xf>
    <xf numFmtId="0" fontId="9" fillId="48" borderId="25" xfId="0" applyFont="1" applyFill="1" applyBorder="1" applyAlignment="1">
      <alignment horizontal="justify" vertical="center" wrapText="1"/>
    </xf>
    <xf numFmtId="4" fontId="9" fillId="48" borderId="78" xfId="868" applyNumberFormat="1" applyFont="1" applyFill="1" applyBorder="1" applyAlignment="1">
      <alignment horizontal="right" vertical="center" wrapText="1"/>
    </xf>
    <xf numFmtId="39" fontId="9" fillId="48" borderId="25" xfId="1047" applyNumberFormat="1" applyFont="1" applyFill="1" applyBorder="1" applyAlignment="1">
      <alignment vertical="top" wrapText="1"/>
    </xf>
    <xf numFmtId="2" fontId="9" fillId="48" borderId="25" xfId="868" applyNumberFormat="1" applyFont="1" applyFill="1" applyBorder="1" applyAlignment="1">
      <alignment horizontal="center" vertical="center" wrapText="1"/>
    </xf>
    <xf numFmtId="2" fontId="9" fillId="48" borderId="25" xfId="0" applyNumberFormat="1" applyFont="1" applyFill="1" applyBorder="1" applyAlignment="1">
      <alignment horizontal="center" vertical="center"/>
    </xf>
    <xf numFmtId="0" fontId="9" fillId="48" borderId="25" xfId="0" applyNumberFormat="1" applyFont="1" applyFill="1" applyBorder="1" applyAlignment="1">
      <alignment horizontal="left" vertical="top" wrapText="1"/>
    </xf>
    <xf numFmtId="0" fontId="9" fillId="48" borderId="25" xfId="0" applyNumberFormat="1" applyFont="1" applyFill="1" applyBorder="1" applyAlignment="1">
      <alignment horizontal="left" wrapText="1"/>
    </xf>
    <xf numFmtId="0" fontId="9" fillId="48" borderId="74" xfId="0" applyFont="1" applyFill="1" applyBorder="1"/>
    <xf numFmtId="4" fontId="9" fillId="48" borderId="0" xfId="868" applyNumberFormat="1" applyFont="1" applyFill="1" applyBorder="1" applyAlignment="1">
      <alignment horizontal="right" vertical="center" wrapText="1"/>
    </xf>
    <xf numFmtId="0" fontId="10" fillId="0" borderId="0" xfId="0" applyFont="1" applyBorder="1"/>
    <xf numFmtId="0" fontId="43" fillId="48" borderId="0" xfId="0" applyFont="1" applyFill="1" applyBorder="1" applyAlignment="1">
      <alignment vertical="center"/>
    </xf>
    <xf numFmtId="4" fontId="43" fillId="48" borderId="0" xfId="0" applyNumberFormat="1" applyFont="1" applyFill="1" applyBorder="1"/>
    <xf numFmtId="172" fontId="43" fillId="48" borderId="0" xfId="0" applyNumberFormat="1" applyFont="1" applyFill="1" applyBorder="1"/>
    <xf numFmtId="2" fontId="43" fillId="48" borderId="0" xfId="0" applyNumberFormat="1" applyFont="1" applyFill="1" applyBorder="1"/>
    <xf numFmtId="39" fontId="43" fillId="48" borderId="0" xfId="0" applyNumberFormat="1" applyFont="1" applyFill="1" applyBorder="1"/>
    <xf numFmtId="0" fontId="10" fillId="48" borderId="86" xfId="0" applyFont="1" applyFill="1" applyBorder="1" applyAlignment="1">
      <alignment horizontal="center" vertical="center" wrapText="1"/>
    </xf>
    <xf numFmtId="0" fontId="10" fillId="48" borderId="87" xfId="0" applyFont="1" applyFill="1" applyBorder="1" applyAlignment="1">
      <alignment horizontal="center" vertical="center" wrapText="1"/>
    </xf>
    <xf numFmtId="0" fontId="10" fillId="48" borderId="88" xfId="0" applyFont="1" applyFill="1" applyBorder="1" applyAlignment="1">
      <alignment horizontal="center" vertical="center" wrapText="1"/>
    </xf>
    <xf numFmtId="0" fontId="0" fillId="0" borderId="100" xfId="0" applyBorder="1"/>
    <xf numFmtId="0" fontId="0" fillId="0" borderId="101" xfId="0" applyBorder="1"/>
    <xf numFmtId="0" fontId="10" fillId="0" borderId="100" xfId="0" applyFont="1" applyBorder="1" applyAlignment="1">
      <alignment horizontal="center" vertical="center"/>
    </xf>
    <xf numFmtId="4" fontId="9" fillId="48" borderId="101" xfId="0" applyNumberFormat="1" applyFont="1" applyFill="1" applyBorder="1" applyAlignment="1">
      <alignment vertical="center" wrapText="1"/>
    </xf>
    <xf numFmtId="188" fontId="9" fillId="48" borderId="100" xfId="838" applyNumberFormat="1" applyFont="1" applyFill="1" applyBorder="1" applyAlignment="1" applyProtection="1">
      <alignment horizontal="right" vertical="center"/>
    </xf>
    <xf numFmtId="0" fontId="9" fillId="48" borderId="100" xfId="0" applyFont="1" applyFill="1" applyBorder="1"/>
    <xf numFmtId="0" fontId="10" fillId="48" borderId="100" xfId="0" applyFont="1" applyFill="1" applyBorder="1"/>
    <xf numFmtId="0" fontId="10" fillId="0" borderId="100" xfId="0" applyFont="1" applyBorder="1"/>
    <xf numFmtId="185" fontId="9" fillId="48" borderId="100" xfId="1281" applyNumberFormat="1" applyFont="1" applyFill="1" applyBorder="1" applyAlignment="1" applyProtection="1">
      <alignment horizontal="right" vertical="center"/>
    </xf>
    <xf numFmtId="4" fontId="9" fillId="48" borderId="101" xfId="0" applyNumberFormat="1" applyFont="1" applyFill="1" applyBorder="1" applyAlignment="1">
      <alignment horizontal="right" vertical="center" wrapText="1"/>
    </xf>
    <xf numFmtId="0" fontId="9" fillId="48" borderId="100" xfId="0" applyFont="1" applyFill="1" applyBorder="1" applyAlignment="1">
      <alignment vertical="center"/>
    </xf>
    <xf numFmtId="0" fontId="0" fillId="0" borderId="101" xfId="0" applyBorder="1" applyAlignment="1">
      <alignment horizontal="right" vertical="center"/>
    </xf>
    <xf numFmtId="0" fontId="10" fillId="48" borderId="100" xfId="0" applyFont="1" applyFill="1" applyBorder="1" applyAlignment="1">
      <alignment vertical="center"/>
    </xf>
    <xf numFmtId="0" fontId="9" fillId="48" borderId="94" xfId="0" applyFont="1" applyFill="1" applyBorder="1"/>
    <xf numFmtId="4" fontId="9" fillId="48" borderId="95" xfId="0" applyNumberFormat="1" applyFont="1" applyFill="1" applyBorder="1" applyAlignment="1">
      <alignment vertical="center" wrapText="1"/>
    </xf>
    <xf numFmtId="185" fontId="9" fillId="48" borderId="100" xfId="0" applyNumberFormat="1" applyFont="1" applyFill="1" applyBorder="1" applyAlignment="1">
      <alignment vertical="center"/>
    </xf>
    <xf numFmtId="1" fontId="9" fillId="48" borderId="100" xfId="0" applyNumberFormat="1" applyFont="1" applyFill="1" applyBorder="1" applyAlignment="1">
      <alignment vertical="center" wrapText="1"/>
    </xf>
    <xf numFmtId="0" fontId="9" fillId="48" borderId="101" xfId="0" applyFont="1" applyFill="1" applyBorder="1" applyAlignment="1">
      <alignment vertical="center"/>
    </xf>
    <xf numFmtId="0" fontId="9" fillId="49" borderId="100" xfId="0" applyFont="1" applyFill="1" applyBorder="1"/>
    <xf numFmtId="4" fontId="10" fillId="49" borderId="101" xfId="0" applyNumberFormat="1" applyFont="1" applyFill="1" applyBorder="1" applyAlignment="1">
      <alignment horizontal="center" vertical="center"/>
    </xf>
    <xf numFmtId="0" fontId="9" fillId="48" borderId="101" xfId="0" applyFont="1" applyFill="1" applyBorder="1"/>
    <xf numFmtId="0" fontId="9" fillId="48" borderId="100" xfId="0" applyFont="1" applyFill="1" applyBorder="1" applyAlignment="1">
      <alignment horizontal="right" vertical="center"/>
    </xf>
    <xf numFmtId="0" fontId="10" fillId="0" borderId="100" xfId="0" applyFont="1" applyBorder="1" applyAlignment="1">
      <alignment vertical="center"/>
    </xf>
    <xf numFmtId="185" fontId="9" fillId="48" borderId="94" xfId="1281" applyNumberFormat="1" applyFont="1" applyFill="1" applyBorder="1" applyAlignment="1" applyProtection="1">
      <alignment horizontal="right" vertical="center"/>
    </xf>
    <xf numFmtId="4" fontId="9" fillId="48" borderId="95" xfId="0" applyNumberFormat="1" applyFont="1" applyFill="1" applyBorder="1" applyAlignment="1">
      <alignment horizontal="right" vertical="center" wrapText="1"/>
    </xf>
    <xf numFmtId="198" fontId="9" fillId="48" borderId="100" xfId="0" applyNumberFormat="1" applyFont="1" applyFill="1" applyBorder="1" applyAlignment="1">
      <alignment horizontal="right" vertical="center"/>
    </xf>
    <xf numFmtId="0" fontId="9" fillId="48" borderId="94" xfId="0" applyFont="1" applyFill="1" applyBorder="1" applyAlignment="1">
      <alignment horizontal="right" vertical="center"/>
    </xf>
    <xf numFmtId="0" fontId="9" fillId="48" borderId="32" xfId="0" applyFont="1" applyFill="1" applyBorder="1" applyAlignment="1">
      <alignment horizontal="right" vertical="center"/>
    </xf>
    <xf numFmtId="0" fontId="0" fillId="0" borderId="32" xfId="0" applyBorder="1"/>
    <xf numFmtId="0" fontId="10" fillId="48" borderId="32" xfId="0" applyFont="1" applyFill="1" applyBorder="1"/>
    <xf numFmtId="0" fontId="9" fillId="48" borderId="32" xfId="0" applyFont="1" applyFill="1" applyBorder="1" applyAlignment="1">
      <alignment vertical="center"/>
    </xf>
    <xf numFmtId="0" fontId="0" fillId="0" borderId="101" xfId="0" applyBorder="1" applyAlignment="1">
      <alignment vertical="center"/>
    </xf>
    <xf numFmtId="4" fontId="9" fillId="48" borderId="101" xfId="0" applyNumberFormat="1" applyFont="1" applyFill="1" applyBorder="1" applyAlignment="1">
      <alignment horizontal="center" vertical="center" wrapText="1"/>
    </xf>
    <xf numFmtId="0" fontId="9" fillId="48" borderId="94" xfId="0" applyFont="1" applyFill="1" applyBorder="1" applyAlignment="1">
      <alignment vertical="center"/>
    </xf>
    <xf numFmtId="194" fontId="9" fillId="48" borderId="100" xfId="0" applyNumberFormat="1" applyFont="1" applyFill="1" applyBorder="1" applyAlignment="1">
      <alignment horizontal="right" vertical="center"/>
    </xf>
    <xf numFmtId="0" fontId="10" fillId="0" borderId="100" xfId="0" applyFont="1" applyBorder="1" applyAlignment="1">
      <alignment horizontal="center"/>
    </xf>
    <xf numFmtId="2" fontId="9" fillId="48" borderId="100" xfId="0" applyNumberFormat="1" applyFont="1" applyFill="1" applyBorder="1"/>
    <xf numFmtId="2" fontId="0" fillId="0" borderId="101" xfId="0" applyNumberFormat="1" applyBorder="1" applyAlignment="1">
      <alignment horizontal="center" vertical="center"/>
    </xf>
    <xf numFmtId="194" fontId="9" fillId="48" borderId="100" xfId="1303" applyNumberFormat="1" applyFont="1" applyFill="1" applyBorder="1" applyAlignment="1">
      <alignment horizontal="right" vertical="center"/>
    </xf>
    <xf numFmtId="2" fontId="9" fillId="48" borderId="101" xfId="0" applyNumberFormat="1" applyFont="1" applyFill="1" applyBorder="1" applyAlignment="1">
      <alignment horizontal="center" vertical="center" wrapText="1"/>
    </xf>
    <xf numFmtId="2" fontId="9" fillId="48" borderId="95" xfId="0" applyNumberFormat="1" applyFont="1" applyFill="1" applyBorder="1" applyAlignment="1">
      <alignment horizontal="center" vertical="center" wrapText="1"/>
    </xf>
    <xf numFmtId="0" fontId="0" fillId="0" borderId="100" xfId="0" applyBorder="1" applyAlignment="1">
      <alignment horizontal="right"/>
    </xf>
    <xf numFmtId="0" fontId="10" fillId="0" borderId="100" xfId="0" applyFont="1" applyBorder="1" applyAlignment="1">
      <alignment horizontal="right" vertical="center"/>
    </xf>
    <xf numFmtId="0" fontId="0" fillId="0" borderId="94" xfId="0" applyBorder="1" applyAlignment="1">
      <alignment horizontal="right"/>
    </xf>
    <xf numFmtId="0" fontId="0" fillId="0" borderId="33" xfId="0" applyBorder="1"/>
    <xf numFmtId="0" fontId="9" fillId="48" borderId="100" xfId="0" applyFont="1" applyFill="1" applyBorder="1" applyAlignment="1" applyProtection="1">
      <alignment horizontal="right" vertical="center" wrapText="1"/>
    </xf>
    <xf numFmtId="0" fontId="9" fillId="49" borderId="19" xfId="0" applyFont="1" applyFill="1" applyBorder="1"/>
    <xf numFmtId="4" fontId="10" fillId="49" borderId="19" xfId="0" applyNumberFormat="1" applyFont="1" applyFill="1" applyBorder="1" applyAlignment="1">
      <alignment horizontal="center" vertical="center"/>
    </xf>
    <xf numFmtId="0" fontId="0" fillId="49" borderId="25" xfId="0" applyFill="1" applyBorder="1"/>
    <xf numFmtId="0" fontId="9" fillId="0" borderId="0" xfId="0" applyFont="1" applyFill="1" applyAlignment="1">
      <alignment vertical="top" wrapText="1"/>
    </xf>
    <xf numFmtId="39" fontId="9" fillId="0" borderId="19" xfId="1047" applyNumberFormat="1" applyFont="1" applyFill="1" applyBorder="1" applyAlignment="1">
      <alignment vertical="top" wrapText="1"/>
    </xf>
    <xf numFmtId="0" fontId="0" fillId="0" borderId="0" xfId="0"/>
    <xf numFmtId="4" fontId="9" fillId="0" borderId="19" xfId="868" applyNumberFormat="1" applyFont="1" applyFill="1" applyBorder="1" applyAlignment="1">
      <alignment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19" xfId="0" applyFont="1" applyFill="1" applyBorder="1" applyAlignment="1">
      <alignment horizontal="left" wrapText="1"/>
    </xf>
    <xf numFmtId="39" fontId="9" fillId="67" borderId="19" xfId="1295" applyNumberFormat="1" applyFont="1" applyFill="1" applyBorder="1"/>
    <xf numFmtId="2" fontId="18" fillId="48" borderId="19" xfId="1295" applyNumberFormat="1" applyFont="1" applyFill="1" applyBorder="1" applyAlignment="1">
      <alignment vertical="center"/>
    </xf>
    <xf numFmtId="39" fontId="18" fillId="48" borderId="19" xfId="1295" applyNumberFormat="1" applyFont="1" applyFill="1" applyBorder="1"/>
    <xf numFmtId="0" fontId="20" fillId="48" borderId="0" xfId="1295" applyFont="1" applyFill="1" applyBorder="1"/>
    <xf numFmtId="0" fontId="45" fillId="71" borderId="0" xfId="1297" applyFont="1" applyFill="1" applyBorder="1" applyAlignment="1">
      <alignment horizontal="center" vertical="center"/>
    </xf>
    <xf numFmtId="0" fontId="9" fillId="0" borderId="0" xfId="970"/>
    <xf numFmtId="0" fontId="9" fillId="67" borderId="0" xfId="970" applyFill="1"/>
    <xf numFmtId="0" fontId="10" fillId="66" borderId="19" xfId="970" applyFont="1" applyFill="1" applyBorder="1" applyAlignment="1">
      <alignment vertical="top"/>
    </xf>
    <xf numFmtId="0" fontId="10" fillId="66" borderId="19" xfId="970" applyFont="1" applyFill="1" applyBorder="1" applyAlignment="1">
      <alignment wrapText="1"/>
    </xf>
    <xf numFmtId="0" fontId="9" fillId="70" borderId="0" xfId="970" applyFont="1" applyFill="1"/>
    <xf numFmtId="4" fontId="9" fillId="70" borderId="0" xfId="970" applyNumberFormat="1" applyFont="1" applyFill="1"/>
    <xf numFmtId="194" fontId="10" fillId="74" borderId="0" xfId="970" applyNumberFormat="1" applyFont="1" applyFill="1"/>
    <xf numFmtId="0" fontId="10" fillId="68" borderId="0" xfId="970" applyFont="1" applyFill="1"/>
    <xf numFmtId="0" fontId="9" fillId="68" borderId="0" xfId="970" applyFont="1" applyFill="1"/>
    <xf numFmtId="0" fontId="9" fillId="70" borderId="39" xfId="970" applyFont="1" applyFill="1" applyBorder="1"/>
    <xf numFmtId="0" fontId="9" fillId="75" borderId="40" xfId="970" applyFont="1" applyFill="1" applyBorder="1"/>
    <xf numFmtId="4" fontId="9" fillId="75" borderId="40" xfId="970" applyNumberFormat="1" applyFont="1" applyFill="1" applyBorder="1"/>
    <xf numFmtId="0" fontId="9" fillId="75" borderId="40" xfId="970" applyFont="1" applyFill="1" applyBorder="1" applyAlignment="1">
      <alignment horizontal="center" vertical="center"/>
    </xf>
    <xf numFmtId="4" fontId="9" fillId="75" borderId="73" xfId="970" applyNumberFormat="1" applyFont="1" applyFill="1" applyBorder="1" applyAlignment="1">
      <alignment vertical="center"/>
    </xf>
    <xf numFmtId="4" fontId="9" fillId="75" borderId="65" xfId="970" applyNumberFormat="1" applyFont="1" applyFill="1" applyBorder="1"/>
    <xf numFmtId="0" fontId="9" fillId="70" borderId="48" xfId="970" applyFont="1" applyFill="1" applyBorder="1"/>
    <xf numFmtId="0" fontId="9" fillId="70" borderId="25" xfId="970" applyFont="1" applyFill="1" applyBorder="1"/>
    <xf numFmtId="4" fontId="9" fillId="70" borderId="25" xfId="970" applyNumberFormat="1" applyFont="1" applyFill="1" applyBorder="1"/>
    <xf numFmtId="10" fontId="9" fillId="70" borderId="24" xfId="970" applyNumberFormat="1" applyFont="1" applyFill="1" applyBorder="1"/>
    <xf numFmtId="0" fontId="9" fillId="70" borderId="24" xfId="970" applyFont="1" applyFill="1" applyBorder="1" applyAlignment="1">
      <alignment horizontal="center" vertical="center"/>
    </xf>
    <xf numFmtId="4" fontId="9" fillId="70" borderId="24" xfId="970" applyNumberFormat="1" applyFont="1" applyFill="1" applyBorder="1" applyAlignment="1">
      <alignment vertical="center"/>
    </xf>
    <xf numFmtId="4" fontId="9" fillId="70" borderId="43" xfId="970" applyNumberFormat="1" applyFont="1" applyFill="1" applyBorder="1"/>
    <xf numFmtId="0" fontId="9" fillId="70" borderId="24" xfId="970" applyFont="1" applyFill="1" applyBorder="1"/>
    <xf numFmtId="4" fontId="9" fillId="70" borderId="24" xfId="970" applyNumberFormat="1" applyFont="1" applyFill="1" applyBorder="1"/>
    <xf numFmtId="0" fontId="9" fillId="70" borderId="44" xfId="970" applyFont="1" applyFill="1" applyBorder="1"/>
    <xf numFmtId="0" fontId="9" fillId="70" borderId="45" xfId="970" applyFont="1" applyFill="1" applyBorder="1"/>
    <xf numFmtId="0" fontId="10" fillId="70" borderId="45" xfId="970" applyFont="1" applyFill="1" applyBorder="1" applyAlignment="1">
      <alignment horizontal="right"/>
    </xf>
    <xf numFmtId="4" fontId="10" fillId="75" borderId="46" xfId="970" applyNumberFormat="1" applyFont="1" applyFill="1" applyBorder="1"/>
    <xf numFmtId="0" fontId="9" fillId="70" borderId="0" xfId="970" applyFont="1" applyFill="1" applyBorder="1"/>
    <xf numFmtId="0" fontId="10" fillId="70" borderId="0" xfId="970" applyFont="1" applyFill="1" applyBorder="1" applyAlignment="1">
      <alignment horizontal="right"/>
    </xf>
    <xf numFmtId="4" fontId="10" fillId="75" borderId="0" xfId="970" applyNumberFormat="1" applyFont="1" applyFill="1" applyBorder="1"/>
    <xf numFmtId="0" fontId="10" fillId="66" borderId="0" xfId="970" applyFont="1" applyFill="1" applyBorder="1"/>
    <xf numFmtId="0" fontId="10" fillId="66" borderId="0" xfId="970" applyFont="1" applyFill="1"/>
    <xf numFmtId="4" fontId="9" fillId="75" borderId="111" xfId="970" applyNumberFormat="1" applyFont="1" applyFill="1" applyBorder="1"/>
    <xf numFmtId="0" fontId="9" fillId="75" borderId="25" xfId="970" applyFont="1" applyFill="1" applyBorder="1"/>
    <xf numFmtId="4" fontId="9" fillId="75" borderId="25" xfId="970" applyNumberFormat="1" applyFont="1" applyFill="1" applyBorder="1"/>
    <xf numFmtId="0" fontId="9" fillId="75" borderId="25" xfId="970" applyFont="1" applyFill="1" applyBorder="1" applyAlignment="1">
      <alignment horizontal="center" vertical="center"/>
    </xf>
    <xf numFmtId="4" fontId="9" fillId="75" borderId="24" xfId="970" applyNumberFormat="1" applyFont="1" applyFill="1" applyBorder="1" applyAlignment="1">
      <alignment vertical="center"/>
    </xf>
    <xf numFmtId="4" fontId="9" fillId="75" borderId="43" xfId="970" applyNumberFormat="1" applyFont="1" applyFill="1" applyBorder="1"/>
    <xf numFmtId="4" fontId="9" fillId="70" borderId="40" xfId="970" applyNumberFormat="1" applyFont="1" applyFill="1" applyBorder="1"/>
    <xf numFmtId="0" fontId="9" fillId="70" borderId="40" xfId="970" applyFont="1" applyFill="1" applyBorder="1" applyAlignment="1">
      <alignment horizontal="center" vertical="center"/>
    </xf>
    <xf numFmtId="4" fontId="9" fillId="70" borderId="73" xfId="970" applyNumberFormat="1" applyFont="1" applyFill="1" applyBorder="1" applyAlignment="1">
      <alignment vertical="center"/>
    </xf>
    <xf numFmtId="4" fontId="9" fillId="70" borderId="65" xfId="970" applyNumberFormat="1" applyFont="1" applyFill="1" applyBorder="1"/>
    <xf numFmtId="0" fontId="9" fillId="70" borderId="25" xfId="970" applyFont="1" applyFill="1" applyBorder="1" applyAlignment="1">
      <alignment horizontal="center" vertical="center"/>
    </xf>
    <xf numFmtId="0" fontId="9" fillId="70" borderId="42" xfId="970" applyFont="1" applyFill="1" applyBorder="1"/>
    <xf numFmtId="4" fontId="139" fillId="66" borderId="0" xfId="970" applyNumberFormat="1" applyFont="1" applyFill="1" applyBorder="1"/>
    <xf numFmtId="4" fontId="10" fillId="70" borderId="0" xfId="970" applyNumberFormat="1" applyFont="1" applyFill="1" applyBorder="1"/>
    <xf numFmtId="2" fontId="10" fillId="74" borderId="0" xfId="970" applyNumberFormat="1" applyFont="1" applyFill="1"/>
    <xf numFmtId="194" fontId="10" fillId="66" borderId="0" xfId="970" applyNumberFormat="1" applyFont="1" applyFill="1"/>
    <xf numFmtId="0" fontId="10" fillId="74" borderId="0" xfId="970" applyFont="1" applyFill="1"/>
    <xf numFmtId="0" fontId="9" fillId="74" borderId="0" xfId="970" applyFont="1" applyFill="1"/>
    <xf numFmtId="4" fontId="10" fillId="66" borderId="46" xfId="970" applyNumberFormat="1" applyFont="1" applyFill="1" applyBorder="1"/>
    <xf numFmtId="0" fontId="31" fillId="70" borderId="0" xfId="1293" applyFont="1" applyFill="1"/>
    <xf numFmtId="0" fontId="30" fillId="48" borderId="0" xfId="1293" applyFont="1" applyFill="1"/>
    <xf numFmtId="0" fontId="31" fillId="67" borderId="0" xfId="1293" applyFont="1" applyFill="1"/>
    <xf numFmtId="0" fontId="30" fillId="67" borderId="0" xfId="1293" applyFont="1" applyFill="1"/>
    <xf numFmtId="0" fontId="31" fillId="76" borderId="67" xfId="1293" applyFont="1" applyFill="1" applyBorder="1"/>
    <xf numFmtId="0" fontId="30" fillId="48" borderId="34" xfId="1293" applyFont="1" applyFill="1" applyBorder="1"/>
    <xf numFmtId="0" fontId="30" fillId="70" borderId="112" xfId="1293" applyFont="1" applyFill="1" applyBorder="1" applyAlignment="1">
      <alignment horizontal="left"/>
    </xf>
    <xf numFmtId="2" fontId="30" fillId="70" borderId="113" xfId="1293" applyNumberFormat="1" applyFont="1" applyFill="1" applyBorder="1"/>
    <xf numFmtId="0" fontId="30" fillId="48" borderId="0" xfId="1293" applyFont="1" applyFill="1" applyBorder="1" applyAlignment="1">
      <alignment horizontal="centerContinuous"/>
    </xf>
    <xf numFmtId="4" fontId="36" fillId="48" borderId="0" xfId="1293" applyNumberFormat="1" applyFont="1" applyFill="1" applyBorder="1"/>
    <xf numFmtId="4" fontId="36" fillId="48" borderId="114" xfId="1443" applyNumberFormat="1" applyFont="1" applyFill="1" applyBorder="1"/>
    <xf numFmtId="0" fontId="30" fillId="70" borderId="112" xfId="1293" applyFont="1" applyFill="1" applyBorder="1" applyAlignment="1">
      <alignment horizontal="left" wrapText="1"/>
    </xf>
    <xf numFmtId="0" fontId="30" fillId="70" borderId="112" xfId="1293" applyFont="1" applyFill="1" applyBorder="1"/>
    <xf numFmtId="4" fontId="30" fillId="48" borderId="0" xfId="1293" applyNumberFormat="1" applyFont="1" applyFill="1" applyBorder="1"/>
    <xf numFmtId="0" fontId="30" fillId="70" borderId="19" xfId="1293" applyFont="1" applyFill="1" applyBorder="1"/>
    <xf numFmtId="2" fontId="30" fillId="70" borderId="74" xfId="1293" applyNumberFormat="1" applyFont="1" applyFill="1" applyBorder="1"/>
    <xf numFmtId="4" fontId="36" fillId="70" borderId="0" xfId="1293" applyNumberFormat="1" applyFont="1" applyFill="1" applyBorder="1"/>
    <xf numFmtId="4" fontId="36" fillId="70" borderId="0" xfId="1443" applyNumberFormat="1" applyFont="1" applyFill="1" applyBorder="1"/>
    <xf numFmtId="4" fontId="36" fillId="77" borderId="0" xfId="1293" applyNumberFormat="1" applyFont="1" applyFill="1" applyBorder="1" applyAlignment="1">
      <alignment vertical="center"/>
    </xf>
    <xf numFmtId="4" fontId="30" fillId="70" borderId="0" xfId="1293" applyNumberFormat="1" applyFont="1" applyFill="1" applyBorder="1"/>
    <xf numFmtId="2" fontId="30" fillId="70" borderId="67" xfId="1293" applyNumberFormat="1" applyFont="1" applyFill="1" applyBorder="1"/>
    <xf numFmtId="0" fontId="30" fillId="48" borderId="115" xfId="1293" applyFont="1" applyFill="1" applyBorder="1"/>
    <xf numFmtId="4" fontId="31" fillId="76" borderId="115" xfId="1293" applyNumberFormat="1" applyFont="1" applyFill="1" applyBorder="1" applyAlignment="1">
      <alignment horizontal="right"/>
    </xf>
    <xf numFmtId="0" fontId="31" fillId="76" borderId="0" xfId="1293" applyFont="1" applyFill="1"/>
    <xf numFmtId="0" fontId="30" fillId="70" borderId="116" xfId="1293" applyFont="1" applyFill="1" applyBorder="1"/>
    <xf numFmtId="2" fontId="30" fillId="70" borderId="117" xfId="1293" applyNumberFormat="1" applyFont="1" applyFill="1" applyBorder="1"/>
    <xf numFmtId="0" fontId="30" fillId="70" borderId="118" xfId="1293" applyFont="1" applyFill="1" applyBorder="1" applyAlignment="1">
      <alignment horizontal="centerContinuous"/>
    </xf>
    <xf numFmtId="4" fontId="36" fillId="70" borderId="118" xfId="1293" applyNumberFormat="1" applyFont="1" applyFill="1" applyBorder="1"/>
    <xf numFmtId="4" fontId="36" fillId="70" borderId="119" xfId="1443" applyNumberFormat="1" applyFont="1" applyFill="1" applyBorder="1"/>
    <xf numFmtId="0" fontId="30" fillId="70" borderId="0" xfId="1293" applyFont="1" applyFill="1" applyBorder="1" applyAlignment="1">
      <alignment horizontal="centerContinuous"/>
    </xf>
    <xf numFmtId="4" fontId="36" fillId="70" borderId="114" xfId="1443" applyNumberFormat="1" applyFont="1" applyFill="1" applyBorder="1"/>
    <xf numFmtId="0" fontId="9" fillId="0" borderId="0" xfId="970" applyFont="1"/>
    <xf numFmtId="0" fontId="30" fillId="48" borderId="116" xfId="1293" applyFont="1" applyFill="1" applyBorder="1"/>
    <xf numFmtId="2" fontId="30" fillId="48" borderId="117" xfId="1293" applyNumberFormat="1" applyFont="1" applyFill="1" applyBorder="1"/>
    <xf numFmtId="0" fontId="30" fillId="48" borderId="118" xfId="1293" applyFont="1" applyFill="1" applyBorder="1" applyAlignment="1">
      <alignment horizontal="centerContinuous"/>
    </xf>
    <xf numFmtId="4" fontId="36" fillId="48" borderId="118" xfId="1293" applyNumberFormat="1" applyFont="1" applyFill="1" applyBorder="1"/>
    <xf numFmtId="4" fontId="36" fillId="48" borderId="119" xfId="1443" applyNumberFormat="1" applyFont="1" applyFill="1" applyBorder="1"/>
    <xf numFmtId="0" fontId="30" fillId="48" borderId="112" xfId="1293" applyFont="1" applyFill="1" applyBorder="1"/>
    <xf numFmtId="2" fontId="30" fillId="48" borderId="113" xfId="1293" applyNumberFormat="1" applyFont="1" applyFill="1" applyBorder="1"/>
    <xf numFmtId="0" fontId="30" fillId="48" borderId="112" xfId="1293" applyFont="1" applyFill="1" applyBorder="1" applyAlignment="1">
      <alignment horizontal="left"/>
    </xf>
    <xf numFmtId="2" fontId="30" fillId="48" borderId="74" xfId="1293" applyNumberFormat="1" applyFont="1" applyFill="1" applyBorder="1"/>
    <xf numFmtId="2" fontId="30" fillId="48" borderId="67" xfId="1293" applyNumberFormat="1" applyFont="1" applyFill="1" applyBorder="1"/>
    <xf numFmtId="0" fontId="30" fillId="70" borderId="0" xfId="1293" applyFont="1" applyFill="1"/>
    <xf numFmtId="0" fontId="30" fillId="70" borderId="120" xfId="1293" applyFont="1" applyFill="1" applyBorder="1"/>
    <xf numFmtId="2" fontId="30" fillId="70" borderId="118" xfId="1293" applyNumberFormat="1" applyFont="1" applyFill="1" applyBorder="1"/>
    <xf numFmtId="0" fontId="30" fillId="70" borderId="121" xfId="1293" applyFont="1" applyFill="1" applyBorder="1"/>
    <xf numFmtId="0" fontId="30" fillId="70" borderId="122" xfId="1293" applyFont="1" applyFill="1" applyBorder="1"/>
    <xf numFmtId="0" fontId="30" fillId="70" borderId="123" xfId="1293" applyFont="1" applyFill="1" applyBorder="1"/>
    <xf numFmtId="0" fontId="30" fillId="48" borderId="0" xfId="1293" applyFont="1" applyFill="1" applyBorder="1"/>
    <xf numFmtId="0" fontId="31" fillId="48" borderId="0" xfId="1293" applyFont="1" applyFill="1" applyBorder="1" applyAlignment="1">
      <alignment horizontal="right"/>
    </xf>
    <xf numFmtId="4" fontId="31" fillId="70" borderId="0" xfId="1293" applyNumberFormat="1" applyFont="1" applyFill="1" applyBorder="1" applyAlignment="1">
      <alignment horizontal="right"/>
    </xf>
    <xf numFmtId="0" fontId="31" fillId="66" borderId="0" xfId="1293" applyFont="1" applyFill="1"/>
    <xf numFmtId="4" fontId="36" fillId="70" borderId="0" xfId="1293" applyNumberFormat="1" applyFont="1" applyFill="1" applyBorder="1" applyAlignment="1">
      <alignment vertical="center"/>
    </xf>
    <xf numFmtId="0" fontId="30" fillId="78" borderId="112" xfId="1293" applyFont="1" applyFill="1" applyBorder="1" applyAlignment="1">
      <alignment horizontal="left"/>
    </xf>
    <xf numFmtId="2" fontId="30" fillId="48" borderId="0" xfId="1293" applyNumberFormat="1" applyFont="1" applyFill="1" applyBorder="1"/>
    <xf numFmtId="4" fontId="31" fillId="66" borderId="115" xfId="1293" applyNumberFormat="1" applyFont="1" applyFill="1" applyBorder="1" applyAlignment="1">
      <alignment horizontal="right"/>
    </xf>
    <xf numFmtId="4" fontId="10" fillId="0" borderId="0" xfId="0" applyNumberFormat="1" applyFont="1"/>
    <xf numFmtId="0" fontId="10" fillId="0" borderId="19" xfId="0" applyFont="1" applyFill="1" applyBorder="1" applyAlignment="1">
      <alignment horizontal="left"/>
    </xf>
    <xf numFmtId="0" fontId="10" fillId="68" borderId="24" xfId="1051" applyNumberFormat="1" applyFont="1" applyFill="1" applyBorder="1" applyAlignment="1" applyProtection="1"/>
    <xf numFmtId="0" fontId="9" fillId="68" borderId="24" xfId="1051" applyNumberFormat="1" applyFont="1" applyFill="1" applyBorder="1" applyAlignment="1"/>
    <xf numFmtId="0" fontId="0" fillId="68" borderId="0" xfId="0" applyFill="1"/>
    <xf numFmtId="0" fontId="0" fillId="0" borderId="0" xfId="0" applyAlignment="1">
      <alignment horizontal="right"/>
    </xf>
    <xf numFmtId="0" fontId="0" fillId="0" borderId="0" xfId="0" applyFill="1"/>
    <xf numFmtId="0" fontId="10" fillId="0" borderId="0" xfId="0" applyFont="1" applyFill="1" applyAlignment="1">
      <alignment horizontal="center"/>
    </xf>
    <xf numFmtId="0" fontId="9" fillId="0" borderId="0" xfId="1051" applyFont="1" applyFill="1"/>
    <xf numFmtId="0" fontId="10" fillId="0" borderId="0" xfId="1293" applyFont="1" applyFill="1" applyBorder="1" applyAlignment="1">
      <alignment horizontal="center"/>
    </xf>
    <xf numFmtId="0" fontId="10" fillId="0" borderId="0" xfId="1293" applyFont="1" applyFill="1" applyBorder="1" applyAlignment="1">
      <alignment horizontal="right"/>
    </xf>
    <xf numFmtId="0" fontId="9" fillId="0" borderId="0" xfId="1293" applyFont="1" applyFill="1" applyBorder="1" applyAlignment="1">
      <alignment horizontal="left"/>
    </xf>
    <xf numFmtId="0" fontId="9" fillId="0" borderId="0" xfId="1293" applyFont="1" applyFill="1" applyBorder="1" applyAlignment="1">
      <alignment horizontal="center"/>
    </xf>
    <xf numFmtId="0" fontId="142" fillId="0" borderId="0" xfId="1293" applyFont="1" applyFill="1" applyBorder="1" applyAlignment="1">
      <alignment horizontal="center"/>
    </xf>
    <xf numFmtId="0" fontId="10" fillId="0" borderId="47" xfId="1293" applyFont="1" applyFill="1" applyBorder="1" applyAlignment="1">
      <alignment horizontal="right"/>
    </xf>
    <xf numFmtId="0" fontId="9" fillId="0" borderId="47" xfId="1293" applyFont="1" applyFill="1" applyBorder="1" applyAlignment="1">
      <alignment horizontal="left"/>
    </xf>
    <xf numFmtId="0" fontId="15" fillId="0" borderId="38" xfId="1293" applyFont="1" applyFill="1" applyBorder="1" applyAlignment="1">
      <alignment horizontal="center"/>
    </xf>
    <xf numFmtId="0" fontId="15" fillId="0" borderId="57" xfId="1293" applyFont="1" applyFill="1" applyBorder="1" applyAlignment="1">
      <alignment horizontal="center" vertical="center" wrapText="1"/>
    </xf>
    <xf numFmtId="0" fontId="15" fillId="0" borderId="38" xfId="1293" applyFont="1" applyFill="1" applyBorder="1" applyAlignment="1">
      <alignment horizontal="center" vertical="center" wrapText="1"/>
    </xf>
    <xf numFmtId="0" fontId="14" fillId="0" borderId="55" xfId="1293" applyFont="1" applyFill="1" applyBorder="1"/>
    <xf numFmtId="0" fontId="15" fillId="0" borderId="55" xfId="1293" applyFont="1" applyFill="1" applyBorder="1" applyAlignment="1">
      <alignment horizontal="center" vertical="center" wrapText="1"/>
    </xf>
    <xf numFmtId="0" fontId="27" fillId="0" borderId="47" xfId="1293" applyFont="1" applyFill="1" applyBorder="1" applyAlignment="1">
      <alignment horizontal="center"/>
    </xf>
    <xf numFmtId="0" fontId="14" fillId="0" borderId="75" xfId="1293" applyFont="1" applyFill="1" applyBorder="1" applyAlignment="1">
      <alignment horizontal="right"/>
    </xf>
    <xf numFmtId="0" fontId="14" fillId="0" borderId="125" xfId="1293" applyFont="1" applyFill="1" applyBorder="1" applyAlignment="1">
      <alignment horizontal="left"/>
    </xf>
    <xf numFmtId="4" fontId="14" fillId="0" borderId="40" xfId="924" applyNumberFormat="1" applyFont="1" applyFill="1" applyBorder="1"/>
    <xf numFmtId="173" fontId="14" fillId="0" borderId="40" xfId="462" applyFont="1" applyFill="1" applyBorder="1" applyAlignment="1">
      <alignment horizontal="center"/>
    </xf>
    <xf numFmtId="0" fontId="14" fillId="0" borderId="42" xfId="1293" applyFont="1" applyFill="1" applyBorder="1" applyAlignment="1">
      <alignment horizontal="right"/>
    </xf>
    <xf numFmtId="0" fontId="14" fillId="0" borderId="50" xfId="1293" applyFont="1" applyFill="1" applyBorder="1" applyAlignment="1">
      <alignment horizontal="left"/>
    </xf>
    <xf numFmtId="4" fontId="14" fillId="0" borderId="24" xfId="924" applyNumberFormat="1" applyFont="1" applyFill="1" applyBorder="1"/>
    <xf numFmtId="173" fontId="14" fillId="0" borderId="24" xfId="462" applyFont="1" applyFill="1" applyBorder="1" applyAlignment="1">
      <alignment horizontal="center"/>
    </xf>
    <xf numFmtId="4" fontId="9" fillId="0" borderId="24" xfId="1480" applyNumberFormat="1" applyFont="1" applyFill="1" applyBorder="1" applyAlignment="1">
      <alignment vertical="top" wrapText="1"/>
    </xf>
    <xf numFmtId="4" fontId="137" fillId="0" borderId="24" xfId="924" applyNumberFormat="1" applyFont="1" applyFill="1" applyBorder="1"/>
    <xf numFmtId="0" fontId="14" fillId="0" borderId="126" xfId="1293" applyFont="1" applyFill="1" applyBorder="1" applyAlignment="1">
      <alignment horizontal="left"/>
    </xf>
    <xf numFmtId="4" fontId="14" fillId="0" borderId="20" xfId="924" applyNumberFormat="1" applyFont="1" applyFill="1" applyBorder="1"/>
    <xf numFmtId="173" fontId="14" fillId="0" borderId="20" xfId="462" applyFont="1" applyFill="1" applyBorder="1" applyAlignment="1">
      <alignment horizontal="center"/>
    </xf>
    <xf numFmtId="4" fontId="15" fillId="0" borderId="20" xfId="924" applyNumberFormat="1" applyFont="1" applyFill="1" applyBorder="1"/>
    <xf numFmtId="0" fontId="10" fillId="0" borderId="24" xfId="1293" applyFont="1" applyFill="1" applyBorder="1" applyAlignment="1">
      <alignment horizontal="center" vertical="top"/>
    </xf>
    <xf numFmtId="0" fontId="15" fillId="0" borderId="42" xfId="1293" applyFont="1" applyFill="1" applyBorder="1" applyAlignment="1">
      <alignment horizontal="right"/>
    </xf>
    <xf numFmtId="0" fontId="10" fillId="0" borderId="24" xfId="1293" applyFont="1" applyFill="1" applyBorder="1" applyAlignment="1">
      <alignment vertical="top"/>
    </xf>
    <xf numFmtId="4" fontId="10" fillId="0" borderId="24" xfId="1293" applyNumberFormat="1" applyFont="1" applyFill="1" applyBorder="1" applyAlignment="1">
      <alignment vertical="top"/>
    </xf>
    <xf numFmtId="0" fontId="9" fillId="0" borderId="24" xfId="1293" applyFont="1" applyFill="1" applyBorder="1" applyAlignment="1">
      <alignment vertical="top"/>
    </xf>
    <xf numFmtId="4" fontId="9" fillId="0" borderId="24" xfId="1293" applyNumberFormat="1" applyFont="1" applyFill="1" applyBorder="1" applyAlignment="1">
      <alignment horizontal="right" vertical="top"/>
    </xf>
    <xf numFmtId="0" fontId="9" fillId="0" borderId="24" xfId="1293" applyFont="1" applyFill="1" applyBorder="1" applyAlignment="1">
      <alignment horizontal="center" vertical="top"/>
    </xf>
    <xf numFmtId="4" fontId="9" fillId="0" borderId="24" xfId="1293" applyNumberFormat="1" applyFont="1" applyFill="1" applyBorder="1" applyAlignment="1">
      <alignment vertical="top"/>
    </xf>
    <xf numFmtId="0" fontId="14" fillId="0" borderId="42" xfId="1293" applyFont="1" applyFill="1" applyBorder="1"/>
    <xf numFmtId="0" fontId="10" fillId="0" borderId="24" xfId="1293" applyFont="1" applyFill="1" applyBorder="1" applyAlignment="1">
      <alignment horizontal="right" vertical="top"/>
    </xf>
    <xf numFmtId="0" fontId="14" fillId="0" borderId="0" xfId="1293" applyFont="1" applyFill="1" applyBorder="1"/>
    <xf numFmtId="0" fontId="14" fillId="0" borderId="0" xfId="1293" applyFont="1" applyFill="1" applyBorder="1" applyAlignment="1">
      <alignment horizontal="left"/>
    </xf>
    <xf numFmtId="173" fontId="14" fillId="0" borderId="0" xfId="924" applyFont="1" applyFill="1" applyBorder="1"/>
    <xf numFmtId="173" fontId="14" fillId="0" borderId="0" xfId="462" applyFont="1" applyFill="1" applyBorder="1" applyAlignment="1">
      <alignment horizontal="center"/>
    </xf>
    <xf numFmtId="0" fontId="27" fillId="0" borderId="0" xfId="1293" applyFont="1" applyFill="1" applyBorder="1" applyAlignment="1">
      <alignment horizontal="center"/>
    </xf>
    <xf numFmtId="0" fontId="15" fillId="0" borderId="0" xfId="1293" applyFont="1" applyFill="1" applyBorder="1" applyAlignment="1">
      <alignment horizontal="right"/>
    </xf>
    <xf numFmtId="0" fontId="15" fillId="0" borderId="47" xfId="1293" applyFont="1" applyFill="1" applyBorder="1" applyAlignment="1">
      <alignment horizontal="left"/>
    </xf>
    <xf numFmtId="173" fontId="14" fillId="0" borderId="47" xfId="924" applyFont="1" applyFill="1" applyBorder="1"/>
    <xf numFmtId="0" fontId="14" fillId="0" borderId="47" xfId="1293" applyFont="1" applyFill="1" applyBorder="1" applyAlignment="1">
      <alignment horizontal="center"/>
    </xf>
    <xf numFmtId="0" fontId="14" fillId="0" borderId="39" xfId="1293" applyFont="1" applyFill="1" applyBorder="1" applyAlignment="1">
      <alignment horizontal="right"/>
    </xf>
    <xf numFmtId="0" fontId="14" fillId="0" borderId="125" xfId="1293" applyFont="1" applyFill="1" applyBorder="1"/>
    <xf numFmtId="39" fontId="14" fillId="0" borderId="40" xfId="1293" applyNumberFormat="1" applyFont="1" applyFill="1" applyBorder="1" applyAlignment="1">
      <alignment horizontal="center"/>
    </xf>
    <xf numFmtId="0" fontId="14" fillId="0" borderId="50" xfId="1293" applyFont="1" applyFill="1" applyBorder="1"/>
    <xf numFmtId="39" fontId="14" fillId="0" borderId="24" xfId="1293" applyNumberFormat="1" applyFont="1" applyFill="1" applyBorder="1" applyAlignment="1">
      <alignment horizontal="center"/>
    </xf>
    <xf numFmtId="39" fontId="14" fillId="0" borderId="78" xfId="1301" applyFont="1" applyFill="1" applyBorder="1"/>
    <xf numFmtId="4" fontId="14" fillId="0" borderId="19" xfId="919" applyNumberFormat="1" applyFont="1" applyFill="1" applyBorder="1"/>
    <xf numFmtId="39" fontId="14" fillId="0" borderId="19" xfId="1301" applyNumberFormat="1" applyFont="1" applyFill="1" applyBorder="1" applyAlignment="1">
      <alignment horizontal="center"/>
    </xf>
    <xf numFmtId="4" fontId="14" fillId="0" borderId="19" xfId="1301" applyNumberFormat="1" applyFont="1" applyFill="1" applyBorder="1"/>
    <xf numFmtId="0" fontId="14" fillId="0" borderId="62" xfId="1293" applyFont="1" applyFill="1" applyBorder="1"/>
    <xf numFmtId="39" fontId="15" fillId="0" borderId="71" xfId="1293" quotePrefix="1" applyNumberFormat="1" applyFont="1" applyFill="1" applyBorder="1" applyAlignment="1">
      <alignment horizontal="left"/>
    </xf>
    <xf numFmtId="173" fontId="15" fillId="0" borderId="45" xfId="924" quotePrefix="1" applyFont="1" applyFill="1" applyBorder="1" applyAlignment="1">
      <alignment horizontal="left"/>
    </xf>
    <xf numFmtId="39" fontId="14" fillId="0" borderId="45" xfId="1293" applyNumberFormat="1" applyFont="1" applyFill="1" applyBorder="1" applyAlignment="1">
      <alignment horizontal="center"/>
    </xf>
    <xf numFmtId="173" fontId="15" fillId="0" borderId="45" xfId="924" quotePrefix="1" applyFont="1" applyFill="1" applyBorder="1" applyAlignment="1">
      <alignment horizontal="right"/>
    </xf>
    <xf numFmtId="173" fontId="14" fillId="0" borderId="0" xfId="924" applyFont="1" applyFill="1"/>
    <xf numFmtId="0" fontId="14" fillId="0" borderId="0" xfId="1293" applyFont="1" applyFill="1" applyAlignment="1">
      <alignment horizontal="center"/>
    </xf>
    <xf numFmtId="0" fontId="15" fillId="0" borderId="47" xfId="1293" quotePrefix="1" applyFont="1" applyFill="1" applyBorder="1" applyAlignment="1">
      <alignment horizontal="left"/>
    </xf>
    <xf numFmtId="0" fontId="14" fillId="0" borderId="127" xfId="1293" applyFont="1" applyFill="1" applyBorder="1"/>
    <xf numFmtId="4" fontId="14" fillId="0" borderId="73" xfId="924" applyNumberFormat="1" applyFont="1" applyFill="1" applyBorder="1"/>
    <xf numFmtId="39" fontId="14" fillId="0" borderId="73" xfId="1293" applyNumberFormat="1" applyFont="1" applyFill="1" applyBorder="1" applyAlignment="1">
      <alignment horizontal="center"/>
    </xf>
    <xf numFmtId="0" fontId="14" fillId="0" borderId="44" xfId="1293" applyFont="1" applyFill="1" applyBorder="1"/>
    <xf numFmtId="0" fontId="14" fillId="0" borderId="71" xfId="1293" applyFont="1" applyFill="1" applyBorder="1"/>
    <xf numFmtId="173" fontId="14" fillId="0" borderId="45" xfId="924" applyFont="1" applyFill="1" applyBorder="1"/>
    <xf numFmtId="173" fontId="14" fillId="0" borderId="0" xfId="924" quotePrefix="1" applyFont="1" applyFill="1" applyBorder="1" applyAlignment="1">
      <alignment horizontal="left"/>
    </xf>
    <xf numFmtId="39" fontId="14" fillId="0" borderId="0" xfId="1293" applyNumberFormat="1" applyFont="1" applyFill="1" applyBorder="1" applyAlignment="1">
      <alignment horizontal="center"/>
    </xf>
    <xf numFmtId="0" fontId="15" fillId="0" borderId="47" xfId="1293" applyFont="1" applyFill="1" applyBorder="1"/>
    <xf numFmtId="0" fontId="14" fillId="0" borderId="45" xfId="1293" applyFont="1" applyFill="1" applyBorder="1" applyAlignment="1">
      <alignment horizontal="center"/>
    </xf>
    <xf numFmtId="4" fontId="14" fillId="0" borderId="40" xfId="924" quotePrefix="1" applyNumberFormat="1" applyFont="1" applyFill="1" applyBorder="1" applyAlignment="1"/>
    <xf numFmtId="0" fontId="14" fillId="0" borderId="24" xfId="1293" applyFont="1" applyFill="1" applyBorder="1"/>
    <xf numFmtId="4" fontId="14" fillId="0" borderId="24" xfId="924" quotePrefix="1" applyNumberFormat="1" applyFont="1" applyFill="1" applyBorder="1" applyAlignment="1"/>
    <xf numFmtId="173" fontId="14" fillId="0" borderId="24" xfId="924" applyFont="1" applyFill="1" applyBorder="1"/>
    <xf numFmtId="0" fontId="14" fillId="0" borderId="24" xfId="1293" applyFont="1" applyFill="1" applyBorder="1" applyAlignment="1">
      <alignment horizontal="left"/>
    </xf>
    <xf numFmtId="173" fontId="15" fillId="0" borderId="24" xfId="924" applyFont="1" applyFill="1" applyBorder="1" applyAlignment="1">
      <alignment horizontal="right"/>
    </xf>
    <xf numFmtId="173" fontId="14" fillId="0" borderId="24" xfId="924" quotePrefix="1" applyFont="1" applyFill="1" applyBorder="1" applyAlignment="1">
      <alignment horizontal="left"/>
    </xf>
    <xf numFmtId="173" fontId="10" fillId="0" borderId="45" xfId="924" applyFont="1" applyFill="1" applyBorder="1" applyAlignment="1">
      <alignment horizontal="right"/>
    </xf>
    <xf numFmtId="0" fontId="14" fillId="0" borderId="45" xfId="1293" applyFont="1" applyFill="1" applyBorder="1"/>
    <xf numFmtId="173" fontId="14" fillId="0" borderId="45" xfId="924" quotePrefix="1" applyFont="1" applyFill="1" applyBorder="1" applyAlignment="1">
      <alignment horizontal="left"/>
    </xf>
    <xf numFmtId="173" fontId="10" fillId="0" borderId="0" xfId="924" applyFont="1" applyFill="1" applyBorder="1" applyAlignment="1">
      <alignment horizontal="right"/>
    </xf>
    <xf numFmtId="0" fontId="14" fillId="0" borderId="0" xfId="1293" applyFont="1" applyFill="1" applyBorder="1" applyAlignment="1">
      <alignment vertical="top"/>
    </xf>
    <xf numFmtId="173" fontId="14" fillId="0" borderId="0" xfId="924" quotePrefix="1" applyFont="1" applyFill="1" applyBorder="1" applyAlignment="1">
      <alignment horizontal="left" vertical="top"/>
    </xf>
    <xf numFmtId="39" fontId="14" fillId="0" borderId="0" xfId="1293" applyNumberFormat="1" applyFont="1" applyFill="1" applyBorder="1" applyAlignment="1">
      <alignment horizontal="center" vertical="top"/>
    </xf>
    <xf numFmtId="173" fontId="14" fillId="0" borderId="0" xfId="924" applyFont="1" applyFill="1" applyBorder="1" applyAlignment="1">
      <alignment vertical="top"/>
    </xf>
    <xf numFmtId="0" fontId="15" fillId="0" borderId="0" xfId="1293" applyFont="1" applyFill="1" applyBorder="1" applyAlignment="1">
      <alignment horizontal="right" vertical="top"/>
    </xf>
    <xf numFmtId="0" fontId="15" fillId="0" borderId="0" xfId="1293" applyFont="1" applyFill="1" applyBorder="1" applyAlignment="1">
      <alignment vertical="top"/>
    </xf>
    <xf numFmtId="0" fontId="14" fillId="0" borderId="39" xfId="1293" applyFont="1" applyFill="1" applyBorder="1" applyAlignment="1">
      <alignment horizontal="right" vertical="top"/>
    </xf>
    <xf numFmtId="0" fontId="14" fillId="0" borderId="40" xfId="1293" applyFont="1" applyFill="1" applyBorder="1" applyAlignment="1">
      <alignment vertical="top"/>
    </xf>
    <xf numFmtId="173" fontId="14" fillId="0" borderId="40" xfId="924" quotePrefix="1" applyFont="1" applyFill="1" applyBorder="1" applyAlignment="1">
      <alignment horizontal="left" vertical="top"/>
    </xf>
    <xf numFmtId="39" fontId="14" fillId="0" borderId="40" xfId="1293" applyNumberFormat="1" applyFont="1" applyFill="1" applyBorder="1" applyAlignment="1">
      <alignment horizontal="center" vertical="top"/>
    </xf>
    <xf numFmtId="173" fontId="14" fillId="0" borderId="40" xfId="924" applyFont="1" applyFill="1" applyBorder="1" applyAlignment="1">
      <alignment vertical="top"/>
    </xf>
    <xf numFmtId="0" fontId="14" fillId="0" borderId="42" xfId="1293" applyFont="1" applyFill="1" applyBorder="1" applyAlignment="1">
      <alignment horizontal="right" vertical="top"/>
    </xf>
    <xf numFmtId="0" fontId="14" fillId="0" borderId="24" xfId="1293" applyFont="1" applyFill="1" applyBorder="1" applyAlignment="1">
      <alignment vertical="top"/>
    </xf>
    <xf numFmtId="173" fontId="14" fillId="0" borderId="24" xfId="924" quotePrefix="1" applyFont="1" applyFill="1" applyBorder="1" applyAlignment="1">
      <alignment horizontal="left" vertical="top"/>
    </xf>
    <xf numFmtId="39" fontId="14" fillId="0" borderId="24" xfId="1293" applyNumberFormat="1" applyFont="1" applyFill="1" applyBorder="1" applyAlignment="1">
      <alignment horizontal="center" vertical="top"/>
    </xf>
    <xf numFmtId="4" fontId="14" fillId="0" borderId="43" xfId="924" applyNumberFormat="1" applyFont="1" applyFill="1" applyBorder="1"/>
    <xf numFmtId="0" fontId="14" fillId="0" borderId="24" xfId="1293" applyFont="1" applyFill="1" applyBorder="1" applyAlignment="1">
      <alignment vertical="top" wrapText="1"/>
    </xf>
    <xf numFmtId="173" fontId="14" fillId="0" borderId="24" xfId="924" applyFont="1" applyFill="1" applyBorder="1" applyAlignment="1"/>
    <xf numFmtId="173" fontId="14" fillId="0" borderId="24" xfId="924" applyFont="1" applyFill="1" applyBorder="1" applyAlignment="1">
      <alignment vertical="top"/>
    </xf>
    <xf numFmtId="0" fontId="14" fillId="0" borderId="42" xfId="1293" applyFont="1" applyFill="1" applyBorder="1" applyAlignment="1">
      <alignment vertical="top"/>
    </xf>
    <xf numFmtId="0" fontId="27" fillId="0" borderId="24" xfId="1293" applyFont="1" applyFill="1" applyBorder="1"/>
    <xf numFmtId="173" fontId="14" fillId="0" borderId="24" xfId="924" quotePrefix="1" applyFont="1" applyFill="1" applyBorder="1" applyAlignment="1">
      <alignment horizontal="right" vertical="top"/>
    </xf>
    <xf numFmtId="0" fontId="14" fillId="0" borderId="44" xfId="1293" applyFont="1" applyFill="1" applyBorder="1" applyAlignment="1">
      <alignment vertical="top"/>
    </xf>
    <xf numFmtId="0" fontId="14" fillId="0" borderId="45" xfId="1293" applyFont="1" applyFill="1" applyBorder="1" applyAlignment="1">
      <alignment vertical="top"/>
    </xf>
    <xf numFmtId="173" fontId="14" fillId="0" borderId="45" xfId="924" quotePrefix="1" applyFont="1" applyFill="1" applyBorder="1" applyAlignment="1">
      <alignment horizontal="left" vertical="top"/>
    </xf>
    <xf numFmtId="39" fontId="14" fillId="0" borderId="45" xfId="1293" applyNumberFormat="1" applyFont="1" applyFill="1" applyBorder="1" applyAlignment="1">
      <alignment horizontal="center" vertical="top"/>
    </xf>
    <xf numFmtId="173" fontId="15" fillId="0" borderId="45" xfId="924" applyFont="1" applyFill="1" applyBorder="1" applyAlignment="1">
      <alignment horizontal="right"/>
    </xf>
    <xf numFmtId="0" fontId="15" fillId="0" borderId="47" xfId="1293" applyFont="1" applyFill="1" applyBorder="1" applyAlignment="1">
      <alignment horizontal="right"/>
    </xf>
    <xf numFmtId="0" fontId="14" fillId="0" borderId="40" xfId="1293" applyFont="1" applyFill="1" applyBorder="1" applyAlignment="1">
      <alignment horizontal="center"/>
    </xf>
    <xf numFmtId="0" fontId="14" fillId="0" borderId="24" xfId="1293" applyFont="1" applyFill="1" applyBorder="1" applyAlignment="1">
      <alignment horizontal="center"/>
    </xf>
    <xf numFmtId="0" fontId="15" fillId="0" borderId="0" xfId="1293" applyFont="1" applyFill="1" applyBorder="1"/>
    <xf numFmtId="0" fontId="14" fillId="0" borderId="0" xfId="1293" applyFont="1" applyFill="1" applyBorder="1" applyAlignment="1">
      <alignment horizontal="center"/>
    </xf>
    <xf numFmtId="173" fontId="15" fillId="0" borderId="0" xfId="924" applyFont="1" applyFill="1" applyBorder="1" applyAlignment="1">
      <alignment horizontal="right"/>
    </xf>
    <xf numFmtId="0" fontId="15" fillId="0" borderId="0" xfId="1293" quotePrefix="1" applyFont="1" applyFill="1" applyBorder="1" applyAlignment="1">
      <alignment horizontal="left"/>
    </xf>
    <xf numFmtId="0" fontId="14" fillId="0" borderId="48" xfId="1293" applyFont="1" applyFill="1" applyBorder="1" applyAlignment="1">
      <alignment horizontal="right"/>
    </xf>
    <xf numFmtId="4" fontId="14" fillId="0" borderId="25" xfId="924" applyNumberFormat="1" applyFont="1" applyFill="1" applyBorder="1"/>
    <xf numFmtId="39" fontId="14" fillId="0" borderId="25" xfId="1293" applyNumberFormat="1" applyFont="1" applyFill="1" applyBorder="1" applyAlignment="1">
      <alignment horizontal="center"/>
    </xf>
    <xf numFmtId="4" fontId="14" fillId="0" borderId="40" xfId="1293" applyNumberFormat="1" applyFont="1" applyFill="1" applyBorder="1" applyAlignment="1">
      <alignment horizontal="center"/>
    </xf>
    <xf numFmtId="4" fontId="14" fillId="0" borderId="24" xfId="1293" applyNumberFormat="1" applyFont="1" applyFill="1" applyBorder="1" applyAlignment="1">
      <alignment horizontal="center"/>
    </xf>
    <xf numFmtId="4" fontId="14" fillId="0" borderId="24" xfId="1293" quotePrefix="1" applyNumberFormat="1" applyFont="1" applyFill="1" applyBorder="1" applyAlignment="1">
      <alignment horizontal="center"/>
    </xf>
    <xf numFmtId="0" fontId="14" fillId="0" borderId="50" xfId="1293" quotePrefix="1" applyFont="1" applyFill="1" applyBorder="1" applyAlignment="1">
      <alignment horizontal="left"/>
    </xf>
    <xf numFmtId="173" fontId="15" fillId="0" borderId="0" xfId="924" applyFont="1" applyFill="1" applyAlignment="1">
      <alignment horizontal="right"/>
    </xf>
    <xf numFmtId="0" fontId="143" fillId="0" borderId="24" xfId="1293" applyFont="1" applyFill="1" applyBorder="1" applyAlignment="1">
      <alignment horizontal="center"/>
    </xf>
    <xf numFmtId="0" fontId="15" fillId="0" borderId="0" xfId="1297" quotePrefix="1" applyFont="1" applyFill="1" applyBorder="1" applyAlignment="1" applyProtection="1">
      <alignment horizontal="left" vertical="center"/>
    </xf>
    <xf numFmtId="173" fontId="14" fillId="0" borderId="0" xfId="924" applyFont="1" applyFill="1" applyBorder="1" applyAlignment="1">
      <alignment horizontal="right" vertical="center"/>
    </xf>
    <xf numFmtId="0" fontId="14" fillId="0" borderId="0" xfId="1297" applyFont="1" applyFill="1" applyBorder="1" applyAlignment="1">
      <alignment horizontal="center" vertical="center"/>
    </xf>
    <xf numFmtId="0" fontId="14" fillId="0" borderId="39" xfId="1297" applyFont="1" applyFill="1" applyBorder="1" applyAlignment="1">
      <alignment horizontal="right" vertical="center"/>
    </xf>
    <xf numFmtId="0" fontId="14" fillId="0" borderId="125" xfId="1297" quotePrefix="1" applyFont="1" applyFill="1" applyBorder="1" applyAlignment="1" applyProtection="1">
      <alignment horizontal="left" vertical="center"/>
    </xf>
    <xf numFmtId="4" fontId="14" fillId="0" borderId="40" xfId="924" applyNumberFormat="1" applyFont="1" applyFill="1" applyBorder="1" applyAlignment="1" applyProtection="1">
      <alignment horizontal="right" vertical="center"/>
    </xf>
    <xf numFmtId="0" fontId="14" fillId="0" borderId="40" xfId="1297" applyFont="1" applyFill="1" applyBorder="1" applyAlignment="1" applyProtection="1">
      <alignment horizontal="center" vertical="center"/>
    </xf>
    <xf numFmtId="4" fontId="14" fillId="0" borderId="40" xfId="924" applyNumberFormat="1" applyFont="1" applyFill="1" applyBorder="1" applyAlignment="1" applyProtection="1">
      <alignment horizontal="right" vertical="center"/>
      <protection locked="0"/>
    </xf>
    <xf numFmtId="0" fontId="14" fillId="0" borderId="42" xfId="1297" applyFont="1" applyFill="1" applyBorder="1" applyAlignment="1">
      <alignment horizontal="right" vertical="center"/>
    </xf>
    <xf numFmtId="0" fontId="14" fillId="0" borderId="50" xfId="1297" quotePrefix="1" applyFont="1" applyFill="1" applyBorder="1" applyAlignment="1" applyProtection="1">
      <alignment horizontal="left" vertical="center"/>
    </xf>
    <xf numFmtId="4" fontId="14" fillId="0" borderId="24" xfId="924" applyNumberFormat="1" applyFont="1" applyFill="1" applyBorder="1" applyAlignment="1" applyProtection="1">
      <alignment horizontal="right" vertical="center"/>
    </xf>
    <xf numFmtId="0" fontId="14" fillId="0" borderId="24" xfId="1297" applyFont="1" applyFill="1" applyBorder="1" applyAlignment="1" applyProtection="1">
      <alignment horizontal="center" vertical="center"/>
    </xf>
    <xf numFmtId="4" fontId="14" fillId="0" borderId="24" xfId="924" applyNumberFormat="1" applyFont="1" applyFill="1" applyBorder="1" applyAlignment="1" applyProtection="1">
      <alignment horizontal="right" vertical="center"/>
      <protection locked="0"/>
    </xf>
    <xf numFmtId="0" fontId="14" fillId="0" borderId="44" xfId="1297" applyFont="1" applyFill="1" applyBorder="1" applyAlignment="1">
      <alignment vertical="center"/>
    </xf>
    <xf numFmtId="0" fontId="14" fillId="0" borderId="71" xfId="1297" applyFont="1" applyFill="1" applyBorder="1" applyAlignment="1">
      <alignment vertical="center"/>
    </xf>
    <xf numFmtId="173" fontId="14" fillId="0" borderId="45" xfId="924" applyFont="1" applyFill="1" applyBorder="1" applyAlignment="1">
      <alignment horizontal="right" vertical="center"/>
    </xf>
    <xf numFmtId="0" fontId="14" fillId="0" borderId="45" xfId="1297" applyFont="1" applyFill="1" applyBorder="1" applyAlignment="1">
      <alignment horizontal="center" vertical="center"/>
    </xf>
    <xf numFmtId="0" fontId="14" fillId="0" borderId="0" xfId="1297" applyFont="1" applyFill="1" applyBorder="1" applyAlignment="1">
      <alignment vertical="center"/>
    </xf>
    <xf numFmtId="173" fontId="15" fillId="0" borderId="0" xfId="924" applyFont="1" applyFill="1" applyBorder="1" applyAlignment="1">
      <alignment horizontal="right" vertical="center"/>
    </xf>
    <xf numFmtId="0" fontId="15" fillId="0" borderId="0" xfId="1297" applyFont="1" applyFill="1" applyBorder="1" applyAlignment="1">
      <alignment horizontal="center" vertical="center"/>
    </xf>
    <xf numFmtId="173" fontId="14" fillId="0" borderId="125" xfId="1481" quotePrefix="1" applyFont="1" applyFill="1" applyBorder="1" applyAlignment="1" applyProtection="1">
      <alignment horizontal="left" vertical="center"/>
    </xf>
    <xf numFmtId="173" fontId="14" fillId="0" borderId="40" xfId="1481" applyFont="1" applyFill="1" applyBorder="1" applyAlignment="1" applyProtection="1">
      <alignment horizontal="center" vertical="center"/>
    </xf>
    <xf numFmtId="173" fontId="14" fillId="0" borderId="50" xfId="1481" applyFont="1" applyFill="1" applyBorder="1" applyAlignment="1" applyProtection="1">
      <alignment vertical="center"/>
    </xf>
    <xf numFmtId="173" fontId="14" fillId="0" borderId="24" xfId="1481" applyFont="1" applyFill="1" applyBorder="1" applyAlignment="1" applyProtection="1">
      <alignment horizontal="center" vertical="center"/>
    </xf>
    <xf numFmtId="173" fontId="14" fillId="0" borderId="50" xfId="1481" quotePrefix="1" applyFont="1" applyFill="1" applyBorder="1" applyAlignment="1" applyProtection="1">
      <alignment horizontal="left" vertical="center"/>
    </xf>
    <xf numFmtId="173" fontId="14" fillId="0" borderId="71" xfId="1481" applyFont="1" applyFill="1" applyBorder="1" applyAlignment="1">
      <alignment vertical="center"/>
    </xf>
    <xf numFmtId="173" fontId="14" fillId="0" borderId="45" xfId="1481" applyFont="1" applyFill="1" applyBorder="1" applyAlignment="1">
      <alignment horizontal="center" vertical="center"/>
    </xf>
    <xf numFmtId="173" fontId="14" fillId="0" borderId="0" xfId="924" applyFont="1" applyFill="1" applyBorder="1" applyAlignment="1" applyProtection="1">
      <alignment horizontal="right" vertical="center"/>
    </xf>
    <xf numFmtId="173" fontId="14" fillId="0" borderId="45" xfId="924" applyFont="1" applyFill="1" applyBorder="1" applyAlignment="1" applyProtection="1">
      <alignment horizontal="right" vertical="center"/>
    </xf>
    <xf numFmtId="173" fontId="14" fillId="0" borderId="0" xfId="1481" applyFont="1" applyFill="1" applyBorder="1" applyAlignment="1">
      <alignment vertical="center"/>
    </xf>
    <xf numFmtId="173" fontId="14" fillId="0" borderId="0" xfId="1481" applyFont="1" applyFill="1" applyBorder="1" applyAlignment="1">
      <alignment horizontal="center" vertical="center"/>
    </xf>
    <xf numFmtId="39" fontId="15" fillId="0" borderId="0" xfId="1301" quotePrefix="1" applyFont="1" applyFill="1" applyBorder="1" applyAlignment="1" applyProtection="1">
      <alignment horizontal="left" vertical="center"/>
    </xf>
    <xf numFmtId="39" fontId="14" fillId="0" borderId="0" xfId="1301" applyFont="1" applyFill="1" applyBorder="1" applyAlignment="1">
      <alignment horizontal="right" vertical="center"/>
    </xf>
    <xf numFmtId="39" fontId="14" fillId="0" borderId="0" xfId="1301" applyFont="1" applyFill="1" applyBorder="1" applyAlignment="1">
      <alignment horizontal="center" vertical="center"/>
    </xf>
    <xf numFmtId="39" fontId="14" fillId="0" borderId="39" xfId="1301" applyFont="1" applyFill="1" applyBorder="1" applyAlignment="1">
      <alignment horizontal="right" vertical="center"/>
    </xf>
    <xf numFmtId="39" fontId="14" fillId="0" borderId="125" xfId="1301" quotePrefix="1" applyFont="1" applyFill="1" applyBorder="1" applyAlignment="1" applyProtection="1">
      <alignment horizontal="left" vertical="center"/>
    </xf>
    <xf numFmtId="179" fontId="14" fillId="0" borderId="40" xfId="1301" applyNumberFormat="1" applyFont="1" applyFill="1" applyBorder="1" applyAlignment="1" applyProtection="1">
      <alignment horizontal="right" vertical="center"/>
      <protection locked="0"/>
    </xf>
    <xf numFmtId="39" fontId="14" fillId="0" borderId="40" xfId="1301" applyFont="1" applyFill="1" applyBorder="1" applyAlignment="1" applyProtection="1">
      <alignment horizontal="center" vertical="center"/>
    </xf>
    <xf numFmtId="4" fontId="14" fillId="0" borderId="40" xfId="1301" applyNumberFormat="1" applyFont="1" applyFill="1" applyBorder="1" applyAlignment="1" applyProtection="1">
      <alignment horizontal="right" vertical="center"/>
    </xf>
    <xf numFmtId="39" fontId="14" fillId="0" borderId="42" xfId="1301" applyFont="1" applyFill="1" applyBorder="1" applyAlignment="1">
      <alignment horizontal="right" vertical="center"/>
    </xf>
    <xf numFmtId="39" fontId="14" fillId="0" borderId="50" xfId="1301" quotePrefix="1" applyFont="1" applyFill="1" applyBorder="1" applyAlignment="1" applyProtection="1">
      <alignment horizontal="left" vertical="center"/>
    </xf>
    <xf numFmtId="179" fontId="14" fillId="0" borderId="24" xfId="1301" applyNumberFormat="1" applyFont="1" applyFill="1" applyBorder="1" applyAlignment="1" applyProtection="1">
      <alignment horizontal="right" vertical="center"/>
      <protection locked="0"/>
    </xf>
    <xf numFmtId="39" fontId="14" fillId="0" borderId="24" xfId="1301" applyFont="1" applyFill="1" applyBorder="1" applyAlignment="1" applyProtection="1">
      <alignment horizontal="center" vertical="center"/>
    </xf>
    <xf numFmtId="4" fontId="14" fillId="0" borderId="24" xfId="1301" applyNumberFormat="1" applyFont="1" applyFill="1" applyBorder="1" applyAlignment="1" applyProtection="1">
      <alignment horizontal="right" vertical="center"/>
    </xf>
    <xf numFmtId="39" fontId="14" fillId="0" borderId="50" xfId="1301" applyFont="1" applyFill="1" applyBorder="1" applyAlignment="1" applyProtection="1">
      <alignment horizontal="left" vertical="center"/>
    </xf>
    <xf numFmtId="39" fontId="14" fillId="0" borderId="44" xfId="1301" applyFont="1" applyFill="1" applyBorder="1" applyAlignment="1">
      <alignment vertical="center"/>
    </xf>
    <xf numFmtId="39" fontId="14" fillId="0" borderId="71" xfId="1301" applyFont="1" applyFill="1" applyBorder="1" applyAlignment="1">
      <alignment vertical="center"/>
    </xf>
    <xf numFmtId="39" fontId="14" fillId="0" borderId="45" xfId="1301" applyFont="1" applyFill="1" applyBorder="1" applyAlignment="1">
      <alignment horizontal="right" vertical="center"/>
    </xf>
    <xf numFmtId="39" fontId="14" fillId="0" borderId="45" xfId="1301" applyFont="1" applyFill="1" applyBorder="1" applyAlignment="1">
      <alignment horizontal="center" vertical="center"/>
    </xf>
    <xf numFmtId="39" fontId="14" fillId="0" borderId="0" xfId="1301" applyFont="1" applyFill="1" applyBorder="1" applyAlignment="1">
      <alignment vertical="center"/>
    </xf>
    <xf numFmtId="4" fontId="14" fillId="0" borderId="0" xfId="1301" quotePrefix="1" applyNumberFormat="1" applyFont="1" applyFill="1" applyBorder="1" applyAlignment="1" applyProtection="1">
      <alignment horizontal="right" vertical="center"/>
    </xf>
    <xf numFmtId="0" fontId="15" fillId="0" borderId="0" xfId="1293" applyFont="1" applyFill="1" applyBorder="1" applyAlignment="1">
      <alignment horizontal="left"/>
    </xf>
    <xf numFmtId="236" fontId="14" fillId="0" borderId="0" xfId="924" applyNumberFormat="1" applyFont="1" applyFill="1" applyBorder="1"/>
    <xf numFmtId="214" fontId="14" fillId="0" borderId="40" xfId="1301" applyNumberFormat="1" applyFont="1" applyFill="1" applyBorder="1" applyAlignment="1" applyProtection="1">
      <alignment horizontal="right" vertical="center"/>
      <protection locked="0"/>
    </xf>
    <xf numFmtId="174" fontId="14" fillId="0" borderId="24" xfId="1301" applyNumberFormat="1" applyFont="1" applyFill="1" applyBorder="1" applyAlignment="1" applyProtection="1">
      <alignment horizontal="right" vertical="center"/>
      <protection locked="0"/>
    </xf>
    <xf numFmtId="4" fontId="145" fillId="0" borderId="24" xfId="1301" applyNumberFormat="1" applyFont="1" applyFill="1" applyBorder="1" applyAlignment="1" applyProtection="1">
      <alignment horizontal="right" vertical="center"/>
    </xf>
    <xf numFmtId="4" fontId="137" fillId="0" borderId="24" xfId="924" applyNumberFormat="1" applyFont="1" applyFill="1" applyBorder="1" applyAlignment="1">
      <alignment horizontal="right"/>
    </xf>
    <xf numFmtId="0" fontId="10" fillId="0" borderId="0" xfId="0" quotePrefix="1" applyFont="1" applyFill="1" applyBorder="1" applyAlignment="1" applyProtection="1">
      <alignment horizontal="left" vertical="center"/>
    </xf>
    <xf numFmtId="0" fontId="9" fillId="0" borderId="125" xfId="0" applyFont="1" applyFill="1" applyBorder="1" applyAlignment="1" applyProtection="1">
      <alignment horizontal="left" vertical="center"/>
    </xf>
    <xf numFmtId="214" fontId="9" fillId="0" borderId="40" xfId="0" applyNumberFormat="1" applyFont="1" applyFill="1" applyBorder="1" applyAlignment="1" applyProtection="1">
      <alignment horizontal="right" vertical="center"/>
      <protection locked="0"/>
    </xf>
    <xf numFmtId="0" fontId="9" fillId="0" borderId="50" xfId="0" applyFont="1" applyFill="1" applyBorder="1" applyAlignment="1" applyProtection="1">
      <alignment horizontal="left" vertical="center"/>
    </xf>
    <xf numFmtId="174" fontId="9" fillId="0" borderId="24" xfId="0" applyNumberFormat="1" applyFont="1" applyFill="1" applyBorder="1" applyAlignment="1" applyProtection="1">
      <alignment horizontal="right" vertical="center"/>
      <protection locked="0"/>
    </xf>
    <xf numFmtId="4" fontId="145" fillId="0" borderId="24" xfId="0" applyNumberFormat="1" applyFont="1" applyFill="1" applyBorder="1" applyAlignment="1" applyProtection="1">
      <alignment horizontal="right" vertical="center"/>
    </xf>
    <xf numFmtId="0" fontId="9" fillId="0" borderId="71" xfId="0" applyFont="1" applyFill="1" applyBorder="1" applyAlignment="1">
      <alignment vertical="center"/>
    </xf>
    <xf numFmtId="4" fontId="10" fillId="0" borderId="45" xfId="0" quotePrefix="1" applyNumberFormat="1" applyFont="1" applyFill="1" applyBorder="1" applyAlignment="1" applyProtection="1">
      <alignment horizontal="right" vertical="center"/>
    </xf>
    <xf numFmtId="4" fontId="14" fillId="0" borderId="0" xfId="1293" applyNumberFormat="1" applyFont="1" applyFill="1" applyBorder="1"/>
    <xf numFmtId="39" fontId="14" fillId="0" borderId="0" xfId="1293" quotePrefix="1" applyNumberFormat="1" applyFont="1" applyFill="1" applyBorder="1" applyAlignment="1">
      <alignment horizontal="left"/>
    </xf>
    <xf numFmtId="4" fontId="15" fillId="0" borderId="0" xfId="1293" applyNumberFormat="1" applyFont="1" applyFill="1" applyBorder="1" applyAlignment="1">
      <alignment horizontal="right"/>
    </xf>
    <xf numFmtId="0" fontId="10" fillId="0" borderId="0" xfId="0" quotePrefix="1" applyFont="1" applyFill="1" applyBorder="1" applyAlignment="1">
      <alignment horizontal="left"/>
    </xf>
    <xf numFmtId="0" fontId="9" fillId="0" borderId="125" xfId="0" quotePrefix="1" applyFont="1" applyFill="1" applyBorder="1" applyAlignment="1">
      <alignment horizontal="left" vertical="top" wrapText="1"/>
    </xf>
    <xf numFmtId="237" fontId="9" fillId="0" borderId="40" xfId="0" applyNumberFormat="1" applyFont="1" applyFill="1" applyBorder="1" applyAlignment="1"/>
    <xf numFmtId="0" fontId="9" fillId="0" borderId="40" xfId="0" applyFont="1" applyFill="1" applyBorder="1" applyAlignment="1">
      <alignment horizontal="center"/>
    </xf>
    <xf numFmtId="4" fontId="9" fillId="0" borderId="40" xfId="0" applyNumberFormat="1" applyFont="1" applyFill="1" applyBorder="1"/>
    <xf numFmtId="0" fontId="9" fillId="0" borderId="50" xfId="0" applyFont="1" applyFill="1" applyBorder="1" applyAlignment="1">
      <alignment vertical="top" wrapText="1"/>
    </xf>
    <xf numFmtId="2" fontId="9" fillId="0" borderId="24" xfId="0" applyNumberFormat="1" applyFont="1" applyFill="1" applyBorder="1"/>
    <xf numFmtId="0" fontId="9" fillId="0" borderId="24" xfId="0" applyFont="1" applyFill="1" applyBorder="1" applyAlignment="1">
      <alignment horizontal="center"/>
    </xf>
    <xf numFmtId="4" fontId="9" fillId="0" borderId="24" xfId="0" applyNumberFormat="1" applyFont="1" applyFill="1" applyBorder="1"/>
    <xf numFmtId="0" fontId="9" fillId="0" borderId="71" xfId="0" applyFont="1" applyFill="1" applyBorder="1"/>
    <xf numFmtId="0" fontId="9" fillId="0" borderId="45" xfId="0" applyFont="1" applyFill="1" applyBorder="1"/>
    <xf numFmtId="0" fontId="9" fillId="0" borderId="45" xfId="0" applyFont="1" applyFill="1" applyBorder="1" applyAlignment="1">
      <alignment horizontal="center"/>
    </xf>
    <xf numFmtId="0" fontId="10" fillId="0" borderId="45" xfId="0" applyFont="1" applyFill="1" applyBorder="1" applyAlignment="1">
      <alignment horizontal="right"/>
    </xf>
    <xf numFmtId="0" fontId="10" fillId="0" borderId="0" xfId="0" applyFont="1" applyFill="1"/>
    <xf numFmtId="0" fontId="9" fillId="0" borderId="40" xfId="0" applyFont="1" applyFill="1" applyBorder="1"/>
    <xf numFmtId="0" fontId="9" fillId="0" borderId="24" xfId="0" applyFont="1" applyFill="1" applyBorder="1"/>
    <xf numFmtId="4" fontId="14" fillId="0" borderId="0" xfId="1293" applyNumberFormat="1" applyFont="1" applyFill="1"/>
    <xf numFmtId="4" fontId="145" fillId="0" borderId="24" xfId="0" applyNumberFormat="1" applyFont="1" applyFill="1" applyBorder="1"/>
    <xf numFmtId="0" fontId="14" fillId="0" borderId="39" xfId="1293" applyFont="1" applyFill="1" applyBorder="1"/>
    <xf numFmtId="180" fontId="14" fillId="0" borderId="40" xfId="924" applyNumberFormat="1" applyFont="1" applyFill="1" applyBorder="1"/>
    <xf numFmtId="4" fontId="14" fillId="0" borderId="24" xfId="924" applyNumberFormat="1" applyFont="1" applyFill="1" applyBorder="1" applyAlignment="1">
      <alignment horizontal="right"/>
    </xf>
    <xf numFmtId="4" fontId="14" fillId="0" borderId="24" xfId="924" applyNumberFormat="1" applyFont="1" applyFill="1" applyBorder="1" applyAlignment="1"/>
    <xf numFmtId="173" fontId="15" fillId="0" borderId="0" xfId="924" applyFont="1" applyFill="1" applyBorder="1"/>
    <xf numFmtId="180" fontId="14" fillId="0" borderId="24" xfId="924" applyNumberFormat="1" applyFont="1" applyFill="1" applyBorder="1"/>
    <xf numFmtId="4" fontId="15" fillId="0" borderId="45" xfId="924" applyNumberFormat="1" applyFont="1" applyFill="1" applyBorder="1" applyAlignment="1">
      <alignment horizontal="right"/>
    </xf>
    <xf numFmtId="175" fontId="14" fillId="0" borderId="40" xfId="924" applyNumberFormat="1" applyFont="1" applyFill="1" applyBorder="1"/>
    <xf numFmtId="4" fontId="145" fillId="0" borderId="24" xfId="924" applyNumberFormat="1" applyFont="1" applyFill="1" applyBorder="1"/>
    <xf numFmtId="174" fontId="14" fillId="0" borderId="40" xfId="924" applyNumberFormat="1" applyFont="1" applyFill="1" applyBorder="1"/>
    <xf numFmtId="174" fontId="14" fillId="0" borderId="24" xfId="924" applyNumberFormat="1" applyFont="1" applyFill="1" applyBorder="1"/>
    <xf numFmtId="179" fontId="14" fillId="0" borderId="24" xfId="924" applyNumberFormat="1" applyFont="1" applyFill="1" applyBorder="1"/>
    <xf numFmtId="173" fontId="27" fillId="0" borderId="24" xfId="924" applyFont="1" applyFill="1" applyBorder="1" applyAlignment="1">
      <alignment horizontal="right"/>
    </xf>
    <xf numFmtId="0" fontId="15" fillId="0" borderId="24" xfId="1293" applyFont="1" applyFill="1" applyBorder="1"/>
    <xf numFmtId="0" fontId="15" fillId="0" borderId="45" xfId="1293" applyFont="1" applyFill="1" applyBorder="1"/>
    <xf numFmtId="0" fontId="14" fillId="0" borderId="51" xfId="1293" applyFont="1" applyFill="1" applyBorder="1"/>
    <xf numFmtId="0" fontId="27" fillId="0" borderId="126" xfId="1293" applyFont="1" applyFill="1" applyBorder="1"/>
    <xf numFmtId="173" fontId="14" fillId="0" borderId="20" xfId="924" applyFont="1" applyFill="1" applyBorder="1"/>
    <xf numFmtId="0" fontId="14" fillId="0" borderId="20" xfId="1293" applyFont="1" applyFill="1" applyBorder="1" applyAlignment="1">
      <alignment horizontal="center"/>
    </xf>
    <xf numFmtId="173" fontId="27" fillId="0" borderId="20" xfId="924" applyFont="1" applyFill="1" applyBorder="1" applyAlignment="1">
      <alignment horizontal="right"/>
    </xf>
    <xf numFmtId="0" fontId="14" fillId="0" borderId="125" xfId="1293" quotePrefix="1" applyFont="1" applyFill="1" applyBorder="1" applyAlignment="1">
      <alignment horizontal="left"/>
    </xf>
    <xf numFmtId="175" fontId="14" fillId="0" borderId="24" xfId="924" applyNumberFormat="1" applyFont="1" applyFill="1" applyBorder="1"/>
    <xf numFmtId="4" fontId="10" fillId="0" borderId="0" xfId="0" applyNumberFormat="1" applyFont="1" applyFill="1" applyBorder="1"/>
    <xf numFmtId="173" fontId="9" fillId="0" borderId="0" xfId="1482" applyFont="1" applyFill="1" applyBorder="1" applyAlignment="1">
      <alignment horizontal="right"/>
    </xf>
    <xf numFmtId="4" fontId="9" fillId="0" borderId="0" xfId="0" applyNumberFormat="1" applyFont="1" applyFill="1" applyBorder="1" applyAlignment="1">
      <alignment horizontal="center"/>
    </xf>
    <xf numFmtId="173" fontId="10" fillId="0" borderId="0" xfId="1482" applyFont="1" applyFill="1" applyBorder="1" applyAlignment="1">
      <alignment horizontal="right"/>
    </xf>
    <xf numFmtId="4" fontId="9" fillId="0" borderId="125" xfId="0" applyNumberFormat="1" applyFont="1" applyFill="1" applyBorder="1"/>
    <xf numFmtId="173" fontId="9" fillId="0" borderId="40" xfId="1482" applyFont="1" applyFill="1" applyBorder="1" applyAlignment="1">
      <alignment horizontal="right"/>
    </xf>
    <xf numFmtId="4" fontId="9" fillId="0" borderId="40" xfId="0" applyNumberFormat="1" applyFont="1" applyFill="1" applyBorder="1" applyAlignment="1">
      <alignment horizontal="center"/>
    </xf>
    <xf numFmtId="4" fontId="9" fillId="0" borderId="50" xfId="0" applyNumberFormat="1" applyFont="1" applyFill="1" applyBorder="1"/>
    <xf numFmtId="173" fontId="9" fillId="0" borderId="24" xfId="1482" applyFont="1" applyFill="1" applyBorder="1" applyAlignment="1">
      <alignment horizontal="right"/>
    </xf>
    <xf numFmtId="4" fontId="9" fillId="0" borderId="24" xfId="0" applyNumberFormat="1" applyFont="1" applyFill="1" applyBorder="1" applyAlignment="1">
      <alignment horizontal="center"/>
    </xf>
    <xf numFmtId="4" fontId="9" fillId="0" borderId="71" xfId="0" applyNumberFormat="1" applyFont="1" applyFill="1" applyBorder="1"/>
    <xf numFmtId="173" fontId="9" fillId="0" borderId="45" xfId="1482" applyFont="1" applyFill="1" applyBorder="1" applyAlignment="1">
      <alignment horizontal="right"/>
    </xf>
    <xf numFmtId="4" fontId="9" fillId="0" borderId="45" xfId="0" applyNumberFormat="1" applyFont="1" applyFill="1" applyBorder="1" applyAlignment="1">
      <alignment horizontal="center"/>
    </xf>
    <xf numFmtId="173" fontId="10" fillId="0" borderId="45" xfId="1482" applyFont="1" applyFill="1" applyBorder="1" applyAlignment="1">
      <alignment horizontal="right"/>
    </xf>
    <xf numFmtId="4" fontId="9" fillId="0" borderId="125" xfId="0" applyNumberFormat="1" applyFont="1" applyFill="1" applyBorder="1" applyAlignment="1">
      <alignment horizontal="center"/>
    </xf>
    <xf numFmtId="173" fontId="9" fillId="0" borderId="40" xfId="1482" applyFont="1" applyFill="1" applyBorder="1"/>
    <xf numFmtId="4" fontId="9" fillId="0" borderId="128" xfId="0" applyNumberFormat="1" applyFont="1" applyFill="1" applyBorder="1"/>
    <xf numFmtId="173" fontId="9" fillId="0" borderId="25" xfId="1482" applyFont="1" applyFill="1" applyBorder="1" applyAlignment="1">
      <alignment horizontal="right"/>
    </xf>
    <xf numFmtId="173" fontId="9" fillId="0" borderId="50" xfId="1482" applyFont="1" applyFill="1" applyBorder="1"/>
    <xf numFmtId="4" fontId="9" fillId="0" borderId="25" xfId="0" applyNumberFormat="1" applyFont="1" applyFill="1" applyBorder="1" applyAlignment="1">
      <alignment horizontal="center"/>
    </xf>
    <xf numFmtId="173" fontId="9" fillId="0" borderId="24" xfId="1482" applyFont="1" applyFill="1" applyBorder="1"/>
    <xf numFmtId="4" fontId="10" fillId="0" borderId="50" xfId="0" applyNumberFormat="1" applyFont="1" applyFill="1" applyBorder="1"/>
    <xf numFmtId="173" fontId="9" fillId="0" borderId="66" xfId="1482" applyFont="1" applyFill="1" applyBorder="1" applyAlignment="1">
      <alignment horizontal="right"/>
    </xf>
    <xf numFmtId="4" fontId="9" fillId="0" borderId="99" xfId="0" applyNumberFormat="1" applyFont="1" applyFill="1" applyBorder="1" applyAlignment="1">
      <alignment horizontal="center"/>
    </xf>
    <xf numFmtId="173" fontId="9" fillId="0" borderId="99" xfId="1482" applyFont="1" applyFill="1" applyBorder="1"/>
    <xf numFmtId="4" fontId="9" fillId="0" borderId="126" xfId="0" applyNumberFormat="1" applyFont="1" applyFill="1" applyBorder="1"/>
    <xf numFmtId="173" fontId="9" fillId="0" borderId="20" xfId="1482" applyFont="1" applyFill="1" applyBorder="1" applyAlignment="1">
      <alignment horizontal="right"/>
    </xf>
    <xf numFmtId="4" fontId="9" fillId="0" borderId="20" xfId="0" applyNumberFormat="1" applyFont="1" applyFill="1" applyBorder="1" applyAlignment="1">
      <alignment horizontal="center"/>
    </xf>
    <xf numFmtId="173" fontId="9" fillId="0" borderId="20" xfId="1482" applyFont="1" applyFill="1" applyBorder="1"/>
    <xf numFmtId="0" fontId="27" fillId="0" borderId="40" xfId="0" applyFont="1" applyFill="1" applyBorder="1" applyAlignment="1">
      <alignment horizontal="right"/>
    </xf>
    <xf numFmtId="4" fontId="10" fillId="0" borderId="40" xfId="0" applyNumberFormat="1" applyFont="1" applyFill="1" applyBorder="1" applyAlignment="1">
      <alignment horizontal="right"/>
    </xf>
    <xf numFmtId="0" fontId="27" fillId="0" borderId="24" xfId="0" applyFont="1" applyFill="1" applyBorder="1" applyAlignment="1">
      <alignment horizontal="right"/>
    </xf>
    <xf numFmtId="4" fontId="10" fillId="0" borderId="24" xfId="0" applyNumberFormat="1" applyFont="1" applyFill="1" applyBorder="1" applyAlignment="1">
      <alignment horizontal="right"/>
    </xf>
    <xf numFmtId="0" fontId="27" fillId="0" borderId="45" xfId="0" applyFont="1" applyFill="1" applyBorder="1" applyAlignment="1">
      <alignment horizontal="right"/>
    </xf>
    <xf numFmtId="4" fontId="9" fillId="0" borderId="45" xfId="0" applyNumberFormat="1" applyFont="1" applyFill="1" applyBorder="1"/>
    <xf numFmtId="4" fontId="10" fillId="0" borderId="45" xfId="0" applyNumberFormat="1" applyFont="1" applyFill="1" applyBorder="1" applyAlignment="1">
      <alignment horizontal="right"/>
    </xf>
    <xf numFmtId="173" fontId="9" fillId="0" borderId="0" xfId="1482" applyFont="1" applyFill="1" applyBorder="1" applyAlignment="1">
      <alignment horizontal="left"/>
    </xf>
    <xf numFmtId="0" fontId="9" fillId="0" borderId="89" xfId="1080" applyFont="1" applyFill="1" applyBorder="1" applyAlignment="1">
      <alignment horizontal="left" vertical="top"/>
    </xf>
    <xf numFmtId="0" fontId="9" fillId="0" borderId="24" xfId="1138" applyFont="1" applyFill="1" applyBorder="1" applyAlignment="1">
      <alignment horizontal="center"/>
    </xf>
    <xf numFmtId="4" fontId="9" fillId="0" borderId="77" xfId="1080" applyNumberFormat="1" applyFont="1" applyFill="1" applyBorder="1"/>
    <xf numFmtId="4" fontId="9" fillId="0" borderId="24" xfId="1080" applyNumberFormat="1" applyFont="1" applyFill="1" applyBorder="1" applyAlignment="1">
      <alignment vertical="top"/>
    </xf>
    <xf numFmtId="0" fontId="9" fillId="0" borderId="24" xfId="1080" applyFont="1" applyFill="1" applyBorder="1" applyAlignment="1">
      <alignment horizontal="center" vertical="top"/>
    </xf>
    <xf numFmtId="4" fontId="9" fillId="0" borderId="24" xfId="1080" applyNumberFormat="1" applyFont="1" applyFill="1" applyBorder="1"/>
    <xf numFmtId="0" fontId="9" fillId="0" borderId="24" xfId="1138" applyFont="1" applyFill="1" applyBorder="1"/>
    <xf numFmtId="0" fontId="10" fillId="0" borderId="89" xfId="1080" applyFont="1" applyFill="1" applyBorder="1" applyAlignment="1">
      <alignment horizontal="left" vertical="top"/>
    </xf>
    <xf numFmtId="0" fontId="9" fillId="0" borderId="89" xfId="1138" applyFont="1" applyFill="1" applyBorder="1"/>
    <xf numFmtId="0" fontId="10" fillId="0" borderId="24" xfId="1080" applyFont="1" applyFill="1" applyBorder="1" applyAlignment="1">
      <alignment horizontal="right" vertical="top"/>
    </xf>
    <xf numFmtId="0" fontId="9" fillId="0" borderId="126" xfId="1138" applyFont="1" applyFill="1" applyBorder="1"/>
    <xf numFmtId="0" fontId="9" fillId="0" borderId="68" xfId="1138" applyFont="1" applyFill="1" applyBorder="1"/>
    <xf numFmtId="0" fontId="10" fillId="0" borderId="20" xfId="1080" applyFont="1" applyFill="1" applyBorder="1" applyAlignment="1">
      <alignment horizontal="right" vertical="top"/>
    </xf>
    <xf numFmtId="0" fontId="9" fillId="0" borderId="0" xfId="1293" applyFont="1" applyFill="1" applyBorder="1" applyAlignment="1">
      <alignment vertical="top"/>
    </xf>
    <xf numFmtId="0" fontId="10" fillId="0" borderId="34" xfId="992" applyFont="1" applyFill="1" applyBorder="1" applyAlignment="1">
      <alignment horizontal="left" vertical="top"/>
    </xf>
    <xf numFmtId="173" fontId="9" fillId="0" borderId="34" xfId="1480" applyFont="1" applyFill="1" applyBorder="1" applyAlignment="1">
      <alignment vertical="top"/>
    </xf>
    <xf numFmtId="173" fontId="10" fillId="0" borderId="34" xfId="1480" applyFont="1" applyFill="1" applyBorder="1" applyAlignment="1">
      <alignment horizontal="right" vertical="top"/>
    </xf>
    <xf numFmtId="0" fontId="9" fillId="0" borderId="24" xfId="992" applyFont="1" applyFill="1" applyBorder="1" applyAlignment="1">
      <alignment horizontal="left" vertical="top"/>
    </xf>
    <xf numFmtId="173" fontId="9" fillId="0" borderId="24" xfId="1480" applyFont="1" applyFill="1" applyBorder="1" applyAlignment="1">
      <alignment horizontal="centerContinuous" vertical="top"/>
    </xf>
    <xf numFmtId="238" fontId="9" fillId="0" borderId="24" xfId="1480" applyNumberFormat="1" applyFont="1" applyFill="1" applyBorder="1" applyAlignment="1">
      <alignment horizontal="centerContinuous" vertical="top"/>
    </xf>
    <xf numFmtId="4" fontId="9" fillId="0" borderId="24" xfId="1483" applyNumberFormat="1" applyFont="1" applyFill="1" applyBorder="1" applyAlignment="1">
      <alignment vertical="top" wrapText="1"/>
    </xf>
    <xf numFmtId="0" fontId="9" fillId="0" borderId="60" xfId="1293" applyFont="1" applyFill="1" applyBorder="1" applyAlignment="1">
      <alignment vertical="top"/>
    </xf>
    <xf numFmtId="0" fontId="10" fillId="0" borderId="0" xfId="0" applyFont="1" applyFill="1" applyBorder="1" applyAlignment="1">
      <alignment horizontal="right" vertical="top"/>
    </xf>
    <xf numFmtId="0" fontId="9" fillId="0" borderId="24" xfId="0" applyFont="1" applyFill="1" applyBorder="1" applyAlignment="1">
      <alignment horizontal="left" vertical="top"/>
    </xf>
    <xf numFmtId="0" fontId="10" fillId="0" borderId="40" xfId="0" applyFont="1" applyFill="1" applyBorder="1" applyAlignment="1">
      <alignment horizontal="left" vertical="top"/>
    </xf>
    <xf numFmtId="173" fontId="9" fillId="0" borderId="40" xfId="1480" applyFont="1" applyFill="1" applyBorder="1" applyAlignment="1">
      <alignment vertical="top"/>
    </xf>
    <xf numFmtId="173" fontId="10" fillId="0" borderId="40" xfId="1480" applyFont="1" applyFill="1" applyBorder="1" applyAlignment="1">
      <alignment horizontal="right" vertical="top"/>
    </xf>
    <xf numFmtId="0" fontId="10" fillId="0" borderId="70" xfId="0" applyFont="1" applyFill="1" applyBorder="1" applyAlignment="1">
      <alignment vertical="top"/>
    </xf>
    <xf numFmtId="0" fontId="10" fillId="0" borderId="131" xfId="0" applyFont="1" applyFill="1" applyBorder="1" applyAlignment="1">
      <alignment vertical="top"/>
    </xf>
    <xf numFmtId="0" fontId="10" fillId="0" borderId="71" xfId="0" applyFont="1" applyFill="1" applyBorder="1" applyAlignment="1">
      <alignment vertical="top"/>
    </xf>
    <xf numFmtId="0" fontId="15" fillId="0" borderId="0" xfId="0" applyFont="1" applyFill="1" applyBorder="1"/>
    <xf numFmtId="0" fontId="14" fillId="0" borderId="0" xfId="0" applyFont="1" applyFill="1" applyBorder="1"/>
    <xf numFmtId="0" fontId="15" fillId="0" borderId="0" xfId="0" applyFont="1" applyFill="1" applyBorder="1" applyAlignment="1">
      <alignment horizontal="right"/>
    </xf>
    <xf numFmtId="0" fontId="14" fillId="0" borderId="132" xfId="1293" applyFont="1" applyFill="1" applyBorder="1"/>
    <xf numFmtId="0" fontId="14" fillId="0" borderId="40" xfId="0" applyFont="1" applyFill="1" applyBorder="1"/>
    <xf numFmtId="4" fontId="14" fillId="0" borderId="40" xfId="0" applyNumberFormat="1" applyFont="1" applyFill="1" applyBorder="1"/>
    <xf numFmtId="4" fontId="14" fillId="0" borderId="40" xfId="0" applyNumberFormat="1" applyFont="1" applyFill="1" applyBorder="1" applyAlignment="1">
      <alignment horizontal="right"/>
    </xf>
    <xf numFmtId="0" fontId="14" fillId="0" borderId="133" xfId="1293" applyFont="1" applyFill="1" applyBorder="1"/>
    <xf numFmtId="0" fontId="14" fillId="0" borderId="24" xfId="0" applyFont="1" applyFill="1" applyBorder="1" applyAlignment="1">
      <alignment vertical="top"/>
    </xf>
    <xf numFmtId="4" fontId="14" fillId="0" borderId="24" xfId="0" applyNumberFormat="1" applyFont="1" applyFill="1" applyBorder="1"/>
    <xf numFmtId="4" fontId="14" fillId="0" borderId="24" xfId="0" applyNumberFormat="1" applyFont="1" applyFill="1" applyBorder="1" applyAlignment="1">
      <alignment horizontal="right"/>
    </xf>
    <xf numFmtId="0" fontId="14" fillId="0" borderId="24" xfId="0" applyFont="1" applyFill="1" applyBorder="1"/>
    <xf numFmtId="0" fontId="14" fillId="0" borderId="24" xfId="0" applyFont="1" applyFill="1" applyBorder="1" applyAlignment="1">
      <alignment horizontal="center"/>
    </xf>
    <xf numFmtId="0" fontId="14" fillId="0" borderId="134" xfId="1293" applyFont="1" applyFill="1" applyBorder="1"/>
    <xf numFmtId="0" fontId="14" fillId="0" borderId="45" xfId="0" applyFont="1" applyFill="1" applyBorder="1"/>
    <xf numFmtId="4" fontId="14" fillId="0" borderId="0" xfId="1297" applyNumberFormat="1" applyFont="1" applyFill="1" applyBorder="1" applyAlignment="1">
      <alignment horizontal="right" vertical="center"/>
    </xf>
    <xf numFmtId="2" fontId="15" fillId="0" borderId="0" xfId="1293" applyNumberFormat="1" applyFont="1" applyFill="1" applyBorder="1" applyAlignment="1">
      <alignment horizontal="right"/>
    </xf>
    <xf numFmtId="0" fontId="14" fillId="0" borderId="0" xfId="1293" applyFont="1" applyFill="1"/>
    <xf numFmtId="2" fontId="14" fillId="0" borderId="0" xfId="1297" quotePrefix="1" applyNumberFormat="1" applyFont="1" applyFill="1" applyBorder="1" applyAlignment="1">
      <alignment horizontal="left" vertical="center"/>
    </xf>
    <xf numFmtId="2" fontId="14" fillId="0" borderId="0" xfId="1293" applyNumberFormat="1" applyFont="1" applyFill="1" applyBorder="1"/>
    <xf numFmtId="4" fontId="14" fillId="0" borderId="80" xfId="1297" applyNumberFormat="1" applyFont="1" applyFill="1" applyBorder="1" applyAlignment="1">
      <alignment horizontal="right" vertical="center"/>
    </xf>
    <xf numFmtId="4" fontId="14" fillId="0" borderId="0" xfId="1297" applyNumberFormat="1" applyFont="1" applyFill="1" applyBorder="1" applyAlignment="1" applyProtection="1">
      <alignment horizontal="right" vertical="center"/>
      <protection locked="0"/>
    </xf>
    <xf numFmtId="2" fontId="14" fillId="0" borderId="0" xfId="1293" applyNumberFormat="1" applyFont="1" applyFill="1"/>
    <xf numFmtId="0" fontId="14" fillId="0" borderId="0" xfId="1293" applyFont="1" applyFill="1" applyAlignment="1">
      <alignment vertical="top"/>
    </xf>
    <xf numFmtId="0" fontId="14" fillId="0" borderId="0" xfId="1293" applyFont="1" applyFill="1" applyAlignment="1">
      <alignment horizontal="left" vertical="top"/>
    </xf>
    <xf numFmtId="0" fontId="14" fillId="0" borderId="0" xfId="1293" applyFont="1" applyFill="1" applyAlignment="1">
      <alignment horizontal="left"/>
    </xf>
    <xf numFmtId="4" fontId="15" fillId="0" borderId="0" xfId="1293" applyNumberFormat="1" applyFont="1" applyFill="1" applyBorder="1" applyAlignment="1">
      <alignment horizontal="center"/>
    </xf>
    <xf numFmtId="4" fontId="14" fillId="0" borderId="0" xfId="462" applyNumberFormat="1" applyFont="1" applyFill="1" applyBorder="1"/>
    <xf numFmtId="0" fontId="14" fillId="0" borderId="0" xfId="1293" applyFont="1" applyFill="1" applyAlignment="1">
      <alignment horizontal="right" vertical="top"/>
    </xf>
    <xf numFmtId="0" fontId="9" fillId="0" borderId="0" xfId="1293" applyFont="1" applyFill="1" applyBorder="1" applyAlignment="1">
      <alignment horizontal="right" vertical="top"/>
    </xf>
    <xf numFmtId="4" fontId="14" fillId="0" borderId="0" xfId="1301" applyNumberFormat="1" applyFont="1" applyFill="1"/>
    <xf numFmtId="39" fontId="14" fillId="0" borderId="0" xfId="1301" applyFont="1" applyFill="1"/>
    <xf numFmtId="4" fontId="15" fillId="0" borderId="0" xfId="1293" applyNumberFormat="1" applyFont="1" applyFill="1" applyBorder="1"/>
    <xf numFmtId="4" fontId="15" fillId="0" borderId="0" xfId="1293" applyNumberFormat="1" applyFont="1" applyFill="1" applyAlignment="1">
      <alignment horizontal="right"/>
    </xf>
    <xf numFmtId="4" fontId="144" fillId="0" borderId="0" xfId="1297" applyNumberFormat="1" applyFont="1" applyFill="1" applyBorder="1" applyAlignment="1" applyProtection="1">
      <alignment horizontal="right" vertical="center"/>
      <protection locked="0"/>
    </xf>
    <xf numFmtId="4" fontId="15" fillId="0" borderId="0" xfId="1481" applyNumberFormat="1" applyFont="1" applyFill="1" applyBorder="1" applyAlignment="1" applyProtection="1">
      <alignment horizontal="right" vertical="center"/>
      <protection locked="0"/>
    </xf>
    <xf numFmtId="4" fontId="14" fillId="0" borderId="0" xfId="1297" applyNumberFormat="1" applyFont="1" applyFill="1" applyBorder="1" applyAlignment="1" applyProtection="1">
      <alignment horizontal="right" vertical="center"/>
    </xf>
    <xf numFmtId="4" fontId="15" fillId="0" borderId="0" xfId="1297" applyNumberFormat="1" applyFont="1" applyFill="1" applyBorder="1" applyAlignment="1">
      <alignment horizontal="right" vertical="center"/>
    </xf>
    <xf numFmtId="2" fontId="15" fillId="0" borderId="0" xfId="1297" quotePrefix="1" applyNumberFormat="1" applyFont="1" applyFill="1" applyBorder="1" applyAlignment="1">
      <alignment horizontal="left" vertical="center"/>
    </xf>
    <xf numFmtId="0" fontId="15" fillId="0" borderId="0" xfId="1297" applyFont="1" applyFill="1" applyBorder="1" applyAlignment="1">
      <alignment vertical="center"/>
    </xf>
    <xf numFmtId="4" fontId="14" fillId="0" borderId="0" xfId="1481" applyNumberFormat="1" applyFont="1" applyFill="1" applyBorder="1" applyAlignment="1" applyProtection="1">
      <alignment horizontal="right" vertical="center"/>
      <protection locked="0"/>
    </xf>
    <xf numFmtId="4" fontId="14" fillId="0" borderId="0" xfId="1301" applyNumberFormat="1" applyFont="1" applyFill="1" applyBorder="1" applyAlignment="1">
      <alignment horizontal="right" vertical="center"/>
    </xf>
    <xf numFmtId="4" fontId="14" fillId="0" borderId="0" xfId="1301" applyNumberFormat="1" applyFont="1" applyFill="1" applyBorder="1" applyAlignment="1">
      <alignment vertical="center"/>
    </xf>
    <xf numFmtId="4" fontId="14" fillId="0" borderId="0" xfId="1301" applyNumberFormat="1" applyFont="1" applyFill="1" applyBorder="1" applyAlignment="1" applyProtection="1">
      <alignment horizontal="right" vertical="center"/>
      <protection locked="0"/>
    </xf>
    <xf numFmtId="4" fontId="144" fillId="0" borderId="0" xfId="1301" applyNumberFormat="1" applyFont="1" applyFill="1" applyBorder="1" applyAlignment="1" applyProtection="1">
      <alignment horizontal="right" vertical="center"/>
      <protection locked="0"/>
    </xf>
    <xf numFmtId="4" fontId="15" fillId="0" borderId="0" xfId="1293" applyNumberFormat="1" applyFont="1" applyFill="1" applyAlignment="1">
      <alignment horizontal="left"/>
    </xf>
    <xf numFmtId="4" fontId="146" fillId="0" borderId="0" xfId="1293" applyNumberFormat="1" applyFont="1" applyFill="1" applyAlignment="1">
      <alignment horizontal="centerContinuous"/>
    </xf>
    <xf numFmtId="4" fontId="14" fillId="0" borderId="0" xfId="1293" applyNumberFormat="1" applyFont="1" applyFill="1" applyBorder="1" applyAlignment="1">
      <alignment horizontal="right"/>
    </xf>
    <xf numFmtId="0" fontId="14" fillId="0" borderId="0" xfId="1293" applyFont="1" applyFill="1" applyBorder="1" applyAlignment="1">
      <alignment horizontal="centerContinuous"/>
    </xf>
    <xf numFmtId="175" fontId="14" fillId="0" borderId="0" xfId="1293" applyNumberFormat="1" applyFont="1" applyFill="1" applyBorder="1"/>
    <xf numFmtId="168" fontId="9" fillId="0" borderId="0" xfId="865" applyFont="1" applyFill="1"/>
    <xf numFmtId="4" fontId="10" fillId="0" borderId="135" xfId="1051" applyNumberFormat="1" applyFont="1" applyFill="1" applyBorder="1" applyAlignment="1">
      <alignment horizontal="center"/>
    </xf>
    <xf numFmtId="168" fontId="10" fillId="0" borderId="136" xfId="865" applyFont="1" applyFill="1" applyBorder="1" applyAlignment="1">
      <alignment horizontal="center"/>
    </xf>
    <xf numFmtId="4" fontId="10" fillId="0" borderId="136" xfId="1051" applyNumberFormat="1" applyFont="1" applyFill="1" applyBorder="1" applyAlignment="1">
      <alignment horizontal="center"/>
    </xf>
    <xf numFmtId="168" fontId="10" fillId="0" borderId="137" xfId="865" applyFont="1" applyFill="1" applyBorder="1" applyAlignment="1">
      <alignment horizontal="center"/>
    </xf>
    <xf numFmtId="4" fontId="10" fillId="0" borderId="100" xfId="1051" applyNumberFormat="1" applyFont="1" applyFill="1" applyBorder="1" applyAlignment="1">
      <alignment horizontal="center"/>
    </xf>
    <xf numFmtId="168" fontId="10" fillId="0" borderId="19" xfId="865" applyFont="1" applyFill="1" applyBorder="1" applyAlignment="1"/>
    <xf numFmtId="4" fontId="10" fillId="0" borderId="19" xfId="1051" applyNumberFormat="1" applyFont="1" applyFill="1" applyBorder="1" applyAlignment="1">
      <alignment horizontal="center"/>
    </xf>
    <xf numFmtId="4" fontId="10" fillId="0" borderId="19" xfId="1051" applyNumberFormat="1" applyFont="1" applyFill="1" applyBorder="1" applyAlignment="1"/>
    <xf numFmtId="168" fontId="10" fillId="0" borderId="33" xfId="865" applyFont="1" applyFill="1" applyBorder="1" applyAlignment="1"/>
    <xf numFmtId="4" fontId="10" fillId="0" borderId="100" xfId="1051" applyNumberFormat="1" applyFont="1" applyFill="1" applyBorder="1" applyAlignment="1"/>
    <xf numFmtId="4" fontId="9" fillId="0" borderId="100" xfId="1051" applyNumberFormat="1" applyFont="1" applyFill="1" applyBorder="1" applyAlignment="1"/>
    <xf numFmtId="168" fontId="9" fillId="0" borderId="19" xfId="865" applyFont="1" applyFill="1" applyBorder="1" applyAlignment="1">
      <alignment horizontal="right"/>
    </xf>
    <xf numFmtId="4" fontId="9" fillId="0" borderId="19" xfId="1051" applyNumberFormat="1" applyFont="1" applyFill="1" applyBorder="1" applyAlignment="1">
      <alignment horizontal="center"/>
    </xf>
    <xf numFmtId="173" fontId="9" fillId="0" borderId="19" xfId="1482" applyNumberFormat="1" applyFont="1" applyFill="1" applyBorder="1"/>
    <xf numFmtId="168" fontId="9" fillId="0" borderId="33" xfId="865" applyFont="1" applyFill="1" applyBorder="1"/>
    <xf numFmtId="4" fontId="9" fillId="0" borderId="100" xfId="1051" applyNumberFormat="1" applyFont="1" applyFill="1" applyBorder="1" applyAlignment="1">
      <alignment vertical="center"/>
    </xf>
    <xf numFmtId="168" fontId="9" fillId="0" borderId="19" xfId="865" applyFont="1" applyFill="1" applyBorder="1" applyAlignment="1">
      <alignment horizontal="right" vertical="center"/>
    </xf>
    <xf numFmtId="4" fontId="9" fillId="0" borderId="19" xfId="1051" applyNumberFormat="1" applyFont="1" applyFill="1" applyBorder="1" applyAlignment="1">
      <alignment horizontal="center" vertical="center"/>
    </xf>
    <xf numFmtId="173" fontId="9" fillId="0" borderId="19" xfId="1482" applyNumberFormat="1" applyFont="1" applyFill="1" applyBorder="1" applyAlignment="1">
      <alignment vertical="center"/>
    </xf>
    <xf numFmtId="4" fontId="9" fillId="0" borderId="103" xfId="1051" applyNumberFormat="1" applyFont="1" applyFill="1" applyBorder="1" applyAlignment="1"/>
    <xf numFmtId="168" fontId="9" fillId="0" borderId="102" xfId="865" applyFont="1" applyFill="1" applyBorder="1" applyAlignment="1">
      <alignment horizontal="right"/>
    </xf>
    <xf numFmtId="4" fontId="9" fillId="0" borderId="102" xfId="1051" applyNumberFormat="1" applyFont="1" applyFill="1" applyBorder="1" applyAlignment="1">
      <alignment horizontal="center"/>
    </xf>
    <xf numFmtId="173" fontId="9" fillId="0" borderId="102" xfId="1482" applyNumberFormat="1" applyFont="1" applyFill="1" applyBorder="1"/>
    <xf numFmtId="168" fontId="9" fillId="0" borderId="37" xfId="865" applyFont="1" applyFill="1" applyBorder="1"/>
    <xf numFmtId="4" fontId="9" fillId="0" borderId="0" xfId="1051" applyNumberFormat="1" applyFont="1" applyFill="1" applyBorder="1" applyAlignment="1"/>
    <xf numFmtId="168" fontId="10" fillId="0" borderId="104" xfId="865" applyFont="1" applyFill="1" applyBorder="1"/>
    <xf numFmtId="4" fontId="10" fillId="0" borderId="0" xfId="1293" applyNumberFormat="1" applyFont="1" applyFill="1"/>
    <xf numFmtId="0" fontId="9" fillId="0" borderId="0" xfId="1293" applyFont="1" applyFill="1"/>
    <xf numFmtId="171" fontId="9" fillId="0" borderId="24" xfId="1452" applyFont="1" applyFill="1" applyBorder="1"/>
    <xf numFmtId="0" fontId="9" fillId="0" borderId="24" xfId="1293" applyFont="1" applyFill="1" applyBorder="1" applyAlignment="1">
      <alignment horizontal="center"/>
    </xf>
    <xf numFmtId="43" fontId="9" fillId="0" borderId="24" xfId="1293" applyNumberFormat="1" applyFont="1" applyFill="1" applyBorder="1"/>
    <xf numFmtId="0" fontId="10" fillId="0" borderId="0" xfId="1300" applyFont="1" applyFill="1" applyBorder="1" applyAlignment="1">
      <alignment horizontal="left"/>
    </xf>
    <xf numFmtId="43" fontId="10" fillId="0" borderId="0" xfId="920" applyFont="1" applyFill="1" applyBorder="1" applyAlignment="1">
      <alignment horizontal="center"/>
    </xf>
    <xf numFmtId="0" fontId="10" fillId="0" borderId="0" xfId="0" applyFont="1" applyFill="1" applyBorder="1" applyAlignment="1">
      <alignment vertical="top"/>
    </xf>
    <xf numFmtId="0" fontId="10" fillId="0" borderId="0" xfId="1299" applyFont="1" applyFill="1" applyBorder="1"/>
    <xf numFmtId="43" fontId="9" fillId="0" borderId="0" xfId="914" applyFont="1" applyFill="1" applyBorder="1"/>
    <xf numFmtId="0" fontId="9" fillId="0" borderId="40" xfId="1299" applyFont="1" applyFill="1" applyBorder="1"/>
    <xf numFmtId="43" fontId="10" fillId="0" borderId="40" xfId="914" applyFont="1" applyFill="1" applyBorder="1" applyAlignment="1">
      <alignment horizontal="center"/>
    </xf>
    <xf numFmtId="43" fontId="10" fillId="0" borderId="41" xfId="914" applyFont="1" applyFill="1" applyBorder="1" applyAlignment="1">
      <alignment horizontal="center"/>
    </xf>
    <xf numFmtId="39" fontId="9" fillId="0" borderId="24" xfId="0" applyNumberFormat="1" applyFont="1" applyFill="1" applyBorder="1"/>
    <xf numFmtId="4" fontId="9" fillId="0" borderId="43" xfId="0" applyNumberFormat="1" applyFont="1" applyFill="1" applyBorder="1"/>
    <xf numFmtId="0" fontId="9" fillId="0" borderId="24" xfId="1299" applyFont="1" applyFill="1" applyBorder="1"/>
    <xf numFmtId="43" fontId="9" fillId="0" borderId="24" xfId="914" applyFont="1" applyFill="1" applyBorder="1" applyAlignment="1">
      <alignment horizontal="right"/>
    </xf>
    <xf numFmtId="43" fontId="9" fillId="0" borderId="24" xfId="914" applyFont="1" applyFill="1" applyBorder="1" applyAlignment="1">
      <alignment horizontal="center"/>
    </xf>
    <xf numFmtId="43" fontId="9" fillId="0" borderId="43" xfId="914" applyFont="1" applyFill="1" applyBorder="1" applyAlignment="1">
      <alignment horizontal="right"/>
    </xf>
    <xf numFmtId="173" fontId="9" fillId="0" borderId="24" xfId="462" applyNumberFormat="1" applyFont="1" applyFill="1" applyBorder="1"/>
    <xf numFmtId="0" fontId="9" fillId="0" borderId="24" xfId="1286" applyFont="1" applyFill="1" applyBorder="1" applyProtection="1"/>
    <xf numFmtId="183" fontId="9" fillId="0" borderId="24" xfId="1286" applyNumberFormat="1" applyFont="1" applyFill="1" applyBorder="1" applyProtection="1"/>
    <xf numFmtId="0" fontId="9" fillId="0" borderId="24" xfId="1286" applyFont="1" applyFill="1" applyBorder="1" applyAlignment="1" applyProtection="1">
      <alignment horizontal="center"/>
    </xf>
    <xf numFmtId="164" fontId="10" fillId="0" borderId="24" xfId="0" applyNumberFormat="1" applyFont="1" applyFill="1" applyBorder="1" applyAlignment="1">
      <alignment horizontal="right"/>
    </xf>
    <xf numFmtId="43" fontId="10" fillId="0" borderId="43" xfId="914" applyFont="1" applyFill="1" applyBorder="1" applyAlignment="1"/>
    <xf numFmtId="0" fontId="9" fillId="0" borderId="24" xfId="1288" applyFont="1" applyFill="1" applyBorder="1" applyAlignment="1">
      <alignment horizontal="right"/>
    </xf>
    <xf numFmtId="2" fontId="9" fillId="0" borderId="24" xfId="0" applyNumberFormat="1" applyFont="1" applyFill="1" applyBorder="1" applyAlignment="1">
      <alignment horizontal="center" vertical="top"/>
    </xf>
    <xf numFmtId="0" fontId="9" fillId="0" borderId="24" xfId="1299" applyFont="1" applyFill="1" applyBorder="1" applyAlignment="1" applyProtection="1">
      <alignment horizontal="center"/>
    </xf>
    <xf numFmtId="0" fontId="10" fillId="0" borderId="24" xfId="0" applyFont="1" applyFill="1" applyBorder="1" applyAlignment="1">
      <alignment horizontal="right"/>
    </xf>
    <xf numFmtId="164" fontId="10" fillId="0" borderId="43" xfId="0" applyNumberFormat="1" applyFont="1" applyFill="1" applyBorder="1"/>
    <xf numFmtId="0" fontId="10" fillId="0" borderId="45" xfId="0" applyFont="1" applyFill="1" applyBorder="1" applyAlignment="1"/>
    <xf numFmtId="43" fontId="149" fillId="0" borderId="45" xfId="914" applyFont="1" applyFill="1" applyBorder="1" applyAlignment="1">
      <alignment horizontal="right"/>
    </xf>
    <xf numFmtId="164" fontId="149" fillId="0" borderId="46" xfId="0" applyNumberFormat="1" applyFont="1" applyFill="1" applyBorder="1" applyAlignment="1">
      <alignment horizontal="right"/>
    </xf>
    <xf numFmtId="0" fontId="9" fillId="0" borderId="25" xfId="1299" applyFont="1" applyFill="1" applyBorder="1"/>
    <xf numFmtId="0" fontId="10" fillId="0" borderId="40" xfId="1047" applyFont="1" applyFill="1" applyBorder="1"/>
    <xf numFmtId="0" fontId="9" fillId="0" borderId="24" xfId="1047" applyFont="1" applyFill="1" applyBorder="1"/>
    <xf numFmtId="183" fontId="9" fillId="0" borderId="24" xfId="1047" applyNumberFormat="1" applyFont="1" applyFill="1" applyBorder="1" applyAlignment="1" applyProtection="1">
      <alignment horizontal="right"/>
    </xf>
    <xf numFmtId="173" fontId="9" fillId="0" borderId="24" xfId="434" applyNumberFormat="1" applyFont="1" applyFill="1" applyBorder="1" applyAlignment="1">
      <alignment horizontal="right"/>
    </xf>
    <xf numFmtId="43" fontId="9" fillId="0" borderId="24" xfId="914" applyFont="1" applyFill="1" applyBorder="1"/>
    <xf numFmtId="43" fontId="10" fillId="0" borderId="24" xfId="914" applyFont="1" applyFill="1" applyBorder="1" applyAlignment="1">
      <alignment horizontal="right"/>
    </xf>
    <xf numFmtId="0" fontId="9" fillId="0" borderId="24" xfId="1299" applyFont="1" applyFill="1" applyBorder="1" applyAlignment="1">
      <alignment horizontal="right"/>
    </xf>
    <xf numFmtId="175" fontId="9" fillId="0" borderId="24" xfId="1047" applyNumberFormat="1" applyFont="1" applyFill="1" applyBorder="1"/>
    <xf numFmtId="43" fontId="9" fillId="0" borderId="24" xfId="914" applyFont="1" applyFill="1" applyBorder="1" applyAlignment="1"/>
    <xf numFmtId="164" fontId="10" fillId="0" borderId="43" xfId="1047" applyNumberFormat="1" applyFont="1" applyFill="1" applyBorder="1" applyAlignment="1">
      <alignment horizontal="right"/>
    </xf>
    <xf numFmtId="0" fontId="9" fillId="0" borderId="45" xfId="1299" applyFont="1" applyFill="1" applyBorder="1" applyAlignment="1">
      <alignment horizontal="right"/>
    </xf>
    <xf numFmtId="180" fontId="9" fillId="0" borderId="45" xfId="1047" applyNumberFormat="1" applyFont="1" applyFill="1" applyBorder="1"/>
    <xf numFmtId="43" fontId="9" fillId="0" borderId="45" xfId="914" applyFont="1" applyFill="1" applyBorder="1" applyAlignment="1"/>
    <xf numFmtId="43" fontId="10" fillId="0" borderId="45" xfId="914" applyFont="1" applyFill="1" applyBorder="1" applyAlignment="1">
      <alignment horizontal="right"/>
    </xf>
    <xf numFmtId="164" fontId="10" fillId="0" borderId="46" xfId="1047" applyNumberFormat="1" applyFont="1" applyFill="1" applyBorder="1" applyAlignment="1">
      <alignment horizontal="right"/>
    </xf>
    <xf numFmtId="0" fontId="10" fillId="0" borderId="87" xfId="0" quotePrefix="1" applyFont="1" applyFill="1" applyBorder="1" applyAlignment="1" applyProtection="1">
      <alignment horizontal="left" vertical="center"/>
    </xf>
    <xf numFmtId="0" fontId="9" fillId="0" borderId="87" xfId="0" applyFont="1" applyFill="1" applyBorder="1" applyAlignment="1">
      <alignment horizontal="right" vertical="center"/>
    </xf>
    <xf numFmtId="0" fontId="9" fillId="0" borderId="87" xfId="0" applyFont="1" applyFill="1" applyBorder="1" applyAlignment="1">
      <alignment horizontal="center" vertical="center"/>
    </xf>
    <xf numFmtId="0" fontId="9" fillId="0" borderId="88" xfId="0" applyFont="1" applyFill="1" applyBorder="1" applyAlignment="1">
      <alignment horizontal="right" vertical="center"/>
    </xf>
    <xf numFmtId="4" fontId="9" fillId="0" borderId="110" xfId="0" applyNumberFormat="1" applyFont="1" applyFill="1" applyBorder="1" applyAlignment="1" applyProtection="1">
      <alignment horizontal="right" vertical="center"/>
    </xf>
    <xf numFmtId="4" fontId="9" fillId="0" borderId="77" xfId="0" applyNumberFormat="1" applyFont="1" applyFill="1" applyBorder="1" applyAlignment="1" applyProtection="1">
      <alignment horizontal="right" vertical="center"/>
      <protection locked="0"/>
    </xf>
    <xf numFmtId="0" fontId="9" fillId="0" borderId="85" xfId="0" applyFont="1" applyFill="1" applyBorder="1" applyAlignment="1">
      <alignment vertical="center"/>
    </xf>
    <xf numFmtId="0" fontId="9" fillId="0" borderId="85" xfId="0" applyFont="1" applyFill="1" applyBorder="1" applyAlignment="1">
      <alignment horizontal="right" vertical="center"/>
    </xf>
    <xf numFmtId="0" fontId="9" fillId="0" borderId="85" xfId="0" applyFont="1" applyFill="1" applyBorder="1" applyAlignment="1">
      <alignment horizontal="center" vertical="center"/>
    </xf>
    <xf numFmtId="39" fontId="10" fillId="0" borderId="85" xfId="0" applyNumberFormat="1" applyFont="1" applyFill="1" applyBorder="1" applyAlignment="1" applyProtection="1">
      <alignment horizontal="right" vertical="center"/>
    </xf>
    <xf numFmtId="0" fontId="10" fillId="0" borderId="140" xfId="0" quotePrefix="1" applyFont="1" applyFill="1" applyBorder="1" applyAlignment="1">
      <alignment horizontal="left" vertical="center"/>
    </xf>
    <xf numFmtId="0" fontId="9" fillId="0" borderId="0" xfId="1293" applyFont="1" applyFill="1" applyBorder="1"/>
    <xf numFmtId="4" fontId="9" fillId="0" borderId="0" xfId="1293" applyNumberFormat="1" applyFont="1" applyFill="1" applyBorder="1"/>
    <xf numFmtId="4" fontId="9" fillId="0" borderId="0" xfId="1293" applyNumberFormat="1" applyFont="1" applyFill="1" applyBorder="1" applyAlignment="1">
      <alignment horizontal="center"/>
    </xf>
    <xf numFmtId="4" fontId="10" fillId="0" borderId="0" xfId="1293" applyNumberFormat="1" applyFont="1" applyFill="1" applyBorder="1" applyAlignment="1">
      <alignment horizontal="right"/>
    </xf>
    <xf numFmtId="0" fontId="10" fillId="0" borderId="0" xfId="1293" applyFont="1" applyFill="1"/>
    <xf numFmtId="4" fontId="9" fillId="0" borderId="0" xfId="1293" applyNumberFormat="1" applyFont="1" applyFill="1"/>
    <xf numFmtId="0" fontId="9" fillId="0" borderId="39" xfId="1293" applyFont="1" applyFill="1" applyBorder="1"/>
    <xf numFmtId="4" fontId="9" fillId="0" borderId="40" xfId="1293" applyNumberFormat="1" applyFont="1" applyFill="1" applyBorder="1"/>
    <xf numFmtId="4" fontId="9" fillId="0" borderId="40" xfId="1293" applyNumberFormat="1" applyFont="1" applyFill="1" applyBorder="1" applyAlignment="1">
      <alignment horizontal="centerContinuous"/>
    </xf>
    <xf numFmtId="4" fontId="9" fillId="0" borderId="73" xfId="1293" applyNumberFormat="1" applyFont="1" applyFill="1" applyBorder="1"/>
    <xf numFmtId="4" fontId="9" fillId="0" borderId="41" xfId="1293" applyNumberFormat="1" applyFont="1" applyFill="1" applyBorder="1"/>
    <xf numFmtId="0" fontId="9" fillId="0" borderId="42" xfId="1293" applyFont="1" applyFill="1" applyBorder="1"/>
    <xf numFmtId="4" fontId="9" fillId="0" borderId="24" xfId="1293" applyNumberFormat="1" applyFont="1" applyFill="1" applyBorder="1"/>
    <xf numFmtId="4" fontId="9" fillId="0" borderId="24" xfId="1293" applyNumberFormat="1" applyFont="1" applyFill="1" applyBorder="1" applyAlignment="1">
      <alignment horizontal="centerContinuous"/>
    </xf>
    <xf numFmtId="4" fontId="9" fillId="0" borderId="43" xfId="1293" applyNumberFormat="1" applyFont="1" applyFill="1" applyBorder="1"/>
    <xf numFmtId="4" fontId="9" fillId="0" borderId="24" xfId="1293" applyNumberFormat="1" applyFont="1" applyFill="1" applyBorder="1" applyAlignment="1">
      <alignment horizontal="center"/>
    </xf>
    <xf numFmtId="4" fontId="137" fillId="0" borderId="24" xfId="1293" applyNumberFormat="1" applyFont="1" applyFill="1" applyBorder="1"/>
    <xf numFmtId="0" fontId="9" fillId="0" borderId="44" xfId="1293" applyFont="1" applyFill="1" applyBorder="1"/>
    <xf numFmtId="4" fontId="9" fillId="0" borderId="45" xfId="1293" applyNumberFormat="1" applyFont="1" applyFill="1" applyBorder="1"/>
    <xf numFmtId="4" fontId="10" fillId="0" borderId="45" xfId="1293" applyNumberFormat="1" applyFont="1" applyFill="1" applyBorder="1" applyAlignment="1">
      <alignment horizontal="right"/>
    </xf>
    <xf numFmtId="4" fontId="10" fillId="0" borderId="46" xfId="1293" applyNumberFormat="1" applyFont="1" applyFill="1" applyBorder="1" applyAlignment="1">
      <alignment horizontal="right"/>
    </xf>
    <xf numFmtId="0" fontId="10" fillId="0" borderId="0" xfId="1293" applyFont="1" applyFill="1" applyAlignment="1"/>
    <xf numFmtId="4" fontId="10" fillId="0" borderId="0" xfId="1293" applyNumberFormat="1" applyFont="1" applyFill="1" applyAlignment="1">
      <alignment horizontal="centerContinuous"/>
    </xf>
    <xf numFmtId="0" fontId="9" fillId="0" borderId="0" xfId="1278" applyFont="1" applyFill="1" applyBorder="1"/>
    <xf numFmtId="4" fontId="9" fillId="0" borderId="0" xfId="1278" applyNumberFormat="1" applyFont="1" applyFill="1" applyBorder="1"/>
    <xf numFmtId="4" fontId="10" fillId="0" borderId="0" xfId="1278" applyNumberFormat="1" applyFont="1" applyFill="1" applyBorder="1" applyAlignment="1">
      <alignment horizontal="right"/>
    </xf>
    <xf numFmtId="4" fontId="10" fillId="0" borderId="0" xfId="1278" applyNumberFormat="1" applyFont="1" applyFill="1" applyBorder="1"/>
    <xf numFmtId="0" fontId="10" fillId="0" borderId="0" xfId="1278" applyFont="1" applyFill="1" applyBorder="1" applyAlignment="1">
      <alignment horizontal="left"/>
    </xf>
    <xf numFmtId="4" fontId="10" fillId="0" borderId="0" xfId="1278" applyNumberFormat="1" applyFont="1" applyFill="1" applyBorder="1" applyAlignment="1">
      <alignment horizontal="center"/>
    </xf>
    <xf numFmtId="4" fontId="10" fillId="0" borderId="0" xfId="1278" applyNumberFormat="1" applyFont="1" applyFill="1" applyBorder="1" applyAlignment="1"/>
    <xf numFmtId="0" fontId="9" fillId="0" borderId="0" xfId="0" applyFont="1" applyFill="1" applyBorder="1" applyAlignment="1">
      <alignment horizontal="left"/>
    </xf>
    <xf numFmtId="4" fontId="9" fillId="0" borderId="0" xfId="921" applyNumberFormat="1" applyFont="1" applyFill="1" applyBorder="1"/>
    <xf numFmtId="4" fontId="9" fillId="0" borderId="0" xfId="921" applyNumberFormat="1" applyFont="1" applyFill="1" applyBorder="1" applyAlignment="1">
      <alignment horizontal="centerContinuous"/>
    </xf>
    <xf numFmtId="0" fontId="10" fillId="0" borderId="0" xfId="1293" applyFont="1" applyFill="1" applyBorder="1"/>
    <xf numFmtId="173" fontId="9" fillId="0" borderId="24" xfId="1480" applyFont="1" applyFill="1" applyBorder="1" applyAlignment="1">
      <alignment horizontal="center" vertical="top"/>
    </xf>
    <xf numFmtId="238" fontId="9" fillId="0" borderId="24" xfId="1480" applyNumberFormat="1" applyFont="1" applyFill="1" applyBorder="1" applyAlignment="1">
      <alignment horizontal="center" vertical="top"/>
    </xf>
    <xf numFmtId="0" fontId="14" fillId="0" borderId="40" xfId="0" applyFont="1" applyFill="1" applyBorder="1" applyAlignment="1">
      <alignment horizontal="center"/>
    </xf>
    <xf numFmtId="4" fontId="9" fillId="0" borderId="19" xfId="0" applyNumberFormat="1" applyFont="1" applyFill="1" applyBorder="1"/>
    <xf numFmtId="235" fontId="9" fillId="0" borderId="0" xfId="1293" applyNumberFormat="1" applyFont="1" applyFill="1" applyBorder="1" applyAlignment="1">
      <alignment horizontal="left"/>
    </xf>
    <xf numFmtId="4" fontId="14" fillId="0" borderId="41" xfId="924" applyNumberFormat="1" applyFont="1" applyFill="1" applyBorder="1"/>
    <xf numFmtId="4" fontId="14" fillId="0" borderId="52" xfId="924" applyNumberFormat="1" applyFont="1" applyFill="1" applyBorder="1"/>
    <xf numFmtId="171" fontId="9" fillId="0" borderId="43" xfId="740" applyNumberFormat="1" applyFont="1" applyFill="1" applyBorder="1" applyAlignment="1">
      <alignment vertical="top"/>
    </xf>
    <xf numFmtId="182" fontId="9" fillId="0" borderId="43" xfId="740" applyNumberFormat="1" applyFont="1" applyFill="1" applyBorder="1" applyAlignment="1">
      <alignment vertical="top" wrapText="1"/>
    </xf>
    <xf numFmtId="182" fontId="10" fillId="0" borderId="43" xfId="740" applyNumberFormat="1" applyFont="1" applyFill="1" applyBorder="1" applyAlignment="1">
      <alignment vertical="top" wrapText="1"/>
    </xf>
    <xf numFmtId="4" fontId="15" fillId="0" borderId="43" xfId="924" applyNumberFormat="1" applyFont="1" applyFill="1" applyBorder="1"/>
    <xf numFmtId="4" fontId="27" fillId="0" borderId="46" xfId="924" applyNumberFormat="1" applyFont="1" applyFill="1" applyBorder="1" applyAlignment="1">
      <alignment horizontal="right"/>
    </xf>
    <xf numFmtId="4" fontId="27" fillId="0" borderId="0" xfId="924" applyNumberFormat="1" applyFont="1" applyFill="1" applyBorder="1" applyAlignment="1">
      <alignment horizontal="right"/>
    </xf>
    <xf numFmtId="173" fontId="15" fillId="0" borderId="0" xfId="924" applyFont="1" applyFill="1" applyBorder="1" applyAlignment="1">
      <alignment horizontal="right" vertical="top"/>
    </xf>
    <xf numFmtId="173" fontId="15" fillId="0" borderId="43" xfId="924" applyFont="1" applyFill="1" applyBorder="1" applyAlignment="1">
      <alignment horizontal="right" vertical="top"/>
    </xf>
    <xf numFmtId="4" fontId="15" fillId="0" borderId="0" xfId="924" applyNumberFormat="1" applyFont="1" applyFill="1" applyBorder="1" applyAlignment="1">
      <alignment horizontal="right"/>
    </xf>
    <xf numFmtId="173" fontId="15" fillId="0" borderId="0" xfId="924" applyFont="1" applyFill="1" applyBorder="1" applyAlignment="1" applyProtection="1">
      <alignment horizontal="right" vertical="center"/>
      <protection locked="0"/>
    </xf>
    <xf numFmtId="173" fontId="14" fillId="0" borderId="0" xfId="924" applyFont="1" applyFill="1" applyBorder="1" applyAlignment="1" applyProtection="1">
      <alignment horizontal="right" vertical="center"/>
      <protection locked="0"/>
    </xf>
    <xf numFmtId="4" fontId="14" fillId="0" borderId="41" xfId="924" applyNumberFormat="1" applyFont="1" applyFill="1" applyBorder="1" applyAlignment="1" applyProtection="1">
      <alignment horizontal="right" vertical="center"/>
      <protection locked="0"/>
    </xf>
    <xf numFmtId="4" fontId="14" fillId="0" borderId="43" xfId="924" applyNumberFormat="1" applyFont="1" applyFill="1" applyBorder="1" applyAlignment="1" applyProtection="1">
      <alignment horizontal="right" vertical="center"/>
      <protection locked="0"/>
    </xf>
    <xf numFmtId="4" fontId="14" fillId="0" borderId="41" xfId="1301" applyNumberFormat="1" applyFont="1" applyFill="1" applyBorder="1" applyAlignment="1" applyProtection="1">
      <alignment horizontal="right" vertical="center"/>
      <protection locked="0"/>
    </xf>
    <xf numFmtId="4" fontId="14" fillId="0" borderId="43" xfId="1301" applyNumberFormat="1" applyFont="1" applyFill="1" applyBorder="1" applyAlignment="1" applyProtection="1">
      <alignment horizontal="right" vertical="center"/>
      <protection locked="0"/>
    </xf>
    <xf numFmtId="195" fontId="14" fillId="0" borderId="0" xfId="1301" applyNumberFormat="1" applyFont="1" applyFill="1" applyBorder="1" applyAlignment="1" applyProtection="1">
      <alignment horizontal="right" vertical="center"/>
      <protection locked="0"/>
    </xf>
    <xf numFmtId="4" fontId="10" fillId="0" borderId="46" xfId="0" applyNumberFormat="1" applyFont="1" applyFill="1" applyBorder="1" applyAlignment="1" applyProtection="1">
      <alignment horizontal="right" vertical="center"/>
      <protection locked="0"/>
    </xf>
    <xf numFmtId="39" fontId="10" fillId="0" borderId="46" xfId="0" applyNumberFormat="1" applyFont="1" applyFill="1" applyBorder="1" applyAlignment="1"/>
    <xf numFmtId="39" fontId="10" fillId="0" borderId="43" xfId="0" applyNumberFormat="1" applyFont="1" applyFill="1" applyBorder="1" applyAlignment="1">
      <alignment wrapText="1"/>
    </xf>
    <xf numFmtId="4" fontId="10" fillId="0" borderId="46" xfId="0" applyNumberFormat="1" applyFont="1" applyFill="1" applyBorder="1"/>
    <xf numFmtId="4" fontId="15" fillId="0" borderId="46" xfId="924" applyNumberFormat="1" applyFont="1" applyFill="1" applyBorder="1" applyAlignment="1">
      <alignment horizontal="right"/>
    </xf>
    <xf numFmtId="173" fontId="15" fillId="0" borderId="0" xfId="924" applyFont="1" applyFill="1" applyAlignment="1">
      <alignment horizontal="left"/>
    </xf>
    <xf numFmtId="4" fontId="27" fillId="0" borderId="43" xfId="924" applyNumberFormat="1" applyFont="1" applyFill="1" applyBorder="1" applyAlignment="1">
      <alignment horizontal="right"/>
    </xf>
    <xf numFmtId="4" fontId="15" fillId="0" borderId="43" xfId="924" applyNumberFormat="1" applyFont="1" applyFill="1" applyBorder="1" applyAlignment="1">
      <alignment horizontal="right"/>
    </xf>
    <xf numFmtId="4" fontId="27" fillId="0" borderId="52" xfId="924" applyNumberFormat="1" applyFont="1" applyFill="1" applyBorder="1" applyAlignment="1">
      <alignment horizontal="right"/>
    </xf>
    <xf numFmtId="4" fontId="15" fillId="0" borderId="0" xfId="924" applyNumberFormat="1" applyFont="1" applyFill="1" applyBorder="1"/>
    <xf numFmtId="4" fontId="10" fillId="0" borderId="0" xfId="0" applyNumberFormat="1" applyFont="1" applyFill="1" applyBorder="1" applyAlignment="1">
      <alignment horizontal="right"/>
    </xf>
    <xf numFmtId="4" fontId="9" fillId="0" borderId="65" xfId="0" applyNumberFormat="1" applyFont="1" applyFill="1" applyBorder="1"/>
    <xf numFmtId="4" fontId="10" fillId="0" borderId="46" xfId="0" applyNumberFormat="1" applyFont="1" applyFill="1" applyBorder="1" applyAlignment="1">
      <alignment horizontal="right"/>
    </xf>
    <xf numFmtId="4" fontId="9" fillId="0" borderId="129" xfId="0" applyNumberFormat="1" applyFont="1" applyFill="1" applyBorder="1"/>
    <xf numFmtId="4" fontId="27" fillId="0" borderId="41" xfId="0" applyNumberFormat="1" applyFont="1" applyFill="1" applyBorder="1"/>
    <xf numFmtId="4" fontId="27" fillId="0" borderId="52" xfId="0" applyNumberFormat="1" applyFont="1" applyFill="1" applyBorder="1"/>
    <xf numFmtId="4" fontId="27" fillId="0" borderId="46" xfId="0" applyNumberFormat="1" applyFont="1" applyFill="1" applyBorder="1"/>
    <xf numFmtId="4" fontId="10" fillId="0" borderId="77" xfId="1080" applyNumberFormat="1" applyFont="1" applyFill="1" applyBorder="1"/>
    <xf numFmtId="0" fontId="9" fillId="0" borderId="77" xfId="1138" applyFont="1" applyFill="1" applyBorder="1"/>
    <xf numFmtId="4" fontId="10" fillId="0" borderId="23" xfId="1080" applyNumberFormat="1" applyFont="1" applyFill="1" applyBorder="1"/>
    <xf numFmtId="173" fontId="10" fillId="0" borderId="130" xfId="1480" applyFont="1" applyFill="1" applyBorder="1" applyAlignment="1">
      <alignment horizontal="right" vertical="top"/>
    </xf>
    <xf numFmtId="4" fontId="9" fillId="0" borderId="43" xfId="1480" applyNumberFormat="1" applyFont="1" applyFill="1" applyBorder="1" applyAlignment="1">
      <alignment vertical="top" wrapText="1"/>
    </xf>
    <xf numFmtId="4" fontId="10" fillId="0" borderId="46" xfId="1480" applyNumberFormat="1" applyFont="1" applyFill="1" applyBorder="1" applyAlignment="1">
      <alignment vertical="top" wrapText="1"/>
    </xf>
    <xf numFmtId="4" fontId="10" fillId="0" borderId="0" xfId="1480" applyNumberFormat="1" applyFont="1" applyFill="1" applyBorder="1" applyAlignment="1">
      <alignment vertical="top" wrapText="1"/>
    </xf>
    <xf numFmtId="173" fontId="10" fillId="0" borderId="41" xfId="1480" applyFont="1" applyFill="1" applyBorder="1" applyAlignment="1">
      <alignment horizontal="right" vertical="top"/>
    </xf>
    <xf numFmtId="39" fontId="15" fillId="0" borderId="0" xfId="0" applyNumberFormat="1" applyFont="1" applyFill="1" applyBorder="1" applyAlignment="1">
      <alignment horizontal="right"/>
    </xf>
    <xf numFmtId="4" fontId="14" fillId="0" borderId="41" xfId="0" applyNumberFormat="1" applyFont="1" applyFill="1" applyBorder="1" applyAlignment="1">
      <alignment horizontal="right"/>
    </xf>
    <xf numFmtId="4" fontId="14" fillId="0" borderId="43" xfId="0" applyNumberFormat="1" applyFont="1" applyFill="1" applyBorder="1" applyAlignment="1">
      <alignment horizontal="right"/>
    </xf>
    <xf numFmtId="4" fontId="15" fillId="0" borderId="46" xfId="0" applyNumberFormat="1" applyFont="1" applyFill="1" applyBorder="1" applyAlignment="1">
      <alignment horizontal="right"/>
    </xf>
    <xf numFmtId="0" fontId="14" fillId="0" borderId="0" xfId="1484" applyFont="1" applyFill="1"/>
    <xf numFmtId="0" fontId="27" fillId="0" borderId="0" xfId="1297" applyFont="1" applyFill="1" applyBorder="1" applyAlignment="1">
      <alignment vertical="center"/>
    </xf>
    <xf numFmtId="0" fontId="15" fillId="0" borderId="0" xfId="1297" applyFont="1" applyFill="1" applyBorder="1" applyAlignment="1" applyProtection="1">
      <alignment horizontal="left" vertical="center"/>
    </xf>
    <xf numFmtId="0" fontId="15" fillId="0" borderId="0" xfId="1297" quotePrefix="1" applyFont="1" applyFill="1" applyBorder="1" applyAlignment="1">
      <alignment horizontal="left" vertical="center"/>
    </xf>
    <xf numFmtId="0" fontId="14" fillId="0" borderId="39" xfId="1297" applyFont="1" applyFill="1" applyBorder="1" applyAlignment="1">
      <alignment vertical="center"/>
    </xf>
    <xf numFmtId="0" fontId="14" fillId="0" borderId="125" xfId="1297" quotePrefix="1" applyFont="1" applyFill="1" applyBorder="1" applyAlignment="1">
      <alignment horizontal="left" vertical="center"/>
    </xf>
    <xf numFmtId="4" fontId="14" fillId="0" borderId="40" xfId="924" applyNumberFormat="1" applyFont="1" applyFill="1" applyBorder="1" applyAlignment="1">
      <alignment horizontal="right" vertical="center"/>
    </xf>
    <xf numFmtId="0" fontId="14" fillId="0" borderId="42" xfId="1297" applyFont="1" applyFill="1" applyBorder="1" applyAlignment="1">
      <alignment vertical="center"/>
    </xf>
    <xf numFmtId="0" fontId="14" fillId="0" borderId="50" xfId="1297" quotePrefix="1" applyFont="1" applyFill="1" applyBorder="1" applyAlignment="1">
      <alignment horizontal="left" vertical="center"/>
    </xf>
    <xf numFmtId="4" fontId="14" fillId="0" borderId="24" xfId="924" applyNumberFormat="1" applyFont="1" applyFill="1" applyBorder="1" applyAlignment="1">
      <alignment horizontal="right" vertical="center"/>
    </xf>
    <xf numFmtId="0" fontId="14" fillId="0" borderId="50" xfId="1297" applyFont="1" applyFill="1" applyBorder="1" applyAlignment="1">
      <alignment horizontal="left" vertical="center"/>
    </xf>
    <xf numFmtId="0" fontId="15" fillId="0" borderId="42" xfId="1297" applyFont="1" applyFill="1" applyBorder="1" applyAlignment="1">
      <alignment vertical="center"/>
    </xf>
    <xf numFmtId="4" fontId="15" fillId="0" borderId="0" xfId="1481" applyNumberFormat="1" applyFont="1" applyFill="1" applyBorder="1" applyAlignment="1" applyProtection="1">
      <alignment horizontal="right" vertical="center"/>
    </xf>
    <xf numFmtId="0" fontId="14" fillId="0" borderId="50" xfId="1297" applyFont="1" applyFill="1" applyBorder="1" applyAlignment="1" applyProtection="1">
      <alignment horizontal="left" vertical="center"/>
    </xf>
    <xf numFmtId="0" fontId="14" fillId="0" borderId="71" xfId="1297" quotePrefix="1" applyFont="1" applyFill="1" applyBorder="1" applyAlignment="1">
      <alignment horizontal="left" vertical="center"/>
    </xf>
    <xf numFmtId="0" fontId="14" fillId="0" borderId="45" xfId="1297" applyFont="1" applyFill="1" applyBorder="1" applyAlignment="1" applyProtection="1">
      <alignment horizontal="center" vertical="center"/>
    </xf>
    <xf numFmtId="173" fontId="15" fillId="0" borderId="45" xfId="924" applyFont="1" applyFill="1" applyBorder="1" applyAlignment="1" applyProtection="1">
      <alignment horizontal="right" vertical="center"/>
    </xf>
    <xf numFmtId="173" fontId="15" fillId="0" borderId="46" xfId="924" applyFont="1" applyFill="1" applyBorder="1" applyAlignment="1" applyProtection="1">
      <alignment horizontal="right" vertical="center"/>
    </xf>
    <xf numFmtId="0" fontId="14" fillId="0" borderId="0" xfId="1297" quotePrefix="1" applyFont="1" applyFill="1" applyBorder="1" applyAlignment="1">
      <alignment horizontal="left" vertical="center"/>
    </xf>
    <xf numFmtId="0" fontId="14" fillId="0" borderId="0" xfId="1297" applyFont="1" applyFill="1" applyBorder="1" applyAlignment="1" applyProtection="1">
      <alignment horizontal="center" vertical="center"/>
    </xf>
    <xf numFmtId="173" fontId="15" fillId="0" borderId="0" xfId="924" applyFont="1" applyFill="1" applyBorder="1" applyAlignment="1" applyProtection="1">
      <alignment horizontal="right" vertical="center"/>
    </xf>
    <xf numFmtId="0" fontId="14" fillId="0" borderId="24" xfId="1297" quotePrefix="1" applyFont="1" applyFill="1" applyBorder="1" applyAlignment="1" applyProtection="1">
      <alignment horizontal="center" vertical="center"/>
    </xf>
    <xf numFmtId="0" fontId="14" fillId="0" borderId="50" xfId="1297" applyFont="1" applyFill="1" applyBorder="1" applyAlignment="1">
      <alignment vertical="center"/>
    </xf>
    <xf numFmtId="4" fontId="14" fillId="0" borderId="0" xfId="1481" applyNumberFormat="1" applyFont="1" applyFill="1" applyBorder="1" applyAlignment="1" applyProtection="1">
      <alignment horizontal="right" vertical="center"/>
    </xf>
    <xf numFmtId="0" fontId="15" fillId="0" borderId="24" xfId="1278" applyFont="1" applyFill="1" applyBorder="1"/>
    <xf numFmtId="43" fontId="9" fillId="0" borderId="0" xfId="1485" applyFont="1" applyFill="1" applyBorder="1"/>
    <xf numFmtId="0" fontId="9" fillId="0" borderId="75" xfId="1293" applyFont="1" applyFill="1" applyBorder="1"/>
    <xf numFmtId="43" fontId="9" fillId="0" borderId="73" xfId="1485" applyFont="1" applyFill="1" applyBorder="1"/>
    <xf numFmtId="39" fontId="9" fillId="0" borderId="73" xfId="1293" applyNumberFormat="1" applyFont="1" applyFill="1" applyBorder="1" applyAlignment="1">
      <alignment horizontal="centerContinuous"/>
    </xf>
    <xf numFmtId="173" fontId="9" fillId="0" borderId="73" xfId="462" applyNumberFormat="1" applyFont="1" applyFill="1" applyBorder="1" applyAlignment="1">
      <alignment horizontal="right"/>
    </xf>
    <xf numFmtId="173" fontId="9" fillId="0" borderId="65" xfId="1486" applyFont="1" applyFill="1" applyBorder="1"/>
    <xf numFmtId="43" fontId="9" fillId="0" borderId="24" xfId="1485" applyFont="1" applyFill="1" applyBorder="1"/>
    <xf numFmtId="39" fontId="9" fillId="0" borderId="24" xfId="1293" applyNumberFormat="1" applyFont="1" applyFill="1" applyBorder="1" applyAlignment="1">
      <alignment horizontal="centerContinuous"/>
    </xf>
    <xf numFmtId="173" fontId="9" fillId="0" borderId="24" xfId="462" applyNumberFormat="1" applyFont="1" applyFill="1" applyBorder="1" applyAlignment="1">
      <alignment horizontal="right"/>
    </xf>
    <xf numFmtId="43" fontId="9" fillId="0" borderId="45" xfId="1485" applyFont="1" applyFill="1" applyBorder="1"/>
    <xf numFmtId="39" fontId="9" fillId="0" borderId="45" xfId="1293" applyNumberFormat="1" applyFont="1" applyFill="1" applyBorder="1" applyAlignment="1">
      <alignment horizontal="centerContinuous"/>
    </xf>
    <xf numFmtId="39" fontId="10" fillId="0" borderId="45" xfId="1293" quotePrefix="1" applyNumberFormat="1" applyFont="1" applyFill="1" applyBorder="1" applyAlignment="1">
      <alignment horizontal="right"/>
    </xf>
    <xf numFmtId="0" fontId="14" fillId="0" borderId="126" xfId="1297" applyFont="1" applyFill="1" applyBorder="1" applyAlignment="1">
      <alignment vertical="center"/>
    </xf>
    <xf numFmtId="173" fontId="14" fillId="0" borderId="20" xfId="924" applyFont="1" applyFill="1" applyBorder="1" applyAlignment="1">
      <alignment horizontal="right" vertical="center"/>
    </xf>
    <xf numFmtId="0" fontId="14" fillId="0" borderId="20" xfId="1297" applyFont="1" applyFill="1" applyBorder="1" applyAlignment="1">
      <alignment horizontal="center" vertical="center"/>
    </xf>
    <xf numFmtId="173" fontId="15" fillId="0" borderId="20" xfId="924" applyFont="1" applyFill="1" applyBorder="1" applyAlignment="1" applyProtection="1">
      <alignment horizontal="right" vertical="center"/>
    </xf>
    <xf numFmtId="173" fontId="15" fillId="0" borderId="52" xfId="924" applyFont="1" applyFill="1" applyBorder="1" applyAlignment="1" applyProtection="1">
      <alignment horizontal="right" vertical="center"/>
    </xf>
    <xf numFmtId="0" fontId="147" fillId="0" borderId="0" xfId="0" applyFont="1" applyFill="1" applyBorder="1" applyAlignment="1">
      <alignment horizontal="left" vertical="top" wrapText="1"/>
    </xf>
    <xf numFmtId="0" fontId="9" fillId="0" borderId="40" xfId="1293" applyFont="1" applyFill="1" applyBorder="1"/>
    <xf numFmtId="0" fontId="9" fillId="0" borderId="40" xfId="1293" applyFont="1" applyFill="1" applyBorder="1" applyAlignment="1">
      <alignment horizontal="centerContinuous"/>
    </xf>
    <xf numFmtId="39" fontId="9" fillId="0" borderId="40" xfId="1293" applyNumberFormat="1" applyFont="1" applyFill="1" applyBorder="1"/>
    <xf numFmtId="39" fontId="9" fillId="0" borderId="41" xfId="1293" applyNumberFormat="1" applyFont="1" applyFill="1" applyBorder="1"/>
    <xf numFmtId="0" fontId="9" fillId="0" borderId="24" xfId="1293" applyFont="1" applyFill="1" applyBorder="1"/>
    <xf numFmtId="39" fontId="9" fillId="0" borderId="24" xfId="1293" applyNumberFormat="1" applyFont="1" applyFill="1" applyBorder="1"/>
    <xf numFmtId="39" fontId="9" fillId="0" borderId="43" xfId="1293" applyNumberFormat="1" applyFont="1" applyFill="1" applyBorder="1"/>
    <xf numFmtId="0" fontId="9" fillId="0" borderId="45" xfId="1293" applyFont="1" applyFill="1" applyBorder="1"/>
    <xf numFmtId="0" fontId="10" fillId="0" borderId="45" xfId="1293" applyFont="1" applyFill="1" applyBorder="1" applyAlignment="1">
      <alignment horizontal="right"/>
    </xf>
    <xf numFmtId="39" fontId="10" fillId="0" borderId="46" xfId="1293" applyNumberFormat="1" applyFont="1" applyFill="1" applyBorder="1" applyAlignment="1">
      <alignment horizontal="right"/>
    </xf>
    <xf numFmtId="2" fontId="9" fillId="0" borderId="24" xfId="1293" applyNumberFormat="1" applyFont="1" applyFill="1" applyBorder="1"/>
    <xf numFmtId="0" fontId="10" fillId="0" borderId="91" xfId="0" applyFont="1" applyFill="1" applyBorder="1" applyAlignment="1">
      <alignment wrapText="1"/>
    </xf>
    <xf numFmtId="0" fontId="10" fillId="0" borderId="92" xfId="0" applyFont="1" applyFill="1" applyBorder="1"/>
    <xf numFmtId="0" fontId="10" fillId="0" borderId="21" xfId="0" applyFont="1" applyFill="1" applyBorder="1"/>
    <xf numFmtId="0" fontId="10" fillId="0" borderId="74" xfId="0" quotePrefix="1" applyFont="1" applyFill="1" applyBorder="1" applyAlignment="1">
      <alignment horizontal="left"/>
    </xf>
    <xf numFmtId="0" fontId="9" fillId="0" borderId="47" xfId="1293" applyFont="1" applyFill="1" applyBorder="1"/>
    <xf numFmtId="0" fontId="10" fillId="0" borderId="19" xfId="0" quotePrefix="1" applyFont="1" applyFill="1" applyBorder="1" applyAlignment="1">
      <alignment horizontal="left"/>
    </xf>
    <xf numFmtId="0" fontId="15" fillId="0" borderId="0" xfId="1278" applyFont="1" applyFill="1" applyBorder="1"/>
    <xf numFmtId="2" fontId="14" fillId="0" borderId="0" xfId="1278" applyNumberFormat="1" applyFont="1" applyFill="1" applyBorder="1" applyAlignment="1">
      <alignment horizontal="center"/>
    </xf>
    <xf numFmtId="0" fontId="14" fillId="0" borderId="0" xfId="1278" applyFont="1" applyFill="1" applyBorder="1" applyAlignment="1">
      <alignment horizontal="center"/>
    </xf>
    <xf numFmtId="39" fontId="14" fillId="0" borderId="0" xfId="1278" applyNumberFormat="1" applyFont="1" applyFill="1" applyBorder="1" applyAlignment="1">
      <alignment horizontal="right"/>
    </xf>
    <xf numFmtId="2" fontId="14" fillId="0" borderId="78" xfId="1278" applyNumberFormat="1" applyFont="1" applyFill="1" applyBorder="1"/>
    <xf numFmtId="0" fontId="14" fillId="0" borderId="34" xfId="1293" applyFont="1" applyFill="1" applyBorder="1"/>
    <xf numFmtId="2" fontId="14" fillId="0" borderId="34" xfId="1278" applyNumberFormat="1" applyFont="1" applyFill="1" applyBorder="1" applyAlignment="1">
      <alignment horizontal="center"/>
    </xf>
    <xf numFmtId="0" fontId="14" fillId="0" borderId="34" xfId="1278" applyFont="1" applyFill="1" applyBorder="1" applyAlignment="1">
      <alignment horizontal="center"/>
    </xf>
    <xf numFmtId="39" fontId="14" fillId="0" borderId="34" xfId="1278" applyNumberFormat="1" applyFont="1" applyFill="1" applyBorder="1" applyAlignment="1">
      <alignment horizontal="right"/>
    </xf>
    <xf numFmtId="2" fontId="14" fillId="0" borderId="128" xfId="1278" applyNumberFormat="1" applyFont="1" applyFill="1" applyBorder="1"/>
    <xf numFmtId="39" fontId="14" fillId="0" borderId="24" xfId="1278" applyNumberFormat="1" applyFont="1" applyFill="1" applyBorder="1" applyAlignment="1">
      <alignment horizontal="center"/>
    </xf>
    <xf numFmtId="0" fontId="14" fillId="0" borderId="24" xfId="1278" applyFont="1" applyFill="1" applyBorder="1" applyAlignment="1">
      <alignment horizontal="center"/>
    </xf>
    <xf numFmtId="39" fontId="14" fillId="0" borderId="24" xfId="1278" applyNumberFormat="1" applyFont="1" applyFill="1" applyBorder="1" applyAlignment="1">
      <alignment horizontal="right"/>
    </xf>
    <xf numFmtId="0" fontId="14" fillId="0" borderId="24" xfId="1278" applyFont="1" applyFill="1" applyBorder="1"/>
    <xf numFmtId="0" fontId="14" fillId="0" borderId="20" xfId="1278" applyFont="1" applyFill="1" applyBorder="1"/>
    <xf numFmtId="39" fontId="14" fillId="0" borderId="20" xfId="1278" applyNumberFormat="1" applyFont="1" applyFill="1" applyBorder="1" applyAlignment="1">
      <alignment horizontal="center"/>
    </xf>
    <xf numFmtId="2" fontId="9" fillId="0" borderId="0" xfId="0" applyNumberFormat="1" applyFont="1" applyFill="1" applyBorder="1" applyAlignment="1"/>
    <xf numFmtId="0" fontId="9" fillId="0" borderId="110" xfId="0" applyFont="1" applyFill="1" applyBorder="1" applyAlignment="1">
      <alignment horizontal="center"/>
    </xf>
    <xf numFmtId="0" fontId="10" fillId="0" borderId="0" xfId="0" applyFont="1" applyFill="1" applyAlignment="1">
      <alignment horizontal="right"/>
    </xf>
    <xf numFmtId="4" fontId="10" fillId="0" borderId="24" xfId="0" applyNumberFormat="1" applyFont="1" applyFill="1" applyBorder="1"/>
    <xf numFmtId="173" fontId="148" fillId="0" borderId="24" xfId="924" applyFont="1" applyFill="1" applyBorder="1" applyAlignment="1">
      <alignment vertical="top"/>
    </xf>
    <xf numFmtId="4" fontId="9" fillId="0" borderId="24" xfId="0" applyNumberFormat="1" applyFont="1" applyFill="1" applyBorder="1" applyAlignment="1" applyProtection="1">
      <alignment horizontal="right" vertical="center"/>
      <protection locked="0"/>
    </xf>
    <xf numFmtId="4" fontId="9" fillId="0" borderId="0" xfId="0" applyNumberFormat="1" applyFont="1" applyFill="1" applyBorder="1"/>
    <xf numFmtId="0" fontId="15" fillId="0" borderId="20" xfId="1278" applyFont="1" applyFill="1" applyBorder="1"/>
    <xf numFmtId="173" fontId="15" fillId="0" borderId="0" xfId="924" applyFont="1" applyFill="1"/>
    <xf numFmtId="0" fontId="15" fillId="0" borderId="0" xfId="1293" applyFont="1" applyFill="1" applyAlignment="1">
      <alignment horizontal="center"/>
    </xf>
    <xf numFmtId="0" fontId="15" fillId="0" borderId="108" xfId="1278" applyFont="1" applyFill="1" applyBorder="1"/>
    <xf numFmtId="173" fontId="15" fillId="0" borderId="47" xfId="924" applyFont="1" applyFill="1" applyBorder="1"/>
    <xf numFmtId="0" fontId="27" fillId="0" borderId="0" xfId="1293" applyFont="1" applyFill="1" applyBorder="1"/>
    <xf numFmtId="49" fontId="14" fillId="0" borderId="0" xfId="1301" applyNumberFormat="1" applyFont="1" applyFill="1" applyBorder="1" applyAlignment="1" applyProtection="1">
      <alignment vertical="top" wrapText="1"/>
    </xf>
    <xf numFmtId="0" fontId="14" fillId="0" borderId="0" xfId="1293" applyFont="1" applyFill="1" applyBorder="1" applyAlignment="1"/>
    <xf numFmtId="49" fontId="15" fillId="0" borderId="0" xfId="0" applyNumberFormat="1" applyFont="1" applyFill="1" applyBorder="1" applyAlignment="1">
      <alignment horizontal="left" vertical="center" wrapText="1"/>
    </xf>
    <xf numFmtId="173" fontId="14" fillId="0" borderId="34" xfId="924" applyFont="1" applyFill="1" applyBorder="1"/>
    <xf numFmtId="0" fontId="14" fillId="0" borderId="78" xfId="1293" applyFont="1" applyFill="1" applyBorder="1"/>
    <xf numFmtId="0" fontId="9" fillId="0" borderId="24" xfId="0" applyFont="1" applyFill="1" applyBorder="1" applyAlignment="1">
      <alignment horizontal="right"/>
    </xf>
    <xf numFmtId="2" fontId="9" fillId="0" borderId="24" xfId="0" applyNumberFormat="1" applyFont="1" applyFill="1" applyBorder="1" applyAlignment="1">
      <alignment horizontal="right"/>
    </xf>
    <xf numFmtId="4" fontId="14" fillId="0" borderId="50" xfId="1293" applyNumberFormat="1" applyFont="1" applyFill="1" applyBorder="1"/>
    <xf numFmtId="0" fontId="9" fillId="0" borderId="24" xfId="0" applyNumberFormat="1" applyFont="1" applyFill="1" applyBorder="1" applyAlignment="1">
      <alignment horizontal="right"/>
    </xf>
    <xf numFmtId="165" fontId="14" fillId="0" borderId="0" xfId="1293" applyNumberFormat="1" applyFont="1" applyFill="1"/>
    <xf numFmtId="0" fontId="10" fillId="0" borderId="50" xfId="0" applyFont="1" applyFill="1" applyBorder="1" applyAlignment="1">
      <alignment horizontal="right"/>
    </xf>
    <xf numFmtId="0" fontId="10" fillId="0" borderId="24" xfId="0" applyFont="1" applyFill="1" applyBorder="1" applyAlignment="1">
      <alignment horizontal="center"/>
    </xf>
    <xf numFmtId="0" fontId="10" fillId="0" borderId="0" xfId="0" applyFont="1" applyFill="1" applyBorder="1" applyAlignment="1">
      <alignment horizontal="right"/>
    </xf>
    <xf numFmtId="0" fontId="10" fillId="0" borderId="0" xfId="0" applyFont="1" applyFill="1" applyBorder="1" applyAlignment="1">
      <alignment horizontal="center"/>
    </xf>
    <xf numFmtId="194" fontId="14" fillId="0" borderId="24" xfId="1293" applyNumberFormat="1" applyFont="1" applyFill="1" applyBorder="1"/>
    <xf numFmtId="171" fontId="14" fillId="0" borderId="24" xfId="1452" applyFont="1" applyFill="1" applyBorder="1"/>
    <xf numFmtId="194" fontId="14" fillId="0" borderId="24" xfId="1293" applyNumberFormat="1" applyFont="1" applyFill="1" applyBorder="1" applyAlignment="1">
      <alignment horizontal="right"/>
    </xf>
    <xf numFmtId="194" fontId="14" fillId="0" borderId="24" xfId="1293" applyNumberFormat="1" applyFont="1" applyFill="1" applyBorder="1" applyAlignment="1">
      <alignment horizontal="center"/>
    </xf>
    <xf numFmtId="0" fontId="141" fillId="0" borderId="0" xfId="0" applyFont="1" applyFill="1"/>
    <xf numFmtId="0" fontId="10" fillId="0" borderId="24" xfId="1051" applyFont="1" applyFill="1" applyBorder="1" applyAlignment="1">
      <alignment horizontal="center" vertical="top"/>
    </xf>
    <xf numFmtId="172" fontId="10" fillId="0" borderId="24" xfId="1051" applyNumberFormat="1" applyFont="1" applyFill="1" applyBorder="1" applyAlignment="1">
      <alignment vertical="top"/>
    </xf>
    <xf numFmtId="0" fontId="14" fillId="0" borderId="20" xfId="1297" applyFont="1" applyFill="1" applyBorder="1" applyAlignment="1" applyProtection="1">
      <alignment horizontal="left" vertical="center"/>
    </xf>
    <xf numFmtId="4" fontId="14" fillId="0" borderId="20" xfId="924" applyNumberFormat="1" applyFont="1" applyFill="1" applyBorder="1" applyAlignment="1">
      <alignment horizontal="right" vertical="center"/>
    </xf>
    <xf numFmtId="4" fontId="14" fillId="0" borderId="20" xfId="924" applyNumberFormat="1" applyFont="1" applyFill="1" applyBorder="1" applyAlignment="1" applyProtection="1">
      <alignment horizontal="right" vertical="center"/>
      <protection locked="0"/>
    </xf>
    <xf numFmtId="0" fontId="14" fillId="0" borderId="19" xfId="1297" applyFont="1" applyFill="1" applyBorder="1" applyAlignment="1" applyProtection="1">
      <alignment horizontal="left" vertical="center"/>
    </xf>
    <xf numFmtId="4" fontId="14" fillId="0" borderId="19" xfId="924" applyNumberFormat="1" applyFont="1" applyFill="1" applyBorder="1" applyAlignment="1">
      <alignment horizontal="right" vertical="center"/>
    </xf>
    <xf numFmtId="0" fontId="14" fillId="0" borderId="19" xfId="1297" applyFont="1" applyFill="1" applyBorder="1" applyAlignment="1">
      <alignment horizontal="center" vertical="center"/>
    </xf>
    <xf numFmtId="4" fontId="14" fillId="0" borderId="19" xfId="924" applyNumberFormat="1" applyFont="1" applyFill="1" applyBorder="1" applyAlignment="1" applyProtection="1">
      <alignment horizontal="right" vertical="center"/>
      <protection locked="0"/>
    </xf>
    <xf numFmtId="0" fontId="9" fillId="0" borderId="19" xfId="1299" applyFont="1" applyFill="1" applyBorder="1"/>
    <xf numFmtId="0" fontId="9" fillId="0" borderId="19" xfId="1299" applyFont="1" applyFill="1" applyBorder="1" applyAlignment="1">
      <alignment wrapText="1"/>
    </xf>
    <xf numFmtId="2" fontId="141" fillId="0" borderId="0" xfId="0" applyNumberFormat="1" applyFont="1" applyFill="1"/>
    <xf numFmtId="49" fontId="15" fillId="0" borderId="19" xfId="924" applyNumberFormat="1" applyFont="1" applyFill="1" applyBorder="1" applyAlignment="1">
      <alignment horizontal="right" vertical="center"/>
    </xf>
    <xf numFmtId="4" fontId="15" fillId="0" borderId="19" xfId="924" applyNumberFormat="1" applyFont="1" applyFill="1" applyBorder="1" applyAlignment="1">
      <alignment horizontal="right" vertical="center"/>
    </xf>
    <xf numFmtId="0" fontId="14" fillId="0" borderId="25" xfId="1297" applyFont="1" applyFill="1" applyBorder="1" applyAlignment="1" applyProtection="1">
      <alignment horizontal="left" vertical="center"/>
    </xf>
    <xf numFmtId="173" fontId="14" fillId="0" borderId="25" xfId="924" applyFont="1" applyFill="1" applyBorder="1" applyAlignment="1">
      <alignment horizontal="right" vertical="center"/>
    </xf>
    <xf numFmtId="0" fontId="14" fillId="0" borderId="25" xfId="1297" applyFont="1" applyFill="1" applyBorder="1" applyAlignment="1">
      <alignment horizontal="center" vertical="center"/>
    </xf>
    <xf numFmtId="49" fontId="15" fillId="0" borderId="25" xfId="924" applyNumberFormat="1" applyFont="1" applyFill="1" applyBorder="1" applyAlignment="1">
      <alignment horizontal="right" vertical="center"/>
    </xf>
    <xf numFmtId="0" fontId="15" fillId="0" borderId="0" xfId="1293" applyFont="1" applyFill="1" applyBorder="1" applyAlignment="1"/>
    <xf numFmtId="4" fontId="14" fillId="0" borderId="0" xfId="1293" applyNumberFormat="1" applyFont="1" applyFill="1" applyBorder="1" applyAlignment="1"/>
    <xf numFmtId="39" fontId="14" fillId="0" borderId="0" xfId="1293" applyNumberFormat="1" applyFont="1" applyFill="1" applyBorder="1" applyAlignment="1"/>
    <xf numFmtId="0" fontId="10" fillId="0" borderId="20" xfId="1300" applyFont="1" applyFill="1" applyBorder="1" applyAlignment="1">
      <alignment horizontal="center"/>
    </xf>
    <xf numFmtId="43" fontId="10" fillId="0" borderId="20" xfId="920" applyFont="1" applyFill="1" applyBorder="1" applyAlignment="1">
      <alignment horizontal="center"/>
    </xf>
    <xf numFmtId="43" fontId="9" fillId="0" borderId="19" xfId="920" applyFont="1" applyFill="1" applyBorder="1"/>
    <xf numFmtId="43" fontId="9" fillId="0" borderId="19" xfId="920" applyFont="1" applyFill="1" applyBorder="1" applyAlignment="1">
      <alignment horizontal="center"/>
    </xf>
    <xf numFmtId="0" fontId="9" fillId="0" borderId="25" xfId="1288" applyFont="1" applyFill="1" applyBorder="1" applyAlignment="1">
      <alignment horizontal="right"/>
    </xf>
    <xf numFmtId="43" fontId="9" fillId="0" borderId="25" xfId="920" applyFont="1" applyFill="1" applyBorder="1"/>
    <xf numFmtId="43" fontId="9" fillId="0" borderId="25" xfId="920" applyFont="1" applyFill="1" applyBorder="1" applyAlignment="1" applyProtection="1">
      <alignment horizontal="center"/>
    </xf>
    <xf numFmtId="43" fontId="10" fillId="0" borderId="25" xfId="920" applyFont="1" applyFill="1" applyBorder="1" applyAlignment="1">
      <alignment horizontal="right"/>
    </xf>
    <xf numFmtId="0" fontId="147" fillId="0" borderId="0" xfId="1268" applyFont="1" applyFill="1" applyAlignment="1">
      <alignment horizontal="right"/>
    </xf>
    <xf numFmtId="2" fontId="9" fillId="0" borderId="0" xfId="0" applyNumberFormat="1" applyFont="1" applyFill="1"/>
    <xf numFmtId="0" fontId="147" fillId="0" borderId="0" xfId="1268" applyFont="1" applyFill="1" applyAlignment="1">
      <alignment horizontal="center" vertical="center"/>
    </xf>
    <xf numFmtId="43" fontId="147" fillId="0" borderId="99" xfId="1268" applyNumberFormat="1" applyFont="1" applyFill="1" applyBorder="1"/>
    <xf numFmtId="4" fontId="147" fillId="0" borderId="0" xfId="1268" applyNumberFormat="1" applyFont="1" applyFill="1"/>
    <xf numFmtId="2" fontId="14" fillId="0" borderId="0" xfId="1293" applyNumberFormat="1" applyFont="1" applyFill="1" applyBorder="1" applyAlignment="1"/>
    <xf numFmtId="173" fontId="14" fillId="0" borderId="0" xfId="1487" applyFont="1" applyFill="1" applyBorder="1" applyAlignment="1"/>
    <xf numFmtId="0" fontId="14" fillId="0" borderId="40" xfId="1293" applyFont="1" applyFill="1" applyBorder="1" applyAlignment="1"/>
    <xf numFmtId="4" fontId="14" fillId="0" borderId="40" xfId="1293" applyNumberFormat="1" applyFont="1" applyFill="1" applyBorder="1" applyAlignment="1"/>
    <xf numFmtId="0" fontId="14" fillId="0" borderId="24" xfId="1293" applyFont="1" applyFill="1" applyBorder="1" applyAlignment="1"/>
    <xf numFmtId="0" fontId="14" fillId="0" borderId="45" xfId="1293" applyFont="1" applyFill="1" applyBorder="1" applyAlignment="1"/>
    <xf numFmtId="173" fontId="14" fillId="0" borderId="45" xfId="924" applyFont="1" applyFill="1" applyBorder="1" applyAlignment="1"/>
    <xf numFmtId="173" fontId="15" fillId="0" borderId="45" xfId="924" applyFont="1" applyFill="1" applyBorder="1" applyAlignment="1">
      <alignment horizontal="right" vertical="center"/>
    </xf>
    <xf numFmtId="4" fontId="15" fillId="0" borderId="46" xfId="1293" applyNumberFormat="1" applyFont="1" applyFill="1" applyBorder="1" applyAlignment="1"/>
    <xf numFmtId="0" fontId="27" fillId="0" borderId="40" xfId="1293" applyFont="1" applyFill="1" applyBorder="1" applyAlignment="1">
      <alignment horizontal="right"/>
    </xf>
    <xf numFmtId="4" fontId="14" fillId="0" borderId="40" xfId="924" applyNumberFormat="1" applyFont="1" applyFill="1" applyBorder="1" applyAlignment="1">
      <alignment wrapText="1"/>
    </xf>
    <xf numFmtId="173" fontId="15" fillId="0" borderId="40" xfId="924" applyFont="1" applyFill="1" applyBorder="1" applyAlignment="1">
      <alignment horizontal="right"/>
    </xf>
    <xf numFmtId="4" fontId="15" fillId="0" borderId="41" xfId="924" applyNumberFormat="1" applyFont="1" applyFill="1" applyBorder="1"/>
    <xf numFmtId="0" fontId="27" fillId="0" borderId="0" xfId="1293" applyFont="1" applyFill="1" applyBorder="1" applyAlignment="1">
      <alignment horizontal="right"/>
    </xf>
    <xf numFmtId="4" fontId="14" fillId="0" borderId="0" xfId="924" applyNumberFormat="1" applyFont="1" applyFill="1" applyBorder="1" applyAlignment="1">
      <alignment wrapText="1"/>
    </xf>
    <xf numFmtId="0" fontId="10" fillId="0" borderId="24" xfId="1293" applyFont="1" applyFill="1" applyBorder="1"/>
    <xf numFmtId="0" fontId="14" fillId="0" borderId="24" xfId="1297" applyFont="1" applyFill="1" applyBorder="1" applyAlignment="1">
      <alignment horizontal="center" vertical="center"/>
    </xf>
    <xf numFmtId="173" fontId="9" fillId="0" borderId="24" xfId="1488" applyNumberFormat="1" applyFont="1" applyFill="1" applyBorder="1" applyAlignment="1">
      <alignment horizontal="right"/>
    </xf>
    <xf numFmtId="4" fontId="9" fillId="0" borderId="24" xfId="1293" applyNumberFormat="1" applyFont="1" applyFill="1" applyBorder="1" applyAlignment="1">
      <alignment horizontal="right"/>
    </xf>
    <xf numFmtId="39" fontId="9" fillId="0" borderId="24" xfId="1293" applyNumberFormat="1" applyFont="1" applyFill="1" applyBorder="1" applyAlignment="1">
      <alignment horizontal="center"/>
    </xf>
    <xf numFmtId="4" fontId="10" fillId="0" borderId="24" xfId="1293" applyNumberFormat="1" applyFont="1" applyFill="1" applyBorder="1" applyAlignment="1">
      <alignment horizontal="right"/>
    </xf>
    <xf numFmtId="0" fontId="9" fillId="0" borderId="66" xfId="1293" applyFont="1" applyFill="1" applyBorder="1"/>
    <xf numFmtId="173" fontId="9" fillId="0" borderId="99" xfId="1488" applyNumberFormat="1" applyFont="1" applyFill="1" applyBorder="1" applyAlignment="1">
      <alignment horizontal="right"/>
    </xf>
    <xf numFmtId="0" fontId="15" fillId="0" borderId="66" xfId="1293" applyFont="1" applyFill="1" applyBorder="1"/>
    <xf numFmtId="43" fontId="10" fillId="0" borderId="24" xfId="1485" applyNumberFormat="1" applyFont="1" applyFill="1" applyBorder="1"/>
    <xf numFmtId="173" fontId="15" fillId="0" borderId="99" xfId="924" applyFont="1" applyFill="1" applyBorder="1"/>
    <xf numFmtId="43" fontId="10" fillId="0" borderId="0" xfId="1485" applyNumberFormat="1" applyFont="1" applyFill="1" applyBorder="1"/>
    <xf numFmtId="39" fontId="9" fillId="0" borderId="0" xfId="1293" applyNumberFormat="1" applyFont="1" applyFill="1" applyBorder="1" applyAlignment="1">
      <alignment horizontal="center"/>
    </xf>
    <xf numFmtId="0" fontId="15" fillId="0" borderId="0" xfId="1293" applyFont="1" applyFill="1" applyBorder="1" applyAlignment="1">
      <alignment horizontal="center"/>
    </xf>
    <xf numFmtId="0" fontId="9" fillId="0" borderId="24" xfId="1293" applyFont="1" applyFill="1" applyBorder="1" applyAlignment="1">
      <alignment horizontal="left" wrapText="1"/>
    </xf>
    <xf numFmtId="0" fontId="14" fillId="0" borderId="24" xfId="1297" applyFont="1" applyFill="1" applyBorder="1" applyAlignment="1">
      <alignment horizontal="center"/>
    </xf>
    <xf numFmtId="0" fontId="9" fillId="0" borderId="24" xfId="1293" applyFont="1" applyFill="1" applyBorder="1" applyAlignment="1">
      <alignment horizontal="center" wrapText="1"/>
    </xf>
    <xf numFmtId="173" fontId="15" fillId="0" borderId="24" xfId="924" applyFont="1" applyFill="1" applyBorder="1"/>
    <xf numFmtId="4" fontId="10" fillId="0" borderId="0" xfId="1051" applyNumberFormat="1" applyFont="1" applyFill="1" applyBorder="1" applyAlignment="1">
      <alignment horizontal="left" wrapText="1"/>
    </xf>
    <xf numFmtId="43" fontId="46" fillId="0" borderId="0" xfId="866" applyFont="1" applyFill="1" applyBorder="1" applyAlignment="1">
      <alignment wrapText="1"/>
    </xf>
    <xf numFmtId="0" fontId="46" fillId="0" borderId="0" xfId="0" applyFont="1" applyFill="1" applyBorder="1" applyAlignment="1">
      <alignment horizontal="center" wrapText="1"/>
    </xf>
    <xf numFmtId="0" fontId="46" fillId="0" borderId="0" xfId="0" applyFont="1" applyFill="1" applyBorder="1" applyAlignment="1">
      <alignment wrapText="1"/>
    </xf>
    <xf numFmtId="4" fontId="10" fillId="0" borderId="135" xfId="1051" applyNumberFormat="1" applyFont="1" applyFill="1" applyBorder="1" applyAlignment="1">
      <alignment horizontal="center" wrapText="1"/>
    </xf>
    <xf numFmtId="43" fontId="10" fillId="0" borderId="136" xfId="866" applyFont="1" applyFill="1" applyBorder="1" applyAlignment="1">
      <alignment horizontal="center" wrapText="1"/>
    </xf>
    <xf numFmtId="4" fontId="10" fillId="0" borderId="136" xfId="1051" applyNumberFormat="1" applyFont="1" applyFill="1" applyBorder="1" applyAlignment="1">
      <alignment horizontal="center" wrapText="1"/>
    </xf>
    <xf numFmtId="43" fontId="10" fillId="0" borderId="137" xfId="743" applyFont="1" applyFill="1" applyBorder="1" applyAlignment="1">
      <alignment horizontal="center" wrapText="1"/>
    </xf>
    <xf numFmtId="4" fontId="10" fillId="0" borderId="100" xfId="1051" applyNumberFormat="1" applyFont="1" applyFill="1" applyBorder="1" applyAlignment="1">
      <alignment horizontal="center" wrapText="1"/>
    </xf>
    <xf numFmtId="43" fontId="10" fillId="0" borderId="19" xfId="866" applyFont="1" applyFill="1" applyBorder="1" applyAlignment="1">
      <alignment wrapText="1"/>
    </xf>
    <xf numFmtId="4" fontId="10" fillId="0" borderId="19" xfId="1051" applyNumberFormat="1" applyFont="1" applyFill="1" applyBorder="1" applyAlignment="1">
      <alignment horizontal="center" wrapText="1"/>
    </xf>
    <xf numFmtId="4" fontId="10" fillId="0" borderId="19" xfId="1051" applyNumberFormat="1" applyFont="1" applyFill="1" applyBorder="1" applyAlignment="1">
      <alignment wrapText="1"/>
    </xf>
    <xf numFmtId="43" fontId="10" fillId="0" borderId="33" xfId="743" applyFont="1" applyFill="1" applyBorder="1" applyAlignment="1">
      <alignment wrapText="1"/>
    </xf>
    <xf numFmtId="4" fontId="10" fillId="0" borderId="100" xfId="1051" applyNumberFormat="1" applyFont="1" applyFill="1" applyBorder="1" applyAlignment="1">
      <alignment wrapText="1"/>
    </xf>
    <xf numFmtId="4" fontId="9" fillId="0" borderId="100" xfId="1051" applyNumberFormat="1" applyFont="1" applyFill="1" applyBorder="1" applyAlignment="1">
      <alignment wrapText="1"/>
    </xf>
    <xf numFmtId="43" fontId="9" fillId="0" borderId="19" xfId="866" applyFont="1" applyFill="1" applyBorder="1" applyAlignment="1">
      <alignment horizontal="right" wrapText="1"/>
    </xf>
    <xf numFmtId="4" fontId="9" fillId="0" borderId="19" xfId="1051" applyNumberFormat="1" applyFont="1" applyFill="1" applyBorder="1" applyAlignment="1">
      <alignment horizontal="center" wrapText="1"/>
    </xf>
    <xf numFmtId="173" fontId="9" fillId="0" borderId="19" xfId="1482" applyNumberFormat="1" applyFont="1" applyFill="1" applyBorder="1" applyAlignment="1">
      <alignment wrapText="1"/>
    </xf>
    <xf numFmtId="43" fontId="9" fillId="0" borderId="33" xfId="743" applyFont="1" applyFill="1" applyBorder="1" applyAlignment="1">
      <alignment wrapText="1"/>
    </xf>
    <xf numFmtId="4" fontId="10" fillId="0" borderId="103" xfId="1051" applyNumberFormat="1" applyFont="1" applyFill="1" applyBorder="1" applyAlignment="1">
      <alignment wrapText="1"/>
    </xf>
    <xf numFmtId="43" fontId="10" fillId="0" borderId="102" xfId="866" applyFont="1" applyFill="1" applyBorder="1" applyAlignment="1">
      <alignment horizontal="right" wrapText="1"/>
    </xf>
    <xf numFmtId="4" fontId="10" fillId="0" borderId="102" xfId="1051" applyNumberFormat="1" applyFont="1" applyFill="1" applyBorder="1" applyAlignment="1">
      <alignment horizontal="center" wrapText="1"/>
    </xf>
    <xf numFmtId="4" fontId="10" fillId="0" borderId="138" xfId="1051" applyNumberFormat="1" applyFont="1" applyFill="1" applyBorder="1" applyAlignment="1">
      <alignment wrapText="1"/>
    </xf>
    <xf numFmtId="43" fontId="10" fillId="0" borderId="37" xfId="743" applyFont="1" applyFill="1" applyBorder="1" applyAlignment="1">
      <alignment wrapText="1"/>
    </xf>
    <xf numFmtId="4" fontId="9" fillId="0" borderId="0" xfId="1051" applyNumberFormat="1" applyFont="1" applyFill="1" applyBorder="1" applyAlignment="1">
      <alignment wrapText="1"/>
    </xf>
    <xf numFmtId="43" fontId="10" fillId="0" borderId="104" xfId="743" applyFont="1" applyFill="1" applyBorder="1" applyAlignment="1">
      <alignment wrapText="1"/>
    </xf>
    <xf numFmtId="0" fontId="14" fillId="0" borderId="40" xfId="1293" applyFont="1" applyFill="1" applyBorder="1"/>
    <xf numFmtId="173" fontId="14" fillId="0" borderId="40" xfId="924" applyFont="1" applyFill="1" applyBorder="1"/>
    <xf numFmtId="0" fontId="14" fillId="0" borderId="0" xfId="0" applyFont="1" applyFill="1" applyBorder="1" applyAlignment="1">
      <alignment horizontal="center" vertical="center"/>
    </xf>
    <xf numFmtId="0" fontId="29" fillId="0" borderId="83" xfId="1291" applyFont="1" applyFill="1" applyBorder="1" applyAlignment="1"/>
    <xf numFmtId="0" fontId="9" fillId="0" borderId="34" xfId="1299" applyNumberFormat="1" applyFont="1" applyFill="1" applyBorder="1" applyAlignment="1"/>
    <xf numFmtId="0" fontId="10" fillId="0" borderId="24" xfId="1299" applyFont="1" applyFill="1" applyBorder="1" applyAlignment="1">
      <alignment horizontal="center"/>
    </xf>
    <xf numFmtId="0" fontId="9" fillId="0" borderId="40" xfId="0" applyFont="1" applyFill="1" applyBorder="1" applyAlignment="1">
      <alignment vertical="top"/>
    </xf>
    <xf numFmtId="43" fontId="9" fillId="0" borderId="40" xfId="743" applyFont="1" applyFill="1" applyBorder="1" applyAlignment="1">
      <alignment vertical="top"/>
    </xf>
    <xf numFmtId="39" fontId="14" fillId="0" borderId="40" xfId="0" applyNumberFormat="1" applyFont="1" applyFill="1" applyBorder="1" applyAlignment="1" applyProtection="1">
      <alignment vertical="top"/>
      <protection locked="0"/>
    </xf>
    <xf numFmtId="2" fontId="9" fillId="0" borderId="43" xfId="0" applyNumberFormat="1" applyFont="1" applyFill="1" applyBorder="1" applyAlignment="1" applyProtection="1">
      <alignment vertical="top"/>
      <protection locked="0"/>
    </xf>
    <xf numFmtId="0" fontId="9" fillId="0" borderId="24" xfId="0" applyFont="1" applyFill="1" applyBorder="1" applyAlignment="1">
      <alignment vertical="top"/>
    </xf>
    <xf numFmtId="43" fontId="9" fillId="0" borderId="24" xfId="743" applyFont="1" applyFill="1" applyBorder="1" applyAlignment="1">
      <alignment vertical="top"/>
    </xf>
    <xf numFmtId="0" fontId="9" fillId="0" borderId="24" xfId="0" applyFont="1" applyFill="1" applyBorder="1" applyAlignment="1">
      <alignment horizontal="center" vertical="top"/>
    </xf>
    <xf numFmtId="2" fontId="14" fillId="0" borderId="43" xfId="1293" applyNumberFormat="1" applyFont="1" applyFill="1" applyBorder="1"/>
    <xf numFmtId="0" fontId="9" fillId="0" borderId="43" xfId="0" applyFont="1" applyFill="1" applyBorder="1" applyAlignment="1" applyProtection="1">
      <alignment vertical="top"/>
      <protection locked="0"/>
    </xf>
    <xf numFmtId="0" fontId="10" fillId="0" borderId="24" xfId="1299" applyFont="1" applyFill="1" applyBorder="1" applyProtection="1"/>
    <xf numFmtId="0" fontId="10" fillId="0" borderId="0" xfId="1299" applyFont="1" applyFill="1" applyBorder="1" applyProtection="1"/>
    <xf numFmtId="0" fontId="9" fillId="0" borderId="0" xfId="1299" applyFont="1" applyFill="1" applyBorder="1"/>
    <xf numFmtId="0" fontId="9" fillId="0" borderId="0" xfId="1299" applyFont="1" applyFill="1" applyBorder="1" applyAlignment="1" applyProtection="1">
      <alignment horizontal="center"/>
    </xf>
    <xf numFmtId="7" fontId="9" fillId="0" borderId="0" xfId="1299" applyNumberFormat="1" applyFont="1" applyFill="1" applyBorder="1" applyProtection="1"/>
    <xf numFmtId="7" fontId="10" fillId="0" borderId="0" xfId="1299" applyNumberFormat="1" applyFont="1" applyFill="1" applyBorder="1" applyProtection="1"/>
    <xf numFmtId="4" fontId="10" fillId="0" borderId="0" xfId="1051" applyNumberFormat="1" applyFont="1" applyFill="1" applyBorder="1" applyAlignment="1">
      <alignment horizontal="left"/>
    </xf>
    <xf numFmtId="168" fontId="46" fillId="0" borderId="0" xfId="865" applyFont="1" applyFill="1" applyBorder="1" applyAlignment="1">
      <alignment wrapText="1"/>
    </xf>
    <xf numFmtId="0" fontId="9" fillId="0" borderId="24" xfId="1051" applyFont="1" applyFill="1" applyBorder="1" applyAlignment="1" applyProtection="1">
      <alignment horizontal="left"/>
    </xf>
    <xf numFmtId="183" fontId="9" fillId="0" borderId="24" xfId="1051" applyNumberFormat="1" applyFont="1" applyFill="1" applyBorder="1" applyAlignment="1" applyProtection="1">
      <alignment horizontal="right"/>
    </xf>
    <xf numFmtId="0" fontId="9" fillId="0" borderId="24" xfId="1051" applyFont="1" applyFill="1" applyBorder="1" applyAlignment="1" applyProtection="1">
      <alignment horizontal="center"/>
    </xf>
    <xf numFmtId="0" fontId="9" fillId="0" borderId="24" xfId="1051" applyFont="1" applyFill="1" applyBorder="1" applyProtection="1"/>
    <xf numFmtId="183" fontId="9" fillId="0" borderId="24" xfId="1051" applyNumberFormat="1" applyFont="1" applyFill="1" applyBorder="1" applyProtection="1"/>
    <xf numFmtId="0" fontId="9" fillId="0" borderId="24" xfId="1051" applyFont="1" applyFill="1" applyBorder="1"/>
    <xf numFmtId="43" fontId="10" fillId="0" borderId="24" xfId="914" applyFont="1" applyFill="1" applyBorder="1" applyAlignment="1"/>
    <xf numFmtId="0" fontId="10" fillId="0" borderId="24" xfId="1299" applyFont="1" applyFill="1" applyBorder="1"/>
    <xf numFmtId="43" fontId="10" fillId="0" borderId="24" xfId="914" applyFont="1" applyFill="1" applyBorder="1"/>
    <xf numFmtId="4" fontId="10" fillId="0" borderId="103" xfId="1051" applyNumberFormat="1" applyFont="1" applyFill="1" applyBorder="1" applyAlignment="1"/>
    <xf numFmtId="168" fontId="10" fillId="0" borderId="102" xfId="865" applyFont="1" applyFill="1" applyBorder="1" applyAlignment="1">
      <alignment horizontal="right"/>
    </xf>
    <xf numFmtId="4" fontId="10" fillId="0" borderId="102" xfId="1051" applyNumberFormat="1" applyFont="1" applyFill="1" applyBorder="1" applyAlignment="1">
      <alignment horizontal="center"/>
    </xf>
    <xf numFmtId="173" fontId="10" fillId="0" borderId="102" xfId="1482" applyNumberFormat="1" applyFont="1" applyFill="1" applyBorder="1"/>
    <xf numFmtId="168" fontId="10" fillId="0" borderId="37" xfId="865" applyFont="1" applyFill="1" applyBorder="1"/>
    <xf numFmtId="0" fontId="9" fillId="0" borderId="32" xfId="0" applyFont="1" applyFill="1" applyBorder="1"/>
    <xf numFmtId="4" fontId="9" fillId="0" borderId="22" xfId="1051" applyNumberFormat="1" applyFont="1" applyFill="1" applyBorder="1" applyAlignment="1"/>
    <xf numFmtId="164" fontId="10" fillId="0" borderId="0" xfId="1051" applyNumberFormat="1" applyFont="1" applyFill="1" applyBorder="1" applyAlignment="1">
      <alignment horizontal="right"/>
    </xf>
    <xf numFmtId="43" fontId="10" fillId="0" borderId="0" xfId="914" applyFont="1" applyFill="1" applyBorder="1" applyAlignment="1">
      <alignment horizontal="right"/>
    </xf>
    <xf numFmtId="0" fontId="27" fillId="0" borderId="24" xfId="1293" applyFont="1" applyFill="1" applyBorder="1" applyAlignment="1"/>
    <xf numFmtId="4" fontId="14" fillId="0" borderId="24" xfId="924" applyNumberFormat="1" applyFont="1" applyFill="1" applyBorder="1" applyAlignment="1">
      <alignment wrapText="1"/>
    </xf>
    <xf numFmtId="4" fontId="149" fillId="0" borderId="43" xfId="1293" applyNumberFormat="1" applyFont="1" applyFill="1" applyBorder="1" applyAlignment="1"/>
    <xf numFmtId="173" fontId="149" fillId="0" borderId="43" xfId="924" applyFont="1" applyFill="1" applyBorder="1"/>
    <xf numFmtId="173" fontId="27" fillId="0" borderId="43" xfId="924" applyFont="1" applyFill="1" applyBorder="1"/>
    <xf numFmtId="0" fontId="27" fillId="0" borderId="45" xfId="1293" applyFont="1" applyFill="1" applyBorder="1"/>
    <xf numFmtId="4" fontId="14" fillId="0" borderId="45" xfId="1293" applyNumberFormat="1" applyFont="1" applyFill="1" applyBorder="1" applyAlignment="1">
      <alignment vertical="top" wrapText="1"/>
    </xf>
    <xf numFmtId="0" fontId="14" fillId="0" borderId="45" xfId="1293" applyFont="1" applyFill="1" applyBorder="1" applyAlignment="1">
      <alignment horizontal="center" vertical="top"/>
    </xf>
    <xf numFmtId="173" fontId="27" fillId="0" borderId="46" xfId="924" applyFont="1" applyFill="1" applyBorder="1"/>
    <xf numFmtId="173" fontId="15" fillId="0" borderId="24" xfId="924" applyFont="1" applyFill="1" applyBorder="1" applyAlignment="1">
      <alignment horizontal="right" vertical="center"/>
    </xf>
    <xf numFmtId="0" fontId="9" fillId="0" borderId="69" xfId="0" applyFont="1" applyFill="1" applyBorder="1"/>
    <xf numFmtId="2" fontId="9" fillId="0" borderId="69" xfId="0" applyNumberFormat="1" applyFont="1" applyFill="1" applyBorder="1"/>
    <xf numFmtId="173" fontId="27" fillId="0" borderId="0" xfId="924" applyFont="1" applyFill="1" applyBorder="1"/>
    <xf numFmtId="0" fontId="46" fillId="0" borderId="24" xfId="0" applyFont="1" applyFill="1" applyBorder="1" applyAlignment="1"/>
    <xf numFmtId="172" fontId="47" fillId="0" borderId="24" xfId="0" applyNumberFormat="1" applyFont="1" applyFill="1" applyBorder="1" applyAlignment="1"/>
    <xf numFmtId="0" fontId="47" fillId="0" borderId="24" xfId="0" applyFont="1" applyFill="1" applyBorder="1" applyAlignment="1"/>
    <xf numFmtId="172" fontId="47" fillId="0" borderId="24" xfId="0" applyNumberFormat="1" applyFont="1" applyFill="1" applyBorder="1" applyAlignment="1">
      <alignment horizontal="center"/>
    </xf>
    <xf numFmtId="4" fontId="15" fillId="0" borderId="24" xfId="924" applyNumberFormat="1" applyFont="1" applyFill="1" applyBorder="1"/>
    <xf numFmtId="0" fontId="46" fillId="0" borderId="24" xfId="0" applyFont="1" applyFill="1" applyBorder="1" applyAlignment="1">
      <alignment horizontal="center"/>
    </xf>
    <xf numFmtId="0" fontId="46" fillId="0" borderId="0" xfId="0" applyFont="1" applyFill="1" applyBorder="1" applyAlignment="1">
      <alignment horizontal="center"/>
    </xf>
    <xf numFmtId="172" fontId="46" fillId="0" borderId="0" xfId="0" applyNumberFormat="1" applyFont="1" applyFill="1" applyBorder="1" applyAlignment="1">
      <alignment horizontal="right"/>
    </xf>
    <xf numFmtId="0" fontId="46" fillId="0" borderId="0" xfId="0" applyFont="1" applyFill="1" applyBorder="1" applyAlignment="1"/>
    <xf numFmtId="172" fontId="47" fillId="0" borderId="0" xfId="0" applyNumberFormat="1" applyFont="1" applyFill="1" applyBorder="1" applyAlignment="1"/>
    <xf numFmtId="0" fontId="47" fillId="0" borderId="0" xfId="0" applyFont="1" applyFill="1" applyBorder="1" applyAlignment="1"/>
    <xf numFmtId="172" fontId="46" fillId="0" borderId="24" xfId="0" applyNumberFormat="1" applyFont="1" applyFill="1" applyBorder="1" applyAlignment="1"/>
    <xf numFmtId="0" fontId="9" fillId="0" borderId="24" xfId="972" applyFont="1" applyFill="1" applyBorder="1"/>
    <xf numFmtId="0" fontId="10" fillId="0" borderId="24" xfId="972" applyFont="1" applyFill="1" applyBorder="1" applyAlignment="1">
      <alignment horizontal="center"/>
    </xf>
    <xf numFmtId="194" fontId="14" fillId="0" borderId="0" xfId="1293" applyNumberFormat="1" applyFont="1" applyFill="1"/>
    <xf numFmtId="2" fontId="9" fillId="0" borderId="24" xfId="972" applyNumberFormat="1" applyFont="1" applyFill="1" applyBorder="1" applyAlignment="1">
      <alignment horizontal="right"/>
    </xf>
    <xf numFmtId="0" fontId="9" fillId="0" borderId="24" xfId="972" applyFont="1" applyFill="1" applyBorder="1" applyAlignment="1">
      <alignment horizontal="center"/>
    </xf>
    <xf numFmtId="4" fontId="9" fillId="0" borderId="24" xfId="972" applyNumberFormat="1" applyFont="1" applyFill="1" applyBorder="1" applyAlignment="1">
      <alignment horizontal="right"/>
    </xf>
    <xf numFmtId="4" fontId="14" fillId="0" borderId="24" xfId="1293" applyNumberFormat="1" applyFont="1" applyFill="1" applyBorder="1"/>
    <xf numFmtId="0" fontId="9" fillId="0" borderId="24" xfId="972" applyFont="1" applyFill="1" applyBorder="1" applyAlignment="1"/>
    <xf numFmtId="0" fontId="10" fillId="0" borderId="24" xfId="972" applyFont="1" applyFill="1" applyBorder="1" applyAlignment="1">
      <alignment horizontal="right"/>
    </xf>
    <xf numFmtId="4" fontId="10" fillId="0" borderId="24" xfId="972" applyNumberFormat="1" applyFont="1" applyFill="1" applyBorder="1" applyAlignment="1"/>
    <xf numFmtId="2" fontId="10" fillId="0" borderId="24" xfId="972" applyNumberFormat="1" applyFont="1" applyFill="1" applyBorder="1" applyAlignment="1">
      <alignment horizontal="right"/>
    </xf>
    <xf numFmtId="4" fontId="15" fillId="0" borderId="24" xfId="924" applyNumberFormat="1" applyFont="1" applyFill="1" applyBorder="1" applyAlignment="1">
      <alignment horizontal="right"/>
    </xf>
    <xf numFmtId="0" fontId="10" fillId="0" borderId="0" xfId="972" applyFont="1" applyFill="1" applyBorder="1" applyAlignment="1">
      <alignment horizontal="right"/>
    </xf>
    <xf numFmtId="2" fontId="10" fillId="0" borderId="0" xfId="972" applyNumberFormat="1" applyFont="1" applyFill="1" applyBorder="1" applyAlignment="1">
      <alignment horizontal="right"/>
    </xf>
    <xf numFmtId="0" fontId="10" fillId="0" borderId="0" xfId="972" applyFont="1" applyFill="1" applyBorder="1" applyAlignment="1">
      <alignment horizontal="center"/>
    </xf>
    <xf numFmtId="0" fontId="9" fillId="0" borderId="0" xfId="0" applyFont="1" applyFill="1" applyAlignment="1">
      <alignment horizontal="center" vertical="center"/>
    </xf>
    <xf numFmtId="0" fontId="29" fillId="0" borderId="24" xfId="0" applyFont="1" applyFill="1" applyBorder="1"/>
    <xf numFmtId="0" fontId="10" fillId="0" borderId="24" xfId="0" applyFont="1" applyFill="1" applyBorder="1"/>
    <xf numFmtId="0" fontId="29" fillId="0" borderId="24" xfId="0" applyFont="1" applyFill="1" applyBorder="1" applyAlignment="1"/>
    <xf numFmtId="4" fontId="10" fillId="0" borderId="24" xfId="0" applyNumberFormat="1" applyFont="1" applyFill="1" applyBorder="1" applyAlignment="1"/>
    <xf numFmtId="4" fontId="9" fillId="0" borderId="24" xfId="0" applyNumberFormat="1" applyFont="1" applyFill="1" applyBorder="1" applyAlignment="1">
      <alignment horizontal="right"/>
    </xf>
    <xf numFmtId="180" fontId="9" fillId="0" borderId="24" xfId="0" applyNumberFormat="1" applyFont="1" applyFill="1" applyBorder="1"/>
    <xf numFmtId="0" fontId="9" fillId="0" borderId="24" xfId="0" applyFont="1" applyFill="1" applyBorder="1" applyAlignment="1"/>
    <xf numFmtId="4" fontId="9" fillId="0" borderId="24" xfId="0" applyNumberFormat="1" applyFont="1" applyFill="1" applyBorder="1" applyAlignment="1"/>
    <xf numFmtId="0" fontId="10" fillId="0" borderId="24" xfId="0" applyFont="1" applyFill="1" applyBorder="1" applyAlignment="1">
      <alignment horizontal="left"/>
    </xf>
    <xf numFmtId="43" fontId="9" fillId="0" borderId="24" xfId="1452" applyNumberFormat="1" applyFont="1" applyFill="1" applyBorder="1" applyAlignment="1">
      <alignment horizontal="center"/>
    </xf>
    <xf numFmtId="43" fontId="9" fillId="0" borderId="24" xfId="1452" applyNumberFormat="1" applyFont="1" applyFill="1" applyBorder="1"/>
    <xf numFmtId="0" fontId="27" fillId="0" borderId="40" xfId="1293" applyFont="1" applyFill="1" applyBorder="1" applyAlignment="1"/>
    <xf numFmtId="4" fontId="14" fillId="0" borderId="40" xfId="924" applyNumberFormat="1" applyFont="1" applyFill="1" applyBorder="1" applyAlignment="1"/>
    <xf numFmtId="4" fontId="27" fillId="0" borderId="41" xfId="924" applyNumberFormat="1" applyFont="1" applyFill="1" applyBorder="1" applyAlignment="1"/>
    <xf numFmtId="4" fontId="27" fillId="0" borderId="43" xfId="924" applyNumberFormat="1" applyFont="1" applyFill="1" applyBorder="1" applyAlignment="1"/>
    <xf numFmtId="10" fontId="14" fillId="0" borderId="0" xfId="1293" applyNumberFormat="1" applyFont="1" applyFill="1" applyBorder="1"/>
    <xf numFmtId="0" fontId="27" fillId="0" borderId="45" xfId="1293" applyFont="1" applyFill="1" applyBorder="1" applyAlignment="1"/>
    <xf numFmtId="4" fontId="14" fillId="0" borderId="45" xfId="924" applyNumberFormat="1" applyFont="1" applyFill="1" applyBorder="1" applyAlignment="1"/>
    <xf numFmtId="4" fontId="15" fillId="0" borderId="45" xfId="924" applyNumberFormat="1" applyFont="1" applyFill="1" applyBorder="1"/>
    <xf numFmtId="4" fontId="27" fillId="0" borderId="46" xfId="924" applyNumberFormat="1" applyFont="1" applyFill="1" applyBorder="1" applyAlignment="1"/>
    <xf numFmtId="173" fontId="14" fillId="0" borderId="0" xfId="924" applyFont="1" applyFill="1" applyBorder="1" applyAlignment="1"/>
    <xf numFmtId="0" fontId="14" fillId="0" borderId="73" xfId="1293" applyFont="1" applyFill="1" applyBorder="1" applyAlignment="1"/>
    <xf numFmtId="0" fontId="14" fillId="0" borderId="48" xfId="1293" applyFont="1" applyFill="1" applyBorder="1"/>
    <xf numFmtId="4" fontId="14" fillId="0" borderId="25" xfId="1293" applyNumberFormat="1" applyFont="1" applyFill="1" applyBorder="1" applyAlignment="1"/>
    <xf numFmtId="0" fontId="14" fillId="0" borderId="25" xfId="1293" applyFont="1" applyFill="1" applyBorder="1" applyAlignment="1">
      <alignment horizontal="center"/>
    </xf>
    <xf numFmtId="4" fontId="14" fillId="0" borderId="20" xfId="924" applyNumberFormat="1" applyFont="1" applyFill="1" applyBorder="1" applyAlignment="1"/>
    <xf numFmtId="4" fontId="14" fillId="0" borderId="52" xfId="924" applyNumberFormat="1" applyFont="1" applyFill="1" applyBorder="1" applyAlignment="1" applyProtection="1">
      <alignment horizontal="right" vertical="center"/>
      <protection locked="0"/>
    </xf>
    <xf numFmtId="0" fontId="27" fillId="0" borderId="73" xfId="1293" applyFont="1" applyFill="1" applyBorder="1"/>
    <xf numFmtId="173" fontId="27" fillId="0" borderId="41" xfId="924" applyFont="1" applyFill="1" applyBorder="1"/>
    <xf numFmtId="173" fontId="149" fillId="0" borderId="24" xfId="924" applyFont="1" applyFill="1" applyBorder="1"/>
    <xf numFmtId="173" fontId="15" fillId="0" borderId="25" xfId="924" applyFont="1" applyFill="1" applyBorder="1" applyAlignment="1">
      <alignment horizontal="right"/>
    </xf>
    <xf numFmtId="173" fontId="139" fillId="0" borderId="72" xfId="924" applyFont="1" applyFill="1" applyBorder="1"/>
    <xf numFmtId="0" fontId="27" fillId="0" borderId="20" xfId="1293" applyFont="1" applyFill="1" applyBorder="1"/>
    <xf numFmtId="173" fontId="15" fillId="0" borderId="20" xfId="924" applyFont="1" applyFill="1" applyBorder="1" applyAlignment="1">
      <alignment horizontal="right"/>
    </xf>
    <xf numFmtId="173" fontId="27" fillId="0" borderId="52" xfId="924" applyFont="1" applyFill="1" applyBorder="1"/>
    <xf numFmtId="173" fontId="149" fillId="0" borderId="45" xfId="924" applyFont="1" applyFill="1" applyBorder="1"/>
    <xf numFmtId="173" fontId="139" fillId="0" borderId="46" xfId="924" applyFont="1" applyFill="1" applyBorder="1"/>
    <xf numFmtId="173" fontId="15" fillId="0" borderId="46" xfId="924" applyFont="1" applyFill="1" applyBorder="1"/>
    <xf numFmtId="0" fontId="14" fillId="0" borderId="53" xfId="1293" applyFont="1" applyFill="1" applyBorder="1"/>
    <xf numFmtId="0" fontId="27" fillId="0" borderId="58" xfId="1293" applyFont="1" applyFill="1" applyBorder="1"/>
    <xf numFmtId="173" fontId="14" fillId="0" borderId="58" xfId="924" applyFont="1" applyFill="1" applyBorder="1"/>
    <xf numFmtId="0" fontId="14" fillId="0" borderId="58" xfId="1293" applyFont="1" applyFill="1" applyBorder="1" applyAlignment="1">
      <alignment horizontal="center"/>
    </xf>
    <xf numFmtId="173" fontId="15" fillId="0" borderId="58" xfId="924" applyFont="1" applyFill="1" applyBorder="1" applyAlignment="1">
      <alignment horizontal="right"/>
    </xf>
    <xf numFmtId="173" fontId="27" fillId="0" borderId="54" xfId="924" applyFont="1" applyFill="1" applyBorder="1"/>
    <xf numFmtId="0" fontId="9" fillId="0" borderId="55" xfId="0" applyFont="1" applyFill="1" applyBorder="1"/>
    <xf numFmtId="164" fontId="9" fillId="0" borderId="55" xfId="0" applyNumberFormat="1" applyFont="1" applyFill="1" applyBorder="1"/>
    <xf numFmtId="0" fontId="149" fillId="0" borderId="55" xfId="0" applyFont="1" applyFill="1" applyBorder="1" applyAlignment="1">
      <alignment horizontal="right"/>
    </xf>
    <xf numFmtId="164" fontId="10" fillId="0" borderId="55" xfId="0" applyNumberFormat="1" applyFont="1" applyFill="1" applyBorder="1" applyAlignment="1">
      <alignment horizontal="right"/>
    </xf>
    <xf numFmtId="0" fontId="27" fillId="0" borderId="40" xfId="1293" applyFont="1" applyFill="1" applyBorder="1"/>
    <xf numFmtId="4" fontId="14" fillId="0" borderId="45" xfId="924" applyNumberFormat="1" applyFont="1" applyFill="1" applyBorder="1"/>
    <xf numFmtId="0" fontId="14" fillId="0" borderId="63" xfId="1293" applyFont="1" applyFill="1" applyBorder="1" applyAlignment="1">
      <alignment horizontal="center"/>
    </xf>
    <xf numFmtId="173" fontId="15" fillId="0" borderId="63" xfId="924" applyFont="1" applyFill="1" applyBorder="1" applyAlignment="1">
      <alignment horizontal="right" vertical="center"/>
    </xf>
    <xf numFmtId="4" fontId="15" fillId="0" borderId="25" xfId="924" applyNumberFormat="1" applyFont="1" applyFill="1" applyBorder="1" applyAlignment="1">
      <alignment horizontal="right"/>
    </xf>
    <xf numFmtId="0" fontId="14" fillId="0" borderId="20" xfId="1293" applyFont="1" applyFill="1" applyBorder="1" applyAlignment="1"/>
    <xf numFmtId="173" fontId="14" fillId="0" borderId="20" xfId="924" applyFont="1" applyFill="1" applyBorder="1" applyAlignment="1"/>
    <xf numFmtId="173" fontId="15" fillId="0" borderId="20" xfId="924" applyFont="1" applyFill="1" applyBorder="1" applyAlignment="1">
      <alignment horizontal="right" vertical="center"/>
    </xf>
    <xf numFmtId="4" fontId="15" fillId="0" borderId="52" xfId="1293" applyNumberFormat="1" applyFont="1" applyFill="1" applyBorder="1" applyAlignment="1"/>
    <xf numFmtId="173" fontId="149" fillId="0" borderId="46" xfId="924" applyFont="1" applyFill="1" applyBorder="1"/>
    <xf numFmtId="0" fontId="27" fillId="0" borderId="55" xfId="1293" applyFont="1" applyFill="1" applyBorder="1"/>
    <xf numFmtId="173" fontId="14" fillId="0" borderId="55" xfId="924" applyFont="1" applyFill="1" applyBorder="1"/>
    <xf numFmtId="0" fontId="14" fillId="0" borderId="55" xfId="1293" applyFont="1" applyFill="1" applyBorder="1" applyAlignment="1">
      <alignment horizontal="center"/>
    </xf>
    <xf numFmtId="4" fontId="27" fillId="0" borderId="41" xfId="924" applyNumberFormat="1" applyFont="1" applyFill="1" applyBorder="1"/>
    <xf numFmtId="4" fontId="27" fillId="0" borderId="52" xfId="924" applyNumberFormat="1" applyFont="1" applyFill="1" applyBorder="1"/>
    <xf numFmtId="179" fontId="14" fillId="0" borderId="45" xfId="924" applyNumberFormat="1" applyFont="1" applyFill="1" applyBorder="1"/>
    <xf numFmtId="4" fontId="27" fillId="0" borderId="46" xfId="924" applyNumberFormat="1" applyFont="1" applyFill="1" applyBorder="1"/>
    <xf numFmtId="4" fontId="15" fillId="0" borderId="58" xfId="924" applyNumberFormat="1" applyFont="1" applyFill="1" applyBorder="1"/>
    <xf numFmtId="4" fontId="27" fillId="0" borderId="54" xfId="924" applyNumberFormat="1" applyFont="1" applyFill="1" applyBorder="1"/>
    <xf numFmtId="4" fontId="15" fillId="0" borderId="46" xfId="924" applyNumberFormat="1" applyFont="1" applyFill="1" applyBorder="1"/>
    <xf numFmtId="0" fontId="14" fillId="0" borderId="58" xfId="1293" applyFont="1" applyFill="1" applyBorder="1"/>
    <xf numFmtId="0" fontId="14" fillId="0" borderId="58" xfId="1293" applyFont="1" applyFill="1" applyBorder="1" applyAlignment="1"/>
    <xf numFmtId="4" fontId="27" fillId="0" borderId="54" xfId="924" applyNumberFormat="1" applyFont="1" applyFill="1" applyBorder="1" applyAlignment="1">
      <alignment vertical="top"/>
    </xf>
    <xf numFmtId="0" fontId="14" fillId="0" borderId="39" xfId="1293" applyFont="1" applyFill="1" applyBorder="1" applyAlignment="1">
      <alignment vertical="top"/>
    </xf>
    <xf numFmtId="0" fontId="10" fillId="0" borderId="40" xfId="1293" applyFont="1" applyFill="1" applyBorder="1" applyAlignment="1">
      <alignment vertical="top"/>
    </xf>
    <xf numFmtId="0" fontId="9" fillId="0" borderId="40" xfId="1293" applyFont="1" applyFill="1" applyBorder="1" applyAlignment="1">
      <alignment vertical="top"/>
    </xf>
    <xf numFmtId="0" fontId="9" fillId="0" borderId="40" xfId="1293" applyFont="1" applyFill="1" applyBorder="1" applyAlignment="1">
      <alignment horizontal="right" vertical="top"/>
    </xf>
    <xf numFmtId="39" fontId="9" fillId="0" borderId="41" xfId="1293" applyNumberFormat="1" applyFont="1" applyFill="1" applyBorder="1" applyAlignment="1">
      <alignment horizontal="right" vertical="top"/>
    </xf>
    <xf numFmtId="0" fontId="9" fillId="0" borderId="24" xfId="1293" applyFont="1" applyFill="1" applyBorder="1" applyAlignment="1">
      <alignment vertical="top" wrapText="1"/>
    </xf>
    <xf numFmtId="2" fontId="9" fillId="0" borderId="24" xfId="1293" applyNumberFormat="1" applyFont="1" applyFill="1" applyBorder="1" applyAlignment="1">
      <alignment vertical="top"/>
    </xf>
    <xf numFmtId="0" fontId="9" fillId="0" borderId="24" xfId="1293" applyFont="1" applyFill="1" applyBorder="1" applyAlignment="1">
      <alignment horizontal="centerContinuous" vertical="top"/>
    </xf>
    <xf numFmtId="39" fontId="9" fillId="0" borderId="24" xfId="1293" applyNumberFormat="1" applyFont="1" applyFill="1" applyBorder="1" applyAlignment="1">
      <alignment vertical="top"/>
    </xf>
    <xf numFmtId="39" fontId="9" fillId="0" borderId="43" xfId="1293" applyNumberFormat="1" applyFont="1" applyFill="1" applyBorder="1" applyAlignment="1">
      <alignment vertical="top"/>
    </xf>
    <xf numFmtId="39" fontId="9" fillId="0" borderId="43" xfId="1293" applyNumberFormat="1" applyFont="1" applyFill="1" applyBorder="1" applyAlignment="1">
      <alignment horizontal="right" vertical="top"/>
    </xf>
    <xf numFmtId="0" fontId="9" fillId="0" borderId="24" xfId="1293" applyFont="1" applyFill="1" applyBorder="1" applyAlignment="1">
      <alignment horizontal="right" vertical="top"/>
    </xf>
    <xf numFmtId="39" fontId="10" fillId="0" borderId="43" xfId="1293" applyNumberFormat="1" applyFont="1" applyFill="1" applyBorder="1" applyAlignment="1">
      <alignment horizontal="right" vertical="top"/>
    </xf>
    <xf numFmtId="0" fontId="9" fillId="0" borderId="24" xfId="1293" applyFont="1" applyFill="1" applyBorder="1" applyAlignment="1">
      <alignment horizontal="left" vertical="top"/>
    </xf>
    <xf numFmtId="2" fontId="10" fillId="0" borderId="24" xfId="1293" applyNumberFormat="1" applyFont="1" applyFill="1" applyBorder="1" applyAlignment="1">
      <alignment vertical="top"/>
    </xf>
    <xf numFmtId="39" fontId="10" fillId="0" borderId="43" xfId="1293" applyNumberFormat="1" applyFont="1" applyFill="1" applyBorder="1" applyAlignment="1">
      <alignment horizontal="left" vertical="top"/>
    </xf>
    <xf numFmtId="0" fontId="10" fillId="0" borderId="24" xfId="1293" applyFont="1" applyFill="1" applyBorder="1" applyAlignment="1">
      <alignment horizontal="left" vertical="top"/>
    </xf>
    <xf numFmtId="39" fontId="10" fillId="0" borderId="43" xfId="1293" applyNumberFormat="1" applyFont="1" applyFill="1" applyBorder="1" applyAlignment="1">
      <alignment vertical="top"/>
    </xf>
    <xf numFmtId="0" fontId="10" fillId="0" borderId="45" xfId="1293" applyFont="1" applyFill="1" applyBorder="1" applyAlignment="1">
      <alignment horizontal="left" vertical="top"/>
    </xf>
    <xf numFmtId="39" fontId="10" fillId="0" borderId="45" xfId="1293" applyNumberFormat="1" applyFont="1" applyFill="1" applyBorder="1" applyAlignment="1">
      <alignment vertical="top"/>
    </xf>
    <xf numFmtId="0" fontId="10" fillId="0" borderId="45" xfId="1293" applyFont="1" applyFill="1" applyBorder="1" applyAlignment="1">
      <alignment vertical="top"/>
    </xf>
    <xf numFmtId="0" fontId="10" fillId="0" borderId="45" xfId="1293" applyFont="1" applyFill="1" applyBorder="1" applyAlignment="1">
      <alignment horizontal="right" vertical="top"/>
    </xf>
    <xf numFmtId="164" fontId="10" fillId="0" borderId="46" xfId="0" applyNumberFormat="1" applyFont="1" applyFill="1" applyBorder="1" applyAlignment="1">
      <alignment horizontal="right" vertical="top"/>
    </xf>
    <xf numFmtId="173" fontId="14" fillId="0" borderId="0" xfId="924" applyFont="1" applyFill="1" applyAlignment="1">
      <alignment vertical="top"/>
    </xf>
    <xf numFmtId="0" fontId="14" fillId="0" borderId="0" xfId="1293" applyFont="1" applyFill="1" applyAlignment="1">
      <alignment horizontal="center" vertical="top"/>
    </xf>
    <xf numFmtId="3" fontId="14" fillId="0" borderId="0" xfId="1293" applyNumberFormat="1" applyFont="1" applyFill="1" applyBorder="1"/>
    <xf numFmtId="4" fontId="14" fillId="0" borderId="72" xfId="924" applyNumberFormat="1" applyFont="1" applyFill="1" applyBorder="1" applyAlignment="1" applyProtection="1">
      <alignment horizontal="right" vertical="center"/>
      <protection locked="0"/>
    </xf>
    <xf numFmtId="173" fontId="14" fillId="0" borderId="0" xfId="924" applyNumberFormat="1" applyFont="1" applyFill="1" applyAlignment="1">
      <alignment vertical="top"/>
    </xf>
    <xf numFmtId="0" fontId="15" fillId="0" borderId="40" xfId="1293" applyFont="1" applyFill="1" applyBorder="1" applyAlignment="1">
      <alignment vertical="top"/>
    </xf>
    <xf numFmtId="173" fontId="14" fillId="0" borderId="40" xfId="924" applyNumberFormat="1" applyFont="1" applyFill="1" applyBorder="1" applyAlignment="1">
      <alignment vertical="top"/>
    </xf>
    <xf numFmtId="0" fontId="14" fillId="0" borderId="40" xfId="1293" applyFont="1" applyFill="1" applyBorder="1" applyAlignment="1">
      <alignment horizontal="center" vertical="top"/>
    </xf>
    <xf numFmtId="173" fontId="14" fillId="0" borderId="41" xfId="924" applyNumberFormat="1" applyFont="1" applyFill="1" applyBorder="1" applyAlignment="1">
      <alignment vertical="top"/>
    </xf>
    <xf numFmtId="0" fontId="15" fillId="0" borderId="24" xfId="1293" applyFont="1" applyFill="1" applyBorder="1" applyAlignment="1">
      <alignment vertical="top"/>
    </xf>
    <xf numFmtId="173" fontId="14" fillId="0" borderId="24" xfId="924" applyNumberFormat="1" applyFont="1" applyFill="1" applyBorder="1" applyAlignment="1">
      <alignment vertical="top"/>
    </xf>
    <xf numFmtId="0" fontId="14" fillId="0" borderId="24" xfId="1293" applyFont="1" applyFill="1" applyBorder="1" applyAlignment="1">
      <alignment horizontal="center" vertical="top"/>
    </xf>
    <xf numFmtId="173" fontId="15" fillId="0" borderId="43" xfId="924" applyNumberFormat="1" applyFont="1" applyFill="1" applyBorder="1" applyAlignment="1">
      <alignment vertical="top"/>
    </xf>
    <xf numFmtId="0" fontId="14" fillId="0" borderId="24" xfId="1293" applyFont="1" applyFill="1" applyBorder="1" applyAlignment="1">
      <alignment horizontal="right" vertical="top"/>
    </xf>
    <xf numFmtId="4" fontId="27" fillId="0" borderId="43" xfId="924" applyNumberFormat="1" applyFont="1" applyFill="1" applyBorder="1" applyAlignment="1">
      <alignment vertical="top"/>
    </xf>
    <xf numFmtId="0" fontId="14" fillId="0" borderId="69" xfId="1293" applyFont="1" applyFill="1" applyBorder="1" applyAlignment="1">
      <alignment vertical="top"/>
    </xf>
    <xf numFmtId="173" fontId="14" fillId="0" borderId="69" xfId="924" applyNumberFormat="1" applyFont="1" applyFill="1" applyBorder="1" applyAlignment="1">
      <alignment vertical="top"/>
    </xf>
    <xf numFmtId="0" fontId="14" fillId="0" borderId="69" xfId="1293" applyFont="1" applyFill="1" applyBorder="1" applyAlignment="1">
      <alignment horizontal="center" vertical="top"/>
    </xf>
    <xf numFmtId="0" fontId="10" fillId="0" borderId="69" xfId="1293" applyFont="1" applyFill="1" applyBorder="1" applyAlignment="1">
      <alignment horizontal="right" vertical="top"/>
    </xf>
    <xf numFmtId="0" fontId="14" fillId="0" borderId="34" xfId="1293" applyFont="1" applyFill="1" applyBorder="1" applyAlignment="1">
      <alignment vertical="top"/>
    </xf>
    <xf numFmtId="0" fontId="15" fillId="0" borderId="34" xfId="1293" applyFont="1" applyFill="1" applyBorder="1" applyAlignment="1">
      <alignment vertical="top"/>
    </xf>
    <xf numFmtId="173" fontId="14" fillId="0" borderId="34" xfId="924" applyNumberFormat="1" applyFont="1" applyFill="1" applyBorder="1" applyAlignment="1">
      <alignment vertical="top"/>
    </xf>
    <xf numFmtId="0" fontId="14" fillId="0" borderId="34" xfId="1293" applyFont="1" applyFill="1" applyBorder="1" applyAlignment="1">
      <alignment horizontal="center" vertical="top"/>
    </xf>
    <xf numFmtId="173" fontId="14" fillId="0" borderId="43" xfId="924" applyNumberFormat="1" applyFont="1" applyFill="1" applyBorder="1" applyAlignment="1">
      <alignment vertical="top"/>
    </xf>
    <xf numFmtId="4" fontId="14" fillId="0" borderId="24" xfId="924" applyNumberFormat="1" applyFont="1" applyFill="1" applyBorder="1" applyAlignment="1">
      <alignment vertical="top"/>
    </xf>
    <xf numFmtId="4" fontId="9" fillId="0" borderId="43" xfId="1293" applyNumberFormat="1" applyFont="1" applyFill="1" applyBorder="1" applyAlignment="1">
      <alignment vertical="top"/>
    </xf>
    <xf numFmtId="197" fontId="14" fillId="0" borderId="24" xfId="924" applyNumberFormat="1" applyFont="1" applyFill="1" applyBorder="1" applyAlignment="1">
      <alignment vertical="top"/>
    </xf>
    <xf numFmtId="173" fontId="14" fillId="0" borderId="45" xfId="924" applyNumberFormat="1" applyFont="1" applyFill="1" applyBorder="1" applyAlignment="1">
      <alignment vertical="top"/>
    </xf>
    <xf numFmtId="4" fontId="27" fillId="0" borderId="46" xfId="924" applyNumberFormat="1" applyFont="1" applyFill="1" applyBorder="1" applyAlignment="1">
      <alignment vertical="top"/>
    </xf>
    <xf numFmtId="173" fontId="14" fillId="0" borderId="41" xfId="924" applyFont="1" applyFill="1" applyBorder="1" applyAlignment="1">
      <alignment vertical="top"/>
    </xf>
    <xf numFmtId="4" fontId="150" fillId="0" borderId="43" xfId="924" applyNumberFormat="1" applyFont="1" applyFill="1" applyBorder="1" applyAlignment="1">
      <alignment vertical="top" wrapText="1"/>
    </xf>
    <xf numFmtId="4" fontId="15" fillId="0" borderId="43" xfId="924" applyNumberFormat="1" applyFont="1" applyFill="1" applyBorder="1" applyAlignment="1">
      <alignment vertical="top"/>
    </xf>
    <xf numFmtId="4" fontId="150" fillId="0" borderId="43" xfId="924" applyNumberFormat="1" applyFont="1" applyFill="1" applyBorder="1" applyAlignment="1">
      <alignment vertical="top"/>
    </xf>
    <xf numFmtId="173" fontId="14" fillId="0" borderId="45" xfId="924" applyFont="1" applyFill="1" applyBorder="1" applyAlignment="1">
      <alignment vertical="top"/>
    </xf>
    <xf numFmtId="4" fontId="139" fillId="0" borderId="46" xfId="924" applyNumberFormat="1" applyFont="1" applyFill="1" applyBorder="1" applyAlignment="1">
      <alignment vertical="top"/>
    </xf>
    <xf numFmtId="173" fontId="148" fillId="0" borderId="0" xfId="924" applyFont="1" applyFill="1" applyAlignment="1">
      <alignment vertical="top"/>
    </xf>
    <xf numFmtId="4" fontId="10" fillId="0" borderId="24" xfId="1293" applyNumberFormat="1" applyFont="1" applyFill="1" applyBorder="1" applyAlignment="1">
      <alignment horizontal="right" vertical="top"/>
    </xf>
    <xf numFmtId="4" fontId="14" fillId="0" borderId="45" xfId="924" applyNumberFormat="1" applyFont="1" applyFill="1" applyBorder="1" applyAlignment="1">
      <alignment vertical="top"/>
    </xf>
    <xf numFmtId="4" fontId="10" fillId="0" borderId="45" xfId="1293" applyNumberFormat="1" applyFont="1" applyFill="1" applyBorder="1" applyAlignment="1">
      <alignment horizontal="right" vertical="top"/>
    </xf>
    <xf numFmtId="39" fontId="14" fillId="0" borderId="39" xfId="1301" applyFont="1" applyFill="1" applyBorder="1"/>
    <xf numFmtId="39" fontId="14" fillId="0" borderId="42" xfId="1301" applyFont="1" applyFill="1" applyBorder="1"/>
    <xf numFmtId="39" fontId="14" fillId="0" borderId="51" xfId="1301" applyFont="1" applyFill="1" applyBorder="1"/>
    <xf numFmtId="0" fontId="14" fillId="0" borderId="126" xfId="1293" applyFont="1" applyFill="1" applyBorder="1"/>
    <xf numFmtId="39" fontId="14" fillId="0" borderId="44" xfId="1301" applyFont="1" applyFill="1" applyBorder="1"/>
    <xf numFmtId="39" fontId="14" fillId="0" borderId="0" xfId="1301" applyFont="1" applyFill="1" applyBorder="1"/>
    <xf numFmtId="194" fontId="15" fillId="0" borderId="0" xfId="1293" applyNumberFormat="1" applyFont="1" applyFill="1"/>
    <xf numFmtId="43" fontId="15" fillId="0" borderId="24" xfId="1293" applyNumberFormat="1" applyFont="1" applyFill="1" applyBorder="1"/>
    <xf numFmtId="0" fontId="15" fillId="0" borderId="24" xfId="1293" applyFont="1" applyFill="1" applyBorder="1" applyAlignment="1">
      <alignment horizontal="right"/>
    </xf>
    <xf numFmtId="171" fontId="15" fillId="0" borderId="24" xfId="1452" applyFont="1" applyFill="1" applyBorder="1"/>
    <xf numFmtId="0" fontId="54" fillId="0" borderId="0" xfId="1293" applyFont="1" applyFill="1"/>
    <xf numFmtId="0" fontId="15" fillId="0" borderId="0" xfId="1293" applyFont="1" applyFill="1"/>
    <xf numFmtId="4" fontId="71" fillId="0" borderId="0" xfId="1293" applyNumberFormat="1" applyFont="1" applyFill="1"/>
    <xf numFmtId="0" fontId="54" fillId="0" borderId="0" xfId="1293" applyFont="1" applyFill="1" applyAlignment="1">
      <alignment horizontal="center"/>
    </xf>
    <xf numFmtId="4" fontId="54" fillId="0" borderId="0" xfId="1293" applyNumberFormat="1" applyFont="1" applyFill="1"/>
    <xf numFmtId="194" fontId="54" fillId="0" borderId="0" xfId="1293" applyNumberFormat="1" applyFont="1" applyFill="1"/>
    <xf numFmtId="4" fontId="14" fillId="0" borderId="40" xfId="1293" applyNumberFormat="1" applyFont="1" applyFill="1" applyBorder="1"/>
    <xf numFmtId="4" fontId="14" fillId="0" borderId="65" xfId="463" applyNumberFormat="1" applyFont="1" applyFill="1" applyBorder="1"/>
    <xf numFmtId="4" fontId="14" fillId="0" borderId="43" xfId="463" applyNumberFormat="1" applyFont="1" applyFill="1" applyBorder="1"/>
    <xf numFmtId="4" fontId="14" fillId="0" borderId="45" xfId="1293" applyNumberFormat="1" applyFont="1" applyFill="1" applyBorder="1"/>
    <xf numFmtId="4" fontId="10" fillId="0" borderId="45" xfId="1276" applyNumberFormat="1" applyFont="1" applyFill="1" applyBorder="1" applyAlignment="1">
      <alignment horizontal="right"/>
    </xf>
    <xf numFmtId="4" fontId="15" fillId="0" borderId="46" xfId="1293" applyNumberFormat="1" applyFont="1" applyFill="1" applyBorder="1"/>
    <xf numFmtId="4" fontId="27" fillId="0" borderId="40" xfId="1276" applyNumberFormat="1" applyFont="1" applyFill="1" applyBorder="1" applyAlignment="1">
      <alignment horizontal="right"/>
    </xf>
    <xf numFmtId="4" fontId="27" fillId="0" borderId="41" xfId="1293" applyNumberFormat="1" applyFont="1" applyFill="1" applyBorder="1"/>
    <xf numFmtId="0" fontId="9" fillId="0" borderId="24" xfId="1268" applyNumberFormat="1" applyFont="1" applyFill="1" applyBorder="1" applyAlignment="1">
      <alignment vertical="top" wrapText="1"/>
    </xf>
    <xf numFmtId="195" fontId="10" fillId="0" borderId="23" xfId="0" applyNumberFormat="1" applyFont="1" applyFill="1" applyBorder="1" applyAlignment="1" applyProtection="1">
      <alignment horizontal="right" vertical="center"/>
    </xf>
    <xf numFmtId="0" fontId="14" fillId="0" borderId="60" xfId="1293" applyFont="1" applyFill="1" applyBorder="1"/>
    <xf numFmtId="43" fontId="15" fillId="0" borderId="99" xfId="1269" applyNumberFormat="1" applyFont="1" applyFill="1" applyBorder="1"/>
    <xf numFmtId="0" fontId="10" fillId="0" borderId="0" xfId="1293" applyFont="1" applyFill="1" applyBorder="1" applyAlignment="1"/>
    <xf numFmtId="0" fontId="9" fillId="0" borderId="0" xfId="1293" applyFont="1" applyFill="1" applyBorder="1" applyAlignment="1"/>
    <xf numFmtId="0" fontId="46" fillId="0" borderId="0" xfId="1293" applyFont="1" applyFill="1" applyBorder="1"/>
    <xf numFmtId="0" fontId="46" fillId="0" borderId="0" xfId="1293" applyFont="1" applyFill="1"/>
    <xf numFmtId="4" fontId="46" fillId="0" borderId="0" xfId="1293" applyNumberFormat="1" applyFont="1" applyFill="1"/>
    <xf numFmtId="0" fontId="47" fillId="0" borderId="39" xfId="1293" applyFont="1" applyFill="1" applyBorder="1"/>
    <xf numFmtId="0" fontId="47" fillId="0" borderId="40" xfId="1293" applyFont="1" applyFill="1" applyBorder="1"/>
    <xf numFmtId="0" fontId="47" fillId="0" borderId="40" xfId="1293" applyFont="1" applyFill="1" applyBorder="1" applyAlignment="1">
      <alignment horizontal="centerContinuous"/>
    </xf>
    <xf numFmtId="4" fontId="47" fillId="0" borderId="40" xfId="1293" applyNumberFormat="1" applyFont="1" applyFill="1" applyBorder="1"/>
    <xf numFmtId="4" fontId="14" fillId="0" borderId="41" xfId="463" applyNumberFormat="1" applyFont="1" applyFill="1" applyBorder="1"/>
    <xf numFmtId="0" fontId="47" fillId="0" borderId="42" xfId="1293" applyFont="1" applyFill="1" applyBorder="1"/>
    <xf numFmtId="2" fontId="47" fillId="0" borderId="24" xfId="1293" applyNumberFormat="1" applyFont="1" applyFill="1" applyBorder="1"/>
    <xf numFmtId="0" fontId="47" fillId="0" borderId="24" xfId="1293" applyFont="1" applyFill="1" applyBorder="1" applyAlignment="1">
      <alignment horizontal="centerContinuous"/>
    </xf>
    <xf numFmtId="4" fontId="47" fillId="0" borderId="24" xfId="1293" applyNumberFormat="1" applyFont="1" applyFill="1" applyBorder="1"/>
    <xf numFmtId="0" fontId="47" fillId="0" borderId="51" xfId="1293" applyFont="1" applyFill="1" applyBorder="1"/>
    <xf numFmtId="2" fontId="47" fillId="0" borderId="20" xfId="1293" applyNumberFormat="1" applyFont="1" applyFill="1" applyBorder="1"/>
    <xf numFmtId="0" fontId="47" fillId="0" borderId="20" xfId="1293" applyFont="1" applyFill="1" applyBorder="1" applyAlignment="1">
      <alignment horizontal="centerContinuous"/>
    </xf>
    <xf numFmtId="4" fontId="47" fillId="0" borderId="20" xfId="1293" applyNumberFormat="1" applyFont="1" applyFill="1" applyBorder="1"/>
    <xf numFmtId="0" fontId="47" fillId="0" borderId="44" xfId="1293" applyFont="1" applyFill="1" applyBorder="1"/>
    <xf numFmtId="0" fontId="47" fillId="0" borderId="45" xfId="1293" applyFont="1" applyFill="1" applyBorder="1"/>
    <xf numFmtId="0" fontId="46" fillId="0" borderId="45" xfId="1293" applyFont="1" applyFill="1" applyBorder="1" applyAlignment="1">
      <alignment horizontal="right"/>
    </xf>
    <xf numFmtId="4" fontId="46" fillId="0" borderId="46" xfId="1293" applyNumberFormat="1" applyFont="1" applyFill="1" applyBorder="1" applyAlignment="1">
      <alignment horizontal="right"/>
    </xf>
    <xf numFmtId="0" fontId="47" fillId="0" borderId="0" xfId="1278" applyFont="1" applyFill="1" applyBorder="1"/>
    <xf numFmtId="4" fontId="47" fillId="0" borderId="0" xfId="1278" applyNumberFormat="1" applyFont="1" applyFill="1" applyBorder="1"/>
    <xf numFmtId="0" fontId="9" fillId="0" borderId="39" xfId="0" applyFont="1" applyFill="1" applyBorder="1"/>
    <xf numFmtId="2" fontId="9" fillId="0" borderId="40" xfId="0" applyNumberFormat="1" applyFont="1" applyFill="1" applyBorder="1" applyAlignment="1"/>
    <xf numFmtId="4" fontId="9" fillId="0" borderId="40" xfId="0" applyNumberFormat="1" applyFont="1" applyFill="1" applyBorder="1" applyAlignment="1">
      <alignment horizontal="right"/>
    </xf>
    <xf numFmtId="0" fontId="47" fillId="0" borderId="42" xfId="1278" quotePrefix="1" applyFont="1" applyFill="1" applyBorder="1" applyAlignment="1">
      <alignment horizontal="left"/>
    </xf>
    <xf numFmtId="2" fontId="47" fillId="0" borderId="24" xfId="1288" applyNumberFormat="1" applyFont="1" applyFill="1" applyBorder="1" applyAlignment="1"/>
    <xf numFmtId="0" fontId="47" fillId="0" borderId="24" xfId="1278" applyFont="1" applyFill="1" applyBorder="1" applyAlignment="1">
      <alignment horizontal="center"/>
    </xf>
    <xf numFmtId="4" fontId="47" fillId="0" borderId="24" xfId="1278" applyNumberFormat="1" applyFont="1" applyFill="1" applyBorder="1" applyAlignment="1">
      <alignment horizontal="right"/>
    </xf>
    <xf numFmtId="0" fontId="47" fillId="0" borderId="42" xfId="1278" applyFont="1" applyFill="1" applyBorder="1"/>
    <xf numFmtId="0" fontId="47" fillId="0" borderId="24" xfId="1288" applyFont="1" applyFill="1" applyBorder="1" applyAlignment="1"/>
    <xf numFmtId="4" fontId="47" fillId="0" borderId="24" xfId="1288" applyNumberFormat="1" applyFont="1" applyFill="1" applyBorder="1" applyAlignment="1"/>
    <xf numFmtId="4" fontId="47" fillId="0" borderId="24" xfId="1278" applyNumberFormat="1" applyFont="1" applyFill="1" applyBorder="1" applyAlignment="1"/>
    <xf numFmtId="2" fontId="47" fillId="0" borderId="24" xfId="1278" applyNumberFormat="1" applyFont="1" applyFill="1" applyBorder="1" applyAlignment="1">
      <alignment horizontal="right"/>
    </xf>
    <xf numFmtId="0" fontId="46" fillId="0" borderId="42" xfId="1278" applyFont="1" applyFill="1" applyBorder="1" applyAlignment="1">
      <alignment horizontal="left"/>
    </xf>
    <xf numFmtId="0" fontId="46" fillId="0" borderId="24" xfId="1278" applyFont="1" applyFill="1" applyBorder="1" applyAlignment="1">
      <alignment horizontal="left"/>
    </xf>
    <xf numFmtId="0" fontId="46" fillId="0" borderId="24" xfId="1278" applyFont="1" applyFill="1" applyBorder="1" applyAlignment="1">
      <alignment horizontal="center"/>
    </xf>
    <xf numFmtId="4" fontId="46" fillId="0" borderId="43" xfId="1278" applyNumberFormat="1" applyFont="1" applyFill="1" applyBorder="1" applyAlignment="1"/>
    <xf numFmtId="0" fontId="46" fillId="0" borderId="44" xfId="1278" applyFont="1" applyFill="1" applyBorder="1" applyAlignment="1">
      <alignment horizontal="left"/>
    </xf>
    <xf numFmtId="0" fontId="46" fillId="0" borderId="45" xfId="1278" applyFont="1" applyFill="1" applyBorder="1"/>
    <xf numFmtId="0" fontId="46" fillId="0" borderId="45" xfId="1278" applyFont="1" applyFill="1" applyBorder="1" applyAlignment="1">
      <alignment horizontal="center"/>
    </xf>
    <xf numFmtId="4" fontId="46" fillId="0" borderId="46" xfId="1278" applyNumberFormat="1" applyFont="1" applyFill="1" applyBorder="1" applyAlignment="1"/>
    <xf numFmtId="4" fontId="21" fillId="0" borderId="43" xfId="1293" applyNumberFormat="1" applyFont="1" applyFill="1" applyBorder="1"/>
    <xf numFmtId="4" fontId="15" fillId="0" borderId="45" xfId="1293" applyNumberFormat="1" applyFont="1" applyFill="1" applyBorder="1" applyAlignment="1">
      <alignment horizontal="right" vertical="top"/>
    </xf>
    <xf numFmtId="173" fontId="15" fillId="0" borderId="46" xfId="924" applyFont="1" applyFill="1" applyBorder="1" applyAlignment="1">
      <alignment horizontal="right"/>
    </xf>
    <xf numFmtId="0" fontId="14" fillId="0" borderId="0" xfId="1293" applyFont="1" applyFill="1" applyBorder="1" applyAlignment="1">
      <alignment horizontal="right"/>
    </xf>
    <xf numFmtId="175" fontId="14" fillId="0" borderId="0" xfId="924" applyNumberFormat="1" applyFont="1" applyFill="1" applyBorder="1"/>
    <xf numFmtId="0" fontId="15" fillId="0" borderId="24" xfId="1278" applyFont="1" applyFill="1" applyBorder="1" applyAlignment="1">
      <alignment horizontal="center"/>
    </xf>
    <xf numFmtId="4" fontId="10" fillId="0" borderId="0" xfId="1293" applyNumberFormat="1" applyFont="1" applyFill="1" applyAlignment="1">
      <alignment horizontal="center"/>
    </xf>
    <xf numFmtId="4" fontId="9" fillId="0" borderId="73" xfId="1293" applyNumberFormat="1" applyFont="1" applyFill="1" applyBorder="1" applyAlignment="1">
      <alignment horizontal="center"/>
    </xf>
    <xf numFmtId="4" fontId="9" fillId="0" borderId="65" xfId="1293" applyNumberFormat="1" applyFont="1" applyFill="1" applyBorder="1"/>
    <xf numFmtId="0" fontId="9" fillId="0" borderId="60" xfId="1293" applyFont="1" applyFill="1" applyBorder="1"/>
    <xf numFmtId="4" fontId="9" fillId="0" borderId="19" xfId="1293" applyNumberFormat="1" applyFont="1" applyFill="1" applyBorder="1"/>
    <xf numFmtId="4" fontId="9" fillId="0" borderId="19" xfId="1293" applyNumberFormat="1" applyFont="1" applyFill="1" applyBorder="1" applyAlignment="1">
      <alignment horizontal="center"/>
    </xf>
    <xf numFmtId="4" fontId="9" fillId="0" borderId="61" xfId="1293" applyNumberFormat="1" applyFont="1" applyFill="1" applyBorder="1"/>
    <xf numFmtId="0" fontId="9" fillId="0" borderId="60" xfId="1293" quotePrefix="1" applyFont="1" applyFill="1" applyBorder="1"/>
    <xf numFmtId="4" fontId="137" fillId="0" borderId="61" xfId="1293" applyNumberFormat="1" applyFont="1" applyFill="1" applyBorder="1"/>
    <xf numFmtId="0" fontId="9" fillId="0" borderId="62" xfId="1293" applyFont="1" applyFill="1" applyBorder="1"/>
    <xf numFmtId="4" fontId="9" fillId="0" borderId="63" xfId="1293" applyNumberFormat="1" applyFont="1" applyFill="1" applyBorder="1"/>
    <xf numFmtId="4" fontId="9" fillId="0" borderId="63" xfId="1293" applyNumberFormat="1" applyFont="1" applyFill="1" applyBorder="1" applyAlignment="1">
      <alignment horizontal="center"/>
    </xf>
    <xf numFmtId="4" fontId="10" fillId="0" borderId="63" xfId="1293" applyNumberFormat="1" applyFont="1" applyFill="1" applyBorder="1" applyAlignment="1">
      <alignment horizontal="right"/>
    </xf>
    <xf numFmtId="4" fontId="10" fillId="0" borderId="64" xfId="1293" applyNumberFormat="1" applyFont="1" applyFill="1" applyBorder="1" applyAlignment="1">
      <alignment horizontal="right"/>
    </xf>
    <xf numFmtId="4" fontId="9" fillId="0" borderId="20" xfId="1293" applyNumberFormat="1" applyFont="1" applyFill="1" applyBorder="1"/>
    <xf numFmtId="4" fontId="9" fillId="0" borderId="20" xfId="1293" applyNumberFormat="1" applyFont="1" applyFill="1" applyBorder="1" applyAlignment="1">
      <alignment horizontal="centerContinuous"/>
    </xf>
    <xf numFmtId="2" fontId="9" fillId="0" borderId="43" xfId="1293" applyNumberFormat="1" applyFont="1" applyFill="1" applyBorder="1" applyAlignment="1">
      <alignment horizontal="right"/>
    </xf>
    <xf numFmtId="173" fontId="9" fillId="0" borderId="24" xfId="1488" applyNumberFormat="1" applyFont="1" applyFill="1" applyBorder="1"/>
    <xf numFmtId="2" fontId="9" fillId="0" borderId="43" xfId="1293" applyNumberFormat="1" applyFont="1" applyFill="1" applyBorder="1"/>
    <xf numFmtId="39" fontId="9" fillId="0" borderId="45" xfId="1293" applyNumberFormat="1" applyFont="1" applyFill="1" applyBorder="1" applyAlignment="1">
      <alignment horizontal="center"/>
    </xf>
    <xf numFmtId="173" fontId="10" fillId="0" borderId="46" xfId="1490" applyNumberFormat="1" applyFont="1" applyFill="1" applyBorder="1" applyAlignment="1" applyProtection="1">
      <alignment horizontal="right" vertical="center"/>
    </xf>
    <xf numFmtId="43" fontId="9" fillId="0" borderId="40" xfId="1485" applyFont="1" applyFill="1" applyBorder="1"/>
    <xf numFmtId="39" fontId="9" fillId="0" borderId="40" xfId="1293" applyNumberFormat="1" applyFont="1" applyFill="1" applyBorder="1" applyAlignment="1">
      <alignment horizontal="center"/>
    </xf>
    <xf numFmtId="173" fontId="9" fillId="0" borderId="40" xfId="1488" applyNumberFormat="1" applyFont="1" applyFill="1" applyBorder="1" applyAlignment="1">
      <alignment horizontal="right"/>
    </xf>
    <xf numFmtId="4" fontId="9" fillId="0" borderId="41" xfId="1293" applyNumberFormat="1" applyFont="1" applyFill="1" applyBorder="1" applyAlignment="1">
      <alignment horizontal="right"/>
    </xf>
    <xf numFmtId="4" fontId="9" fillId="0" borderId="43" xfId="1293" applyNumberFormat="1" applyFont="1" applyFill="1" applyBorder="1" applyAlignment="1">
      <alignment horizontal="right"/>
    </xf>
    <xf numFmtId="43" fontId="9" fillId="0" borderId="0" xfId="1485" applyFont="1" applyFill="1" applyBorder="1" applyAlignment="1">
      <alignment horizontal="right" vertical="center"/>
    </xf>
    <xf numFmtId="0" fontId="9" fillId="0" borderId="0" xfId="1297" applyFont="1" applyFill="1" applyBorder="1" applyAlignment="1" applyProtection="1">
      <alignment horizontal="center" vertical="center"/>
    </xf>
    <xf numFmtId="4" fontId="10" fillId="0" borderId="0" xfId="1297" applyNumberFormat="1" applyFont="1" applyFill="1" applyBorder="1" applyAlignment="1" applyProtection="1">
      <alignment horizontal="right" vertical="center"/>
    </xf>
    <xf numFmtId="195" fontId="10" fillId="0" borderId="0" xfId="1297" applyNumberFormat="1" applyFont="1" applyFill="1" applyBorder="1" applyAlignment="1" applyProtection="1">
      <alignment horizontal="right" vertical="center"/>
    </xf>
    <xf numFmtId="0" fontId="9" fillId="0" borderId="42" xfId="1297" applyFont="1" applyFill="1" applyBorder="1" applyAlignment="1" applyProtection="1">
      <alignment horizontal="left" vertical="center"/>
    </xf>
    <xf numFmtId="43" fontId="9" fillId="0" borderId="24" xfId="1485" applyFont="1" applyFill="1" applyBorder="1" applyAlignment="1">
      <alignment horizontal="right" vertical="center"/>
    </xf>
    <xf numFmtId="0" fontId="9" fillId="0" borderId="24" xfId="1297" applyFont="1" applyFill="1" applyBorder="1" applyAlignment="1" applyProtection="1">
      <alignment horizontal="center" vertical="center"/>
    </xf>
    <xf numFmtId="4" fontId="9" fillId="0" borderId="24" xfId="1297" applyNumberFormat="1" applyFont="1" applyFill="1" applyBorder="1" applyAlignment="1" applyProtection="1">
      <alignment horizontal="right" vertical="center"/>
    </xf>
    <xf numFmtId="4" fontId="9" fillId="0" borderId="43" xfId="1297" applyNumberFormat="1" applyFont="1" applyFill="1" applyBorder="1" applyAlignment="1" applyProtection="1">
      <alignment horizontal="right" vertical="center"/>
    </xf>
    <xf numFmtId="0" fontId="9" fillId="0" borderId="0" xfId="1292" applyFont="1" applyFill="1" applyBorder="1"/>
    <xf numFmtId="0" fontId="9" fillId="0" borderId="0" xfId="1292" applyFont="1" applyFill="1" applyBorder="1" applyAlignment="1">
      <alignment horizontal="right"/>
    </xf>
    <xf numFmtId="4" fontId="10" fillId="0" borderId="0" xfId="1292" applyNumberFormat="1" applyFont="1" applyFill="1" applyBorder="1" applyAlignment="1" applyProtection="1">
      <alignment horizontal="right"/>
    </xf>
    <xf numFmtId="0" fontId="10" fillId="0" borderId="0" xfId="1297" applyFont="1" applyFill="1" applyBorder="1" applyAlignment="1" applyProtection="1">
      <alignment vertical="center"/>
    </xf>
    <xf numFmtId="4" fontId="10" fillId="0" borderId="0" xfId="1297" applyNumberFormat="1" applyFont="1" applyFill="1" applyBorder="1" applyAlignment="1" applyProtection="1">
      <alignment vertical="center"/>
    </xf>
    <xf numFmtId="0" fontId="9" fillId="0" borderId="42" xfId="1297" quotePrefix="1" applyFont="1" applyFill="1" applyBorder="1" applyAlignment="1" applyProtection="1">
      <alignment horizontal="left" vertical="center"/>
    </xf>
    <xf numFmtId="43" fontId="9" fillId="0" borderId="24" xfId="1485" applyFont="1" applyFill="1" applyBorder="1" applyAlignment="1" applyProtection="1">
      <alignment horizontal="right" vertical="center"/>
    </xf>
    <xf numFmtId="180" fontId="9" fillId="0" borderId="24" xfId="1297" applyNumberFormat="1" applyFont="1" applyFill="1" applyBorder="1" applyAlignment="1" applyProtection="1">
      <alignment horizontal="right" vertical="center"/>
    </xf>
    <xf numFmtId="180" fontId="9" fillId="0" borderId="43" xfId="1297" applyNumberFormat="1" applyFont="1" applyFill="1" applyBorder="1" applyAlignment="1" applyProtection="1">
      <alignment horizontal="right" vertical="center"/>
    </xf>
    <xf numFmtId="180" fontId="10" fillId="0" borderId="0" xfId="1297" applyNumberFormat="1" applyFont="1" applyFill="1" applyBorder="1" applyAlignment="1" applyProtection="1">
      <alignment vertical="center"/>
    </xf>
    <xf numFmtId="0" fontId="9" fillId="0" borderId="0" xfId="1293" applyFont="1" applyFill="1" applyAlignment="1">
      <alignment vertical="top"/>
    </xf>
    <xf numFmtId="171" fontId="9" fillId="0" borderId="0" xfId="712" applyFont="1" applyFill="1" applyAlignment="1">
      <alignment vertical="top"/>
    </xf>
    <xf numFmtId="4" fontId="15" fillId="0" borderId="43" xfId="924" applyNumberFormat="1" applyFont="1" applyFill="1" applyBorder="1" applyAlignment="1" applyProtection="1">
      <alignment horizontal="right" vertical="center"/>
      <protection locked="0"/>
    </xf>
    <xf numFmtId="0" fontId="14" fillId="0" borderId="40" xfId="1297" applyFont="1" applyFill="1" applyBorder="1" applyAlignment="1" applyProtection="1">
      <alignment horizontal="left" vertical="center"/>
    </xf>
    <xf numFmtId="4" fontId="15" fillId="0" borderId="25" xfId="924" applyNumberFormat="1" applyFont="1" applyFill="1" applyBorder="1" applyAlignment="1">
      <alignment horizontal="right" vertical="center"/>
    </xf>
    <xf numFmtId="0" fontId="9" fillId="0" borderId="66" xfId="0" applyFont="1" applyFill="1" applyBorder="1"/>
    <xf numFmtId="2" fontId="147" fillId="0" borderId="24" xfId="0" applyNumberFormat="1" applyFont="1" applyFill="1" applyBorder="1"/>
    <xf numFmtId="0" fontId="9" fillId="0" borderId="69" xfId="1293" applyFont="1" applyFill="1" applyBorder="1"/>
    <xf numFmtId="43" fontId="9" fillId="0" borderId="69" xfId="1485" applyFont="1" applyFill="1" applyBorder="1"/>
    <xf numFmtId="39" fontId="9" fillId="0" borderId="69" xfId="1293" applyNumberFormat="1" applyFont="1" applyFill="1" applyBorder="1" applyAlignment="1">
      <alignment horizontal="center"/>
    </xf>
    <xf numFmtId="39" fontId="10" fillId="0" borderId="69" xfId="1293" quotePrefix="1" applyNumberFormat="1" applyFont="1" applyFill="1" applyBorder="1" applyAlignment="1">
      <alignment horizontal="right"/>
    </xf>
    <xf numFmtId="4" fontId="10" fillId="0" borderId="69" xfId="1293" applyNumberFormat="1" applyFont="1" applyFill="1" applyBorder="1" applyAlignment="1">
      <alignment horizontal="right"/>
    </xf>
    <xf numFmtId="39" fontId="10" fillId="0" borderId="24" xfId="1293" quotePrefix="1" applyNumberFormat="1" applyFont="1" applyFill="1" applyBorder="1" applyAlignment="1">
      <alignment horizontal="right"/>
    </xf>
    <xf numFmtId="43" fontId="9" fillId="0" borderId="20" xfId="1485" applyFont="1" applyFill="1" applyBorder="1"/>
    <xf numFmtId="0" fontId="15" fillId="0" borderId="99" xfId="1293" applyFont="1" applyFill="1" applyBorder="1" applyAlignment="1">
      <alignment horizontal="center"/>
    </xf>
    <xf numFmtId="173" fontId="15" fillId="0" borderId="50" xfId="924" applyFont="1" applyFill="1" applyBorder="1"/>
    <xf numFmtId="171" fontId="147" fillId="0" borderId="0" xfId="1452" applyFont="1" applyFill="1"/>
    <xf numFmtId="171" fontId="141" fillId="0" borderId="0" xfId="1452" applyFont="1" applyFill="1"/>
    <xf numFmtId="171" fontId="141" fillId="0" borderId="0" xfId="1452" applyFont="1" applyFill="1" applyAlignment="1">
      <alignment horizontal="center"/>
    </xf>
    <xf numFmtId="171" fontId="141" fillId="0" borderId="0" xfId="1452" applyFont="1" applyFill="1" applyAlignment="1">
      <alignment horizontal="right"/>
    </xf>
    <xf numFmtId="171" fontId="141" fillId="0" borderId="24" xfId="1452" applyFont="1" applyFill="1" applyBorder="1"/>
    <xf numFmtId="171" fontId="141" fillId="0" borderId="24" xfId="1452" applyFont="1" applyFill="1" applyBorder="1" applyAlignment="1">
      <alignment horizontal="center"/>
    </xf>
    <xf numFmtId="171" fontId="141" fillId="0" borderId="24" xfId="1452" applyFont="1" applyFill="1" applyBorder="1" applyAlignment="1">
      <alignment horizontal="right"/>
    </xf>
    <xf numFmtId="171" fontId="141" fillId="0" borderId="24" xfId="1452" applyFont="1" applyFill="1" applyBorder="1" applyAlignment="1">
      <alignment wrapText="1"/>
    </xf>
    <xf numFmtId="171" fontId="141" fillId="0" borderId="24" xfId="1452" applyFont="1" applyFill="1" applyBorder="1" applyAlignment="1"/>
    <xf numFmtId="171" fontId="147" fillId="0" borderId="24" xfId="1452" applyFont="1" applyFill="1" applyBorder="1" applyAlignment="1"/>
    <xf numFmtId="171" fontId="147" fillId="0" borderId="24" xfId="1452" applyFont="1" applyFill="1" applyBorder="1" applyAlignment="1">
      <alignment horizontal="right"/>
    </xf>
    <xf numFmtId="171" fontId="147" fillId="0" borderId="0" xfId="1452" applyFont="1" applyFill="1" applyBorder="1" applyAlignment="1">
      <alignment horizontal="center"/>
    </xf>
    <xf numFmtId="171" fontId="147" fillId="0" borderId="0" xfId="1452" applyFont="1" applyFill="1" applyBorder="1" applyAlignment="1">
      <alignment horizontal="right"/>
    </xf>
    <xf numFmtId="4" fontId="9" fillId="0" borderId="19" xfId="865" applyNumberFormat="1" applyFont="1" applyFill="1" applyBorder="1" applyAlignment="1">
      <alignment horizontal="right"/>
    </xf>
    <xf numFmtId="4" fontId="9" fillId="0" borderId="19" xfId="1482" applyNumberFormat="1" applyFont="1" applyFill="1" applyBorder="1"/>
    <xf numFmtId="4" fontId="9" fillId="0" borderId="33" xfId="865" applyNumberFormat="1" applyFont="1" applyFill="1" applyBorder="1"/>
    <xf numFmtId="4" fontId="9" fillId="0" borderId="19" xfId="865" applyNumberFormat="1" applyFont="1" applyFill="1" applyBorder="1" applyAlignment="1">
      <alignment horizontal="right" vertical="center"/>
    </xf>
    <xf numFmtId="4" fontId="9" fillId="0" borderId="19" xfId="1482" applyNumberFormat="1" applyFont="1" applyFill="1" applyBorder="1" applyAlignment="1">
      <alignment vertical="center"/>
    </xf>
    <xf numFmtId="4" fontId="9" fillId="0" borderId="33" xfId="0" applyNumberFormat="1" applyFont="1" applyFill="1" applyBorder="1"/>
    <xf numFmtId="4" fontId="9" fillId="0" borderId="102" xfId="865" applyNumberFormat="1" applyFont="1" applyFill="1" applyBorder="1" applyAlignment="1">
      <alignment horizontal="right"/>
    </xf>
    <xf numFmtId="4" fontId="9" fillId="0" borderId="102" xfId="1482" applyNumberFormat="1" applyFont="1" applyFill="1" applyBorder="1"/>
    <xf numFmtId="4" fontId="9" fillId="0" borderId="37" xfId="865" applyNumberFormat="1" applyFont="1" applyFill="1" applyBorder="1"/>
    <xf numFmtId="4" fontId="10" fillId="0" borderId="19" xfId="865" applyNumberFormat="1" applyFont="1" applyFill="1" applyBorder="1" applyAlignment="1">
      <alignment horizontal="right"/>
    </xf>
    <xf numFmtId="4" fontId="10" fillId="0" borderId="33" xfId="865" applyNumberFormat="1" applyFont="1" applyFill="1" applyBorder="1"/>
    <xf numFmtId="0" fontId="9" fillId="48" borderId="0" xfId="970" applyFont="1" applyFill="1"/>
    <xf numFmtId="0" fontId="9" fillId="48" borderId="40" xfId="970" applyFont="1" applyFill="1" applyBorder="1" applyAlignment="1">
      <alignment horizontal="center"/>
    </xf>
    <xf numFmtId="4" fontId="9" fillId="48" borderId="40" xfId="970" applyNumberFormat="1" applyFont="1" applyFill="1" applyBorder="1"/>
    <xf numFmtId="0" fontId="9" fillId="0" borderId="0" xfId="970" applyFont="1" applyFill="1"/>
    <xf numFmtId="0" fontId="10" fillId="70" borderId="0" xfId="970" applyFont="1" applyFill="1" applyBorder="1"/>
    <xf numFmtId="0" fontId="9" fillId="48" borderId="39" xfId="970" applyFont="1" applyFill="1" applyBorder="1"/>
    <xf numFmtId="4" fontId="9" fillId="0" borderId="0" xfId="0" applyNumberFormat="1" applyFont="1"/>
    <xf numFmtId="0" fontId="0" fillId="0" borderId="0" xfId="0"/>
    <xf numFmtId="2" fontId="34" fillId="0" borderId="0" xfId="0" applyNumberFormat="1" applyFont="1" applyFill="1" applyAlignment="1">
      <alignment horizontal="right" vertical="top"/>
    </xf>
    <xf numFmtId="2" fontId="34" fillId="0" borderId="0" xfId="0" applyNumberFormat="1" applyFont="1" applyAlignment="1">
      <alignment vertical="top"/>
    </xf>
    <xf numFmtId="4" fontId="0" fillId="69" borderId="0" xfId="0" applyNumberFormat="1" applyFill="1"/>
    <xf numFmtId="0" fontId="0" fillId="69" borderId="0" xfId="0" applyFill="1"/>
    <xf numFmtId="4" fontId="10" fillId="69" borderId="0" xfId="0" applyNumberFormat="1" applyFont="1" applyFill="1"/>
    <xf numFmtId="4" fontId="0" fillId="0" borderId="143" xfId="0" applyNumberFormat="1" applyBorder="1"/>
    <xf numFmtId="4" fontId="0" fillId="0" borderId="141" xfId="0" applyNumberFormat="1" applyBorder="1"/>
    <xf numFmtId="4" fontId="0" fillId="0" borderId="144" xfId="0" applyNumberFormat="1" applyBorder="1"/>
    <xf numFmtId="0" fontId="0" fillId="0" borderId="0" xfId="0"/>
    <xf numFmtId="0" fontId="0" fillId="0" borderId="0" xfId="0" applyFill="1"/>
    <xf numFmtId="0" fontId="0" fillId="0" borderId="0" xfId="0" applyBorder="1" applyAlignment="1">
      <alignment horizontal="center"/>
    </xf>
    <xf numFmtId="0" fontId="0" fillId="0" borderId="0" xfId="0"/>
    <xf numFmtId="0" fontId="0" fillId="0" borderId="0" xfId="0"/>
    <xf numFmtId="0" fontId="0" fillId="0" borderId="0" xfId="0"/>
    <xf numFmtId="4" fontId="0" fillId="0" borderId="0" xfId="0" applyNumberFormat="1" applyAlignment="1">
      <alignment horizontal="center"/>
    </xf>
    <xf numFmtId="4" fontId="10" fillId="0" borderId="145" xfId="0" applyNumberFormat="1" applyFont="1" applyBorder="1"/>
    <xf numFmtId="4" fontId="0" fillId="0" borderId="146" xfId="0" applyNumberFormat="1" applyBorder="1" applyAlignment="1">
      <alignment horizontal="center"/>
    </xf>
    <xf numFmtId="4" fontId="0" fillId="0" borderId="146" xfId="0" applyNumberFormat="1" applyBorder="1"/>
    <xf numFmtId="4" fontId="0" fillId="0" borderId="147" xfId="0" applyNumberFormat="1" applyBorder="1"/>
    <xf numFmtId="4" fontId="0" fillId="0" borderId="74" xfId="0" applyNumberFormat="1" applyBorder="1"/>
    <xf numFmtId="4" fontId="0" fillId="0" borderId="0" xfId="0" applyNumberFormat="1" applyBorder="1" applyAlignment="1">
      <alignment horizontal="center"/>
    </xf>
    <xf numFmtId="4" fontId="0" fillId="0" borderId="0" xfId="0" applyNumberFormat="1" applyBorder="1"/>
    <xf numFmtId="4" fontId="0" fillId="0" borderId="78" xfId="0" applyNumberFormat="1" applyBorder="1"/>
    <xf numFmtId="4" fontId="0" fillId="0" borderId="67" xfId="0" applyNumberFormat="1" applyBorder="1"/>
    <xf numFmtId="4" fontId="0" fillId="0" borderId="34" xfId="0" applyNumberFormat="1" applyBorder="1" applyAlignment="1">
      <alignment horizontal="center"/>
    </xf>
    <xf numFmtId="4" fontId="0" fillId="0" borderId="34" xfId="0" applyNumberFormat="1" applyBorder="1"/>
    <xf numFmtId="4" fontId="0" fillId="0" borderId="128" xfId="0" applyNumberFormat="1" applyBorder="1"/>
    <xf numFmtId="4" fontId="10" fillId="0" borderId="0" xfId="0" applyNumberFormat="1" applyFont="1" applyAlignment="1">
      <alignment horizontal="center"/>
    </xf>
    <xf numFmtId="0" fontId="10" fillId="0" borderId="0" xfId="970" applyFont="1"/>
    <xf numFmtId="4" fontId="155" fillId="0" borderId="0" xfId="0" applyNumberFormat="1" applyFont="1"/>
    <xf numFmtId="0" fontId="31" fillId="66" borderId="25" xfId="1293" applyFont="1" applyFill="1" applyBorder="1"/>
    <xf numFmtId="0" fontId="30" fillId="48" borderId="67" xfId="1293" applyFont="1" applyFill="1" applyBorder="1"/>
    <xf numFmtId="0" fontId="30" fillId="48" borderId="148" xfId="1293" applyFont="1" applyFill="1" applyBorder="1"/>
    <xf numFmtId="4" fontId="31" fillId="66" borderId="148" xfId="1293" applyNumberFormat="1" applyFont="1" applyFill="1" applyBorder="1" applyAlignment="1">
      <alignment horizontal="right"/>
    </xf>
    <xf numFmtId="4" fontId="36" fillId="79" borderId="0" xfId="1293" applyNumberFormat="1" applyFont="1" applyFill="1" applyBorder="1"/>
    <xf numFmtId="0" fontId="30" fillId="70" borderId="0" xfId="1293" applyFont="1" applyFill="1" applyBorder="1"/>
    <xf numFmtId="4" fontId="36" fillId="48" borderId="0" xfId="1443" applyNumberFormat="1" applyFont="1" applyFill="1" applyBorder="1"/>
    <xf numFmtId="0" fontId="31" fillId="66" borderId="67" xfId="1293" applyFont="1" applyFill="1" applyBorder="1"/>
    <xf numFmtId="0" fontId="30" fillId="70" borderId="34" xfId="1293" applyFont="1" applyFill="1" applyBorder="1"/>
    <xf numFmtId="0" fontId="30" fillId="70" borderId="74" xfId="1060" applyFont="1" applyFill="1" applyBorder="1" applyAlignment="1" applyProtection="1">
      <alignment horizontal="left" vertical="center"/>
    </xf>
    <xf numFmtId="2" fontId="30" fillId="70" borderId="74" xfId="1060" applyNumberFormat="1" applyFont="1" applyFill="1" applyBorder="1" applyAlignment="1" applyProtection="1">
      <alignment horizontal="right" vertical="center"/>
    </xf>
    <xf numFmtId="0" fontId="30" fillId="70" borderId="0" xfId="1060" applyFont="1" applyFill="1" applyBorder="1" applyAlignment="1" applyProtection="1">
      <alignment horizontal="center" vertical="center"/>
    </xf>
    <xf numFmtId="4" fontId="30" fillId="70" borderId="149" xfId="1060" applyNumberFormat="1" applyFont="1" applyFill="1" applyBorder="1" applyAlignment="1" applyProtection="1">
      <alignment horizontal="right" vertical="center"/>
    </xf>
    <xf numFmtId="4" fontId="30" fillId="70" borderId="0" xfId="1060" applyNumberFormat="1" applyFont="1" applyFill="1" applyBorder="1" applyAlignment="1" applyProtection="1">
      <alignment horizontal="right" vertical="center"/>
      <protection locked="0"/>
    </xf>
    <xf numFmtId="4" fontId="30" fillId="70" borderId="0" xfId="1060" applyNumberFormat="1" applyFont="1" applyFill="1" applyBorder="1" applyAlignment="1" applyProtection="1">
      <alignment horizontal="right" vertical="center"/>
    </xf>
    <xf numFmtId="0" fontId="30" fillId="72" borderId="74" xfId="1060" applyFont="1" applyFill="1" applyBorder="1" applyAlignment="1" applyProtection="1">
      <alignment horizontal="left" vertical="center"/>
    </xf>
    <xf numFmtId="0" fontId="30" fillId="70" borderId="74" xfId="1060" applyFont="1" applyFill="1" applyBorder="1" applyAlignment="1" applyProtection="1">
      <alignment horizontal="left" vertical="center" wrapText="1"/>
    </xf>
    <xf numFmtId="0" fontId="30" fillId="70" borderId="74" xfId="1293" applyFont="1" applyFill="1" applyBorder="1"/>
    <xf numFmtId="0" fontId="31" fillId="66" borderId="150" xfId="1060" applyFont="1" applyFill="1" applyBorder="1" applyAlignment="1" applyProtection="1">
      <alignment horizontal="left" vertical="center"/>
    </xf>
    <xf numFmtId="0" fontId="31" fillId="70" borderId="0" xfId="1060" quotePrefix="1" applyFont="1" applyFill="1" applyBorder="1" applyAlignment="1" applyProtection="1">
      <alignment horizontal="left" vertical="center"/>
    </xf>
    <xf numFmtId="0" fontId="30" fillId="70" borderId="0" xfId="1060" quotePrefix="1" applyFont="1" applyFill="1" applyBorder="1" applyAlignment="1" applyProtection="1">
      <alignment horizontal="left" vertical="center"/>
    </xf>
    <xf numFmtId="0" fontId="30" fillId="70" borderId="149" xfId="1060" applyFont="1" applyFill="1" applyBorder="1" applyAlignment="1" applyProtection="1">
      <alignment horizontal="left" vertical="center"/>
    </xf>
    <xf numFmtId="2" fontId="30" fillId="70" borderId="149" xfId="1060" applyNumberFormat="1" applyFont="1" applyFill="1" applyBorder="1" applyAlignment="1" applyProtection="1">
      <alignment horizontal="right" vertical="center"/>
    </xf>
    <xf numFmtId="0" fontId="30" fillId="70" borderId="149" xfId="1060" applyFont="1" applyFill="1" applyBorder="1" applyAlignment="1" applyProtection="1">
      <alignment horizontal="center" vertical="center"/>
    </xf>
    <xf numFmtId="4" fontId="30" fillId="70" borderId="149" xfId="1060" applyNumberFormat="1" applyFont="1" applyFill="1" applyBorder="1" applyAlignment="1" applyProtection="1">
      <alignment horizontal="right" vertical="center"/>
      <protection locked="0"/>
    </xf>
    <xf numFmtId="0" fontId="30" fillId="70" borderId="149" xfId="1060" applyFont="1" applyFill="1" applyBorder="1" applyAlignment="1" applyProtection="1">
      <alignment horizontal="left" vertical="center" wrapText="1"/>
    </xf>
    <xf numFmtId="0" fontId="30" fillId="72" borderId="149" xfId="1060" applyFont="1" applyFill="1" applyBorder="1" applyAlignment="1" applyProtection="1">
      <alignment horizontal="left" vertical="center"/>
    </xf>
    <xf numFmtId="0" fontId="30" fillId="70" borderId="151" xfId="1060" applyFont="1" applyFill="1" applyBorder="1" applyAlignment="1" applyProtection="1">
      <alignment horizontal="left" vertical="center"/>
    </xf>
    <xf numFmtId="0" fontId="30" fillId="70" borderId="151" xfId="1060" applyFont="1" applyFill="1" applyBorder="1" applyAlignment="1">
      <alignment vertical="center"/>
    </xf>
    <xf numFmtId="195" fontId="31" fillId="66" borderId="149" xfId="1060" applyNumberFormat="1" applyFont="1" applyFill="1" applyBorder="1" applyAlignment="1" applyProtection="1">
      <alignment horizontal="right" vertical="center"/>
    </xf>
    <xf numFmtId="0" fontId="30" fillId="70" borderId="148" xfId="1293" applyFont="1" applyFill="1" applyBorder="1"/>
    <xf numFmtId="4" fontId="30" fillId="66" borderId="0" xfId="1060" applyNumberFormat="1" applyFont="1" applyFill="1" applyBorder="1" applyAlignment="1" applyProtection="1">
      <alignment horizontal="right" vertical="center"/>
    </xf>
    <xf numFmtId="0" fontId="30" fillId="70" borderId="152" xfId="1293" applyFont="1" applyFill="1" applyBorder="1"/>
    <xf numFmtId="0" fontId="30" fillId="70" borderId="153" xfId="1293" applyFont="1" applyFill="1" applyBorder="1"/>
    <xf numFmtId="0" fontId="31" fillId="66" borderId="34" xfId="1293" applyFont="1" applyFill="1" applyBorder="1"/>
    <xf numFmtId="0" fontId="30" fillId="48" borderId="19" xfId="1293" applyFont="1" applyFill="1" applyBorder="1"/>
    <xf numFmtId="0" fontId="10" fillId="70" borderId="19" xfId="970" applyFont="1" applyFill="1" applyBorder="1" applyAlignment="1">
      <alignment vertical="top"/>
    </xf>
    <xf numFmtId="194" fontId="10" fillId="70" borderId="0" xfId="970" applyNumberFormat="1" applyFont="1" applyFill="1"/>
    <xf numFmtId="0" fontId="10" fillId="76" borderId="0" xfId="970" applyFont="1" applyFill="1" applyAlignment="1">
      <alignment wrapText="1"/>
    </xf>
    <xf numFmtId="0" fontId="9" fillId="70" borderId="0" xfId="970" applyFont="1" applyFill="1" applyAlignment="1">
      <alignment wrapText="1"/>
    </xf>
    <xf numFmtId="0" fontId="9" fillId="70" borderId="40" xfId="970" applyFont="1" applyFill="1" applyBorder="1"/>
    <xf numFmtId="10" fontId="9" fillId="70" borderId="149" xfId="970" applyNumberFormat="1" applyFont="1" applyFill="1" applyBorder="1"/>
    <xf numFmtId="0" fontId="9" fillId="70" borderId="149" xfId="970" applyFont="1" applyFill="1" applyBorder="1" applyAlignment="1">
      <alignment horizontal="center" vertical="center"/>
    </xf>
    <xf numFmtId="4" fontId="9" fillId="70" borderId="149" xfId="970" applyNumberFormat="1" applyFont="1" applyFill="1" applyBorder="1" applyAlignment="1">
      <alignment vertical="center"/>
    </xf>
    <xf numFmtId="4" fontId="9" fillId="70" borderId="155" xfId="970" applyNumberFormat="1" applyFont="1" applyFill="1" applyBorder="1"/>
    <xf numFmtId="0" fontId="9" fillId="70" borderId="149" xfId="970" applyFont="1" applyFill="1" applyBorder="1"/>
    <xf numFmtId="4" fontId="9" fillId="70" borderId="149" xfId="970" applyNumberFormat="1" applyFont="1" applyFill="1" applyBorder="1"/>
    <xf numFmtId="0" fontId="9" fillId="70" borderId="156" xfId="970" applyFont="1" applyFill="1" applyBorder="1"/>
    <xf numFmtId="0" fontId="9" fillId="70" borderId="157" xfId="970" applyFont="1" applyFill="1" applyBorder="1"/>
    <xf numFmtId="0" fontId="10" fillId="70" borderId="157" xfId="970" applyFont="1" applyFill="1" applyBorder="1" applyAlignment="1">
      <alignment horizontal="right"/>
    </xf>
    <xf numFmtId="4" fontId="10" fillId="76" borderId="158" xfId="970" applyNumberFormat="1" applyFont="1" applyFill="1" applyBorder="1"/>
    <xf numFmtId="0" fontId="9" fillId="66" borderId="0" xfId="970" applyFont="1" applyFill="1" applyBorder="1"/>
    <xf numFmtId="0" fontId="10" fillId="68" borderId="0" xfId="970" applyFont="1" applyFill="1" applyAlignment="1">
      <alignment wrapText="1"/>
    </xf>
    <xf numFmtId="4" fontId="9" fillId="70" borderId="111" xfId="970" applyNumberFormat="1" applyFont="1" applyFill="1" applyBorder="1"/>
    <xf numFmtId="4" fontId="10" fillId="68" borderId="158" xfId="970" applyNumberFormat="1" applyFont="1" applyFill="1" applyBorder="1"/>
    <xf numFmtId="0" fontId="9" fillId="70" borderId="159" xfId="970" applyFont="1" applyFill="1" applyBorder="1"/>
    <xf numFmtId="0" fontId="9" fillId="70" borderId="0" xfId="970" applyFill="1"/>
    <xf numFmtId="0" fontId="10" fillId="74" borderId="0" xfId="970" applyFont="1" applyFill="1" applyAlignment="1">
      <alignment wrapText="1"/>
    </xf>
    <xf numFmtId="4" fontId="10" fillId="74" borderId="158" xfId="970" applyNumberFormat="1" applyFont="1" applyFill="1" applyBorder="1"/>
    <xf numFmtId="0" fontId="10" fillId="66" borderId="0" xfId="970" applyFont="1" applyFill="1" applyAlignment="1">
      <alignment wrapText="1"/>
    </xf>
    <xf numFmtId="4" fontId="10" fillId="66" borderId="158" xfId="970" applyNumberFormat="1" applyFont="1" applyFill="1" applyBorder="1"/>
    <xf numFmtId="4" fontId="139" fillId="70" borderId="0" xfId="970" applyNumberFormat="1" applyFont="1" applyFill="1" applyBorder="1"/>
    <xf numFmtId="0" fontId="10" fillId="80" borderId="0" xfId="970" applyFont="1" applyFill="1" applyAlignment="1">
      <alignment wrapText="1"/>
    </xf>
    <xf numFmtId="4" fontId="10" fillId="80" borderId="158" xfId="970" applyNumberFormat="1" applyFont="1" applyFill="1" applyBorder="1"/>
    <xf numFmtId="0" fontId="10" fillId="75" borderId="0" xfId="970" applyFont="1" applyFill="1" applyAlignment="1">
      <alignment wrapText="1"/>
    </xf>
    <xf numFmtId="4" fontId="10" fillId="75" borderId="158" xfId="970" applyNumberFormat="1" applyFont="1" applyFill="1" applyBorder="1"/>
    <xf numFmtId="0" fontId="11" fillId="48" borderId="149" xfId="1295" applyFont="1" applyFill="1" applyBorder="1" applyAlignment="1">
      <alignment horizontal="left" wrapText="1"/>
    </xf>
    <xf numFmtId="173" fontId="11" fillId="48" borderId="149" xfId="462" applyFont="1" applyFill="1" applyBorder="1" applyAlignment="1">
      <alignment horizontal="centerContinuous" vertical="center"/>
    </xf>
    <xf numFmtId="4" fontId="51" fillId="48" borderId="149" xfId="924" applyNumberFormat="1" applyFont="1" applyFill="1" applyBorder="1" applyAlignment="1">
      <alignment horizontal="right"/>
    </xf>
    <xf numFmtId="4" fontId="51" fillId="48" borderId="149" xfId="924" applyNumberFormat="1" applyFont="1" applyFill="1" applyBorder="1"/>
    <xf numFmtId="173" fontId="11" fillId="48" borderId="149" xfId="462" applyFont="1" applyFill="1" applyBorder="1"/>
    <xf numFmtId="0" fontId="11" fillId="48" borderId="149" xfId="1295" applyFont="1" applyFill="1" applyBorder="1" applyAlignment="1">
      <alignment vertical="center" wrapText="1"/>
    </xf>
    <xf numFmtId="173" fontId="11" fillId="48" borderId="149" xfId="462" applyFont="1" applyFill="1" applyBorder="1" applyAlignment="1">
      <alignment horizontal="center" vertical="center"/>
    </xf>
    <xf numFmtId="173" fontId="11" fillId="48" borderId="149" xfId="462" applyFont="1" applyFill="1" applyBorder="1" applyAlignment="1">
      <alignment vertical="center"/>
    </xf>
    <xf numFmtId="4" fontId="51" fillId="48" borderId="149" xfId="924" applyNumberFormat="1" applyFont="1" applyFill="1" applyBorder="1" applyAlignment="1">
      <alignment vertical="center"/>
    </xf>
    <xf numFmtId="0" fontId="9" fillId="0" borderId="0" xfId="970" applyAlignment="1">
      <alignment vertical="center"/>
    </xf>
    <xf numFmtId="173" fontId="11" fillId="58" borderId="149" xfId="462" applyFont="1" applyFill="1" applyBorder="1"/>
    <xf numFmtId="0" fontId="11" fillId="48" borderId="149" xfId="1295" applyFont="1" applyFill="1" applyBorder="1"/>
    <xf numFmtId="39" fontId="11" fillId="48" borderId="149" xfId="1295" applyNumberFormat="1" applyFont="1" applyFill="1" applyBorder="1" applyAlignment="1">
      <alignment horizontal="center" vertical="center"/>
    </xf>
    <xf numFmtId="39" fontId="11" fillId="48" borderId="149" xfId="1295" applyNumberFormat="1" applyFont="1" applyFill="1" applyBorder="1"/>
    <xf numFmtId="0" fontId="11" fillId="48" borderId="149" xfId="1295" applyFont="1" applyFill="1" applyBorder="1" applyAlignment="1">
      <alignment horizontal="centerContinuous" vertical="center"/>
    </xf>
    <xf numFmtId="39" fontId="45" fillId="48" borderId="149" xfId="1295" quotePrefix="1" applyNumberFormat="1" applyFont="1" applyFill="1" applyBorder="1" applyAlignment="1">
      <alignment horizontal="left"/>
    </xf>
    <xf numFmtId="39" fontId="45" fillId="48" borderId="149" xfId="1295" quotePrefix="1" applyNumberFormat="1" applyFont="1" applyFill="1" applyBorder="1" applyAlignment="1">
      <alignment horizontal="left" vertical="center"/>
    </xf>
    <xf numFmtId="39" fontId="45" fillId="48" borderId="149" xfId="1295" applyNumberFormat="1" applyFont="1" applyFill="1" applyBorder="1"/>
    <xf numFmtId="0" fontId="45" fillId="48" borderId="149" xfId="1295" quotePrefix="1" applyFont="1" applyFill="1" applyBorder="1" applyAlignment="1">
      <alignment horizontal="left"/>
    </xf>
    <xf numFmtId="0" fontId="11" fillId="48" borderId="149" xfId="1295" applyFont="1" applyFill="1" applyBorder="1" applyAlignment="1">
      <alignment vertical="center"/>
    </xf>
    <xf numFmtId="39" fontId="11" fillId="48" borderId="149" xfId="1295" applyNumberFormat="1" applyFont="1" applyFill="1" applyBorder="1" applyAlignment="1">
      <alignment vertical="center"/>
    </xf>
    <xf numFmtId="0" fontId="45" fillId="48" borderId="149" xfId="1295" applyFont="1" applyFill="1" applyBorder="1" applyAlignment="1">
      <alignment horizontal="right"/>
    </xf>
    <xf numFmtId="39" fontId="45" fillId="48" borderId="149" xfId="1295" applyNumberFormat="1" applyFont="1" applyFill="1" applyBorder="1" applyAlignment="1">
      <alignment horizontal="right"/>
    </xf>
    <xf numFmtId="2" fontId="11" fillId="48" borderId="149" xfId="1295" applyNumberFormat="1" applyFont="1" applyFill="1" applyBorder="1"/>
    <xf numFmtId="39" fontId="90" fillId="61" borderId="149" xfId="1295" applyNumberFormat="1" applyFont="1" applyFill="1" applyBorder="1" applyAlignment="1">
      <alignment horizontal="right"/>
    </xf>
    <xf numFmtId="0" fontId="11" fillId="0" borderId="160" xfId="1295" applyFont="1" applyFill="1" applyBorder="1"/>
    <xf numFmtId="0" fontId="11" fillId="0" borderId="160" xfId="1295" applyFont="1" applyFill="1" applyBorder="1" applyAlignment="1">
      <alignment vertical="center"/>
    </xf>
    <xf numFmtId="0" fontId="45" fillId="0" borderId="160" xfId="1295" applyFont="1" applyFill="1" applyBorder="1" applyAlignment="1">
      <alignment horizontal="right"/>
    </xf>
    <xf numFmtId="39" fontId="90" fillId="0" borderId="160" xfId="1295" applyNumberFormat="1" applyFont="1" applyFill="1" applyBorder="1" applyAlignment="1">
      <alignment horizontal="right"/>
    </xf>
    <xf numFmtId="39" fontId="11" fillId="48" borderId="149" xfId="1295" applyNumberFormat="1" applyFont="1" applyFill="1" applyBorder="1" applyAlignment="1">
      <alignment horizontal="centerContinuous" vertical="center"/>
    </xf>
    <xf numFmtId="0" fontId="11" fillId="48" borderId="149" xfId="1295" quotePrefix="1" applyFont="1" applyFill="1" applyBorder="1" applyAlignment="1">
      <alignment horizontal="left"/>
    </xf>
    <xf numFmtId="173" fontId="11" fillId="48" borderId="149" xfId="462" applyFont="1" applyFill="1" applyBorder="1" applyAlignment="1">
      <alignment horizontal="centerContinuous"/>
    </xf>
    <xf numFmtId="2" fontId="45" fillId="48" borderId="149" xfId="1295" applyNumberFormat="1" applyFont="1" applyFill="1" applyBorder="1" applyAlignment="1">
      <alignment horizontal="right"/>
    </xf>
    <xf numFmtId="0" fontId="11" fillId="48" borderId="159" xfId="1295" applyFont="1" applyFill="1" applyBorder="1"/>
    <xf numFmtId="173" fontId="11" fillId="48" borderId="155" xfId="462" applyFont="1" applyFill="1" applyBorder="1"/>
    <xf numFmtId="2" fontId="11" fillId="48" borderId="155" xfId="1295" applyNumberFormat="1" applyFont="1" applyFill="1" applyBorder="1"/>
    <xf numFmtId="0" fontId="11" fillId="48" borderId="156" xfId="1295" applyFont="1" applyFill="1" applyBorder="1"/>
    <xf numFmtId="0" fontId="11" fillId="48" borderId="157" xfId="1295" applyFont="1" applyFill="1" applyBorder="1" applyAlignment="1">
      <alignment vertical="center"/>
    </xf>
    <xf numFmtId="0" fontId="11" fillId="48" borderId="157" xfId="1295" applyFont="1" applyFill="1" applyBorder="1"/>
    <xf numFmtId="0" fontId="45" fillId="48" borderId="157" xfId="1295" applyFont="1" applyFill="1" applyBorder="1" applyAlignment="1">
      <alignment horizontal="right"/>
    </xf>
    <xf numFmtId="39" fontId="45" fillId="48" borderId="158" xfId="1295" applyNumberFormat="1" applyFont="1" applyFill="1" applyBorder="1" applyAlignment="1">
      <alignment horizontal="right"/>
    </xf>
    <xf numFmtId="0" fontId="18" fillId="0" borderId="0" xfId="970" quotePrefix="1" applyFont="1" applyFill="1" applyBorder="1" applyAlignment="1">
      <alignment horizontal="left"/>
    </xf>
    <xf numFmtId="0" fontId="9" fillId="48" borderId="150" xfId="1295" applyFont="1" applyFill="1" applyBorder="1"/>
    <xf numFmtId="0" fontId="9" fillId="48" borderId="150" xfId="1295" applyFont="1" applyFill="1" applyBorder="1" applyAlignment="1">
      <alignment vertical="center"/>
    </xf>
    <xf numFmtId="0" fontId="9" fillId="48" borderId="150" xfId="1295" applyFont="1" applyFill="1" applyBorder="1" applyAlignment="1">
      <alignment horizontal="centerContinuous"/>
    </xf>
    <xf numFmtId="39" fontId="9" fillId="48" borderId="150" xfId="1295" applyNumberFormat="1" applyFont="1" applyFill="1" applyBorder="1"/>
    <xf numFmtId="0" fontId="18" fillId="0" borderId="75" xfId="970" quotePrefix="1" applyFont="1" applyFill="1" applyBorder="1" applyAlignment="1">
      <alignment horizontal="left"/>
    </xf>
    <xf numFmtId="0" fontId="9" fillId="48" borderId="161" xfId="1295" applyFont="1" applyFill="1" applyBorder="1"/>
    <xf numFmtId="39" fontId="9" fillId="48" borderId="162" xfId="1295" applyNumberFormat="1" applyFont="1" applyFill="1" applyBorder="1"/>
    <xf numFmtId="0" fontId="18" fillId="0" borderId="75" xfId="970" applyFont="1" applyFill="1" applyBorder="1"/>
    <xf numFmtId="0" fontId="18" fillId="0" borderId="53" xfId="970" applyFont="1" applyFill="1" applyBorder="1"/>
    <xf numFmtId="0" fontId="18" fillId="0" borderId="53" xfId="970" quotePrefix="1" applyFont="1" applyFill="1" applyBorder="1" applyAlignment="1">
      <alignment horizontal="left"/>
    </xf>
    <xf numFmtId="39" fontId="11" fillId="48" borderId="157" xfId="1295" applyNumberFormat="1" applyFont="1" applyFill="1" applyBorder="1" applyAlignment="1">
      <alignment horizontal="centerContinuous" vertical="center"/>
    </xf>
    <xf numFmtId="39" fontId="11" fillId="48" borderId="157" xfId="1295" applyNumberFormat="1" applyFont="1" applyFill="1" applyBorder="1"/>
    <xf numFmtId="39" fontId="45" fillId="48" borderId="157" xfId="1295" quotePrefix="1" applyNumberFormat="1" applyFont="1" applyFill="1" applyBorder="1" applyAlignment="1">
      <alignment horizontal="right"/>
    </xf>
    <xf numFmtId="2" fontId="45" fillId="48" borderId="158" xfId="1295" applyNumberFormat="1" applyFont="1" applyFill="1" applyBorder="1" applyAlignment="1">
      <alignment horizontal="right"/>
    </xf>
    <xf numFmtId="0" fontId="9" fillId="0" borderId="0" xfId="970" applyFill="1"/>
    <xf numFmtId="0" fontId="11" fillId="0" borderId="159" xfId="1295" applyFont="1" applyFill="1" applyBorder="1"/>
    <xf numFmtId="39" fontId="11" fillId="0" borderId="149" xfId="1295" applyNumberFormat="1" applyFont="1" applyFill="1" applyBorder="1" applyAlignment="1">
      <alignment horizontal="centerContinuous" vertical="center"/>
    </xf>
    <xf numFmtId="0" fontId="11" fillId="0" borderId="149" xfId="1295" applyFont="1" applyFill="1" applyBorder="1"/>
    <xf numFmtId="173" fontId="11" fillId="0" borderId="149" xfId="462" applyFont="1" applyFill="1" applyBorder="1"/>
    <xf numFmtId="173" fontId="11" fillId="0" borderId="155" xfId="462" applyFont="1" applyFill="1" applyBorder="1"/>
    <xf numFmtId="39" fontId="11" fillId="0" borderId="149" xfId="1295" applyNumberFormat="1" applyFont="1" applyFill="1" applyBorder="1"/>
    <xf numFmtId="173" fontId="11" fillId="0" borderId="149" xfId="462" applyFont="1" applyFill="1" applyBorder="1" applyAlignment="1">
      <alignment horizontal="centerContinuous"/>
    </xf>
    <xf numFmtId="0" fontId="11" fillId="0" borderId="156" xfId="1295" applyFont="1" applyFill="1" applyBorder="1"/>
    <xf numFmtId="39" fontId="11" fillId="0" borderId="157" xfId="1295" applyNumberFormat="1" applyFont="1" applyFill="1" applyBorder="1" applyAlignment="1">
      <alignment horizontal="centerContinuous" vertical="center"/>
    </xf>
    <xf numFmtId="39" fontId="11" fillId="0" borderId="157" xfId="1295" applyNumberFormat="1" applyFont="1" applyFill="1" applyBorder="1"/>
    <xf numFmtId="39" fontId="45" fillId="0" borderId="157" xfId="1295" quotePrefix="1" applyNumberFormat="1" applyFont="1" applyFill="1" applyBorder="1" applyAlignment="1">
      <alignment horizontal="right"/>
    </xf>
    <xf numFmtId="2" fontId="45" fillId="0" borderId="158" xfId="1295" applyNumberFormat="1" applyFont="1" applyFill="1" applyBorder="1" applyAlignment="1">
      <alignment horizontal="right"/>
    </xf>
    <xf numFmtId="0" fontId="11" fillId="48" borderId="159" xfId="1295" applyFont="1" applyFill="1" applyBorder="1" applyAlignment="1">
      <alignment vertical="center" wrapText="1"/>
    </xf>
    <xf numFmtId="0" fontId="11" fillId="48" borderId="149" xfId="1295" applyFont="1" applyFill="1" applyBorder="1" applyAlignment="1">
      <alignment horizontal="center" vertical="center"/>
    </xf>
    <xf numFmtId="2" fontId="11" fillId="48" borderId="149" xfId="1295" applyNumberFormat="1" applyFont="1" applyFill="1" applyBorder="1" applyAlignment="1">
      <alignment vertical="center"/>
    </xf>
    <xf numFmtId="173" fontId="11" fillId="48" borderId="155" xfId="462" applyFont="1" applyFill="1" applyBorder="1" applyAlignment="1">
      <alignment vertical="center"/>
    </xf>
    <xf numFmtId="0" fontId="11" fillId="48" borderId="157" xfId="1295" applyFont="1" applyFill="1" applyBorder="1" applyAlignment="1">
      <alignment horizontal="centerContinuous" vertical="center"/>
    </xf>
    <xf numFmtId="2" fontId="11" fillId="48" borderId="157" xfId="1295" applyNumberFormat="1" applyFont="1" applyFill="1" applyBorder="1"/>
    <xf numFmtId="2" fontId="45" fillId="48" borderId="157" xfId="1295" applyNumberFormat="1" applyFont="1" applyFill="1" applyBorder="1" applyAlignment="1">
      <alignment horizontal="right"/>
    </xf>
    <xf numFmtId="39" fontId="45" fillId="48" borderId="157" xfId="1295" applyNumberFormat="1" applyFont="1" applyFill="1" applyBorder="1" applyAlignment="1">
      <alignment horizontal="right"/>
    </xf>
    <xf numFmtId="199" fontId="11" fillId="48" borderId="149" xfId="1295" applyNumberFormat="1" applyFont="1" applyFill="1" applyBorder="1"/>
    <xf numFmtId="173" fontId="94" fillId="48" borderId="149" xfId="462" applyFont="1" applyFill="1" applyBorder="1"/>
    <xf numFmtId="173" fontId="45" fillId="48" borderId="149" xfId="462" applyFont="1" applyFill="1" applyBorder="1" applyAlignment="1">
      <alignment horizontal="right"/>
    </xf>
    <xf numFmtId="0" fontId="30" fillId="48" borderId="149" xfId="1295" applyFont="1" applyFill="1" applyBorder="1"/>
    <xf numFmtId="0" fontId="30" fillId="48" borderId="149" xfId="1295" applyFont="1" applyFill="1" applyBorder="1" applyAlignment="1">
      <alignment horizontal="center" vertical="center"/>
    </xf>
    <xf numFmtId="175" fontId="30" fillId="48" borderId="149" xfId="1295" applyNumberFormat="1" applyFont="1" applyFill="1" applyBorder="1"/>
    <xf numFmtId="2" fontId="30" fillId="48" borderId="149" xfId="1295" applyNumberFormat="1" applyFont="1" applyFill="1" applyBorder="1"/>
    <xf numFmtId="0" fontId="9" fillId="48" borderId="149" xfId="1295" applyFont="1" applyFill="1" applyBorder="1"/>
    <xf numFmtId="0" fontId="9" fillId="48" borderId="149" xfId="1295" applyFont="1" applyFill="1" applyBorder="1" applyAlignment="1">
      <alignment horizontal="center" vertical="center"/>
    </xf>
    <xf numFmtId="0" fontId="10" fillId="48" borderId="149" xfId="1295" applyFont="1" applyFill="1" applyBorder="1" applyAlignment="1">
      <alignment horizontal="right"/>
    </xf>
    <xf numFmtId="174" fontId="11" fillId="48" borderId="149" xfId="1295" applyNumberFormat="1" applyFont="1" applyFill="1" applyBorder="1"/>
    <xf numFmtId="0" fontId="34" fillId="48" borderId="149" xfId="1290" applyFont="1" applyFill="1" applyBorder="1" applyProtection="1"/>
    <xf numFmtId="0" fontId="34" fillId="48" borderId="149" xfId="1295" applyFont="1" applyFill="1" applyBorder="1" applyAlignment="1">
      <alignment horizontal="centerContinuous" vertical="center"/>
    </xf>
    <xf numFmtId="2" fontId="34" fillId="48" borderId="149" xfId="1295" applyNumberFormat="1" applyFont="1" applyFill="1" applyBorder="1"/>
    <xf numFmtId="0" fontId="34" fillId="48" borderId="149" xfId="1295" applyFont="1" applyFill="1" applyBorder="1" applyAlignment="1">
      <alignment vertical="center"/>
    </xf>
    <xf numFmtId="0" fontId="34" fillId="48" borderId="149" xfId="1295" applyFont="1" applyFill="1" applyBorder="1"/>
    <xf numFmtId="39" fontId="33" fillId="48" borderId="149" xfId="1295" applyNumberFormat="1" applyFont="1" applyFill="1" applyBorder="1" applyAlignment="1">
      <alignment horizontal="right"/>
    </xf>
    <xf numFmtId="0" fontId="35" fillId="48" borderId="159" xfId="1295" applyFont="1" applyFill="1" applyBorder="1"/>
    <xf numFmtId="2" fontId="35" fillId="48" borderId="149" xfId="1295" applyNumberFormat="1" applyFont="1" applyFill="1" applyBorder="1" applyAlignment="1">
      <alignment vertical="center"/>
    </xf>
    <xf numFmtId="0" fontId="35" fillId="48" borderId="149" xfId="1295" applyFont="1" applyFill="1" applyBorder="1" applyAlignment="1">
      <alignment horizontal="centerContinuous"/>
    </xf>
    <xf numFmtId="173" fontId="35" fillId="48" borderId="149" xfId="462" applyFont="1" applyFill="1" applyBorder="1"/>
    <xf numFmtId="0" fontId="35" fillId="48" borderId="161" xfId="1295" applyFont="1" applyFill="1" applyBorder="1"/>
    <xf numFmtId="0" fontId="35" fillId="48" borderId="150" xfId="1295" applyFont="1" applyFill="1" applyBorder="1" applyAlignment="1">
      <alignment vertical="center"/>
    </xf>
    <xf numFmtId="0" fontId="35" fillId="48" borderId="150" xfId="1295" applyFont="1" applyFill="1" applyBorder="1" applyAlignment="1">
      <alignment horizontal="centerContinuous"/>
    </xf>
    <xf numFmtId="173" fontId="35" fillId="48" borderId="150" xfId="462" applyFont="1" applyFill="1" applyBorder="1"/>
    <xf numFmtId="0" fontId="35" fillId="48" borderId="156" xfId="1295" applyFont="1" applyFill="1" applyBorder="1"/>
    <xf numFmtId="0" fontId="35" fillId="48" borderId="157" xfId="1295" applyFont="1" applyFill="1" applyBorder="1" applyAlignment="1">
      <alignment vertical="center"/>
    </xf>
    <xf numFmtId="0" fontId="35" fillId="48" borderId="157" xfId="1295" applyFont="1" applyFill="1" applyBorder="1"/>
    <xf numFmtId="0" fontId="38" fillId="48" borderId="157" xfId="1295" applyFont="1" applyFill="1" applyBorder="1" applyAlignment="1">
      <alignment horizontal="right"/>
    </xf>
    <xf numFmtId="39" fontId="38" fillId="48" borderId="158" xfId="1295" applyNumberFormat="1" applyFont="1" applyFill="1" applyBorder="1" applyAlignment="1">
      <alignment horizontal="right"/>
    </xf>
    <xf numFmtId="39" fontId="9" fillId="0" borderId="0" xfId="970" applyNumberFormat="1"/>
    <xf numFmtId="0" fontId="14" fillId="42" borderId="0" xfId="970" applyFont="1" applyFill="1" applyBorder="1"/>
    <xf numFmtId="0" fontId="15" fillId="42" borderId="0" xfId="970" applyFont="1" applyFill="1" applyBorder="1" applyAlignment="1">
      <alignment horizontal="center"/>
    </xf>
    <xf numFmtId="0" fontId="10" fillId="48" borderId="0" xfId="970" applyFont="1" applyFill="1" applyBorder="1"/>
    <xf numFmtId="0" fontId="9" fillId="48" borderId="0" xfId="970" applyFont="1" applyFill="1" applyBorder="1" applyAlignment="1">
      <alignment horizontal="center"/>
    </xf>
    <xf numFmtId="4" fontId="9" fillId="48" borderId="0" xfId="970" applyNumberFormat="1" applyFont="1" applyFill="1" applyBorder="1"/>
    <xf numFmtId="0" fontId="9" fillId="48" borderId="159" xfId="970" applyFont="1" applyFill="1" applyBorder="1"/>
    <xf numFmtId="2" fontId="9" fillId="48" borderId="149" xfId="970" applyNumberFormat="1" applyFont="1" applyFill="1" applyBorder="1"/>
    <xf numFmtId="0" fontId="9" fillId="48" borderId="149" xfId="970" applyFont="1" applyFill="1" applyBorder="1" applyAlignment="1">
      <alignment horizontal="center"/>
    </xf>
    <xf numFmtId="4" fontId="9" fillId="48" borderId="149" xfId="970" applyNumberFormat="1" applyFont="1" applyFill="1" applyBorder="1"/>
    <xf numFmtId="0" fontId="9" fillId="48" borderId="156" xfId="970" applyFont="1" applyFill="1" applyBorder="1"/>
    <xf numFmtId="0" fontId="14" fillId="42" borderId="39" xfId="970" applyFont="1" applyFill="1" applyBorder="1"/>
    <xf numFmtId="0" fontId="14" fillId="42" borderId="40" xfId="970" applyFont="1" applyFill="1" applyBorder="1"/>
    <xf numFmtId="0" fontId="14" fillId="42" borderId="40" xfId="970" applyFont="1" applyFill="1" applyBorder="1" applyAlignment="1">
      <alignment horizontal="center"/>
    </xf>
    <xf numFmtId="0" fontId="14" fillId="42" borderId="159" xfId="970" applyFont="1" applyFill="1" applyBorder="1"/>
    <xf numFmtId="0" fontId="14" fillId="42" borderId="149" xfId="970" applyFont="1" applyFill="1" applyBorder="1" applyAlignment="1">
      <alignment horizontal="center"/>
    </xf>
    <xf numFmtId="2" fontId="14" fillId="42" borderId="149" xfId="970" applyNumberFormat="1" applyFont="1" applyFill="1" applyBorder="1"/>
    <xf numFmtId="0" fontId="14" fillId="42" borderId="156" xfId="970" applyFont="1" applyFill="1" applyBorder="1"/>
    <xf numFmtId="0" fontId="14" fillId="42" borderId="157" xfId="970" applyFont="1" applyFill="1" applyBorder="1"/>
    <xf numFmtId="193" fontId="9" fillId="48" borderId="0" xfId="970" applyNumberFormat="1" applyFont="1" applyFill="1"/>
    <xf numFmtId="0" fontId="9" fillId="66" borderId="0" xfId="970" applyFill="1"/>
    <xf numFmtId="0" fontId="9" fillId="71" borderId="0" xfId="970" applyFill="1"/>
    <xf numFmtId="4" fontId="9" fillId="70" borderId="0" xfId="970" applyNumberFormat="1" applyFill="1"/>
    <xf numFmtId="4" fontId="9" fillId="66" borderId="0" xfId="970" applyNumberFormat="1" applyFill="1"/>
    <xf numFmtId="0" fontId="9" fillId="72" borderId="0" xfId="970" applyFill="1"/>
    <xf numFmtId="4" fontId="9" fillId="73" borderId="0" xfId="970" applyNumberFormat="1" applyFill="1"/>
    <xf numFmtId="4" fontId="9" fillId="71" borderId="0" xfId="970" applyNumberFormat="1" applyFill="1"/>
    <xf numFmtId="0" fontId="9" fillId="71" borderId="0" xfId="970" applyFont="1" applyFill="1"/>
    <xf numFmtId="4" fontId="138" fillId="72" borderId="110" xfId="970" applyNumberFormat="1" applyFont="1" applyFill="1" applyBorder="1" applyAlignment="1" applyProtection="1">
      <alignment horizontal="right" vertical="center"/>
    </xf>
    <xf numFmtId="0" fontId="11" fillId="48" borderId="159" xfId="1293" applyFont="1" applyFill="1" applyBorder="1"/>
    <xf numFmtId="0" fontId="11" fillId="48" borderId="156" xfId="1293" applyFont="1" applyFill="1" applyBorder="1"/>
    <xf numFmtId="2" fontId="11" fillId="48" borderId="155" xfId="1293" applyNumberFormat="1" applyFont="1" applyFill="1" applyBorder="1"/>
    <xf numFmtId="4" fontId="45" fillId="48" borderId="158" xfId="1293" applyNumberFormat="1" applyFont="1" applyFill="1" applyBorder="1" applyAlignment="1">
      <alignment horizontal="right"/>
    </xf>
    <xf numFmtId="0" fontId="9" fillId="0" borderId="0" xfId="970" applyFont="1" applyFill="1" applyBorder="1"/>
    <xf numFmtId="0" fontId="14" fillId="48" borderId="159" xfId="1293" applyFont="1" applyFill="1" applyBorder="1"/>
    <xf numFmtId="173" fontId="14" fillId="48" borderId="149" xfId="924" applyFont="1" applyFill="1" applyBorder="1"/>
    <xf numFmtId="0" fontId="14" fillId="48" borderId="149" xfId="1293" applyFont="1" applyFill="1" applyBorder="1" applyAlignment="1">
      <alignment horizontal="center"/>
    </xf>
    <xf numFmtId="4" fontId="14" fillId="48" borderId="155" xfId="463" applyNumberFormat="1" applyFont="1" applyFill="1" applyBorder="1" applyAlignment="1">
      <alignment vertical="center"/>
    </xf>
    <xf numFmtId="0" fontId="9" fillId="0" borderId="0" xfId="970" applyAlignment="1">
      <alignment horizontal="center"/>
    </xf>
    <xf numFmtId="0" fontId="34" fillId="48" borderId="159" xfId="972" applyFont="1" applyFill="1" applyBorder="1"/>
    <xf numFmtId="2" fontId="34" fillId="48" borderId="149" xfId="972" applyNumberFormat="1" applyFont="1" applyFill="1" applyBorder="1" applyAlignment="1">
      <alignment vertical="center"/>
    </xf>
    <xf numFmtId="0" fontId="34" fillId="48" borderId="149" xfId="972" applyFont="1" applyFill="1" applyBorder="1" applyAlignment="1">
      <alignment horizontal="centerContinuous"/>
    </xf>
    <xf numFmtId="39" fontId="34" fillId="48" borderId="155" xfId="972" applyNumberFormat="1" applyFont="1" applyFill="1" applyBorder="1"/>
    <xf numFmtId="0" fontId="34" fillId="48" borderId="156" xfId="972" applyFont="1" applyFill="1" applyBorder="1"/>
    <xf numFmtId="0" fontId="34" fillId="48" borderId="157" xfId="972" applyFont="1" applyFill="1" applyBorder="1" applyAlignment="1">
      <alignment vertical="center"/>
    </xf>
    <xf numFmtId="0" fontId="34" fillId="48" borderId="157" xfId="972" applyFont="1" applyFill="1" applyBorder="1"/>
    <xf numFmtId="0" fontId="33" fillId="48" borderId="157" xfId="972" applyFont="1" applyFill="1" applyBorder="1" applyAlignment="1">
      <alignment horizontal="right"/>
    </xf>
    <xf numFmtId="39" fontId="33" fillId="48" borderId="158" xfId="972" applyNumberFormat="1" applyFont="1" applyFill="1" applyBorder="1" applyAlignment="1">
      <alignment horizontal="right"/>
    </xf>
    <xf numFmtId="0" fontId="34" fillId="48" borderId="161" xfId="972" applyFont="1" applyFill="1" applyBorder="1"/>
    <xf numFmtId="2" fontId="11" fillId="48" borderId="150" xfId="1295" applyNumberFormat="1" applyFont="1" applyFill="1" applyBorder="1" applyAlignment="1">
      <alignment vertical="center"/>
    </xf>
    <xf numFmtId="0" fontId="34" fillId="48" borderId="150" xfId="972" applyFont="1" applyFill="1" applyBorder="1" applyAlignment="1">
      <alignment horizontal="center"/>
    </xf>
    <xf numFmtId="39" fontId="34" fillId="48" borderId="149" xfId="972" applyNumberFormat="1" applyFont="1" applyFill="1" applyBorder="1"/>
    <xf numFmtId="39" fontId="34" fillId="48" borderId="162" xfId="972" applyNumberFormat="1" applyFont="1" applyFill="1" applyBorder="1"/>
    <xf numFmtId="39" fontId="11" fillId="48" borderId="149" xfId="972" applyNumberFormat="1" applyFont="1" applyFill="1" applyBorder="1" applyAlignment="1">
      <alignment horizontal="right" vertical="center"/>
    </xf>
    <xf numFmtId="39" fontId="9" fillId="48" borderId="41" xfId="970" applyNumberFormat="1" applyFont="1" applyFill="1" applyBorder="1"/>
    <xf numFmtId="0" fontId="9" fillId="48" borderId="156" xfId="1293" applyFont="1" applyFill="1" applyBorder="1"/>
    <xf numFmtId="0" fontId="9" fillId="48" borderId="157" xfId="1293" applyFont="1" applyFill="1" applyBorder="1" applyAlignment="1">
      <alignment vertical="center"/>
    </xf>
    <xf numFmtId="0" fontId="9" fillId="48" borderId="157" xfId="1293" applyFont="1" applyFill="1" applyBorder="1"/>
    <xf numFmtId="39" fontId="10" fillId="48" borderId="158" xfId="1293" applyNumberFormat="1" applyFont="1" applyFill="1" applyBorder="1"/>
    <xf numFmtId="0" fontId="9" fillId="48" borderId="0" xfId="970" applyFill="1"/>
    <xf numFmtId="0" fontId="34" fillId="50" borderId="149" xfId="1050" applyFont="1" applyFill="1" applyBorder="1" applyAlignment="1">
      <alignment vertical="center"/>
    </xf>
    <xf numFmtId="0" fontId="34" fillId="50" borderId="149" xfId="1050" applyFont="1" applyFill="1" applyBorder="1"/>
    <xf numFmtId="0" fontId="34" fillId="50" borderId="149" xfId="1050" applyFont="1" applyFill="1" applyBorder="1" applyAlignment="1">
      <alignment horizontal="centerContinuous"/>
    </xf>
    <xf numFmtId="39" fontId="11" fillId="50" borderId="149" xfId="1294" applyNumberFormat="1" applyFont="1" applyFill="1" applyBorder="1"/>
    <xf numFmtId="39" fontId="34" fillId="50" borderId="149" xfId="1050" applyNumberFormat="1" applyFont="1" applyFill="1" applyBorder="1"/>
    <xf numFmtId="2" fontId="34" fillId="50" borderId="149" xfId="1050" applyNumberFormat="1" applyFont="1" applyFill="1" applyBorder="1"/>
    <xf numFmtId="0" fontId="33" fillId="50" borderId="149" xfId="1050" applyFont="1" applyFill="1" applyBorder="1" applyAlignment="1">
      <alignment horizontal="right"/>
    </xf>
    <xf numFmtId="39" fontId="33" fillId="50" borderId="149" xfId="1050" applyNumberFormat="1" applyFont="1" applyFill="1" applyBorder="1" applyAlignment="1">
      <alignment horizontal="right"/>
    </xf>
    <xf numFmtId="0" fontId="33" fillId="50" borderId="149" xfId="1050" applyFont="1" applyFill="1" applyBorder="1" applyAlignment="1">
      <alignment horizontal="left" vertical="center"/>
    </xf>
    <xf numFmtId="2" fontId="33" fillId="50" borderId="149" xfId="1050" applyNumberFormat="1" applyFont="1" applyFill="1" applyBorder="1" applyAlignment="1">
      <alignment horizontal="center"/>
    </xf>
    <xf numFmtId="0" fontId="33" fillId="50" borderId="149" xfId="1050" applyFont="1" applyFill="1" applyBorder="1"/>
    <xf numFmtId="0" fontId="34" fillId="50" borderId="149" xfId="1050" applyNumberFormat="1" applyFont="1" applyFill="1" applyBorder="1"/>
    <xf numFmtId="4" fontId="35" fillId="50" borderId="149" xfId="1050" applyNumberFormat="1" applyFont="1" applyFill="1" applyBorder="1" applyAlignment="1" applyProtection="1">
      <alignment horizontal="right" vertical="center"/>
    </xf>
    <xf numFmtId="2" fontId="11" fillId="50" borderId="149" xfId="1294" applyNumberFormat="1" applyFont="1" applyFill="1" applyBorder="1"/>
    <xf numFmtId="0" fontId="34" fillId="50" borderId="149" xfId="1050" applyFont="1" applyFill="1" applyBorder="1" applyAlignment="1">
      <alignment horizontal="center"/>
    </xf>
    <xf numFmtId="0" fontId="33" fillId="50" borderId="149" xfId="1050" applyFont="1" applyFill="1" applyBorder="1" applyAlignment="1"/>
    <xf numFmtId="0" fontId="10" fillId="50" borderId="149" xfId="1285" applyFont="1" applyFill="1" applyBorder="1" applyAlignment="1">
      <alignment horizontal="left" vertical="center" wrapText="1"/>
    </xf>
    <xf numFmtId="4" fontId="9" fillId="50" borderId="149" xfId="1277" applyNumberFormat="1" applyFont="1" applyFill="1" applyBorder="1" applyAlignment="1" applyProtection="1">
      <alignment vertical="top" wrapText="1"/>
    </xf>
    <xf numFmtId="4" fontId="9" fillId="50" borderId="149" xfId="1285" applyNumberFormat="1" applyFont="1" applyFill="1" applyBorder="1" applyAlignment="1">
      <alignment horizontal="center" vertical="top"/>
    </xf>
    <xf numFmtId="4" fontId="9" fillId="50" borderId="149" xfId="741" applyNumberFormat="1" applyFont="1" applyFill="1" applyBorder="1" applyAlignment="1">
      <alignment horizontal="right" vertical="top"/>
    </xf>
    <xf numFmtId="4" fontId="9" fillId="50" borderId="149" xfId="759" applyNumberFormat="1" applyFont="1" applyFill="1" applyBorder="1" applyAlignment="1"/>
    <xf numFmtId="0" fontId="9" fillId="50" borderId="149" xfId="1285" applyFont="1" applyFill="1" applyBorder="1" applyAlignment="1">
      <alignment horizontal="left" vertical="center"/>
    </xf>
    <xf numFmtId="4" fontId="9" fillId="0" borderId="41" xfId="970" applyNumberFormat="1" applyFont="1" applyFill="1" applyBorder="1" applyAlignment="1" applyProtection="1">
      <alignment horizontal="right" vertical="center"/>
      <protection locked="0"/>
    </xf>
    <xf numFmtId="4" fontId="9" fillId="0" borderId="155" xfId="970" applyNumberFormat="1" applyFont="1" applyFill="1" applyBorder="1" applyAlignment="1" applyProtection="1">
      <alignment horizontal="right" vertical="center"/>
      <protection locked="0"/>
    </xf>
    <xf numFmtId="0" fontId="72" fillId="0" borderId="19" xfId="0" applyFont="1" applyFill="1" applyBorder="1" applyAlignment="1">
      <alignment horizontal="left" vertical="top" wrapText="1"/>
    </xf>
    <xf numFmtId="39" fontId="72" fillId="0" borderId="19" xfId="1047" applyNumberFormat="1" applyFont="1" applyFill="1" applyBorder="1" applyAlignment="1">
      <alignment vertical="top" wrapText="1"/>
    </xf>
    <xf numFmtId="39" fontId="72" fillId="0" borderId="19" xfId="0" applyNumberFormat="1" applyFont="1" applyFill="1" applyBorder="1" applyAlignment="1">
      <alignment horizontal="left" vertical="top" wrapText="1"/>
    </xf>
    <xf numFmtId="0" fontId="62" fillId="0" borderId="19" xfId="0" applyFont="1" applyFill="1" applyBorder="1" applyAlignment="1">
      <alignment vertical="top" wrapText="1"/>
    </xf>
    <xf numFmtId="2" fontId="72" fillId="0" borderId="0" xfId="0" applyNumberFormat="1" applyFont="1" applyFill="1" applyAlignment="1">
      <alignment horizontal="right" vertical="top"/>
    </xf>
    <xf numFmtId="0" fontId="72" fillId="0" borderId="0" xfId="0" applyFont="1" applyFill="1" applyAlignment="1">
      <alignment vertical="top" wrapText="1"/>
    </xf>
    <xf numFmtId="2" fontId="72" fillId="0" borderId="0" xfId="0" applyNumberFormat="1" applyFont="1" applyAlignment="1">
      <alignment vertical="top"/>
    </xf>
    <xf numFmtId="0" fontId="5" fillId="0" borderId="0" xfId="1497"/>
    <xf numFmtId="0" fontId="158" fillId="0" borderId="0" xfId="1497" applyFont="1" applyAlignment="1">
      <alignment horizontal="center"/>
    </xf>
    <xf numFmtId="0" fontId="160" fillId="0" borderId="105" xfId="1497" applyFont="1" applyFill="1" applyBorder="1" applyAlignment="1">
      <alignment horizontal="center"/>
    </xf>
    <xf numFmtId="0" fontId="160" fillId="0" borderId="106" xfId="1497" applyFont="1" applyFill="1" applyBorder="1"/>
    <xf numFmtId="0" fontId="160" fillId="0" borderId="164" xfId="1497" applyFont="1" applyFill="1" applyBorder="1"/>
    <xf numFmtId="0" fontId="160" fillId="0" borderId="100" xfId="1497" applyFont="1" applyFill="1" applyBorder="1" applyAlignment="1">
      <alignment horizontal="center"/>
    </xf>
    <xf numFmtId="0" fontId="160" fillId="0" borderId="19" xfId="1497" applyFont="1" applyFill="1" applyBorder="1"/>
    <xf numFmtId="0" fontId="160" fillId="0" borderId="74" xfId="1497" applyFont="1" applyFill="1" applyBorder="1" applyAlignment="1">
      <alignment horizontal="center"/>
    </xf>
    <xf numFmtId="0" fontId="138" fillId="0" borderId="19" xfId="1497" applyFont="1" applyFill="1" applyBorder="1" applyAlignment="1">
      <alignment horizontal="left" wrapText="1"/>
    </xf>
    <xf numFmtId="0" fontId="160" fillId="0" borderId="74" xfId="1497" applyFont="1" applyFill="1" applyBorder="1"/>
    <xf numFmtId="0" fontId="160" fillId="0" borderId="105" xfId="1497" applyFont="1" applyFill="1" applyBorder="1"/>
    <xf numFmtId="0" fontId="160" fillId="0" borderId="107" xfId="1497" applyFont="1" applyFill="1" applyBorder="1" applyAlignment="1">
      <alignment vertical="center"/>
    </xf>
    <xf numFmtId="0" fontId="160" fillId="0" borderId="100" xfId="1497" applyFont="1" applyFill="1" applyBorder="1"/>
    <xf numFmtId="0" fontId="160" fillId="0" borderId="101" xfId="1497" applyFont="1" applyFill="1" applyBorder="1" applyAlignment="1">
      <alignment vertical="center"/>
    </xf>
    <xf numFmtId="0" fontId="83" fillId="0" borderId="19" xfId="1497" applyFont="1" applyFill="1" applyBorder="1" applyAlignment="1">
      <alignment horizontal="left" wrapText="1"/>
    </xf>
    <xf numFmtId="0" fontId="160" fillId="0" borderId="100" xfId="1497" applyFont="1" applyFill="1" applyBorder="1" applyAlignment="1">
      <alignment horizontal="center" vertical="center"/>
    </xf>
    <xf numFmtId="0" fontId="161" fillId="0" borderId="19" xfId="1497" applyFont="1" applyFill="1" applyBorder="1"/>
    <xf numFmtId="0" fontId="160" fillId="0" borderId="103" xfId="1497" applyFont="1" applyFill="1" applyBorder="1"/>
    <xf numFmtId="0" fontId="160" fillId="0" borderId="102" xfId="1497" applyFont="1" applyFill="1" applyBorder="1"/>
    <xf numFmtId="0" fontId="160" fillId="0" borderId="104" xfId="1497" applyFont="1" applyFill="1" applyBorder="1" applyAlignment="1">
      <alignment vertical="center"/>
    </xf>
    <xf numFmtId="0" fontId="160" fillId="0" borderId="103" xfId="1497" applyFont="1" applyFill="1" applyBorder="1" applyAlignment="1">
      <alignment horizontal="center" vertical="center"/>
    </xf>
    <xf numFmtId="0" fontId="5" fillId="0" borderId="102" xfId="1497" applyFill="1" applyBorder="1"/>
    <xf numFmtId="0" fontId="160" fillId="0" borderId="19" xfId="1497" applyFont="1" applyFill="1" applyBorder="1" applyAlignment="1">
      <alignment horizontal="center"/>
    </xf>
    <xf numFmtId="0" fontId="160" fillId="0" borderId="103" xfId="1497" applyFont="1" applyFill="1" applyBorder="1" applyAlignment="1">
      <alignment horizontal="center"/>
    </xf>
    <xf numFmtId="0" fontId="160" fillId="0" borderId="0" xfId="1497" applyFont="1" applyFill="1" applyBorder="1" applyAlignment="1">
      <alignment horizontal="center"/>
    </xf>
    <xf numFmtId="0" fontId="160" fillId="0" borderId="0" xfId="1497" applyFont="1" applyFill="1" applyBorder="1"/>
    <xf numFmtId="0" fontId="160" fillId="0" borderId="0" xfId="1497" applyFont="1" applyFill="1" applyBorder="1" applyAlignment="1">
      <alignment horizontal="center" vertical="center"/>
    </xf>
    <xf numFmtId="0" fontId="160" fillId="0" borderId="0" xfId="1497" applyFont="1" applyFill="1" applyBorder="1" applyAlignment="1">
      <alignment horizontal="right" vertical="center"/>
    </xf>
    <xf numFmtId="0" fontId="5" fillId="0" borderId="105" xfId="1497" applyBorder="1"/>
    <xf numFmtId="0" fontId="160" fillId="0" borderId="170" xfId="1497" applyFont="1" applyBorder="1"/>
    <xf numFmtId="0" fontId="160" fillId="0" borderId="164" xfId="1497" applyFont="1" applyBorder="1"/>
    <xf numFmtId="0" fontId="5" fillId="0" borderId="100" xfId="1497" applyBorder="1"/>
    <xf numFmtId="0" fontId="160" fillId="0" borderId="78" xfId="1497" applyFont="1" applyBorder="1"/>
    <xf numFmtId="0" fontId="160" fillId="0" borderId="74" xfId="1497" applyFont="1" applyBorder="1" applyAlignment="1">
      <alignment horizontal="center"/>
    </xf>
    <xf numFmtId="0" fontId="160" fillId="0" borderId="100" xfId="1497" applyFont="1" applyBorder="1" applyAlignment="1">
      <alignment horizontal="center" vertical="center"/>
    </xf>
    <xf numFmtId="0" fontId="160" fillId="0" borderId="0" xfId="1497" applyFont="1" applyBorder="1" applyAlignment="1">
      <alignment horizontal="center"/>
    </xf>
    <xf numFmtId="0" fontId="160" fillId="0" borderId="103" xfId="1497" applyFont="1" applyBorder="1" applyAlignment="1">
      <alignment vertical="center"/>
    </xf>
    <xf numFmtId="0" fontId="160" fillId="0" borderId="138" xfId="1497" applyFont="1" applyBorder="1"/>
    <xf numFmtId="0" fontId="160" fillId="0" borderId="74" xfId="1497" applyFont="1" applyBorder="1"/>
    <xf numFmtId="0" fontId="160" fillId="0" borderId="105" xfId="1497" applyFont="1" applyFill="1" applyBorder="1" applyAlignment="1">
      <alignment horizontal="center" vertical="center"/>
    </xf>
    <xf numFmtId="0" fontId="160" fillId="0" borderId="168" xfId="1497" applyFont="1" applyFill="1" applyBorder="1"/>
    <xf numFmtId="0" fontId="160" fillId="81" borderId="74" xfId="1497" applyFont="1" applyFill="1" applyBorder="1"/>
    <xf numFmtId="0" fontId="160" fillId="81" borderId="168" xfId="1497" applyFont="1" applyFill="1" applyBorder="1"/>
    <xf numFmtId="0" fontId="5" fillId="0" borderId="100" xfId="1497" applyFill="1" applyBorder="1" applyAlignment="1">
      <alignment horizontal="center"/>
    </xf>
    <xf numFmtId="0" fontId="160" fillId="0" borderId="19" xfId="1497" applyFont="1" applyFill="1" applyBorder="1" applyAlignment="1">
      <alignment vertical="center"/>
    </xf>
    <xf numFmtId="0" fontId="160" fillId="0" borderId="19" xfId="1497" applyFont="1" applyFill="1" applyBorder="1" applyAlignment="1">
      <alignment horizontal="center" vertical="center"/>
    </xf>
    <xf numFmtId="0" fontId="5" fillId="0" borderId="103" xfId="1497" applyFill="1" applyBorder="1" applyAlignment="1">
      <alignment horizontal="center"/>
    </xf>
    <xf numFmtId="0" fontId="160" fillId="0" borderId="102" xfId="1497" applyFont="1" applyFill="1" applyBorder="1" applyAlignment="1">
      <alignment vertical="center"/>
    </xf>
    <xf numFmtId="0" fontId="160" fillId="0" borderId="25" xfId="1497" applyFont="1" applyBorder="1"/>
    <xf numFmtId="0" fontId="160" fillId="0" borderId="25" xfId="1497" applyFont="1" applyBorder="1" applyAlignment="1">
      <alignment horizontal="center" vertical="center"/>
    </xf>
    <xf numFmtId="0" fontId="160" fillId="0" borderId="101" xfId="1497" applyFont="1" applyBorder="1" applyAlignment="1">
      <alignment horizontal="center" vertical="center"/>
    </xf>
    <xf numFmtId="0" fontId="160" fillId="0" borderId="150" xfId="1497" applyFont="1" applyBorder="1"/>
    <xf numFmtId="0" fontId="160" fillId="0" borderId="19" xfId="1497" applyFont="1" applyBorder="1"/>
    <xf numFmtId="0" fontId="160" fillId="0" borderId="19" xfId="1497" applyFont="1" applyBorder="1" applyAlignment="1">
      <alignment horizontal="center" vertical="center"/>
    </xf>
    <xf numFmtId="0" fontId="160" fillId="0" borderId="0" xfId="1497" applyFont="1" applyFill="1" applyBorder="1" applyAlignment="1">
      <alignment vertical="center"/>
    </xf>
    <xf numFmtId="0" fontId="164" fillId="0" borderId="0" xfId="1497" applyFont="1" applyFill="1" applyBorder="1" applyAlignment="1">
      <alignment horizontal="center" vertical="center"/>
    </xf>
    <xf numFmtId="0" fontId="160" fillId="0" borderId="0" xfId="1497" applyFont="1" applyBorder="1" applyAlignment="1">
      <alignment horizontal="center" vertical="center"/>
    </xf>
    <xf numFmtId="0" fontId="160" fillId="0" borderId="0" xfId="1497" applyFont="1" applyBorder="1"/>
    <xf numFmtId="0" fontId="83" fillId="0" borderId="19" xfId="1497" applyFont="1" applyFill="1" applyBorder="1"/>
    <xf numFmtId="0" fontId="5" fillId="0" borderId="100" xfId="1497" applyFill="1" applyBorder="1"/>
    <xf numFmtId="0" fontId="5" fillId="0" borderId="0" xfId="1497" applyAlignment="1">
      <alignment vertical="center"/>
    </xf>
    <xf numFmtId="0" fontId="5" fillId="0" borderId="25" xfId="1497" applyFill="1" applyBorder="1"/>
    <xf numFmtId="0" fontId="5" fillId="0" borderId="19" xfId="1497" applyFill="1" applyBorder="1" applyAlignment="1">
      <alignment vertical="top"/>
    </xf>
    <xf numFmtId="0" fontId="160" fillId="0" borderId="19" xfId="1497" applyFont="1" applyFill="1" applyBorder="1" applyAlignment="1">
      <alignment horizontal="center" vertical="top"/>
    </xf>
    <xf numFmtId="0" fontId="160" fillId="0" borderId="19" xfId="1497" applyFont="1" applyFill="1" applyBorder="1" applyAlignment="1">
      <alignment horizontal="left" vertical="top"/>
    </xf>
    <xf numFmtId="0" fontId="160" fillId="0" borderId="150" xfId="1497" applyFont="1" applyFill="1" applyBorder="1" applyAlignment="1">
      <alignment vertical="center"/>
    </xf>
    <xf numFmtId="0" fontId="5" fillId="0" borderId="25" xfId="1497" applyBorder="1"/>
    <xf numFmtId="4" fontId="160" fillId="0" borderId="0" xfId="1497" applyNumberFormat="1" applyFont="1" applyFill="1" applyBorder="1" applyAlignment="1">
      <alignment horizontal="center" vertical="center"/>
    </xf>
    <xf numFmtId="0" fontId="158" fillId="0" borderId="106" xfId="1497" applyFont="1" applyFill="1" applyBorder="1"/>
    <xf numFmtId="0" fontId="160" fillId="0" borderId="107" xfId="1497" applyFont="1" applyFill="1" applyBorder="1"/>
    <xf numFmtId="0" fontId="160" fillId="0" borderId="101" xfId="1497" applyFont="1" applyFill="1" applyBorder="1"/>
    <xf numFmtId="0" fontId="164" fillId="0" borderId="19" xfId="1497" applyFont="1" applyFill="1" applyBorder="1"/>
    <xf numFmtId="0" fontId="158" fillId="0" borderId="19" xfId="1497" applyFont="1" applyFill="1" applyBorder="1"/>
    <xf numFmtId="0" fontId="160" fillId="0" borderId="106" xfId="1497" applyFont="1" applyFill="1" applyBorder="1" applyAlignment="1">
      <alignment horizontal="justify"/>
    </xf>
    <xf numFmtId="0" fontId="160" fillId="0" borderId="19" xfId="1497" applyFont="1" applyFill="1" applyBorder="1" applyAlignment="1">
      <alignment horizontal="justify"/>
    </xf>
    <xf numFmtId="0" fontId="160" fillId="0" borderId="104" xfId="1497" applyFont="1" applyFill="1" applyBorder="1"/>
    <xf numFmtId="0" fontId="160" fillId="0" borderId="105" xfId="1497" applyFont="1" applyBorder="1"/>
    <xf numFmtId="0" fontId="160" fillId="0" borderId="106" xfId="1497" applyFont="1" applyBorder="1"/>
    <xf numFmtId="0" fontId="160" fillId="0" borderId="100" xfId="1497" applyFont="1" applyBorder="1"/>
    <xf numFmtId="0" fontId="160" fillId="0" borderId="103" xfId="1497" applyFont="1" applyBorder="1"/>
    <xf numFmtId="0" fontId="160" fillId="0" borderId="102" xfId="1497" applyFont="1" applyBorder="1"/>
    <xf numFmtId="0" fontId="5" fillId="0" borderId="0" xfId="1497" applyAlignment="1">
      <alignment horizontal="right"/>
    </xf>
    <xf numFmtId="0" fontId="160" fillId="66" borderId="105" xfId="1497" applyFont="1" applyFill="1" applyBorder="1" applyAlignment="1">
      <alignment horizontal="center"/>
    </xf>
    <xf numFmtId="0" fontId="160" fillId="66" borderId="164" xfId="1497" applyFont="1" applyFill="1" applyBorder="1"/>
    <xf numFmtId="0" fontId="160" fillId="66" borderId="100" xfId="1497" applyFont="1" applyFill="1" applyBorder="1" applyAlignment="1">
      <alignment horizontal="center"/>
    </xf>
    <xf numFmtId="0" fontId="160" fillId="66" borderId="74" xfId="1497" applyFont="1" applyFill="1" applyBorder="1"/>
    <xf numFmtId="0" fontId="160" fillId="66" borderId="103" xfId="1497" applyFont="1" applyFill="1" applyBorder="1" applyAlignment="1">
      <alignment horizontal="center"/>
    </xf>
    <xf numFmtId="0" fontId="160" fillId="66" borderId="168" xfId="1497" applyFont="1" applyFill="1" applyBorder="1"/>
    <xf numFmtId="0" fontId="160" fillId="66" borderId="102" xfId="1497" applyFont="1" applyFill="1" applyBorder="1" applyAlignment="1">
      <alignment vertical="center"/>
    </xf>
    <xf numFmtId="0" fontId="160" fillId="66" borderId="102" xfId="1497" applyFont="1" applyFill="1" applyBorder="1" applyAlignment="1">
      <alignment horizontal="center" vertical="center"/>
    </xf>
    <xf numFmtId="0" fontId="160" fillId="66" borderId="104" xfId="1497" applyFont="1" applyFill="1" applyBorder="1" applyAlignment="1">
      <alignment vertical="center"/>
    </xf>
    <xf numFmtId="0" fontId="0" fillId="0" borderId="0" xfId="0"/>
    <xf numFmtId="0" fontId="9" fillId="70" borderId="0" xfId="0" applyFont="1" applyFill="1" applyBorder="1" applyAlignment="1">
      <alignment vertical="top"/>
    </xf>
    <xf numFmtId="0" fontId="138" fillId="70" borderId="0" xfId="0" applyFont="1" applyFill="1" applyBorder="1" applyAlignment="1">
      <alignment vertical="top"/>
    </xf>
    <xf numFmtId="172" fontId="9" fillId="70" borderId="78" xfId="1061" applyNumberFormat="1" applyFont="1" applyFill="1" applyBorder="1" applyAlignment="1">
      <alignment vertical="top"/>
    </xf>
    <xf numFmtId="172" fontId="9" fillId="70" borderId="19" xfId="1061" applyNumberFormat="1" applyFont="1" applyFill="1" applyBorder="1" applyAlignment="1">
      <alignment horizontal="center" vertical="top"/>
    </xf>
    <xf numFmtId="172" fontId="9" fillId="70" borderId="19" xfId="1061" applyNumberFormat="1" applyFont="1" applyFill="1" applyBorder="1" applyAlignment="1">
      <alignment vertical="top"/>
    </xf>
    <xf numFmtId="0" fontId="0" fillId="0" borderId="0" xfId="0"/>
    <xf numFmtId="0" fontId="0" fillId="0" borderId="0" xfId="0"/>
    <xf numFmtId="0" fontId="62" fillId="0" borderId="19" xfId="0" applyFont="1" applyFill="1" applyBorder="1" applyAlignment="1">
      <alignment vertical="top"/>
    </xf>
    <xf numFmtId="0" fontId="72" fillId="0" borderId="19" xfId="0" applyFont="1" applyFill="1" applyBorder="1" applyAlignment="1">
      <alignment horizontal="right" vertical="top"/>
    </xf>
    <xf numFmtId="0" fontId="72" fillId="0" borderId="19" xfId="0" applyFont="1" applyFill="1" applyBorder="1" applyAlignment="1">
      <alignment vertical="top"/>
    </xf>
    <xf numFmtId="0" fontId="10" fillId="48" borderId="171" xfId="1306" applyFont="1" applyFill="1" applyBorder="1" applyAlignment="1">
      <alignment horizontal="center"/>
    </xf>
    <xf numFmtId="172" fontId="9" fillId="48" borderId="149" xfId="1306" applyNumberFormat="1" applyFill="1" applyBorder="1"/>
    <xf numFmtId="43" fontId="9" fillId="48" borderId="149" xfId="1306" applyNumberFormat="1" applyFill="1" applyBorder="1"/>
    <xf numFmtId="177" fontId="11" fillId="48" borderId="149" xfId="1306" applyNumberFormat="1" applyFont="1" applyFill="1" applyBorder="1" applyAlignment="1">
      <alignment horizontal="center"/>
    </xf>
    <xf numFmtId="178" fontId="11" fillId="48" borderId="149" xfId="1306" applyNumberFormat="1" applyFont="1" applyFill="1" applyBorder="1"/>
    <xf numFmtId="181" fontId="11" fillId="48" borderId="149" xfId="1306" applyNumberFormat="1" applyFont="1" applyFill="1" applyBorder="1"/>
    <xf numFmtId="4" fontId="9" fillId="0" borderId="149" xfId="1306" applyNumberFormat="1" applyFill="1" applyBorder="1"/>
    <xf numFmtId="172" fontId="9" fillId="48" borderId="150" xfId="1306" applyNumberFormat="1" applyFill="1" applyBorder="1"/>
    <xf numFmtId="43" fontId="23" fillId="71" borderId="21" xfId="1306" applyNumberFormat="1" applyFont="1" applyFill="1" applyBorder="1"/>
    <xf numFmtId="9" fontId="9" fillId="0" borderId="149" xfId="1334" applyFont="1" applyFill="1" applyBorder="1" applyAlignment="1">
      <alignment horizontal="center"/>
    </xf>
    <xf numFmtId="43" fontId="9" fillId="50" borderId="149" xfId="1306" applyNumberFormat="1" applyFill="1" applyBorder="1"/>
    <xf numFmtId="0" fontId="0" fillId="0" borderId="0" xfId="0"/>
    <xf numFmtId="0" fontId="10" fillId="48" borderId="19" xfId="1269" applyNumberFormat="1" applyFont="1" applyFill="1" applyBorder="1" applyAlignment="1">
      <alignment horizontal="center" vertical="top" wrapText="1"/>
    </xf>
    <xf numFmtId="0" fontId="10" fillId="48" borderId="19" xfId="1269" applyNumberFormat="1" applyFont="1" applyFill="1" applyBorder="1" applyAlignment="1">
      <alignment horizontal="left" vertical="top" wrapText="1"/>
    </xf>
    <xf numFmtId="39" fontId="9" fillId="48" borderId="19" xfId="1269" applyNumberFormat="1" applyFont="1" applyFill="1" applyBorder="1" applyAlignment="1" applyProtection="1">
      <alignment horizontal="right" vertical="top"/>
      <protection locked="0"/>
    </xf>
    <xf numFmtId="4" fontId="9" fillId="48" borderId="19" xfId="1269" applyNumberFormat="1" applyFont="1" applyFill="1" applyBorder="1" applyAlignment="1" applyProtection="1">
      <alignment vertical="top"/>
      <protection locked="0"/>
    </xf>
    <xf numFmtId="0" fontId="0" fillId="0" borderId="0" xfId="0" applyAlignment="1">
      <alignment vertical="top"/>
    </xf>
    <xf numFmtId="0" fontId="10" fillId="48" borderId="74" xfId="1269" applyNumberFormat="1" applyFont="1" applyFill="1" applyBorder="1" applyAlignment="1">
      <alignment horizontal="center" vertical="top" wrapText="1"/>
    </xf>
    <xf numFmtId="39" fontId="9" fillId="48" borderId="78" xfId="1269" applyNumberFormat="1" applyFont="1" applyFill="1" applyBorder="1" applyAlignment="1" applyProtection="1">
      <alignment horizontal="right" vertical="top"/>
      <protection locked="0"/>
    </xf>
    <xf numFmtId="0" fontId="10" fillId="48" borderId="19" xfId="1269" applyNumberFormat="1" applyFont="1" applyFill="1" applyBorder="1" applyAlignment="1">
      <alignment horizontal="right" vertical="top" wrapText="1"/>
    </xf>
    <xf numFmtId="0" fontId="10" fillId="48" borderId="78" xfId="1269" applyNumberFormat="1" applyFont="1" applyFill="1" applyBorder="1" applyAlignment="1">
      <alignment horizontal="left" vertical="top" wrapText="1"/>
    </xf>
    <xf numFmtId="0" fontId="9" fillId="48" borderId="19" xfId="1269" applyNumberFormat="1" applyFont="1" applyFill="1" applyBorder="1" applyAlignment="1">
      <alignment horizontal="right" vertical="top" wrapText="1"/>
    </xf>
    <xf numFmtId="0" fontId="72" fillId="70" borderId="19" xfId="0" applyFont="1" applyFill="1" applyBorder="1" applyAlignment="1">
      <alignment vertical="top" wrapText="1"/>
    </xf>
    <xf numFmtId="4" fontId="9" fillId="48" borderId="19" xfId="1500" applyNumberFormat="1" applyFont="1" applyFill="1" applyBorder="1" applyAlignment="1" applyProtection="1">
      <alignment vertical="top"/>
    </xf>
    <xf numFmtId="0" fontId="10" fillId="48" borderId="78" xfId="0" applyFont="1" applyFill="1" applyBorder="1" applyAlignment="1">
      <alignment vertical="top" wrapText="1"/>
    </xf>
    <xf numFmtId="4" fontId="14" fillId="48" borderId="78" xfId="0" applyNumberFormat="1" applyFont="1" applyFill="1" applyBorder="1" applyAlignment="1">
      <alignment vertical="top"/>
    </xf>
    <xf numFmtId="0" fontId="9" fillId="48" borderId="78" xfId="0" applyFont="1" applyFill="1" applyBorder="1" applyAlignment="1">
      <alignment vertical="top" wrapText="1"/>
    </xf>
    <xf numFmtId="4" fontId="9" fillId="48" borderId="78" xfId="0" applyNumberFormat="1" applyFont="1" applyFill="1" applyBorder="1" applyAlignment="1">
      <alignment vertical="top"/>
    </xf>
    <xf numFmtId="0" fontId="0" fillId="0" borderId="0" xfId="0"/>
    <xf numFmtId="4" fontId="10" fillId="66" borderId="0" xfId="0" applyNumberFormat="1" applyFont="1" applyFill="1"/>
    <xf numFmtId="0" fontId="10" fillId="66" borderId="0" xfId="0" applyFont="1" applyFill="1" applyAlignment="1">
      <alignment horizontal="center"/>
    </xf>
    <xf numFmtId="4" fontId="10" fillId="66" borderId="0" xfId="0" applyNumberFormat="1" applyFont="1" applyFill="1" applyAlignment="1">
      <alignment horizontal="center"/>
    </xf>
    <xf numFmtId="0" fontId="0" fillId="0" borderId="0" xfId="0"/>
    <xf numFmtId="4" fontId="0" fillId="0" borderId="0" xfId="0" applyNumberFormat="1" applyAlignment="1">
      <alignment horizontal="center"/>
    </xf>
    <xf numFmtId="4" fontId="0" fillId="0" borderId="149" xfId="0" applyNumberFormat="1" applyBorder="1" applyAlignment="1">
      <alignment horizontal="center"/>
    </xf>
    <xf numFmtId="4" fontId="0" fillId="0" borderId="0" xfId="0" applyNumberFormat="1" applyAlignment="1">
      <alignment horizontal="left"/>
    </xf>
    <xf numFmtId="4" fontId="10" fillId="0" borderId="149" xfId="0" applyNumberFormat="1" applyFont="1" applyBorder="1" applyAlignment="1">
      <alignment horizontal="left"/>
    </xf>
    <xf numFmtId="4" fontId="0" fillId="66" borderId="149" xfId="0" applyNumberFormat="1" applyFill="1" applyBorder="1" applyAlignment="1">
      <alignment horizontal="center" vertical="center"/>
    </xf>
    <xf numFmtId="4" fontId="0" fillId="0" borderId="149" xfId="0" applyNumberFormat="1" applyBorder="1" applyAlignment="1">
      <alignment horizontal="center" vertical="center"/>
    </xf>
    <xf numFmtId="4" fontId="0" fillId="0" borderId="0" xfId="0" applyNumberFormat="1" applyAlignment="1">
      <alignment horizontal="left" wrapText="1"/>
    </xf>
    <xf numFmtId="0" fontId="9" fillId="0" borderId="0" xfId="1110"/>
    <xf numFmtId="4" fontId="34" fillId="0" borderId="0" xfId="1110" applyNumberFormat="1" applyFont="1" applyBorder="1"/>
    <xf numFmtId="3" fontId="62" fillId="51" borderId="21" xfId="1110" applyNumberFormat="1" applyFont="1" applyFill="1" applyBorder="1" applyAlignment="1">
      <alignment horizontal="center" vertical="center" wrapText="1"/>
    </xf>
    <xf numFmtId="180" fontId="62" fillId="51" borderId="21" xfId="702" applyNumberFormat="1" applyFont="1" applyFill="1" applyBorder="1" applyAlignment="1">
      <alignment horizontal="center" vertical="center" wrapText="1"/>
    </xf>
    <xf numFmtId="4" fontId="62" fillId="51" borderId="21" xfId="1110" applyNumberFormat="1" applyFont="1" applyFill="1" applyBorder="1" applyAlignment="1">
      <alignment horizontal="center" vertical="center" wrapText="1"/>
    </xf>
    <xf numFmtId="4" fontId="168" fillId="49" borderId="21" xfId="1110" applyNumberFormat="1" applyFont="1" applyFill="1" applyBorder="1" applyAlignment="1">
      <alignment horizontal="center" vertical="center" wrapText="1"/>
    </xf>
    <xf numFmtId="180" fontId="168" fillId="49" borderId="21" xfId="1110" applyNumberFormat="1" applyFont="1" applyFill="1" applyBorder="1" applyAlignment="1">
      <alignment horizontal="center" vertical="center" wrapText="1"/>
    </xf>
    <xf numFmtId="180" fontId="169" fillId="52" borderId="21" xfId="1110" applyNumberFormat="1" applyFont="1" applyFill="1" applyBorder="1" applyAlignment="1">
      <alignment horizontal="center" vertical="center" wrapText="1"/>
    </xf>
    <xf numFmtId="180" fontId="62" fillId="52" borderId="21" xfId="1110" applyNumberFormat="1" applyFont="1" applyFill="1" applyBorder="1" applyAlignment="1">
      <alignment horizontal="center" vertical="center" wrapText="1"/>
    </xf>
    <xf numFmtId="3" fontId="62" fillId="48" borderId="0" xfId="1110" applyNumberFormat="1" applyFont="1" applyFill="1" applyBorder="1" applyAlignment="1">
      <alignment horizontal="center" vertical="center" wrapText="1"/>
    </xf>
    <xf numFmtId="4" fontId="72" fillId="48" borderId="0" xfId="1110" applyNumberFormat="1" applyFont="1" applyFill="1" applyBorder="1" applyAlignment="1">
      <alignment horizontal="center" vertical="center" wrapText="1"/>
    </xf>
    <xf numFmtId="0" fontId="9" fillId="0" borderId="0" xfId="1110" applyAlignment="1">
      <alignment horizontal="center" wrapText="1"/>
    </xf>
    <xf numFmtId="3" fontId="167" fillId="66" borderId="0" xfId="1110" applyNumberFormat="1" applyFont="1" applyFill="1"/>
    <xf numFmtId="180" fontId="62" fillId="66" borderId="0" xfId="702" applyNumberFormat="1" applyFont="1" applyFill="1" applyBorder="1" applyAlignment="1">
      <alignment horizontal="center" vertical="center" wrapText="1"/>
    </xf>
    <xf numFmtId="4" fontId="62" fillId="66" borderId="0" xfId="1110" applyNumberFormat="1" applyFont="1" applyFill="1" applyBorder="1" applyAlignment="1">
      <alignment horizontal="center" vertical="center" wrapText="1"/>
    </xf>
    <xf numFmtId="180" fontId="62" fillId="66" borderId="0" xfId="1110" applyNumberFormat="1" applyFont="1" applyFill="1" applyBorder="1" applyAlignment="1">
      <alignment horizontal="center" vertical="center" wrapText="1"/>
    </xf>
    <xf numFmtId="4" fontId="62" fillId="48" borderId="0" xfId="1110" applyNumberFormat="1" applyFont="1" applyFill="1" applyBorder="1" applyAlignment="1">
      <alignment horizontal="center" vertical="center" wrapText="1"/>
    </xf>
    <xf numFmtId="180" fontId="62" fillId="48" borderId="0" xfId="1110" applyNumberFormat="1" applyFont="1" applyFill="1" applyBorder="1" applyAlignment="1">
      <alignment horizontal="center" vertical="center" wrapText="1"/>
    </xf>
    <xf numFmtId="180" fontId="62" fillId="48" borderId="33" xfId="1110" applyNumberFormat="1" applyFont="1" applyFill="1" applyBorder="1" applyAlignment="1">
      <alignment horizontal="center" vertical="center" wrapText="1"/>
    </xf>
    <xf numFmtId="3" fontId="72" fillId="48" borderId="0" xfId="1110" applyNumberFormat="1" applyFont="1" applyFill="1" applyBorder="1" applyAlignment="1">
      <alignment horizontal="center" vertical="center" wrapText="1"/>
    </xf>
    <xf numFmtId="1" fontId="72" fillId="48" borderId="0" xfId="1110" applyNumberFormat="1" applyFont="1" applyFill="1" applyBorder="1" applyAlignment="1">
      <alignment vertical="center" wrapText="1"/>
    </xf>
    <xf numFmtId="4" fontId="9" fillId="48" borderId="0" xfId="1110" applyNumberFormat="1" applyFill="1"/>
    <xf numFmtId="174" fontId="9" fillId="48" borderId="0" xfId="1110" applyNumberFormat="1" applyFill="1"/>
    <xf numFmtId="0" fontId="9" fillId="48" borderId="0" xfId="1110" applyFill="1"/>
    <xf numFmtId="4" fontId="9" fillId="48" borderId="106" xfId="1110" applyNumberFormat="1" applyFont="1" applyFill="1" applyBorder="1" applyAlignment="1">
      <alignment horizontal="center"/>
    </xf>
    <xf numFmtId="180" fontId="72" fillId="48" borderId="106" xfId="702" applyNumberFormat="1" applyFont="1" applyFill="1" applyBorder="1" applyAlignment="1">
      <alignment horizontal="center" vertical="center" wrapText="1"/>
    </xf>
    <xf numFmtId="4" fontId="9" fillId="48" borderId="106" xfId="702" applyNumberFormat="1" applyFont="1" applyFill="1" applyBorder="1" applyAlignment="1">
      <alignment horizontal="center"/>
    </xf>
    <xf numFmtId="1" fontId="9" fillId="48" borderId="106" xfId="1110" applyNumberFormat="1" applyFont="1" applyFill="1" applyBorder="1" applyAlignment="1">
      <alignment horizontal="center"/>
    </xf>
    <xf numFmtId="4" fontId="9" fillId="48" borderId="106" xfId="1110" applyNumberFormat="1" applyFont="1" applyFill="1" applyBorder="1" applyAlignment="1">
      <alignment horizontal="right" vertical="center" wrapText="1"/>
    </xf>
    <xf numFmtId="180" fontId="9" fillId="48" borderId="106" xfId="1110" applyNumberFormat="1" applyFont="1" applyFill="1" applyBorder="1" applyAlignment="1">
      <alignment horizontal="center"/>
    </xf>
    <xf numFmtId="4" fontId="9" fillId="48" borderId="106" xfId="1110" applyNumberFormat="1" applyFont="1" applyFill="1" applyBorder="1"/>
    <xf numFmtId="4" fontId="9" fillId="48" borderId="182" xfId="1110" applyNumberFormat="1" applyFont="1" applyFill="1" applyBorder="1" applyAlignment="1"/>
    <xf numFmtId="172" fontId="9" fillId="48" borderId="106" xfId="1110" applyNumberFormat="1" applyFont="1" applyFill="1" applyBorder="1"/>
    <xf numFmtId="172" fontId="9" fillId="48" borderId="183" xfId="1110" applyNumberFormat="1" applyFont="1" applyFill="1" applyBorder="1"/>
    <xf numFmtId="4" fontId="9" fillId="48" borderId="182" xfId="1110" applyNumberFormat="1" applyFont="1" applyFill="1" applyBorder="1" applyAlignment="1">
      <alignment horizontal="center"/>
    </xf>
    <xf numFmtId="4" fontId="9" fillId="48" borderId="107" xfId="1110" applyNumberFormat="1" applyFont="1" applyFill="1" applyBorder="1" applyAlignment="1">
      <alignment horizontal="center"/>
    </xf>
    <xf numFmtId="4" fontId="9" fillId="48" borderId="106" xfId="1110" applyNumberFormat="1" applyFont="1" applyFill="1" applyBorder="1" applyAlignment="1"/>
    <xf numFmtId="179" fontId="72" fillId="48" borderId="0" xfId="1110" applyNumberFormat="1" applyFont="1" applyFill="1" applyBorder="1"/>
    <xf numFmtId="180" fontId="72" fillId="48" borderId="0" xfId="1110" applyNumberFormat="1" applyFont="1" applyFill="1" applyBorder="1"/>
    <xf numFmtId="1" fontId="72" fillId="48" borderId="0" xfId="1110" applyNumberFormat="1" applyFont="1" applyFill="1" applyBorder="1" applyAlignment="1"/>
    <xf numFmtId="4" fontId="9" fillId="0" borderId="0" xfId="1110" applyNumberFormat="1"/>
    <xf numFmtId="4" fontId="9" fillId="48" borderId="19" xfId="1110" applyNumberFormat="1" applyFont="1" applyFill="1" applyBorder="1" applyAlignment="1">
      <alignment horizontal="center"/>
    </xf>
    <xf numFmtId="4" fontId="9" fillId="48" borderId="19" xfId="702" applyNumberFormat="1" applyFont="1" applyFill="1" applyBorder="1" applyAlignment="1">
      <alignment horizontal="center"/>
    </xf>
    <xf numFmtId="1" fontId="9" fillId="48" borderId="19" xfId="1110" applyNumberFormat="1" applyFont="1" applyFill="1" applyBorder="1" applyAlignment="1">
      <alignment horizontal="center"/>
    </xf>
    <xf numFmtId="4" fontId="9" fillId="48" borderId="19" xfId="1110" applyNumberFormat="1" applyFont="1" applyFill="1" applyBorder="1" applyAlignment="1">
      <alignment horizontal="right" vertical="center" wrapText="1"/>
    </xf>
    <xf numFmtId="180" fontId="9" fillId="48" borderId="19" xfId="1110" applyNumberFormat="1" applyFont="1" applyFill="1" applyBorder="1" applyAlignment="1">
      <alignment horizontal="center"/>
    </xf>
    <xf numFmtId="4" fontId="9" fillId="48" borderId="19" xfId="1110" applyNumberFormat="1" applyFont="1" applyFill="1" applyBorder="1"/>
    <xf numFmtId="4" fontId="9" fillId="48" borderId="61" xfId="1110" applyNumberFormat="1" applyFont="1" applyFill="1" applyBorder="1"/>
    <xf numFmtId="4" fontId="9" fillId="48" borderId="60" xfId="1110" applyNumberFormat="1" applyFont="1" applyFill="1" applyBorder="1" applyAlignment="1"/>
    <xf numFmtId="172" fontId="9" fillId="48" borderId="19" xfId="1110" applyNumberFormat="1" applyFont="1" applyFill="1" applyBorder="1"/>
    <xf numFmtId="172" fontId="9" fillId="48" borderId="61" xfId="1110" applyNumberFormat="1" applyFont="1" applyFill="1" applyBorder="1"/>
    <xf numFmtId="4" fontId="9" fillId="48" borderId="60" xfId="1110" applyNumberFormat="1" applyFont="1" applyFill="1" applyBorder="1" applyAlignment="1">
      <alignment horizontal="center"/>
    </xf>
    <xf numFmtId="4" fontId="9" fillId="48" borderId="78" xfId="1110" applyNumberFormat="1" applyFont="1" applyFill="1" applyBorder="1" applyAlignment="1">
      <alignment horizontal="center"/>
    </xf>
    <xf numFmtId="4" fontId="9" fillId="48" borderId="101" xfId="1110" applyNumberFormat="1" applyFont="1" applyFill="1" applyBorder="1" applyAlignment="1">
      <alignment horizontal="center"/>
    </xf>
    <xf numFmtId="3" fontId="72" fillId="48" borderId="19" xfId="1110" applyNumberFormat="1" applyFont="1" applyFill="1" applyBorder="1" applyAlignment="1"/>
    <xf numFmtId="4" fontId="72" fillId="48" borderId="0" xfId="1110" applyNumberFormat="1" applyFont="1" applyFill="1" applyBorder="1"/>
    <xf numFmtId="4" fontId="10" fillId="65" borderId="53" xfId="1110" applyNumberFormat="1" applyFont="1" applyFill="1" applyBorder="1" applyAlignment="1">
      <alignment horizontal="center"/>
    </xf>
    <xf numFmtId="4" fontId="9" fillId="65" borderId="58" xfId="1110" applyNumberFormat="1" applyFont="1" applyFill="1" applyBorder="1" applyAlignment="1">
      <alignment horizontal="center"/>
    </xf>
    <xf numFmtId="4" fontId="10" fillId="65" borderId="58" xfId="702" applyNumberFormat="1" applyFont="1" applyFill="1" applyBorder="1" applyAlignment="1">
      <alignment horizontal="center"/>
    </xf>
    <xf numFmtId="1" fontId="9" fillId="65" borderId="58" xfId="1110" applyNumberFormat="1" applyFont="1" applyFill="1" applyBorder="1" applyAlignment="1">
      <alignment horizontal="center"/>
    </xf>
    <xf numFmtId="4" fontId="9" fillId="65" borderId="58" xfId="1110" applyNumberFormat="1" applyFont="1" applyFill="1" applyBorder="1" applyAlignment="1">
      <alignment horizontal="right" vertical="center" wrapText="1"/>
    </xf>
    <xf numFmtId="180" fontId="9" fillId="65" borderId="58" xfId="1110" applyNumberFormat="1" applyFont="1" applyFill="1" applyBorder="1" applyAlignment="1">
      <alignment horizontal="center"/>
    </xf>
    <xf numFmtId="4" fontId="9" fillId="65" borderId="58" xfId="1110" applyNumberFormat="1" applyFont="1" applyFill="1" applyBorder="1"/>
    <xf numFmtId="4" fontId="9" fillId="65" borderId="54" xfId="1110" applyNumberFormat="1" applyFont="1" applyFill="1" applyBorder="1"/>
    <xf numFmtId="4" fontId="9" fillId="65" borderId="53" xfId="1110" applyNumberFormat="1" applyFont="1" applyFill="1" applyBorder="1" applyAlignment="1"/>
    <xf numFmtId="4" fontId="9" fillId="65" borderId="184" xfId="1110" applyNumberFormat="1" applyFont="1" applyFill="1" applyBorder="1" applyAlignment="1">
      <alignment horizontal="right" vertical="center" wrapText="1"/>
    </xf>
    <xf numFmtId="4" fontId="152" fillId="66" borderId="185" xfId="702" applyNumberFormat="1" applyFont="1" applyFill="1" applyBorder="1" applyAlignment="1">
      <alignment horizontal="center"/>
    </xf>
    <xf numFmtId="4" fontId="152" fillId="66" borderId="186" xfId="702" applyNumberFormat="1" applyFont="1" applyFill="1" applyBorder="1" applyAlignment="1">
      <alignment horizontal="center"/>
    </xf>
    <xf numFmtId="4" fontId="152" fillId="66" borderId="187" xfId="702" applyNumberFormat="1" applyFont="1" applyFill="1" applyBorder="1" applyAlignment="1">
      <alignment horizontal="center"/>
    </xf>
    <xf numFmtId="4" fontId="9" fillId="65" borderId="188" xfId="1110" applyNumberFormat="1" applyFont="1" applyFill="1" applyBorder="1" applyAlignment="1">
      <alignment horizontal="center"/>
    </xf>
    <xf numFmtId="4" fontId="9" fillId="65" borderId="189" xfId="1110" applyNumberFormat="1" applyFont="1" applyFill="1" applyBorder="1" applyAlignment="1">
      <alignment horizontal="center"/>
    </xf>
    <xf numFmtId="4" fontId="10" fillId="65" borderId="54" xfId="702" applyNumberFormat="1" applyFont="1" applyFill="1" applyBorder="1" applyAlignment="1">
      <alignment vertical="center"/>
    </xf>
    <xf numFmtId="4" fontId="9" fillId="48" borderId="19" xfId="1110" quotePrefix="1" applyNumberFormat="1" applyFont="1" applyFill="1" applyBorder="1" applyAlignment="1">
      <alignment horizontal="center"/>
    </xf>
    <xf numFmtId="4" fontId="9" fillId="48" borderId="74" xfId="1110" applyNumberFormat="1" applyFont="1" applyFill="1" applyBorder="1" applyAlignment="1">
      <alignment horizontal="center"/>
    </xf>
    <xf numFmtId="4" fontId="152" fillId="66" borderId="142" xfId="702" applyNumberFormat="1" applyFont="1" applyFill="1" applyBorder="1" applyAlignment="1">
      <alignment horizontal="center"/>
    </xf>
    <xf numFmtId="1" fontId="9" fillId="48" borderId="78" xfId="1110" applyNumberFormat="1" applyFont="1" applyFill="1" applyBorder="1" applyAlignment="1">
      <alignment horizontal="center"/>
    </xf>
    <xf numFmtId="4" fontId="9" fillId="48" borderId="19" xfId="1110" applyNumberFormat="1" applyFont="1" applyFill="1" applyBorder="1" applyAlignment="1">
      <alignment horizontal="left" vertical="center"/>
    </xf>
    <xf numFmtId="4" fontId="9" fillId="48" borderId="19" xfId="1110" applyNumberFormat="1" applyFont="1" applyFill="1" applyBorder="1" applyAlignment="1"/>
    <xf numFmtId="4" fontId="151" fillId="66" borderId="61" xfId="1110" applyNumberFormat="1" applyFont="1" applyFill="1" applyBorder="1"/>
    <xf numFmtId="4" fontId="72" fillId="48" borderId="0" xfId="1110" applyNumberFormat="1" applyFont="1" applyFill="1" applyBorder="1" applyAlignment="1">
      <alignment horizontal="center"/>
    </xf>
    <xf numFmtId="4" fontId="9" fillId="66" borderId="19" xfId="1110" applyNumberFormat="1" applyFont="1" applyFill="1" applyBorder="1" applyAlignment="1">
      <alignment horizontal="center"/>
    </xf>
    <xf numFmtId="4" fontId="9" fillId="66" borderId="19" xfId="702" applyNumberFormat="1" applyFont="1" applyFill="1" applyBorder="1" applyAlignment="1">
      <alignment horizontal="center"/>
    </xf>
    <xf numFmtId="1" fontId="9" fillId="66" borderId="19" xfId="1110" applyNumberFormat="1" applyFont="1" applyFill="1" applyBorder="1" applyAlignment="1">
      <alignment horizontal="center"/>
    </xf>
    <xf numFmtId="4" fontId="9" fillId="66" borderId="19" xfId="1110" applyNumberFormat="1" applyFont="1" applyFill="1" applyBorder="1" applyAlignment="1">
      <alignment horizontal="right" vertical="center" wrapText="1"/>
    </xf>
    <xf numFmtId="180" fontId="9" fillId="66" borderId="19" xfId="1110" applyNumberFormat="1" applyFont="1" applyFill="1" applyBorder="1" applyAlignment="1">
      <alignment horizontal="center"/>
    </xf>
    <xf numFmtId="4" fontId="9" fillId="66" borderId="19" xfId="1110" applyNumberFormat="1" applyFont="1" applyFill="1" applyBorder="1"/>
    <xf numFmtId="172" fontId="151" fillId="66" borderId="185" xfId="1110" applyNumberFormat="1" applyFont="1" applyFill="1" applyBorder="1"/>
    <xf numFmtId="172" fontId="151" fillId="66" borderId="186" xfId="1110" applyNumberFormat="1" applyFont="1" applyFill="1" applyBorder="1"/>
    <xf numFmtId="172" fontId="151" fillId="66" borderId="187" xfId="1110" applyNumberFormat="1" applyFont="1" applyFill="1" applyBorder="1"/>
    <xf numFmtId="3" fontId="72" fillId="65" borderId="54" xfId="1110" applyNumberFormat="1" applyFont="1" applyFill="1" applyBorder="1" applyAlignment="1"/>
    <xf numFmtId="4" fontId="151" fillId="66" borderId="142" xfId="702" applyNumberFormat="1" applyFont="1" applyFill="1" applyBorder="1" applyAlignment="1">
      <alignment horizontal="center"/>
    </xf>
    <xf numFmtId="172" fontId="9" fillId="48" borderId="74" xfId="1110" applyNumberFormat="1" applyFont="1" applyFill="1" applyBorder="1"/>
    <xf numFmtId="4" fontId="9" fillId="48" borderId="61" xfId="1110" applyNumberFormat="1" applyFont="1" applyFill="1" applyBorder="1" applyAlignment="1">
      <alignment horizontal="center"/>
    </xf>
    <xf numFmtId="4" fontId="10" fillId="48" borderId="19" xfId="702" applyNumberFormat="1" applyFont="1" applyFill="1" applyBorder="1" applyAlignment="1">
      <alignment horizontal="center"/>
    </xf>
    <xf numFmtId="4" fontId="9" fillId="48" borderId="74" xfId="1110" applyNumberFormat="1" applyFont="1" applyFill="1" applyBorder="1"/>
    <xf numFmtId="4" fontId="10" fillId="48" borderId="74" xfId="702" applyNumberFormat="1" applyFont="1" applyFill="1" applyBorder="1" applyAlignment="1">
      <alignment horizontal="center"/>
    </xf>
    <xf numFmtId="4" fontId="10" fillId="48" borderId="60" xfId="702" applyNumberFormat="1" applyFont="1" applyFill="1" applyBorder="1" applyAlignment="1">
      <alignment horizontal="center"/>
    </xf>
    <xf numFmtId="4" fontId="170" fillId="70" borderId="19" xfId="1110" applyNumberFormat="1" applyFont="1" applyFill="1" applyBorder="1" applyAlignment="1">
      <alignment horizontal="center"/>
    </xf>
    <xf numFmtId="4" fontId="170" fillId="70" borderId="19" xfId="702" applyNumberFormat="1" applyFont="1" applyFill="1" applyBorder="1" applyAlignment="1">
      <alignment horizontal="center"/>
    </xf>
    <xf numFmtId="1" fontId="170" fillId="70" borderId="19" xfId="1110" applyNumberFormat="1" applyFont="1" applyFill="1" applyBorder="1" applyAlignment="1">
      <alignment horizontal="center"/>
    </xf>
    <xf numFmtId="180" fontId="170" fillId="70" borderId="19" xfId="1110" applyNumberFormat="1" applyFont="1" applyFill="1" applyBorder="1" applyAlignment="1">
      <alignment horizontal="center"/>
    </xf>
    <xf numFmtId="4" fontId="170" fillId="70" borderId="19" xfId="1110" applyNumberFormat="1" applyFont="1" applyFill="1" applyBorder="1"/>
    <xf numFmtId="4" fontId="170" fillId="70" borderId="74" xfId="1110" applyNumberFormat="1" applyFont="1" applyFill="1" applyBorder="1"/>
    <xf numFmtId="4" fontId="170" fillId="70" borderId="60" xfId="1110" applyNumberFormat="1" applyFont="1" applyFill="1" applyBorder="1" applyAlignment="1">
      <alignment horizontal="center"/>
    </xf>
    <xf numFmtId="172" fontId="170" fillId="70" borderId="19" xfId="1110" applyNumberFormat="1" applyFont="1" applyFill="1" applyBorder="1"/>
    <xf numFmtId="172" fontId="171" fillId="70" borderId="19" xfId="1110" applyNumberFormat="1" applyFont="1" applyFill="1" applyBorder="1"/>
    <xf numFmtId="172" fontId="170" fillId="70" borderId="74" xfId="1110" applyNumberFormat="1" applyFont="1" applyFill="1" applyBorder="1"/>
    <xf numFmtId="4" fontId="170" fillId="70" borderId="61" xfId="1110" applyNumberFormat="1" applyFont="1" applyFill="1" applyBorder="1" applyAlignment="1">
      <alignment horizontal="center"/>
    </xf>
    <xf numFmtId="0" fontId="170" fillId="66" borderId="19" xfId="1110" applyFont="1" applyFill="1" applyBorder="1"/>
    <xf numFmtId="0" fontId="170" fillId="66" borderId="96" xfId="1110" applyFont="1" applyFill="1" applyBorder="1"/>
    <xf numFmtId="0" fontId="170" fillId="66" borderId="80" xfId="1110" applyFont="1" applyFill="1" applyBorder="1"/>
    <xf numFmtId="172" fontId="9" fillId="66" borderId="19" xfId="1110" applyNumberFormat="1" applyFont="1" applyFill="1" applyBorder="1"/>
    <xf numFmtId="0" fontId="170" fillId="70" borderId="80" xfId="1110" applyFont="1" applyFill="1" applyBorder="1"/>
    <xf numFmtId="0" fontId="170" fillId="70" borderId="19" xfId="1110" applyFont="1" applyFill="1" applyBorder="1"/>
    <xf numFmtId="0" fontId="170" fillId="70" borderId="96" xfId="1110" applyFont="1" applyFill="1" applyBorder="1"/>
    <xf numFmtId="0" fontId="9" fillId="70" borderId="19" xfId="1110" applyFont="1" applyFill="1" applyBorder="1"/>
    <xf numFmtId="0" fontId="9" fillId="70" borderId="96" xfId="1110" applyFont="1" applyFill="1" applyBorder="1"/>
    <xf numFmtId="0" fontId="9" fillId="70" borderId="80" xfId="1110" applyFont="1" applyFill="1" applyBorder="1"/>
    <xf numFmtId="3" fontId="9" fillId="48" borderId="19" xfId="1110" applyNumberFormat="1" applyFont="1" applyFill="1" applyBorder="1" applyAlignment="1"/>
    <xf numFmtId="4" fontId="9" fillId="70" borderId="19" xfId="1110" applyNumberFormat="1" applyFont="1" applyFill="1" applyBorder="1"/>
    <xf numFmtId="0" fontId="9" fillId="70" borderId="19" xfId="1110" applyFont="1" applyFill="1" applyBorder="1" applyAlignment="1">
      <alignment horizontal="center" vertical="top"/>
    </xf>
    <xf numFmtId="4" fontId="9" fillId="70" borderId="96" xfId="1110" applyNumberFormat="1" applyFont="1" applyFill="1" applyBorder="1"/>
    <xf numFmtId="4" fontId="9" fillId="70" borderId="80" xfId="1110" applyNumberFormat="1" applyFont="1" applyFill="1" applyBorder="1"/>
    <xf numFmtId="175" fontId="9" fillId="48" borderId="19" xfId="1110" applyNumberFormat="1" applyFont="1" applyFill="1" applyBorder="1" applyAlignment="1">
      <alignment horizontal="center"/>
    </xf>
    <xf numFmtId="0" fontId="9" fillId="70" borderId="25" xfId="1110" applyFont="1" applyFill="1" applyBorder="1"/>
    <xf numFmtId="4" fontId="10" fillId="66" borderId="58" xfId="702" applyNumberFormat="1" applyFont="1" applyFill="1" applyBorder="1" applyAlignment="1">
      <alignment horizontal="center"/>
    </xf>
    <xf numFmtId="0" fontId="9" fillId="70" borderId="25" xfId="1110" applyFont="1" applyFill="1" applyBorder="1" applyAlignment="1">
      <alignment horizontal="center" vertical="top"/>
    </xf>
    <xf numFmtId="4" fontId="9" fillId="70" borderId="25" xfId="1110" applyNumberFormat="1" applyFont="1" applyFill="1" applyBorder="1"/>
    <xf numFmtId="4" fontId="9" fillId="70" borderId="130" xfId="1110" applyNumberFormat="1" applyFont="1" applyFill="1" applyBorder="1"/>
    <xf numFmtId="4" fontId="9" fillId="70" borderId="190" xfId="1110" applyNumberFormat="1" applyFont="1" applyFill="1" applyBorder="1"/>
    <xf numFmtId="4" fontId="10" fillId="66" borderId="53" xfId="1110" applyNumberFormat="1" applyFont="1" applyFill="1" applyBorder="1" applyAlignment="1">
      <alignment horizontal="center"/>
    </xf>
    <xf numFmtId="4" fontId="10" fillId="66" borderId="54" xfId="702" applyNumberFormat="1" applyFont="1" applyFill="1" applyBorder="1" applyAlignment="1">
      <alignment vertical="center"/>
    </xf>
    <xf numFmtId="0" fontId="9" fillId="70" borderId="0" xfId="1110" applyFont="1" applyFill="1"/>
    <xf numFmtId="0" fontId="9" fillId="70" borderId="0" xfId="1110" applyFont="1" applyFill="1" applyAlignment="1">
      <alignment horizontal="right" vertical="top"/>
    </xf>
    <xf numFmtId="4" fontId="9" fillId="66" borderId="0" xfId="1110" applyNumberFormat="1" applyFill="1" applyAlignment="1">
      <alignment vertical="top"/>
    </xf>
    <xf numFmtId="0" fontId="9" fillId="70" borderId="0" xfId="1110" applyFont="1" applyFill="1" applyAlignment="1">
      <alignment horizontal="center" vertical="top"/>
    </xf>
    <xf numFmtId="39" fontId="9" fillId="70" borderId="0" xfId="1110" applyNumberFormat="1" applyFont="1" applyFill="1" applyAlignment="1">
      <alignment vertical="top"/>
    </xf>
    <xf numFmtId="4" fontId="9" fillId="70" borderId="0" xfId="1110" applyNumberFormat="1" applyFont="1" applyFill="1" applyAlignment="1">
      <alignment vertical="top"/>
    </xf>
    <xf numFmtId="0" fontId="9" fillId="70" borderId="0" xfId="1110" applyFont="1" applyFill="1" applyAlignment="1">
      <alignment vertical="top"/>
    </xf>
    <xf numFmtId="0" fontId="9" fillId="0" borderId="0" xfId="1110" applyAlignment="1">
      <alignment horizontal="right" vertical="top"/>
    </xf>
    <xf numFmtId="4" fontId="9" fillId="70" borderId="0" xfId="1110" applyNumberFormat="1" applyFont="1" applyFill="1"/>
    <xf numFmtId="172" fontId="9" fillId="66" borderId="0" xfId="1110" applyNumberFormat="1" applyFill="1" applyAlignment="1">
      <alignment vertical="top"/>
    </xf>
    <xf numFmtId="172" fontId="9" fillId="70" borderId="0" xfId="1110" applyNumberFormat="1" applyFont="1" applyFill="1" applyAlignment="1">
      <alignment vertical="top"/>
    </xf>
    <xf numFmtId="0" fontId="9" fillId="70" borderId="0" xfId="1110" applyFill="1"/>
    <xf numFmtId="0" fontId="9" fillId="70" borderId="0" xfId="1110" applyFill="1" applyAlignment="1">
      <alignment horizontal="right" vertical="top"/>
    </xf>
    <xf numFmtId="0" fontId="9" fillId="66" borderId="0" xfId="1110" applyFill="1" applyAlignment="1">
      <alignment vertical="top"/>
    </xf>
    <xf numFmtId="0" fontId="9" fillId="70" borderId="0" xfId="1110" applyFill="1" applyAlignment="1">
      <alignment horizontal="center" vertical="top"/>
    </xf>
    <xf numFmtId="39" fontId="9" fillId="70" borderId="0" xfId="1110" applyNumberFormat="1" applyFill="1" applyAlignment="1">
      <alignment vertical="top"/>
    </xf>
    <xf numFmtId="0" fontId="9" fillId="70" borderId="0" xfId="1110" applyFill="1" applyAlignment="1">
      <alignment vertical="top"/>
    </xf>
    <xf numFmtId="0" fontId="9" fillId="0" borderId="0" xfId="1110" applyAlignment="1">
      <alignment vertical="top"/>
    </xf>
    <xf numFmtId="4" fontId="10" fillId="70" borderId="149" xfId="1110" applyNumberFormat="1" applyFont="1" applyFill="1" applyBorder="1" applyAlignment="1">
      <alignment vertical="top"/>
    </xf>
    <xf numFmtId="4" fontId="9" fillId="70" borderId="0" xfId="1110" applyNumberFormat="1" applyFill="1" applyAlignment="1">
      <alignment vertical="top"/>
    </xf>
    <xf numFmtId="0" fontId="9" fillId="66" borderId="19" xfId="1110" applyFont="1" applyFill="1" applyBorder="1" applyAlignment="1">
      <alignment horizontal="center" vertical="top"/>
    </xf>
    <xf numFmtId="4" fontId="9" fillId="66" borderId="96" xfId="1110" applyNumberFormat="1" applyFont="1" applyFill="1" applyBorder="1"/>
    <xf numFmtId="4" fontId="9" fillId="66" borderId="60" xfId="1110" applyNumberFormat="1" applyFont="1" applyFill="1" applyBorder="1" applyAlignment="1"/>
    <xf numFmtId="172" fontId="9" fillId="66" borderId="61" xfId="1110" applyNumberFormat="1" applyFont="1" applyFill="1" applyBorder="1"/>
    <xf numFmtId="175" fontId="9" fillId="66" borderId="19" xfId="1110" applyNumberFormat="1" applyFont="1" applyFill="1" applyBorder="1" applyAlignment="1">
      <alignment horizontal="center"/>
    </xf>
    <xf numFmtId="0" fontId="9" fillId="68" borderId="19" xfId="1110" applyFont="1" applyFill="1" applyBorder="1" applyAlignment="1">
      <alignment horizontal="center" vertical="top"/>
    </xf>
    <xf numFmtId="4" fontId="9" fillId="68" borderId="19" xfId="1110" applyNumberFormat="1" applyFont="1" applyFill="1" applyBorder="1"/>
    <xf numFmtId="4" fontId="9" fillId="68" borderId="19" xfId="1110" applyNumberFormat="1" applyFont="1" applyFill="1" applyBorder="1" applyAlignment="1">
      <alignment horizontal="right" vertical="center" wrapText="1"/>
    </xf>
    <xf numFmtId="4" fontId="14" fillId="48" borderId="19" xfId="1269" applyNumberFormat="1" applyFont="1" applyFill="1" applyBorder="1" applyAlignment="1" applyProtection="1">
      <alignment vertical="top" wrapText="1"/>
    </xf>
    <xf numFmtId="0" fontId="0" fillId="0" borderId="0" xfId="0"/>
    <xf numFmtId="4" fontId="176" fillId="48" borderId="19" xfId="0" applyNumberFormat="1" applyFont="1" applyFill="1" applyBorder="1" applyAlignment="1">
      <alignment vertical="top"/>
    </xf>
    <xf numFmtId="4" fontId="72" fillId="48" borderId="19" xfId="1500" applyNumberFormat="1" applyFont="1" applyFill="1" applyBorder="1" applyAlignment="1" applyProtection="1">
      <alignment vertical="top"/>
    </xf>
    <xf numFmtId="0" fontId="10" fillId="0" borderId="29" xfId="0" applyFont="1" applyBorder="1" applyAlignment="1">
      <alignment horizontal="center"/>
    </xf>
    <xf numFmtId="0" fontId="0" fillId="0" borderId="30" xfId="0" applyBorder="1" applyAlignment="1">
      <alignment horizontal="center"/>
    </xf>
    <xf numFmtId="0" fontId="0" fillId="0" borderId="31" xfId="0" applyBorder="1"/>
    <xf numFmtId="0" fontId="10" fillId="0" borderId="32" xfId="0" applyFont="1" applyBorder="1" applyAlignment="1">
      <alignment horizontal="center"/>
    </xf>
    <xf numFmtId="0" fontId="0" fillId="0" borderId="32" xfId="0" applyBorder="1" applyAlignment="1">
      <alignment horizontal="center"/>
    </xf>
    <xf numFmtId="2" fontId="0" fillId="0" borderId="0" xfId="0" applyNumberFormat="1" applyBorder="1"/>
    <xf numFmtId="0" fontId="0" fillId="0" borderId="22" xfId="0" applyBorder="1" applyAlignment="1">
      <alignment horizontal="center"/>
    </xf>
    <xf numFmtId="0" fontId="0" fillId="0" borderId="36" xfId="0" applyBorder="1" applyAlignment="1">
      <alignment horizontal="center"/>
    </xf>
    <xf numFmtId="2" fontId="0" fillId="0" borderId="36" xfId="0" applyNumberFormat="1" applyBorder="1"/>
    <xf numFmtId="0" fontId="0" fillId="0" borderId="37" xfId="0" applyBorder="1"/>
    <xf numFmtId="0" fontId="0" fillId="0" borderId="31" xfId="0" applyBorder="1" applyAlignment="1">
      <alignment horizontal="center"/>
    </xf>
    <xf numFmtId="0" fontId="10" fillId="0" borderId="22" xfId="0" applyFont="1"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2" fontId="0" fillId="0" borderId="30" xfId="0" applyNumberFormat="1" applyBorder="1"/>
    <xf numFmtId="0" fontId="10" fillId="0" borderId="26" xfId="0" applyFont="1" applyBorder="1" applyAlignment="1">
      <alignment horizontal="center"/>
    </xf>
    <xf numFmtId="0" fontId="0" fillId="0" borderId="28" xfId="0" applyBorder="1" applyAlignment="1">
      <alignment horizontal="center"/>
    </xf>
    <xf numFmtId="0" fontId="0" fillId="0" borderId="28" xfId="0" applyBorder="1"/>
    <xf numFmtId="0" fontId="0" fillId="0" borderId="27" xfId="0" applyBorder="1"/>
    <xf numFmtId="0" fontId="31" fillId="0" borderId="0" xfId="1051" applyFont="1" applyFill="1" applyBorder="1" applyAlignment="1">
      <alignment horizontal="left"/>
    </xf>
    <xf numFmtId="4" fontId="31" fillId="0" borderId="0" xfId="1051" applyNumberFormat="1" applyFont="1" applyFill="1" applyBorder="1" applyAlignment="1">
      <alignment horizontal="left"/>
    </xf>
    <xf numFmtId="0" fontId="30" fillId="0" borderId="0" xfId="1051" applyFont="1" applyFill="1" applyBorder="1" applyAlignment="1">
      <alignment horizontal="center"/>
    </xf>
    <xf numFmtId="4" fontId="30" fillId="0" borderId="0" xfId="1051" applyNumberFormat="1" applyFont="1" applyFill="1" applyBorder="1"/>
    <xf numFmtId="0" fontId="31" fillId="0" borderId="0" xfId="0" applyFont="1" applyFill="1" applyBorder="1"/>
    <xf numFmtId="4" fontId="30" fillId="0" borderId="0" xfId="0" applyNumberFormat="1" applyFont="1" applyFill="1" applyBorder="1"/>
    <xf numFmtId="0" fontId="30" fillId="0" borderId="0" xfId="0" applyFont="1" applyFill="1" applyBorder="1" applyAlignment="1">
      <alignment horizontal="center"/>
    </xf>
    <xf numFmtId="0" fontId="30" fillId="0" borderId="0" xfId="0" applyFont="1" applyFill="1" applyBorder="1" applyAlignment="1">
      <alignment horizontal="right"/>
    </xf>
    <xf numFmtId="4" fontId="31" fillId="0" borderId="0" xfId="0" applyNumberFormat="1" applyFont="1" applyFill="1" applyBorder="1"/>
    <xf numFmtId="0" fontId="30" fillId="0" borderId="0" xfId="0" applyFont="1" applyFill="1" applyBorder="1"/>
    <xf numFmtId="0" fontId="31" fillId="0" borderId="0" xfId="0" applyFont="1" applyFill="1" applyBorder="1" applyAlignment="1">
      <alignment horizontal="right"/>
    </xf>
    <xf numFmtId="0" fontId="31" fillId="0" borderId="0" xfId="0" applyFont="1" applyFill="1" applyBorder="1" applyAlignment="1">
      <alignment horizontal="center"/>
    </xf>
    <xf numFmtId="0" fontId="39" fillId="0" borderId="0" xfId="0" applyFont="1" applyFill="1" applyBorder="1" applyAlignment="1"/>
    <xf numFmtId="4" fontId="31" fillId="0" borderId="0" xfId="0" applyNumberFormat="1" applyFont="1" applyFill="1" applyBorder="1" applyAlignment="1"/>
    <xf numFmtId="4" fontId="30" fillId="0" borderId="0" xfId="0" applyNumberFormat="1" applyFont="1" applyFill="1" applyBorder="1" applyAlignment="1">
      <alignment horizontal="right"/>
    </xf>
    <xf numFmtId="4" fontId="31" fillId="0" borderId="0" xfId="0" applyNumberFormat="1" applyFont="1" applyFill="1" applyBorder="1" applyAlignment="1">
      <alignment horizontal="right"/>
    </xf>
    <xf numFmtId="0" fontId="43" fillId="0" borderId="0" xfId="0" applyFont="1" applyFill="1" applyBorder="1" applyAlignment="1"/>
    <xf numFmtId="4" fontId="43" fillId="0" borderId="0" xfId="0" applyNumberFormat="1" applyFont="1" applyFill="1" applyBorder="1" applyAlignment="1"/>
    <xf numFmtId="0" fontId="43" fillId="0" borderId="0" xfId="0" applyFont="1" applyFill="1" applyBorder="1" applyAlignment="1">
      <alignment horizontal="center"/>
    </xf>
    <xf numFmtId="0" fontId="43" fillId="0" borderId="0" xfId="0" applyFont="1" applyFill="1" applyBorder="1"/>
    <xf numFmtId="0" fontId="64" fillId="0" borderId="0" xfId="0" applyFont="1" applyFill="1" applyBorder="1"/>
    <xf numFmtId="4" fontId="64" fillId="0" borderId="0" xfId="0" applyNumberFormat="1" applyFont="1" applyFill="1" applyBorder="1" applyAlignment="1"/>
    <xf numFmtId="0" fontId="64" fillId="0" borderId="0" xfId="0" applyFont="1" applyFill="1" applyBorder="1" applyAlignment="1">
      <alignment horizontal="center"/>
    </xf>
    <xf numFmtId="4" fontId="30" fillId="0" borderId="0" xfId="0" applyNumberFormat="1" applyFont="1" applyFill="1" applyBorder="1" applyAlignment="1"/>
    <xf numFmtId="0" fontId="41" fillId="0" borderId="0" xfId="0" applyFont="1" applyFill="1" applyBorder="1" applyAlignment="1">
      <alignment horizontal="left"/>
    </xf>
    <xf numFmtId="4" fontId="41" fillId="0" borderId="0" xfId="0" applyNumberFormat="1" applyFont="1" applyFill="1" applyBorder="1"/>
    <xf numFmtId="0" fontId="41" fillId="0" borderId="0" xfId="0" applyFont="1" applyFill="1" applyBorder="1" applyAlignment="1">
      <alignment horizontal="center"/>
    </xf>
    <xf numFmtId="0" fontId="30" fillId="0" borderId="0" xfId="1051" applyFont="1" applyFill="1" applyBorder="1"/>
    <xf numFmtId="0" fontId="30" fillId="0" borderId="0" xfId="0" applyFont="1" applyFill="1"/>
    <xf numFmtId="0" fontId="66" fillId="0" borderId="81" xfId="1293" applyFont="1" applyFill="1" applyBorder="1" applyAlignment="1">
      <alignment horizontal="right"/>
    </xf>
    <xf numFmtId="39" fontId="66" fillId="0" borderId="57" xfId="1293" applyNumberFormat="1" applyFont="1" applyFill="1" applyBorder="1"/>
    <xf numFmtId="4" fontId="42" fillId="0" borderId="0" xfId="1051" applyNumberFormat="1" applyFont="1" applyFill="1" applyBorder="1"/>
    <xf numFmtId="0" fontId="31" fillId="0" borderId="0" xfId="1051" applyNumberFormat="1" applyFont="1" applyFill="1" applyBorder="1" applyAlignment="1" applyProtection="1">
      <alignment horizontal="left" wrapText="1"/>
    </xf>
    <xf numFmtId="0" fontId="30" fillId="0" borderId="0" xfId="1051" applyNumberFormat="1" applyFont="1" applyFill="1" applyBorder="1" applyAlignment="1"/>
    <xf numFmtId="0" fontId="31" fillId="0" borderId="0" xfId="1051" applyFont="1" applyFill="1" applyBorder="1" applyAlignment="1">
      <alignment horizontal="center"/>
    </xf>
    <xf numFmtId="0" fontId="30" fillId="0" borderId="0" xfId="1051" applyFont="1" applyFill="1" applyBorder="1" applyAlignment="1" applyProtection="1">
      <alignment horizontal="left"/>
    </xf>
    <xf numFmtId="183" fontId="30" fillId="0" borderId="0" xfId="1051" applyNumberFormat="1" applyFont="1" applyFill="1" applyBorder="1" applyAlignment="1" applyProtection="1">
      <alignment horizontal="right"/>
    </xf>
    <xf numFmtId="0" fontId="30" fillId="0" borderId="0" xfId="1051" applyFont="1" applyFill="1" applyBorder="1" applyAlignment="1" applyProtection="1">
      <alignment horizontal="center"/>
    </xf>
    <xf numFmtId="43" fontId="30" fillId="0" borderId="0" xfId="914" applyFont="1" applyFill="1" applyBorder="1" applyAlignment="1">
      <alignment horizontal="right"/>
    </xf>
    <xf numFmtId="0" fontId="30" fillId="0" borderId="0" xfId="1051" applyFont="1" applyFill="1" applyBorder="1" applyProtection="1"/>
    <xf numFmtId="183" fontId="30" fillId="0" borderId="0" xfId="1051" applyNumberFormat="1" applyFont="1" applyFill="1" applyBorder="1" applyProtection="1"/>
    <xf numFmtId="43" fontId="31" fillId="0" borderId="0" xfId="914" applyFont="1" applyFill="1" applyBorder="1" applyAlignment="1">
      <alignment horizontal="right"/>
    </xf>
    <xf numFmtId="43" fontId="31" fillId="0" borderId="0" xfId="914" applyFont="1" applyFill="1" applyBorder="1" applyAlignment="1"/>
    <xf numFmtId="0" fontId="31" fillId="0" borderId="0" xfId="1299" applyFont="1" applyFill="1" applyBorder="1"/>
    <xf numFmtId="43" fontId="31" fillId="0" borderId="0" xfId="914" applyFont="1" applyFill="1" applyBorder="1"/>
    <xf numFmtId="43" fontId="30" fillId="0" borderId="0" xfId="914" applyFont="1" applyFill="1" applyBorder="1"/>
    <xf numFmtId="0" fontId="30" fillId="0" borderId="0" xfId="1299" applyFont="1" applyFill="1" applyBorder="1"/>
    <xf numFmtId="164" fontId="31" fillId="0" borderId="0" xfId="1051" applyNumberFormat="1" applyFont="1" applyFill="1" applyBorder="1" applyAlignment="1">
      <alignment horizontal="right"/>
    </xf>
    <xf numFmtId="0" fontId="31" fillId="0" borderId="0" xfId="1051" applyFont="1" applyFill="1" applyBorder="1"/>
    <xf numFmtId="4" fontId="15" fillId="0" borderId="0" xfId="1293" applyNumberFormat="1" applyFont="1" applyFill="1"/>
    <xf numFmtId="3" fontId="15" fillId="0" borderId="0" xfId="1293" applyNumberFormat="1" applyFont="1" applyFill="1" applyAlignment="1">
      <alignment horizontal="left"/>
    </xf>
    <xf numFmtId="0" fontId="9" fillId="0" borderId="42" xfId="1276" applyFont="1" applyFill="1" applyBorder="1"/>
    <xf numFmtId="4" fontId="43" fillId="0" borderId="0" xfId="1051" applyNumberFormat="1" applyFont="1" applyFill="1" applyBorder="1" applyAlignment="1"/>
    <xf numFmtId="4" fontId="10" fillId="0" borderId="24" xfId="1276" applyNumberFormat="1" applyFont="1" applyFill="1" applyBorder="1" applyAlignment="1">
      <alignment horizontal="right"/>
    </xf>
    <xf numFmtId="4" fontId="15" fillId="0" borderId="43" xfId="1293" applyNumberFormat="1" applyFont="1" applyFill="1" applyBorder="1"/>
    <xf numFmtId="4" fontId="27" fillId="0" borderId="46" xfId="1293" applyNumberFormat="1" applyFont="1" applyFill="1" applyBorder="1"/>
    <xf numFmtId="4" fontId="30" fillId="0" borderId="0" xfId="1051" applyNumberFormat="1" applyFont="1" applyFill="1" applyBorder="1" applyAlignment="1">
      <alignment horizontal="right"/>
    </xf>
    <xf numFmtId="0" fontId="68" fillId="0" borderId="79" xfId="0" applyFont="1" applyFill="1" applyBorder="1"/>
    <xf numFmtId="2" fontId="69" fillId="0" borderId="55" xfId="1293" applyNumberFormat="1" applyFont="1" applyFill="1" applyBorder="1" applyAlignment="1">
      <alignment horizontal="right"/>
    </xf>
    <xf numFmtId="39" fontId="69" fillId="0" borderId="55" xfId="1293" applyNumberFormat="1" applyFont="1" applyFill="1" applyBorder="1" applyAlignment="1">
      <alignment horizontal="right"/>
    </xf>
    <xf numFmtId="0" fontId="35" fillId="0" borderId="0" xfId="1287" applyFont="1" applyFill="1" applyAlignment="1">
      <alignment horizontal="center" vertical="center"/>
    </xf>
    <xf numFmtId="0" fontId="38" fillId="0" borderId="0" xfId="1287" applyFont="1" applyFill="1" applyAlignment="1"/>
    <xf numFmtId="0" fontId="35" fillId="0" borderId="24" xfId="1287" applyFont="1" applyFill="1" applyBorder="1"/>
    <xf numFmtId="0" fontId="38" fillId="0" borderId="24" xfId="1287" applyFont="1" applyFill="1" applyBorder="1" applyAlignment="1">
      <alignment horizontal="center"/>
    </xf>
    <xf numFmtId="2" fontId="35" fillId="0" borderId="24" xfId="1287" applyNumberFormat="1" applyFont="1" applyFill="1" applyBorder="1" applyAlignment="1">
      <alignment horizontal="right"/>
    </xf>
    <xf numFmtId="0" fontId="35" fillId="0" borderId="24" xfId="1287" applyFont="1" applyFill="1" applyBorder="1" applyAlignment="1">
      <alignment horizontal="center"/>
    </xf>
    <xf numFmtId="0" fontId="35" fillId="0" borderId="24" xfId="1287" applyFont="1" applyFill="1" applyBorder="1" applyAlignment="1">
      <alignment horizontal="right"/>
    </xf>
    <xf numFmtId="0" fontId="35" fillId="0" borderId="0" xfId="1287" applyFont="1" applyFill="1"/>
    <xf numFmtId="0" fontId="35" fillId="0" borderId="0" xfId="1287" applyFont="1" applyFill="1" applyAlignment="1"/>
    <xf numFmtId="0" fontId="38" fillId="0" borderId="0" xfId="1287" applyFont="1" applyFill="1" applyAlignment="1">
      <alignment horizontal="right"/>
    </xf>
    <xf numFmtId="4" fontId="38" fillId="0" borderId="24" xfId="1287" applyNumberFormat="1" applyFont="1" applyFill="1" applyBorder="1" applyAlignment="1"/>
    <xf numFmtId="2" fontId="35" fillId="0" borderId="0" xfId="1287" applyNumberFormat="1" applyFont="1" applyFill="1"/>
    <xf numFmtId="0" fontId="38" fillId="0" borderId="0" xfId="1287" applyFont="1" applyFill="1" applyBorder="1" applyAlignment="1">
      <alignment horizontal="right"/>
    </xf>
    <xf numFmtId="164" fontId="38" fillId="0" borderId="82" xfId="1287" applyNumberFormat="1" applyFont="1" applyFill="1" applyBorder="1" applyAlignment="1">
      <alignment horizontal="right"/>
    </xf>
    <xf numFmtId="0" fontId="70" fillId="0" borderId="83" xfId="1291" applyFont="1" applyFill="1" applyBorder="1" applyAlignment="1"/>
    <xf numFmtId="0" fontId="30" fillId="0" borderId="34" xfId="1299" applyNumberFormat="1" applyFont="1" applyFill="1" applyBorder="1" applyAlignment="1"/>
    <xf numFmtId="0" fontId="30" fillId="0" borderId="24" xfId="1299" applyFont="1" applyFill="1" applyBorder="1"/>
    <xf numFmtId="0" fontId="31" fillId="0" borderId="24" xfId="1299" applyFont="1" applyFill="1" applyBorder="1" applyAlignment="1">
      <alignment horizontal="center"/>
    </xf>
    <xf numFmtId="0" fontId="35" fillId="0" borderId="24" xfId="1291" applyFont="1" applyFill="1" applyBorder="1"/>
    <xf numFmtId="173" fontId="35" fillId="0" borderId="24" xfId="916" applyFont="1" applyFill="1" applyBorder="1"/>
    <xf numFmtId="173" fontId="35" fillId="0" borderId="24" xfId="916" applyFont="1" applyFill="1" applyBorder="1" applyAlignment="1">
      <alignment horizontal="center"/>
    </xf>
    <xf numFmtId="7" fontId="30" fillId="0" borderId="24" xfId="1299" applyNumberFormat="1" applyFont="1" applyFill="1" applyBorder="1" applyProtection="1"/>
    <xf numFmtId="39" fontId="35" fillId="0" borderId="24" xfId="916" applyNumberFormat="1" applyFont="1" applyFill="1" applyBorder="1"/>
    <xf numFmtId="0" fontId="31" fillId="0" borderId="24" xfId="1299" applyFont="1" applyFill="1" applyBorder="1" applyProtection="1"/>
    <xf numFmtId="0" fontId="30" fillId="0" borderId="24" xfId="1299" applyFont="1" applyFill="1" applyBorder="1" applyAlignment="1" applyProtection="1">
      <alignment horizontal="center"/>
    </xf>
    <xf numFmtId="7" fontId="31" fillId="0" borderId="24" xfId="1299" applyNumberFormat="1" applyFont="1" applyFill="1" applyBorder="1" applyProtection="1"/>
    <xf numFmtId="172" fontId="9" fillId="0" borderId="0" xfId="0" applyNumberFormat="1" applyFont="1" applyFill="1" applyBorder="1"/>
    <xf numFmtId="0" fontId="10" fillId="0" borderId="29" xfId="0" applyFont="1" applyFill="1" applyBorder="1" applyAlignment="1">
      <alignment horizontal="left"/>
    </xf>
    <xf numFmtId="172" fontId="9" fillId="0" borderId="30" xfId="0" applyNumberFormat="1" applyFont="1" applyFill="1" applyBorder="1" applyAlignment="1">
      <alignment horizontal="right"/>
    </xf>
    <xf numFmtId="172" fontId="9" fillId="0" borderId="30" xfId="0" applyNumberFormat="1" applyFont="1" applyFill="1" applyBorder="1" applyAlignment="1">
      <alignment horizontal="center"/>
    </xf>
    <xf numFmtId="4" fontId="9" fillId="0" borderId="31" xfId="0" applyNumberFormat="1" applyFont="1" applyFill="1" applyBorder="1" applyAlignment="1"/>
    <xf numFmtId="0" fontId="9" fillId="0" borderId="32" xfId="0" applyFont="1" applyFill="1" applyBorder="1" applyAlignment="1">
      <alignment horizontal="left"/>
    </xf>
    <xf numFmtId="172" fontId="9" fillId="0" borderId="0" xfId="0" applyNumberFormat="1" applyFont="1" applyFill="1" applyBorder="1" applyAlignment="1">
      <alignment horizontal="right"/>
    </xf>
    <xf numFmtId="172" fontId="9" fillId="0" borderId="0" xfId="0" applyNumberFormat="1" applyFont="1" applyFill="1" applyBorder="1" applyAlignment="1">
      <alignment horizontal="center"/>
    </xf>
    <xf numFmtId="4" fontId="9" fillId="0" borderId="33" xfId="0" applyNumberFormat="1" applyFont="1" applyFill="1" applyBorder="1" applyAlignment="1"/>
    <xf numFmtId="0" fontId="10" fillId="0" borderId="32" xfId="0" applyFont="1" applyFill="1" applyBorder="1" applyAlignment="1">
      <alignment horizontal="left"/>
    </xf>
    <xf numFmtId="0" fontId="9" fillId="0" borderId="22" xfId="0" applyFont="1" applyFill="1" applyBorder="1" applyAlignment="1">
      <alignment horizontal="left"/>
    </xf>
    <xf numFmtId="172" fontId="9" fillId="0" borderId="36" xfId="0" applyNumberFormat="1" applyFont="1" applyFill="1" applyBorder="1" applyAlignment="1">
      <alignment horizontal="right"/>
    </xf>
    <xf numFmtId="172" fontId="9" fillId="0" borderId="36" xfId="0" applyNumberFormat="1" applyFont="1" applyFill="1" applyBorder="1" applyAlignment="1">
      <alignment horizontal="center"/>
    </xf>
    <xf numFmtId="4" fontId="9" fillId="0" borderId="37" xfId="0" applyNumberFormat="1" applyFont="1" applyFill="1" applyBorder="1" applyAlignment="1"/>
    <xf numFmtId="164" fontId="10" fillId="0" borderId="0" xfId="0" applyNumberFormat="1" applyFont="1" applyFill="1" applyBorder="1"/>
    <xf numFmtId="164" fontId="29" fillId="0" borderId="0" xfId="0" applyNumberFormat="1" applyFont="1" applyFill="1" applyBorder="1"/>
    <xf numFmtId="0" fontId="9" fillId="0" borderId="0" xfId="0" applyFont="1" applyFill="1" applyBorder="1" applyAlignment="1">
      <alignment horizontal="right"/>
    </xf>
    <xf numFmtId="0" fontId="15" fillId="0" borderId="0" xfId="1293" quotePrefix="1" applyFont="1" applyFill="1" applyAlignment="1">
      <alignment horizontal="left"/>
    </xf>
    <xf numFmtId="4" fontId="14" fillId="0" borderId="49" xfId="1293" applyNumberFormat="1" applyFont="1" applyFill="1" applyBorder="1"/>
    <xf numFmtId="4" fontId="14" fillId="0" borderId="66" xfId="1293" applyNumberFormat="1" applyFont="1" applyFill="1" applyBorder="1"/>
    <xf numFmtId="39" fontId="15" fillId="0" borderId="44" xfId="1293" quotePrefix="1" applyNumberFormat="1" applyFont="1" applyFill="1" applyBorder="1" applyAlignment="1">
      <alignment horizontal="left"/>
    </xf>
    <xf numFmtId="4" fontId="15" fillId="0" borderId="45" xfId="1293" quotePrefix="1" applyNumberFormat="1" applyFont="1" applyFill="1" applyBorder="1" applyAlignment="1">
      <alignment horizontal="left"/>
    </xf>
    <xf numFmtId="39" fontId="14" fillId="0" borderId="45" xfId="1293" applyNumberFormat="1" applyFont="1" applyFill="1" applyBorder="1"/>
    <xf numFmtId="4" fontId="15" fillId="0" borderId="45" xfId="1293" quotePrefix="1" applyNumberFormat="1" applyFont="1" applyFill="1" applyBorder="1" applyAlignment="1">
      <alignment horizontal="right"/>
    </xf>
    <xf numFmtId="4" fontId="15" fillId="0" borderId="64" xfId="1293" applyNumberFormat="1" applyFont="1" applyFill="1" applyBorder="1"/>
    <xf numFmtId="39" fontId="14" fillId="0" borderId="40" xfId="1293" applyNumberFormat="1" applyFont="1" applyFill="1" applyBorder="1" applyAlignment="1">
      <alignment horizontal="centerContinuous"/>
    </xf>
    <xf numFmtId="39" fontId="14" fillId="0" borderId="24" xfId="1293" applyNumberFormat="1" applyFont="1" applyFill="1" applyBorder="1" applyAlignment="1">
      <alignment horizontal="centerContinuous"/>
    </xf>
    <xf numFmtId="4" fontId="14" fillId="0" borderId="43" xfId="1293" applyNumberFormat="1" applyFont="1" applyFill="1" applyBorder="1"/>
    <xf numFmtId="0" fontId="14" fillId="0" borderId="45" xfId="1293" applyFont="1" applyFill="1" applyBorder="1" applyAlignment="1">
      <alignment horizontal="centerContinuous"/>
    </xf>
    <xf numFmtId="4" fontId="15" fillId="0" borderId="45" xfId="1293" applyNumberFormat="1" applyFont="1" applyFill="1" applyBorder="1" applyAlignment="1">
      <alignment horizontal="right"/>
    </xf>
    <xf numFmtId="4" fontId="15" fillId="0" borderId="46" xfId="1293" applyNumberFormat="1" applyFont="1" applyFill="1" applyBorder="1" applyAlignment="1">
      <alignment horizontal="right"/>
    </xf>
    <xf numFmtId="39" fontId="14" fillId="0" borderId="45" xfId="1293" applyNumberFormat="1" applyFont="1" applyFill="1" applyBorder="1" applyAlignment="1">
      <alignment horizontal="centerContinuous"/>
    </xf>
    <xf numFmtId="39" fontId="14" fillId="0" borderId="0" xfId="1293" applyNumberFormat="1" applyFont="1" applyFill="1" applyBorder="1" applyAlignment="1">
      <alignment horizontal="centerContinuous"/>
    </xf>
    <xf numFmtId="0" fontId="14" fillId="0" borderId="42" xfId="1293" quotePrefix="1" applyFont="1" applyFill="1" applyBorder="1" applyAlignment="1">
      <alignment horizontal="left"/>
    </xf>
    <xf numFmtId="0" fontId="71" fillId="0" borderId="78" xfId="0" applyNumberFormat="1" applyFont="1" applyFill="1" applyBorder="1" applyAlignment="1">
      <alignment wrapText="1"/>
    </xf>
    <xf numFmtId="4" fontId="30" fillId="0" borderId="0" xfId="1051" applyNumberFormat="1" applyFont="1" applyFill="1"/>
    <xf numFmtId="0" fontId="30" fillId="0" borderId="0" xfId="1051" applyFont="1" applyFill="1" applyAlignment="1">
      <alignment horizontal="center"/>
    </xf>
    <xf numFmtId="0" fontId="30" fillId="0" borderId="0" xfId="1051" applyFont="1" applyFill="1"/>
    <xf numFmtId="4" fontId="91" fillId="0" borderId="46" xfId="1293" applyNumberFormat="1" applyFont="1" applyFill="1" applyBorder="1" applyAlignment="1">
      <alignment horizontal="right"/>
    </xf>
    <xf numFmtId="2" fontId="82" fillId="0" borderId="20" xfId="1293" applyNumberFormat="1" applyFont="1" applyFill="1" applyBorder="1"/>
    <xf numFmtId="0" fontId="53" fillId="0" borderId="0" xfId="1293" applyFont="1" applyFill="1"/>
    <xf numFmtId="4" fontId="53" fillId="0" borderId="0" xfId="1293" applyNumberFormat="1" applyFont="1" applyFill="1"/>
    <xf numFmtId="0" fontId="31" fillId="0" borderId="19" xfId="0" applyFont="1" applyFill="1" applyBorder="1" applyAlignment="1">
      <alignment horizontal="left"/>
    </xf>
    <xf numFmtId="0" fontId="31" fillId="0" borderId="19" xfId="0" applyFont="1" applyFill="1" applyBorder="1" applyAlignment="1">
      <alignment wrapText="1"/>
    </xf>
    <xf numFmtId="0" fontId="14" fillId="0" borderId="40" xfId="1293" applyFont="1" applyFill="1" applyBorder="1" applyAlignment="1">
      <alignment horizontal="centerContinuous"/>
    </xf>
    <xf numFmtId="0" fontId="14" fillId="0" borderId="24" xfId="1293" applyFont="1" applyFill="1" applyBorder="1" applyAlignment="1">
      <alignment horizontal="centerContinuous"/>
    </xf>
    <xf numFmtId="180" fontId="14" fillId="0" borderId="40" xfId="1293" applyNumberFormat="1" applyFont="1" applyFill="1" applyBorder="1"/>
    <xf numFmtId="4" fontId="14" fillId="0" borderId="40" xfId="463" applyNumberFormat="1" applyFont="1" applyFill="1" applyBorder="1"/>
    <xf numFmtId="4" fontId="14" fillId="0" borderId="24" xfId="463" applyNumberFormat="1" applyFont="1" applyFill="1" applyBorder="1"/>
    <xf numFmtId="0" fontId="15" fillId="0" borderId="81" xfId="1293" applyFont="1" applyFill="1" applyBorder="1"/>
    <xf numFmtId="4" fontId="15" fillId="0" borderId="84" xfId="1293" applyNumberFormat="1" applyFont="1" applyFill="1" applyBorder="1"/>
    <xf numFmtId="39" fontId="14" fillId="0" borderId="84" xfId="1293" quotePrefix="1" applyNumberFormat="1" applyFont="1" applyFill="1" applyBorder="1" applyAlignment="1">
      <alignment horizontal="left"/>
    </xf>
    <xf numFmtId="4" fontId="15" fillId="0" borderId="84" xfId="1293" applyNumberFormat="1" applyFont="1" applyFill="1" applyBorder="1" applyAlignment="1">
      <alignment horizontal="right"/>
    </xf>
    <xf numFmtId="4" fontId="15" fillId="0" borderId="57" xfId="1293" applyNumberFormat="1" applyFont="1" applyFill="1" applyBorder="1"/>
    <xf numFmtId="0" fontId="15" fillId="0" borderId="39" xfId="1293" applyFont="1" applyFill="1" applyBorder="1"/>
    <xf numFmtId="4" fontId="15" fillId="0" borderId="40" xfId="1293" applyNumberFormat="1" applyFont="1" applyFill="1" applyBorder="1"/>
    <xf numFmtId="39" fontId="14" fillId="0" borderId="40" xfId="1293" quotePrefix="1" applyNumberFormat="1" applyFont="1" applyFill="1" applyBorder="1" applyAlignment="1">
      <alignment horizontal="left"/>
    </xf>
    <xf numFmtId="4" fontId="15" fillId="0" borderId="40" xfId="1293" quotePrefix="1" applyNumberFormat="1" applyFont="1" applyFill="1" applyBorder="1" applyAlignment="1">
      <alignment horizontal="right"/>
    </xf>
    <xf numFmtId="4" fontId="15" fillId="0" borderId="41" xfId="1293" applyNumberFormat="1" applyFont="1" applyFill="1" applyBorder="1"/>
    <xf numFmtId="179" fontId="14" fillId="0" borderId="40" xfId="1293" applyNumberFormat="1" applyFont="1" applyFill="1" applyBorder="1"/>
    <xf numFmtId="0" fontId="15" fillId="0" borderId="47" xfId="0" applyFont="1" applyFill="1" applyBorder="1" applyAlignment="1" applyProtection="1">
      <alignment horizontal="left" vertical="center"/>
    </xf>
    <xf numFmtId="0" fontId="14" fillId="0" borderId="47" xfId="0" applyFont="1" applyFill="1" applyBorder="1" applyAlignment="1">
      <alignment horizontal="right" vertical="center"/>
    </xf>
    <xf numFmtId="0" fontId="14" fillId="0" borderId="47" xfId="0" applyFont="1" applyFill="1" applyBorder="1" applyAlignment="1">
      <alignment horizontal="center" vertical="center"/>
    </xf>
    <xf numFmtId="0" fontId="14" fillId="0" borderId="25" xfId="0" quotePrefix="1" applyFont="1" applyFill="1" applyBorder="1" applyAlignment="1" applyProtection="1">
      <alignment horizontal="left" vertical="center"/>
    </xf>
    <xf numFmtId="0" fontId="14" fillId="0" borderId="25" xfId="0" applyFont="1" applyFill="1" applyBorder="1" applyAlignment="1" applyProtection="1">
      <alignment horizontal="right" vertical="center"/>
    </xf>
    <xf numFmtId="0" fontId="14" fillId="0" borderId="25" xfId="0" applyFont="1" applyFill="1" applyBorder="1" applyAlignment="1" applyProtection="1">
      <alignment horizontal="center" vertical="center"/>
    </xf>
    <xf numFmtId="4" fontId="14" fillId="0" borderId="25" xfId="0" applyNumberFormat="1" applyFont="1" applyFill="1" applyBorder="1" applyAlignment="1" applyProtection="1">
      <alignment horizontal="right" vertical="center"/>
    </xf>
    <xf numFmtId="0" fontId="14" fillId="0" borderId="24" xfId="0" quotePrefix="1" applyFont="1" applyFill="1" applyBorder="1" applyAlignment="1" applyProtection="1">
      <alignment horizontal="left" vertical="center"/>
    </xf>
    <xf numFmtId="2" fontId="14" fillId="0" borderId="24" xfId="0" applyNumberFormat="1" applyFont="1" applyFill="1" applyBorder="1" applyAlignment="1" applyProtection="1">
      <alignment horizontal="right" vertical="center"/>
    </xf>
    <xf numFmtId="0" fontId="14" fillId="0" borderId="24" xfId="0" applyFont="1" applyFill="1" applyBorder="1" applyAlignment="1" applyProtection="1">
      <alignment horizontal="center" vertical="center"/>
    </xf>
    <xf numFmtId="4" fontId="14" fillId="0" borderId="24" xfId="0" applyNumberFormat="1" applyFont="1" applyFill="1" applyBorder="1" applyAlignment="1" applyProtection="1">
      <alignment horizontal="right" vertical="center"/>
    </xf>
    <xf numFmtId="0" fontId="14" fillId="0" borderId="24" xfId="0" applyFont="1" applyFill="1" applyBorder="1" applyAlignment="1">
      <alignment horizontal="center" vertical="center"/>
    </xf>
    <xf numFmtId="0" fontId="14" fillId="0" borderId="85" xfId="0" applyFont="1" applyFill="1" applyBorder="1" applyAlignment="1">
      <alignment vertical="center"/>
    </xf>
    <xf numFmtId="0" fontId="14" fillId="0" borderId="85" xfId="0" applyFont="1" applyFill="1" applyBorder="1" applyAlignment="1">
      <alignment horizontal="right" vertical="center"/>
    </xf>
    <xf numFmtId="0" fontId="14" fillId="0" borderId="85" xfId="0" applyFont="1" applyFill="1" applyBorder="1" applyAlignment="1">
      <alignment horizontal="center" vertical="center"/>
    </xf>
    <xf numFmtId="2" fontId="15" fillId="0" borderId="23" xfId="0" applyNumberFormat="1" applyFont="1" applyFill="1" applyBorder="1" applyAlignment="1" applyProtection="1">
      <alignment horizontal="right" vertical="center"/>
    </xf>
    <xf numFmtId="4" fontId="15" fillId="0" borderId="23" xfId="0" applyNumberFormat="1" applyFont="1" applyFill="1" applyBorder="1" applyAlignment="1" applyProtection="1">
      <alignment horizontal="right" vertical="center"/>
    </xf>
    <xf numFmtId="0" fontId="52" fillId="0" borderId="0" xfId="1292" applyFont="1" applyFill="1" applyAlignment="1">
      <alignment horizontal="centerContinuous"/>
    </xf>
    <xf numFmtId="0" fontId="11" fillId="0" borderId="0" xfId="1292" applyFont="1" applyFill="1"/>
    <xf numFmtId="0" fontId="45" fillId="0" borderId="0" xfId="1292" quotePrefix="1" applyFont="1" applyFill="1" applyAlignment="1">
      <alignment horizontal="left"/>
    </xf>
    <xf numFmtId="0" fontId="11" fillId="0" borderId="39" xfId="1292" applyFont="1" applyFill="1" applyBorder="1"/>
    <xf numFmtId="0" fontId="11" fillId="0" borderId="40" xfId="1292" applyFont="1" applyFill="1" applyBorder="1"/>
    <xf numFmtId="0" fontId="11" fillId="0" borderId="40" xfId="1292" applyFont="1" applyFill="1" applyBorder="1" applyAlignment="1">
      <alignment horizontal="centerContinuous"/>
    </xf>
    <xf numFmtId="39" fontId="11" fillId="0" borderId="40" xfId="1292" applyNumberFormat="1" applyFont="1" applyFill="1" applyBorder="1"/>
    <xf numFmtId="39" fontId="11" fillId="0" borderId="41" xfId="1292" applyNumberFormat="1" applyFont="1" applyFill="1" applyBorder="1"/>
    <xf numFmtId="0" fontId="11" fillId="0" borderId="42" xfId="1292" applyFont="1" applyFill="1" applyBorder="1"/>
    <xf numFmtId="0" fontId="11" fillId="0" borderId="24" xfId="1292" applyFont="1" applyFill="1" applyBorder="1"/>
    <xf numFmtId="0" fontId="11" fillId="0" borderId="24" xfId="1292" applyFont="1" applyFill="1" applyBorder="1" applyAlignment="1">
      <alignment horizontal="centerContinuous"/>
    </xf>
    <xf numFmtId="39" fontId="11" fillId="0" borderId="24" xfId="1292" applyNumberFormat="1" applyFont="1" applyFill="1" applyBorder="1"/>
    <xf numFmtId="39" fontId="11" fillId="0" borderId="43" xfId="1292" applyNumberFormat="1" applyFont="1" applyFill="1" applyBorder="1"/>
    <xf numFmtId="2" fontId="11" fillId="0" borderId="24" xfId="1292" applyNumberFormat="1" applyFont="1" applyFill="1" applyBorder="1"/>
    <xf numFmtId="0" fontId="11" fillId="0" borderId="24" xfId="1292" quotePrefix="1" applyFont="1" applyFill="1" applyBorder="1" applyAlignment="1">
      <alignment horizontal="centerContinuous"/>
    </xf>
    <xf numFmtId="0" fontId="11" fillId="0" borderId="42" xfId="1292" quotePrefix="1" applyFont="1" applyFill="1" applyBorder="1" applyAlignment="1">
      <alignment horizontal="left"/>
    </xf>
    <xf numFmtId="0" fontId="11" fillId="0" borderId="44" xfId="1292" applyFont="1" applyFill="1" applyBorder="1"/>
    <xf numFmtId="0" fontId="11" fillId="0" borderId="45" xfId="1292" applyFont="1" applyFill="1" applyBorder="1"/>
    <xf numFmtId="0" fontId="45" fillId="0" borderId="45" xfId="1292" applyFont="1" applyFill="1" applyBorder="1" applyAlignment="1">
      <alignment horizontal="right"/>
    </xf>
    <xf numFmtId="39" fontId="45" fillId="0" borderId="46" xfId="1292" applyNumberFormat="1" applyFont="1" applyFill="1" applyBorder="1" applyAlignment="1">
      <alignment horizontal="right"/>
    </xf>
    <xf numFmtId="0" fontId="45" fillId="0" borderId="0" xfId="1292" applyFont="1" applyFill="1"/>
    <xf numFmtId="2" fontId="11" fillId="0" borderId="40" xfId="1292" applyNumberFormat="1" applyFont="1" applyFill="1" applyBorder="1"/>
    <xf numFmtId="174" fontId="11" fillId="0" borderId="24" xfId="1292" applyNumberFormat="1" applyFont="1" applyFill="1" applyBorder="1"/>
    <xf numFmtId="2" fontId="45" fillId="0" borderId="0" xfId="1292" applyNumberFormat="1" applyFont="1" applyFill="1" applyBorder="1"/>
    <xf numFmtId="0" fontId="45" fillId="0" borderId="0" xfId="1292" applyFont="1" applyFill="1" applyAlignment="1">
      <alignment horizontal="right"/>
    </xf>
    <xf numFmtId="39" fontId="45" fillId="0" borderId="0" xfId="1292" applyNumberFormat="1" applyFont="1" applyFill="1" applyAlignment="1">
      <alignment horizontal="right"/>
    </xf>
    <xf numFmtId="0" fontId="11" fillId="0" borderId="0" xfId="1279" applyFont="1" applyFill="1" applyBorder="1"/>
    <xf numFmtId="4" fontId="11" fillId="0" borderId="0" xfId="1279" applyNumberFormat="1" applyFont="1" applyFill="1" applyBorder="1"/>
    <xf numFmtId="0" fontId="45" fillId="0" borderId="0" xfId="1296" applyFont="1" applyFill="1" applyBorder="1"/>
    <xf numFmtId="0" fontId="45" fillId="0" borderId="0" xfId="1296" applyFont="1" applyFill="1"/>
    <xf numFmtId="4" fontId="45" fillId="0" borderId="0" xfId="1296" applyNumberFormat="1" applyFont="1" applyFill="1"/>
    <xf numFmtId="0" fontId="11" fillId="0" borderId="39" xfId="1296" applyFont="1" applyFill="1" applyBorder="1"/>
    <xf numFmtId="0" fontId="11" fillId="0" borderId="40" xfId="1296" applyFont="1" applyFill="1" applyBorder="1"/>
    <xf numFmtId="0" fontId="11" fillId="0" borderId="40" xfId="1296" applyFont="1" applyFill="1" applyBorder="1" applyAlignment="1">
      <alignment horizontal="centerContinuous"/>
    </xf>
    <xf numFmtId="39" fontId="11" fillId="0" borderId="40" xfId="1296" applyNumberFormat="1" applyFont="1" applyFill="1" applyBorder="1"/>
    <xf numFmtId="4" fontId="11" fillId="0" borderId="41" xfId="1296" applyNumberFormat="1" applyFont="1" applyFill="1" applyBorder="1"/>
    <xf numFmtId="0" fontId="11" fillId="0" borderId="42" xfId="1296" applyFont="1" applyFill="1" applyBorder="1"/>
    <xf numFmtId="2" fontId="11" fillId="0" borderId="24" xfId="1296" applyNumberFormat="1" applyFont="1" applyFill="1" applyBorder="1"/>
    <xf numFmtId="0" fontId="11" fillId="0" borderId="24" xfId="1296" applyFont="1" applyFill="1" applyBorder="1" applyAlignment="1">
      <alignment horizontal="centerContinuous"/>
    </xf>
    <xf numFmtId="39" fontId="11" fillId="0" borderId="24" xfId="1296" applyNumberFormat="1" applyFont="1" applyFill="1" applyBorder="1"/>
    <xf numFmtId="4" fontId="11" fillId="0" borderId="43" xfId="1296" applyNumberFormat="1" applyFont="1" applyFill="1" applyBorder="1"/>
    <xf numFmtId="0" fontId="11" fillId="0" borderId="44" xfId="1296" applyFont="1" applyFill="1" applyBorder="1"/>
    <xf numFmtId="0" fontId="11" fillId="0" borderId="45" xfId="1296" applyFont="1" applyFill="1" applyBorder="1"/>
    <xf numFmtId="0" fontId="45" fillId="0" borderId="45" xfId="1296" applyFont="1" applyFill="1" applyBorder="1" applyAlignment="1">
      <alignment horizontal="right"/>
    </xf>
    <xf numFmtId="4" fontId="45" fillId="0" borderId="46" xfId="1296" applyNumberFormat="1" applyFont="1" applyFill="1" applyBorder="1" applyAlignment="1">
      <alignment horizontal="right"/>
    </xf>
    <xf numFmtId="0" fontId="45" fillId="0" borderId="86" xfId="1279" applyFont="1" applyFill="1" applyBorder="1" applyAlignment="1">
      <alignment horizontal="center"/>
    </xf>
    <xf numFmtId="0" fontId="45" fillId="0" borderId="87" xfId="1279" applyFont="1" applyFill="1" applyBorder="1"/>
    <xf numFmtId="0" fontId="45" fillId="0" borderId="87" xfId="1279" applyFont="1" applyFill="1" applyBorder="1" applyAlignment="1">
      <alignment horizontal="center"/>
    </xf>
    <xf numFmtId="4" fontId="45" fillId="0" borderId="88" xfId="1279" applyNumberFormat="1" applyFont="1" applyFill="1" applyBorder="1" applyAlignment="1">
      <alignment horizontal="center"/>
    </xf>
    <xf numFmtId="0" fontId="11" fillId="0" borderId="89" xfId="0" applyFont="1" applyFill="1" applyBorder="1"/>
    <xf numFmtId="2" fontId="11" fillId="0" borderId="24" xfId="0" applyNumberFormat="1" applyFont="1" applyFill="1" applyBorder="1" applyAlignment="1">
      <alignment horizontal="center"/>
    </xf>
    <xf numFmtId="0" fontId="11" fillId="0" borderId="24" xfId="0" applyFont="1" applyFill="1" applyBorder="1" applyAlignment="1">
      <alignment horizontal="center"/>
    </xf>
    <xf numFmtId="39" fontId="11" fillId="0" borderId="24" xfId="0" applyNumberFormat="1" applyFont="1" applyFill="1" applyBorder="1" applyAlignment="1">
      <alignment horizontal="right"/>
    </xf>
    <xf numFmtId="4" fontId="11" fillId="0" borderId="77" xfId="0" applyNumberFormat="1" applyFont="1" applyFill="1" applyBorder="1"/>
    <xf numFmtId="0" fontId="47" fillId="0" borderId="0" xfId="1280" applyFont="1" applyFill="1" applyBorder="1" applyAlignment="1">
      <alignment horizontal="left"/>
    </xf>
    <xf numFmtId="2" fontId="47" fillId="0" borderId="0" xfId="1289" applyNumberFormat="1" applyFont="1" applyFill="1" applyBorder="1" applyAlignment="1">
      <alignment horizontal="center"/>
    </xf>
    <xf numFmtId="0" fontId="47" fillId="0" borderId="0" xfId="1280" applyFont="1" applyFill="1" applyBorder="1" applyAlignment="1">
      <alignment horizontal="center"/>
    </xf>
    <xf numFmtId="2" fontId="47" fillId="0" borderId="0" xfId="1280" applyNumberFormat="1" applyFont="1" applyFill="1" applyBorder="1" applyAlignment="1">
      <alignment horizontal="right"/>
    </xf>
    <xf numFmtId="4" fontId="47" fillId="0" borderId="0" xfId="1280" applyNumberFormat="1" applyFont="1" applyFill="1" applyBorder="1"/>
    <xf numFmtId="0" fontId="47" fillId="0" borderId="0" xfId="1280" applyFont="1" applyFill="1" applyBorder="1"/>
    <xf numFmtId="0" fontId="47" fillId="0" borderId="0" xfId="1289" applyFont="1" applyFill="1" applyBorder="1" applyAlignment="1">
      <alignment horizontal="center"/>
    </xf>
    <xf numFmtId="186" fontId="47" fillId="0" borderId="0" xfId="1280" applyNumberFormat="1" applyFont="1" applyFill="1" applyBorder="1" applyAlignment="1"/>
    <xf numFmtId="0" fontId="11" fillId="0" borderId="89" xfId="1279" applyFont="1" applyFill="1" applyBorder="1"/>
    <xf numFmtId="2" fontId="11" fillId="0" borderId="24" xfId="1288" applyNumberFormat="1" applyFont="1" applyFill="1" applyBorder="1" applyAlignment="1">
      <alignment horizontal="center"/>
    </xf>
    <xf numFmtId="0" fontId="11" fillId="0" borderId="24" xfId="1279" applyFont="1" applyFill="1" applyBorder="1" applyAlignment="1">
      <alignment horizontal="center"/>
    </xf>
    <xf numFmtId="2" fontId="11" fillId="0" borderId="24" xfId="1279" applyNumberFormat="1" applyFont="1" applyFill="1" applyBorder="1" applyAlignment="1">
      <alignment horizontal="right"/>
    </xf>
    <xf numFmtId="4" fontId="11" fillId="0" borderId="77" xfId="1279" applyNumberFormat="1" applyFont="1" applyFill="1" applyBorder="1"/>
    <xf numFmtId="0" fontId="11" fillId="0" borderId="89" xfId="1279" quotePrefix="1" applyFont="1" applyFill="1" applyBorder="1" applyAlignment="1">
      <alignment horizontal="left"/>
    </xf>
    <xf numFmtId="4" fontId="11" fillId="0" borderId="24" xfId="1279" applyNumberFormat="1" applyFont="1" applyFill="1" applyBorder="1" applyAlignment="1">
      <alignment horizontal="right"/>
    </xf>
    <xf numFmtId="0" fontId="45" fillId="0" borderId="89" xfId="1279" applyFont="1" applyFill="1" applyBorder="1" applyAlignment="1">
      <alignment horizontal="left"/>
    </xf>
    <xf numFmtId="0" fontId="45" fillId="0" borderId="24" xfId="1279" applyFont="1" applyFill="1" applyBorder="1" applyAlignment="1">
      <alignment horizontal="left"/>
    </xf>
    <xf numFmtId="0" fontId="45" fillId="0" borderId="24" xfId="1279" applyFont="1" applyFill="1" applyBorder="1" applyAlignment="1">
      <alignment horizontal="center"/>
    </xf>
    <xf numFmtId="4" fontId="45" fillId="0" borderId="77" xfId="1279" applyNumberFormat="1" applyFont="1" applyFill="1" applyBorder="1" applyAlignment="1"/>
    <xf numFmtId="0" fontId="45" fillId="0" borderId="90" xfId="1279" applyFont="1" applyFill="1" applyBorder="1" applyAlignment="1">
      <alignment horizontal="left"/>
    </xf>
    <xf numFmtId="0" fontId="45" fillId="0" borderId="85" xfId="1279" applyFont="1" applyFill="1" applyBorder="1"/>
    <xf numFmtId="0" fontId="45" fillId="0" borderId="85" xfId="1279" applyFont="1" applyFill="1" applyBorder="1" applyAlignment="1">
      <alignment horizontal="center"/>
    </xf>
    <xf numFmtId="4" fontId="45" fillId="0" borderId="23" xfId="1279" applyNumberFormat="1" applyFont="1" applyFill="1" applyBorder="1" applyAlignment="1"/>
    <xf numFmtId="0" fontId="45" fillId="0" borderId="0" xfId="1279" applyFont="1" applyFill="1" applyBorder="1"/>
    <xf numFmtId="4" fontId="45" fillId="0" borderId="0" xfId="1279" applyNumberFormat="1" applyFont="1" applyFill="1" applyBorder="1"/>
    <xf numFmtId="0" fontId="11" fillId="0" borderId="0" xfId="1296" applyFont="1" applyFill="1"/>
    <xf numFmtId="4" fontId="11" fillId="0" borderId="0" xfId="1296" applyNumberFormat="1" applyFont="1" applyFill="1"/>
    <xf numFmtId="0" fontId="45" fillId="0" borderId="91" xfId="1279" applyFont="1" applyFill="1" applyBorder="1" applyAlignment="1">
      <alignment horizontal="center"/>
    </xf>
    <xf numFmtId="0" fontId="45" fillId="0" borderId="92" xfId="1279" applyFont="1" applyFill="1" applyBorder="1" applyAlignment="1">
      <alignment horizontal="center"/>
    </xf>
    <xf numFmtId="4" fontId="45" fillId="0" borderId="93" xfId="1279" applyNumberFormat="1" applyFont="1" applyFill="1" applyBorder="1" applyAlignment="1">
      <alignment horizontal="center"/>
    </xf>
    <xf numFmtId="0" fontId="11" fillId="0" borderId="94" xfId="1279" applyFont="1" applyFill="1" applyBorder="1"/>
    <xf numFmtId="2" fontId="11" fillId="0" borderId="25" xfId="1279" applyNumberFormat="1" applyFont="1" applyFill="1" applyBorder="1" applyAlignment="1">
      <alignment horizontal="center"/>
    </xf>
    <xf numFmtId="0" fontId="11" fillId="0" borderId="25" xfId="1279" applyFont="1" applyFill="1" applyBorder="1" applyAlignment="1">
      <alignment horizontal="center"/>
    </xf>
    <xf numFmtId="4" fontId="11" fillId="0" borderId="25" xfId="1279" applyNumberFormat="1" applyFont="1" applyFill="1" applyBorder="1" applyAlignment="1">
      <alignment horizontal="right"/>
    </xf>
    <xf numFmtId="4" fontId="11" fillId="0" borderId="95" xfId="1279" applyNumberFormat="1" applyFont="1" applyFill="1" applyBorder="1"/>
    <xf numFmtId="2" fontId="11" fillId="0" borderId="24" xfId="1279" applyNumberFormat="1" applyFont="1" applyFill="1" applyBorder="1" applyAlignment="1">
      <alignment horizontal="center"/>
    </xf>
    <xf numFmtId="0" fontId="45" fillId="0" borderId="89" xfId="1279" applyFont="1" applyFill="1" applyBorder="1"/>
    <xf numFmtId="0" fontId="45" fillId="0" borderId="85" xfId="1279" applyFont="1" applyFill="1" applyBorder="1" applyAlignment="1">
      <alignment horizontal="left"/>
    </xf>
    <xf numFmtId="4" fontId="45" fillId="0" borderId="85" xfId="1279" applyNumberFormat="1" applyFont="1" applyFill="1" applyBorder="1" applyAlignment="1">
      <alignment horizontal="right"/>
    </xf>
    <xf numFmtId="0" fontId="38" fillId="0" borderId="0" xfId="1293" applyFont="1" applyFill="1" applyBorder="1"/>
    <xf numFmtId="0" fontId="35" fillId="0" borderId="0" xfId="1293" applyFont="1" applyFill="1" applyBorder="1"/>
    <xf numFmtId="0" fontId="35" fillId="0" borderId="0" xfId="1293" applyFont="1" applyFill="1" applyBorder="1" applyAlignment="1">
      <alignment horizontal="center"/>
    </xf>
    <xf numFmtId="39" fontId="35" fillId="0" borderId="0" xfId="1293" applyNumberFormat="1" applyFont="1" applyFill="1" applyBorder="1"/>
    <xf numFmtId="2" fontId="35" fillId="0" borderId="0" xfId="1293" applyNumberFormat="1" applyFont="1" applyFill="1" applyBorder="1"/>
    <xf numFmtId="0" fontId="38" fillId="0" borderId="0" xfId="1293" applyFont="1" applyFill="1"/>
    <xf numFmtId="0" fontId="38" fillId="0" borderId="0" xfId="1293" applyFont="1" applyFill="1" applyAlignment="1">
      <alignment horizontal="center"/>
    </xf>
    <xf numFmtId="0" fontId="35" fillId="0" borderId="75" xfId="1293" applyFont="1" applyFill="1" applyBorder="1"/>
    <xf numFmtId="0" fontId="35" fillId="0" borderId="73" xfId="1293" applyFont="1" applyFill="1" applyBorder="1"/>
    <xf numFmtId="0" fontId="35" fillId="0" borderId="73" xfId="1293" applyFont="1" applyFill="1" applyBorder="1" applyAlignment="1">
      <alignment horizontal="center"/>
    </xf>
    <xf numFmtId="39" fontId="35" fillId="0" borderId="73" xfId="1293" applyNumberFormat="1" applyFont="1" applyFill="1" applyBorder="1"/>
    <xf numFmtId="39" fontId="35" fillId="0" borderId="65" xfId="1293" applyNumberFormat="1" applyFont="1" applyFill="1" applyBorder="1"/>
    <xf numFmtId="0" fontId="35" fillId="0" borderId="60" xfId="1293" applyFont="1" applyFill="1" applyBorder="1"/>
    <xf numFmtId="2" fontId="35" fillId="0" borderId="19" xfId="1293" applyNumberFormat="1" applyFont="1" applyFill="1" applyBorder="1"/>
    <xf numFmtId="0" fontId="35" fillId="0" borderId="19" xfId="1293" applyFont="1" applyFill="1" applyBorder="1" applyAlignment="1">
      <alignment horizontal="center"/>
    </xf>
    <xf numFmtId="39" fontId="35" fillId="0" borderId="19" xfId="1293" applyNumberFormat="1" applyFont="1" applyFill="1" applyBorder="1"/>
    <xf numFmtId="39" fontId="35" fillId="0" borderId="61" xfId="1293" applyNumberFormat="1" applyFont="1" applyFill="1" applyBorder="1"/>
    <xf numFmtId="0" fontId="35" fillId="0" borderId="60" xfId="1293" quotePrefix="1" applyFont="1" applyFill="1" applyBorder="1"/>
    <xf numFmtId="0" fontId="35" fillId="0" borderId="62" xfId="1293" applyFont="1" applyFill="1" applyBorder="1"/>
    <xf numFmtId="0" fontId="35" fillId="0" borderId="63" xfId="1293" applyFont="1" applyFill="1" applyBorder="1"/>
    <xf numFmtId="0" fontId="35" fillId="0" borderId="63" xfId="1293" applyFont="1" applyFill="1" applyBorder="1" applyAlignment="1">
      <alignment horizontal="center"/>
    </xf>
    <xf numFmtId="0" fontId="38" fillId="0" borderId="63" xfId="1293" applyFont="1" applyFill="1" applyBorder="1" applyAlignment="1">
      <alignment horizontal="right"/>
    </xf>
    <xf numFmtId="4" fontId="38" fillId="0" borderId="64" xfId="1293" applyNumberFormat="1" applyFont="1" applyFill="1" applyBorder="1" applyAlignment="1">
      <alignment horizontal="right"/>
    </xf>
    <xf numFmtId="0" fontId="35" fillId="0" borderId="0" xfId="1293" applyFont="1" applyFill="1" applyBorder="1" applyAlignment="1">
      <alignment horizontal="right"/>
    </xf>
    <xf numFmtId="175" fontId="35" fillId="0" borderId="0" xfId="1293" applyNumberFormat="1" applyFont="1" applyFill="1" applyBorder="1"/>
    <xf numFmtId="173" fontId="35" fillId="0" borderId="0" xfId="462" applyFont="1" applyFill="1" applyBorder="1"/>
    <xf numFmtId="39" fontId="35" fillId="0" borderId="52" xfId="1293" applyNumberFormat="1" applyFont="1" applyFill="1" applyBorder="1"/>
    <xf numFmtId="0" fontId="35" fillId="0" borderId="0" xfId="1293" applyFont="1" applyFill="1" applyAlignment="1">
      <alignment horizontal="center"/>
    </xf>
    <xf numFmtId="43" fontId="35" fillId="0" borderId="0" xfId="1293" applyNumberFormat="1" applyFont="1" applyFill="1" applyBorder="1" applyAlignment="1"/>
    <xf numFmtId="173" fontId="35" fillId="0" borderId="0" xfId="462" applyFont="1" applyFill="1" applyBorder="1" applyAlignment="1">
      <alignment horizontal="center"/>
    </xf>
    <xf numFmtId="4" fontId="38" fillId="0" borderId="46" xfId="1293" applyNumberFormat="1" applyFont="1" applyFill="1" applyBorder="1" applyAlignment="1">
      <alignment horizontal="right"/>
    </xf>
    <xf numFmtId="0" fontId="38" fillId="0" borderId="0" xfId="1293" applyFont="1" applyFill="1" applyBorder="1" applyAlignment="1">
      <alignment horizontal="right"/>
    </xf>
    <xf numFmtId="0" fontId="38" fillId="0" borderId="26" xfId="1293" applyFont="1" applyFill="1" applyBorder="1" applyAlignment="1">
      <alignment horizontal="center"/>
    </xf>
    <xf numFmtId="0" fontId="35" fillId="0" borderId="74" xfId="1293" applyFont="1" applyFill="1" applyBorder="1" applyAlignment="1">
      <alignment horizontal="center"/>
    </xf>
    <xf numFmtId="39" fontId="38" fillId="0" borderId="0" xfId="1293" applyNumberFormat="1" applyFont="1" applyFill="1" applyBorder="1"/>
    <xf numFmtId="0" fontId="35" fillId="0" borderId="0" xfId="1293" applyFont="1" applyFill="1"/>
    <xf numFmtId="0" fontId="35" fillId="0" borderId="0" xfId="1293" applyFont="1" applyFill="1" applyBorder="1" applyAlignment="1">
      <alignment horizontal="centerContinuous"/>
    </xf>
    <xf numFmtId="0" fontId="38" fillId="0" borderId="75" xfId="1293" applyFont="1" applyFill="1" applyBorder="1"/>
    <xf numFmtId="0" fontId="38" fillId="0" borderId="73" xfId="1293" applyFont="1" applyFill="1" applyBorder="1"/>
    <xf numFmtId="0" fontId="38" fillId="0" borderId="65" xfId="1293" applyFont="1" applyFill="1" applyBorder="1"/>
    <xf numFmtId="0" fontId="35" fillId="0" borderId="19" xfId="1293" applyFont="1" applyFill="1" applyBorder="1"/>
    <xf numFmtId="0" fontId="35" fillId="0" borderId="19" xfId="1293" applyFont="1" applyFill="1" applyBorder="1" applyAlignment="1">
      <alignment horizontal="centerContinuous"/>
    </xf>
    <xf numFmtId="2" fontId="35" fillId="0" borderId="61" xfId="1293" applyNumberFormat="1" applyFont="1" applyFill="1" applyBorder="1"/>
    <xf numFmtId="0" fontId="35" fillId="0" borderId="60" xfId="0" applyFont="1" applyFill="1" applyBorder="1" applyAlignment="1">
      <alignment horizontal="left"/>
    </xf>
    <xf numFmtId="43" fontId="35" fillId="0" borderId="19" xfId="921" applyFont="1" applyFill="1" applyBorder="1"/>
    <xf numFmtId="43" fontId="35" fillId="0" borderId="19" xfId="921" applyFont="1" applyFill="1" applyBorder="1" applyAlignment="1">
      <alignment horizontal="center"/>
    </xf>
    <xf numFmtId="43" fontId="35" fillId="0" borderId="61" xfId="921" applyFont="1" applyFill="1" applyBorder="1"/>
    <xf numFmtId="0" fontId="35" fillId="0" borderId="48" xfId="1293" applyFont="1" applyFill="1" applyBorder="1"/>
    <xf numFmtId="0" fontId="35" fillId="0" borderId="25" xfId="1293" applyFont="1" applyFill="1" applyBorder="1"/>
    <xf numFmtId="0" fontId="38" fillId="0" borderId="25" xfId="1293" applyFont="1" applyFill="1" applyBorder="1" applyAlignment="1">
      <alignment horizontal="right"/>
    </xf>
    <xf numFmtId="4" fontId="38" fillId="0" borderId="72" xfId="1293" applyNumberFormat="1" applyFont="1" applyFill="1" applyBorder="1" applyAlignment="1">
      <alignment horizontal="right"/>
    </xf>
    <xf numFmtId="0" fontId="35" fillId="0" borderId="80" xfId="1293" applyFont="1" applyFill="1" applyBorder="1" applyAlignment="1">
      <alignment horizontal="right"/>
    </xf>
    <xf numFmtId="2" fontId="35" fillId="0" borderId="96" xfId="1293" applyNumberFormat="1" applyFont="1" applyFill="1" applyBorder="1"/>
    <xf numFmtId="2" fontId="35" fillId="0" borderId="0" xfId="1293" applyNumberFormat="1" applyFont="1" applyFill="1" applyBorder="1" applyAlignment="1">
      <alignment horizontal="right"/>
    </xf>
    <xf numFmtId="173" fontId="35" fillId="0" borderId="0" xfId="462" applyFont="1" applyFill="1" applyBorder="1" applyAlignment="1"/>
    <xf numFmtId="0" fontId="45" fillId="0" borderId="0" xfId="1293" applyFont="1" applyFill="1"/>
    <xf numFmtId="0" fontId="11" fillId="0" borderId="0" xfId="1293" applyFont="1" applyFill="1"/>
    <xf numFmtId="0" fontId="11" fillId="0" borderId="39" xfId="1293" applyFont="1" applyFill="1" applyBorder="1"/>
    <xf numFmtId="2" fontId="11" fillId="0" borderId="40" xfId="1293" applyNumberFormat="1" applyFont="1" applyFill="1" applyBorder="1"/>
    <xf numFmtId="0" fontId="11" fillId="0" borderId="40" xfId="1293" applyFont="1" applyFill="1" applyBorder="1" applyAlignment="1">
      <alignment horizontal="centerContinuous"/>
    </xf>
    <xf numFmtId="2" fontId="11" fillId="0" borderId="41" xfId="1293" applyNumberFormat="1" applyFont="1" applyFill="1" applyBorder="1"/>
    <xf numFmtId="0" fontId="11" fillId="0" borderId="42" xfId="1293" applyFont="1" applyFill="1" applyBorder="1"/>
    <xf numFmtId="0" fontId="11" fillId="0" borderId="24" xfId="1293" applyFont="1" applyFill="1" applyBorder="1"/>
    <xf numFmtId="0" fontId="11" fillId="0" borderId="24" xfId="1293" applyFont="1" applyFill="1" applyBorder="1" applyAlignment="1">
      <alignment horizontal="centerContinuous"/>
    </xf>
    <xf numFmtId="39" fontId="11" fillId="0" borderId="24" xfId="1293" applyNumberFormat="1" applyFont="1" applyFill="1" applyBorder="1"/>
    <xf numFmtId="2" fontId="11" fillId="0" borderId="43" xfId="1293" applyNumberFormat="1" applyFont="1" applyFill="1" applyBorder="1"/>
    <xf numFmtId="2" fontId="11" fillId="0" borderId="24" xfId="1293" applyNumberFormat="1" applyFont="1" applyFill="1" applyBorder="1"/>
    <xf numFmtId="175" fontId="11" fillId="0" borderId="43" xfId="1293" applyNumberFormat="1" applyFont="1" applyFill="1" applyBorder="1"/>
    <xf numFmtId="0" fontId="11" fillId="0" borderId="44" xfId="1293" applyFont="1" applyFill="1" applyBorder="1"/>
    <xf numFmtId="0" fontId="11" fillId="0" borderId="45" xfId="1293" applyFont="1" applyFill="1" applyBorder="1"/>
    <xf numFmtId="0" fontId="45" fillId="0" borderId="45" xfId="1293" applyFont="1" applyFill="1" applyBorder="1" applyAlignment="1">
      <alignment horizontal="right"/>
    </xf>
    <xf numFmtId="2" fontId="45" fillId="0" borderId="46" xfId="1293" applyNumberFormat="1" applyFont="1" applyFill="1" applyBorder="1" applyAlignment="1">
      <alignment horizontal="right"/>
    </xf>
    <xf numFmtId="0" fontId="45" fillId="0" borderId="39" xfId="1293" applyFont="1" applyFill="1" applyBorder="1"/>
    <xf numFmtId="0" fontId="63" fillId="0" borderId="78" xfId="0" applyFont="1" applyFill="1" applyBorder="1" applyAlignment="1">
      <alignment horizontal="left" wrapText="1"/>
    </xf>
    <xf numFmtId="4" fontId="11" fillId="0" borderId="40" xfId="1293" applyNumberFormat="1" applyFont="1" applyFill="1" applyBorder="1" applyAlignment="1"/>
    <xf numFmtId="4" fontId="11" fillId="0" borderId="41" xfId="1293" applyNumberFormat="1" applyFont="1" applyFill="1" applyBorder="1" applyAlignment="1"/>
    <xf numFmtId="4" fontId="11" fillId="0" borderId="24" xfId="1293" applyNumberFormat="1" applyFont="1" applyFill="1" applyBorder="1" applyAlignment="1"/>
    <xf numFmtId="4" fontId="11" fillId="0" borderId="43" xfId="1293" applyNumberFormat="1" applyFont="1" applyFill="1" applyBorder="1" applyAlignment="1"/>
    <xf numFmtId="4" fontId="45" fillId="0" borderId="45" xfId="1293" applyNumberFormat="1" applyFont="1" applyFill="1" applyBorder="1" applyAlignment="1">
      <alignment horizontal="right"/>
    </xf>
    <xf numFmtId="4" fontId="45" fillId="0" borderId="46" xfId="1293" applyNumberFormat="1" applyFont="1" applyFill="1" applyBorder="1" applyAlignment="1">
      <alignment horizontal="right"/>
    </xf>
    <xf numFmtId="1" fontId="177" fillId="0" borderId="19" xfId="1744" applyNumberFormat="1" applyFont="1" applyFill="1" applyBorder="1" applyAlignment="1">
      <alignment vertical="top"/>
    </xf>
    <xf numFmtId="0" fontId="177" fillId="0" borderId="19" xfId="1746" applyFont="1" applyFill="1" applyBorder="1" applyAlignment="1">
      <alignment vertical="top"/>
    </xf>
    <xf numFmtId="4" fontId="177" fillId="0" borderId="19" xfId="1744" applyNumberFormat="1" applyFont="1" applyFill="1" applyBorder="1" applyAlignment="1">
      <alignment vertical="top"/>
    </xf>
    <xf numFmtId="0" fontId="72" fillId="0" borderId="19" xfId="1744" applyFont="1" applyFill="1" applyBorder="1" applyAlignment="1">
      <alignment horizontal="left" vertical="top" wrapText="1"/>
    </xf>
    <xf numFmtId="4" fontId="176" fillId="48" borderId="78" xfId="0" applyNumberFormat="1" applyFont="1" applyFill="1" applyBorder="1" applyAlignment="1">
      <alignment vertical="top"/>
    </xf>
    <xf numFmtId="172" fontId="177" fillId="0" borderId="19" xfId="1744" applyNumberFormat="1" applyFont="1" applyFill="1" applyBorder="1" applyAlignment="1">
      <alignment vertical="top"/>
    </xf>
    <xf numFmtId="2" fontId="177" fillId="0" borderId="19" xfId="1744" applyNumberFormat="1" applyFont="1" applyFill="1" applyBorder="1" applyAlignment="1">
      <alignment vertical="top"/>
    </xf>
    <xf numFmtId="0" fontId="177" fillId="0" borderId="19" xfId="1744" applyFont="1" applyFill="1" applyBorder="1" applyAlignment="1">
      <alignment vertical="top" wrapText="1"/>
    </xf>
    <xf numFmtId="0" fontId="178" fillId="0" borderId="19" xfId="1746" applyFont="1" applyFill="1" applyBorder="1" applyAlignment="1">
      <alignment vertical="top"/>
    </xf>
    <xf numFmtId="0" fontId="178" fillId="0" borderId="19" xfId="1744" applyFont="1" applyFill="1" applyBorder="1" applyAlignment="1">
      <alignment vertical="top"/>
    </xf>
    <xf numFmtId="0" fontId="177" fillId="0" borderId="19" xfId="1744" applyFont="1" applyFill="1" applyBorder="1" applyAlignment="1">
      <alignment horizontal="right" vertical="top"/>
    </xf>
    <xf numFmtId="0" fontId="72" fillId="0" borderId="19" xfId="1744" applyFont="1" applyFill="1" applyBorder="1" applyAlignment="1">
      <alignment horizontal="left" vertical="top"/>
    </xf>
    <xf numFmtId="0" fontId="177" fillId="0" borderId="19" xfId="1746" applyFont="1" applyFill="1" applyBorder="1" applyAlignment="1">
      <alignment vertical="top" wrapText="1"/>
    </xf>
    <xf numFmtId="0" fontId="177" fillId="0" borderId="19" xfId="1744" applyFont="1" applyFill="1" applyBorder="1" applyAlignment="1">
      <alignment vertical="top"/>
    </xf>
    <xf numFmtId="4" fontId="177" fillId="0" borderId="19" xfId="1743" applyNumberFormat="1" applyFont="1" applyFill="1" applyBorder="1" applyAlignment="1">
      <alignment vertical="top"/>
    </xf>
    <xf numFmtId="0" fontId="10" fillId="0" borderId="0" xfId="1763" applyFont="1" applyAlignment="1" applyProtection="1">
      <alignment vertical="top" wrapText="1"/>
    </xf>
    <xf numFmtId="0" fontId="9" fillId="0" borderId="0" xfId="1747" applyAlignment="1">
      <alignment vertical="top"/>
    </xf>
    <xf numFmtId="0" fontId="10" fillId="48" borderId="0" xfId="1763" applyFont="1" applyFill="1" applyAlignment="1" applyProtection="1">
      <alignment horizontal="center" vertical="top" wrapText="1"/>
    </xf>
    <xf numFmtId="0" fontId="10" fillId="48" borderId="0" xfId="1763" applyFont="1" applyFill="1" applyAlignment="1" applyProtection="1">
      <alignment horizontal="right" vertical="top" wrapText="1"/>
    </xf>
    <xf numFmtId="193" fontId="10" fillId="48" borderId="0" xfId="1763" applyNumberFormat="1" applyFont="1" applyFill="1" applyAlignment="1" applyProtection="1">
      <alignment horizontal="center" vertical="top" wrapText="1"/>
    </xf>
    <xf numFmtId="0" fontId="10" fillId="0" borderId="0" xfId="1763" applyFont="1" applyAlignment="1" applyProtection="1">
      <alignment horizontal="right" vertical="top" wrapText="1"/>
    </xf>
    <xf numFmtId="0" fontId="9" fillId="0" borderId="0" xfId="1763" applyAlignment="1" applyProtection="1">
      <alignment vertical="top" wrapText="1"/>
    </xf>
    <xf numFmtId="0" fontId="9" fillId="48" borderId="0" xfId="1763" applyFill="1" applyAlignment="1" applyProtection="1">
      <alignment vertical="top"/>
    </xf>
    <xf numFmtId="0" fontId="9" fillId="48" borderId="0" xfId="1748" applyFill="1" applyAlignment="1" applyProtection="1">
      <alignment horizontal="right" vertical="top" wrapText="1"/>
    </xf>
    <xf numFmtId="4" fontId="9" fillId="48" borderId="0" xfId="1749" quotePrefix="1" applyNumberFormat="1" applyFill="1" applyAlignment="1" applyProtection="1">
      <alignment horizontal="center" vertical="top"/>
    </xf>
    <xf numFmtId="193" fontId="9" fillId="48" borderId="0" xfId="1749" applyNumberFormat="1" applyFill="1" applyAlignment="1" applyProtection="1">
      <alignment vertical="top" wrapText="1"/>
    </xf>
    <xf numFmtId="4" fontId="9" fillId="0" borderId="0" xfId="1749" applyNumberFormat="1" applyAlignment="1" applyProtection="1">
      <alignment horizontal="right" vertical="top" wrapText="1"/>
    </xf>
    <xf numFmtId="0" fontId="10" fillId="0" borderId="91" xfId="1747" applyFont="1" applyBorder="1" applyAlignment="1">
      <alignment horizontal="center" vertical="top"/>
    </xf>
    <xf numFmtId="0" fontId="10" fillId="0" borderId="92" xfId="1747" applyFont="1" applyBorder="1" applyAlignment="1">
      <alignment horizontal="center" vertical="top"/>
    </xf>
    <xf numFmtId="0" fontId="10" fillId="0" borderId="93" xfId="1747" applyFont="1" applyBorder="1" applyAlignment="1">
      <alignment horizontal="center" vertical="top"/>
    </xf>
    <xf numFmtId="0" fontId="10" fillId="83" borderId="0" xfId="1747" applyFont="1" applyFill="1" applyAlignment="1">
      <alignment horizontal="center" vertical="top"/>
    </xf>
    <xf numFmtId="0" fontId="9" fillId="83" borderId="0" xfId="1747" applyFill="1" applyAlignment="1">
      <alignment horizontal="center" vertical="top"/>
    </xf>
    <xf numFmtId="0" fontId="9" fillId="83" borderId="0" xfId="1747" applyFill="1" applyAlignment="1">
      <alignment vertical="top"/>
    </xf>
    <xf numFmtId="4" fontId="9" fillId="70" borderId="0" xfId="1747" applyNumberFormat="1" applyFill="1" applyAlignment="1">
      <alignment vertical="top"/>
    </xf>
    <xf numFmtId="4" fontId="9" fillId="0" borderId="0" xfId="1747" applyNumberFormat="1" applyAlignment="1">
      <alignment vertical="top"/>
    </xf>
    <xf numFmtId="4" fontId="9" fillId="66" borderId="0" xfId="1747" applyNumberFormat="1" applyFill="1" applyAlignment="1">
      <alignment vertical="top"/>
    </xf>
    <xf numFmtId="0" fontId="9" fillId="0" borderId="0" xfId="1747" applyAlignment="1">
      <alignment horizontal="center" vertical="top"/>
    </xf>
    <xf numFmtId="0" fontId="9" fillId="70" borderId="0" xfId="1747" applyFill="1" applyAlignment="1">
      <alignment vertical="top"/>
    </xf>
    <xf numFmtId="0" fontId="9" fillId="70" borderId="0" xfId="1764" applyFill="1" applyAlignment="1" applyProtection="1">
      <alignment vertical="top" wrapText="1"/>
    </xf>
    <xf numFmtId="0" fontId="9" fillId="70" borderId="0" xfId="1747" applyFill="1" applyAlignment="1">
      <alignment horizontal="center" vertical="top"/>
    </xf>
    <xf numFmtId="4" fontId="9" fillId="70" borderId="0" xfId="712" applyNumberFormat="1" applyFont="1" applyFill="1" applyBorder="1" applyAlignment="1">
      <alignment vertical="top"/>
    </xf>
    <xf numFmtId="0" fontId="9" fillId="83" borderId="0" xfId="1764" applyFill="1" applyAlignment="1" applyProtection="1">
      <alignment vertical="top" wrapText="1"/>
    </xf>
    <xf numFmtId="0" fontId="9" fillId="83" borderId="0" xfId="1747" applyFill="1" applyAlignment="1">
      <alignment vertical="top" wrapText="1"/>
    </xf>
    <xf numFmtId="0" fontId="9" fillId="70" borderId="0" xfId="1499" applyFont="1" applyFill="1" applyAlignment="1">
      <alignment wrapText="1"/>
    </xf>
    <xf numFmtId="0" fontId="9" fillId="66" borderId="0" xfId="1747" applyFill="1" applyAlignment="1">
      <alignment vertical="top"/>
    </xf>
    <xf numFmtId="0" fontId="14" fillId="83" borderId="0" xfId="1765" applyFont="1" applyFill="1" applyProtection="1"/>
    <xf numFmtId="4" fontId="14" fillId="66" borderId="0" xfId="1750" applyNumberFormat="1" applyFont="1" applyFill="1" applyAlignment="1" applyProtection="1"/>
    <xf numFmtId="0" fontId="14" fillId="83" borderId="0" xfId="1766" applyFont="1" applyFill="1" applyAlignment="1" applyProtection="1">
      <alignment horizontal="center" vertical="center"/>
    </xf>
    <xf numFmtId="173" fontId="137" fillId="66" borderId="0" xfId="1750" applyFont="1" applyFill="1" applyAlignment="1" applyProtection="1"/>
    <xf numFmtId="173" fontId="14" fillId="66" borderId="0" xfId="1750" applyFont="1" applyFill="1" applyAlignment="1" applyProtection="1"/>
    <xf numFmtId="0" fontId="14" fillId="70" borderId="0" xfId="1499" applyFont="1" applyFill="1" applyAlignment="1">
      <alignment horizontal="left" vertical="top" wrapText="1"/>
    </xf>
    <xf numFmtId="2" fontId="9" fillId="70" borderId="0" xfId="1747" applyNumberFormat="1" applyFill="1" applyAlignment="1">
      <alignment vertical="top"/>
    </xf>
    <xf numFmtId="43" fontId="9" fillId="70" borderId="0" xfId="1756" applyFont="1" applyFill="1" applyAlignment="1">
      <alignment vertical="top"/>
    </xf>
    <xf numFmtId="0" fontId="9" fillId="70" borderId="0" xfId="1747" applyFill="1" applyAlignment="1">
      <alignment vertical="top" wrapText="1"/>
    </xf>
    <xf numFmtId="0" fontId="9" fillId="70" borderId="0" xfId="1499" quotePrefix="1" applyFont="1" applyFill="1" applyAlignment="1">
      <alignment horizontal="left" vertical="top"/>
    </xf>
    <xf numFmtId="0" fontId="9" fillId="70" borderId="0" xfId="1499" quotePrefix="1" applyFont="1" applyFill="1" applyAlignment="1">
      <alignment horizontal="left" vertical="top" wrapText="1"/>
    </xf>
    <xf numFmtId="4" fontId="180" fillId="70" borderId="0" xfId="1750" applyNumberFormat="1" applyFont="1" applyFill="1" applyAlignment="1" applyProtection="1">
      <alignment vertical="center"/>
    </xf>
    <xf numFmtId="4" fontId="180" fillId="70" borderId="0" xfId="1766" applyNumberFormat="1" applyFont="1" applyFill="1" applyAlignment="1">
      <alignment horizontal="left" vertical="top"/>
      <protection locked="0"/>
    </xf>
    <xf numFmtId="4" fontId="14" fillId="70" borderId="0" xfId="1766" applyNumberFormat="1" applyFont="1" applyFill="1" applyAlignment="1">
      <alignment horizontal="left" vertical="center"/>
      <protection locked="0"/>
    </xf>
    <xf numFmtId="4" fontId="180" fillId="70" borderId="0" xfId="1766" applyNumberFormat="1" applyFont="1" applyFill="1" applyAlignment="1">
      <alignment horizontal="left" vertical="center"/>
      <protection locked="0"/>
    </xf>
    <xf numFmtId="0" fontId="180" fillId="70" borderId="0" xfId="1210" applyFont="1" applyFill="1" applyAlignment="1">
      <alignment horizontal="center" vertical="center"/>
    </xf>
    <xf numFmtId="2" fontId="9" fillId="0" borderId="0" xfId="1747" applyNumberFormat="1" applyAlignment="1">
      <alignment vertical="top"/>
    </xf>
    <xf numFmtId="0" fontId="14" fillId="70" borderId="0" xfId="1742" applyFont="1" applyFill="1"/>
    <xf numFmtId="0" fontId="9" fillId="0" borderId="0" xfId="1747" applyAlignment="1">
      <alignment horizontal="center" vertical="center"/>
    </xf>
    <xf numFmtId="185" fontId="176" fillId="48" borderId="19" xfId="0" applyNumberFormat="1" applyFont="1" applyFill="1" applyBorder="1" applyAlignment="1" applyProtection="1">
      <alignment horizontal="right" vertical="top"/>
    </xf>
    <xf numFmtId="0" fontId="72" fillId="0" borderId="0" xfId="0" applyFont="1" applyAlignment="1">
      <alignment vertical="top"/>
    </xf>
    <xf numFmtId="0" fontId="9" fillId="70" borderId="19" xfId="0" applyFont="1" applyFill="1" applyBorder="1" applyAlignment="1" applyProtection="1">
      <alignment vertical="top"/>
    </xf>
    <xf numFmtId="0" fontId="10" fillId="70" borderId="19" xfId="0" applyFont="1" applyFill="1" applyBorder="1" applyAlignment="1" applyProtection="1">
      <alignment vertical="top"/>
    </xf>
    <xf numFmtId="0" fontId="10" fillId="70" borderId="19" xfId="1767" applyFont="1" applyFill="1" applyBorder="1" applyAlignment="1" applyProtection="1">
      <alignment horizontal="center" vertical="top"/>
    </xf>
    <xf numFmtId="49" fontId="10" fillId="70" borderId="78" xfId="1302" applyNumberFormat="1" applyFont="1" applyFill="1" applyBorder="1" applyAlignment="1" applyProtection="1">
      <alignment vertical="top" wrapText="1"/>
    </xf>
    <xf numFmtId="0" fontId="72" fillId="70" borderId="78" xfId="0" applyFont="1" applyFill="1" applyBorder="1" applyAlignment="1">
      <alignment vertical="top" wrapText="1"/>
    </xf>
    <xf numFmtId="4" fontId="9" fillId="0" borderId="19" xfId="1302" applyNumberFormat="1" applyFont="1" applyFill="1" applyBorder="1" applyAlignment="1" applyProtection="1">
      <alignment vertical="top" wrapText="1"/>
    </xf>
    <xf numFmtId="4" fontId="9" fillId="0" borderId="78" xfId="1302" applyNumberFormat="1" applyFont="1" applyFill="1" applyBorder="1" applyAlignment="1" applyProtection="1">
      <alignment vertical="top" wrapText="1"/>
    </xf>
    <xf numFmtId="4" fontId="137" fillId="0" borderId="78" xfId="1302" applyNumberFormat="1" applyFont="1" applyFill="1" applyBorder="1" applyAlignment="1" applyProtection="1">
      <alignment vertical="top" wrapText="1"/>
    </xf>
    <xf numFmtId="4" fontId="9" fillId="0" borderId="78" xfId="1302" applyNumberFormat="1" applyFont="1" applyFill="1" applyBorder="1" applyAlignment="1" applyProtection="1">
      <alignment horizontal="right" vertical="top"/>
    </xf>
    <xf numFmtId="4" fontId="10" fillId="0" borderId="19" xfId="1302" applyNumberFormat="1" applyFont="1" applyFill="1" applyBorder="1" applyAlignment="1" applyProtection="1">
      <alignment horizontal="left" vertical="top"/>
    </xf>
    <xf numFmtId="4" fontId="10" fillId="0" borderId="78" xfId="1302" applyNumberFormat="1" applyFont="1" applyFill="1" applyBorder="1" applyAlignment="1" applyProtection="1">
      <alignment horizontal="left" vertical="top"/>
    </xf>
    <xf numFmtId="4" fontId="9" fillId="0" borderId="78" xfId="1302" applyNumberFormat="1" applyFont="1" applyFill="1" applyBorder="1" applyAlignment="1" applyProtection="1">
      <alignment vertical="top"/>
    </xf>
    <xf numFmtId="0" fontId="9" fillId="0" borderId="19" xfId="0" applyFont="1" applyFill="1" applyBorder="1" applyAlignment="1" applyProtection="1">
      <alignment vertical="top"/>
    </xf>
    <xf numFmtId="0" fontId="9" fillId="0" borderId="74" xfId="0" applyFont="1" applyFill="1" applyBorder="1" applyAlignment="1" applyProtection="1">
      <alignment vertical="top"/>
    </xf>
    <xf numFmtId="39" fontId="9" fillId="0" borderId="19" xfId="1302" applyFont="1" applyFill="1" applyBorder="1" applyAlignment="1" applyProtection="1">
      <alignment horizontal="left" vertical="top"/>
    </xf>
    <xf numFmtId="0" fontId="10" fillId="0" borderId="74" xfId="0" applyFont="1" applyFill="1" applyBorder="1" applyAlignment="1" applyProtection="1">
      <alignment vertical="top"/>
    </xf>
    <xf numFmtId="39" fontId="10" fillId="0" borderId="19" xfId="1302" applyFont="1" applyFill="1" applyBorder="1" applyAlignment="1" applyProtection="1">
      <alignment horizontal="left" vertical="top"/>
    </xf>
    <xf numFmtId="39" fontId="72" fillId="0" borderId="19" xfId="1302" applyFont="1" applyFill="1" applyBorder="1" applyAlignment="1" applyProtection="1">
      <alignment horizontal="left" vertical="top"/>
    </xf>
    <xf numFmtId="0" fontId="10" fillId="0" borderId="19" xfId="0" applyFont="1" applyFill="1" applyBorder="1" applyAlignment="1" applyProtection="1">
      <alignment vertical="top"/>
    </xf>
    <xf numFmtId="4" fontId="9" fillId="70" borderId="78" xfId="1050" applyNumberFormat="1" applyFont="1" applyFill="1" applyBorder="1" applyAlignment="1" applyProtection="1">
      <alignment horizontal="right" vertical="top" wrapText="1"/>
    </xf>
    <xf numFmtId="4" fontId="9" fillId="70" borderId="78" xfId="0" applyNumberFormat="1" applyFont="1" applyFill="1" applyBorder="1" applyAlignment="1" applyProtection="1">
      <alignment horizontal="right" vertical="top"/>
    </xf>
    <xf numFmtId="4" fontId="137" fillId="0" borderId="0" xfId="0" applyNumberFormat="1" applyFont="1"/>
    <xf numFmtId="0" fontId="0" fillId="0" borderId="0" xfId="0"/>
    <xf numFmtId="0" fontId="0" fillId="0" borderId="0" xfId="0" quotePrefix="1" applyAlignment="1">
      <alignment wrapText="1"/>
    </xf>
    <xf numFmtId="4" fontId="9" fillId="70" borderId="78" xfId="868" applyNumberFormat="1" applyFont="1" applyFill="1" applyBorder="1" applyAlignment="1">
      <alignment horizontal="right" vertical="top" wrapText="1"/>
    </xf>
    <xf numFmtId="2" fontId="9" fillId="0" borderId="19" xfId="0" applyNumberFormat="1" applyFont="1" applyFill="1" applyBorder="1" applyAlignment="1" applyProtection="1">
      <alignment vertical="top"/>
    </xf>
    <xf numFmtId="0" fontId="0" fillId="0" borderId="0" xfId="0"/>
    <xf numFmtId="4" fontId="9" fillId="70" borderId="19" xfId="0" applyNumberFormat="1" applyFont="1" applyFill="1" applyBorder="1" applyAlignment="1">
      <alignment horizontal="center" vertical="top"/>
    </xf>
    <xf numFmtId="4" fontId="10" fillId="0" borderId="146" xfId="0" applyNumberFormat="1" applyFont="1" applyBorder="1"/>
    <xf numFmtId="0" fontId="0" fillId="0" borderId="0" xfId="0"/>
    <xf numFmtId="0" fontId="0" fillId="0" borderId="0" xfId="0" applyAlignment="1">
      <alignment horizontal="center"/>
    </xf>
    <xf numFmtId="0" fontId="136" fillId="0" borderId="33" xfId="0" applyFont="1" applyFill="1" applyBorder="1"/>
    <xf numFmtId="0" fontId="0" fillId="0" borderId="0" xfId="0" applyAlignment="1">
      <alignment horizontal="left"/>
    </xf>
    <xf numFmtId="0" fontId="184" fillId="66" borderId="0" xfId="0" applyFont="1" applyFill="1"/>
    <xf numFmtId="0" fontId="0" fillId="0" borderId="0" xfId="0"/>
    <xf numFmtId="4" fontId="0" fillId="66" borderId="0" xfId="0" applyNumberFormat="1" applyFill="1"/>
    <xf numFmtId="4" fontId="141" fillId="70" borderId="19" xfId="0" applyNumberFormat="1" applyFont="1" applyFill="1" applyBorder="1" applyAlignment="1">
      <alignment vertical="top"/>
    </xf>
    <xf numFmtId="4" fontId="141" fillId="70" borderId="19" xfId="0" applyNumberFormat="1" applyFont="1" applyFill="1" applyBorder="1" applyAlignment="1">
      <alignment vertical="top" wrapText="1"/>
    </xf>
    <xf numFmtId="0" fontId="9" fillId="70" borderId="19" xfId="0" applyFont="1" applyFill="1" applyBorder="1" applyAlignment="1">
      <alignment horizontal="right" vertical="top" wrapText="1"/>
    </xf>
    <xf numFmtId="0" fontId="72" fillId="70" borderId="19" xfId="0" applyFont="1" applyFill="1" applyBorder="1" applyAlignment="1">
      <alignment horizontal="justify" vertical="top" wrapText="1"/>
    </xf>
    <xf numFmtId="0" fontId="10" fillId="70" borderId="19" xfId="0" applyFont="1" applyFill="1" applyBorder="1" applyAlignment="1">
      <alignment vertical="top"/>
    </xf>
    <xf numFmtId="4" fontId="9" fillId="70" borderId="19" xfId="868" applyNumberFormat="1" applyFont="1" applyFill="1" applyBorder="1" applyAlignment="1">
      <alignment horizontal="right" vertical="top" wrapText="1"/>
    </xf>
    <xf numFmtId="0" fontId="9" fillId="70" borderId="19" xfId="0" applyFont="1" applyFill="1" applyBorder="1" applyAlignment="1">
      <alignment horizontal="center" vertical="top"/>
    </xf>
    <xf numFmtId="4" fontId="9" fillId="70" borderId="19" xfId="0" applyNumberFormat="1" applyFont="1" applyFill="1" applyBorder="1" applyAlignment="1">
      <alignment vertical="top"/>
    </xf>
    <xf numFmtId="0" fontId="10" fillId="70" borderId="19" xfId="0" applyFont="1" applyFill="1" applyBorder="1" applyAlignment="1">
      <alignment vertical="top" wrapText="1"/>
    </xf>
    <xf numFmtId="0" fontId="72" fillId="70" borderId="19" xfId="0" applyFont="1" applyFill="1" applyBorder="1" applyAlignment="1">
      <alignment vertical="top"/>
    </xf>
    <xf numFmtId="4" fontId="9" fillId="70" borderId="0" xfId="0" applyNumberFormat="1" applyFont="1" applyFill="1" applyAlignment="1">
      <alignment vertical="top"/>
    </xf>
    <xf numFmtId="0" fontId="72" fillId="70" borderId="78" xfId="0" applyFont="1" applyFill="1" applyBorder="1" applyAlignment="1">
      <alignment vertical="top"/>
    </xf>
    <xf numFmtId="0" fontId="10" fillId="70" borderId="19" xfId="0" applyFont="1" applyFill="1" applyBorder="1" applyAlignment="1">
      <alignment horizontal="right" vertical="top" wrapText="1"/>
    </xf>
    <xf numFmtId="0" fontId="9" fillId="70" borderId="74" xfId="0" applyFont="1" applyFill="1" applyBorder="1" applyAlignment="1">
      <alignment horizontal="right" vertical="top" wrapText="1"/>
    </xf>
    <xf numFmtId="4" fontId="72" fillId="70" borderId="19" xfId="0" applyNumberFormat="1" applyFont="1" applyFill="1" applyBorder="1" applyAlignment="1">
      <alignment vertical="top"/>
    </xf>
    <xf numFmtId="0" fontId="72" fillId="70" borderId="19" xfId="0" applyFont="1" applyFill="1" applyBorder="1" applyAlignment="1">
      <alignment horizontal="center" vertical="top"/>
    </xf>
    <xf numFmtId="0" fontId="72" fillId="0" borderId="0" xfId="0" applyFont="1" applyBorder="1" applyAlignment="1">
      <alignment horizontal="justify" vertical="top" wrapText="1"/>
    </xf>
    <xf numFmtId="0" fontId="72" fillId="70" borderId="0" xfId="0" applyFont="1" applyFill="1" applyBorder="1" applyAlignment="1">
      <alignment horizontal="justify" vertical="top" wrapText="1"/>
    </xf>
    <xf numFmtId="0" fontId="62" fillId="70" borderId="19" xfId="0" applyFont="1" applyFill="1" applyBorder="1" applyAlignment="1">
      <alignment vertical="top" wrapText="1"/>
    </xf>
    <xf numFmtId="4" fontId="72" fillId="70" borderId="19" xfId="868" applyNumberFormat="1" applyFont="1" applyFill="1" applyBorder="1" applyAlignment="1">
      <alignment vertical="top" wrapText="1"/>
    </xf>
    <xf numFmtId="0" fontId="0" fillId="70" borderId="0" xfId="0" applyFill="1" applyAlignment="1">
      <alignment vertical="top"/>
    </xf>
    <xf numFmtId="4" fontId="9" fillId="0" borderId="0" xfId="0" applyNumberFormat="1" applyFont="1" applyFill="1" applyBorder="1" applyAlignment="1">
      <alignment vertical="top"/>
    </xf>
    <xf numFmtId="0" fontId="0" fillId="0" borderId="0" xfId="0" applyAlignment="1">
      <alignment horizontal="center" vertical="top"/>
    </xf>
    <xf numFmtId="4" fontId="137" fillId="0" borderId="0" xfId="0" applyNumberFormat="1" applyFont="1" applyFill="1" applyBorder="1" applyAlignment="1">
      <alignment vertical="top"/>
    </xf>
    <xf numFmtId="0" fontId="0" fillId="0" borderId="0" xfId="0" applyFill="1" applyAlignment="1">
      <alignment vertical="top"/>
    </xf>
    <xf numFmtId="4" fontId="0" fillId="70" borderId="19" xfId="0" applyNumberFormat="1" applyFill="1" applyBorder="1" applyAlignment="1">
      <alignment vertical="top"/>
    </xf>
    <xf numFmtId="0" fontId="9" fillId="84" borderId="0" xfId="0" applyFont="1" applyFill="1" applyBorder="1" applyAlignment="1">
      <alignment vertical="top"/>
    </xf>
    <xf numFmtId="0" fontId="72" fillId="83" borderId="19" xfId="0" applyFont="1" applyFill="1" applyBorder="1" applyAlignment="1">
      <alignment vertical="top"/>
    </xf>
    <xf numFmtId="0" fontId="72" fillId="83" borderId="19" xfId="0" applyFont="1" applyFill="1" applyBorder="1" applyAlignment="1">
      <alignment vertical="top" wrapText="1"/>
    </xf>
    <xf numFmtId="0" fontId="72" fillId="0" borderId="19" xfId="0" applyFont="1" applyFill="1" applyBorder="1" applyAlignment="1">
      <alignment vertical="top" wrapText="1"/>
    </xf>
    <xf numFmtId="4" fontId="72" fillId="0" borderId="19" xfId="868" applyNumberFormat="1" applyFont="1" applyFill="1" applyBorder="1" applyAlignment="1">
      <alignment vertical="top" wrapText="1"/>
    </xf>
    <xf numFmtId="0" fontId="72" fillId="0" borderId="19" xfId="0" applyFont="1" applyFill="1" applyBorder="1" applyAlignment="1">
      <alignment horizontal="center" vertical="top"/>
    </xf>
    <xf numFmtId="4" fontId="72" fillId="0" borderId="19" xfId="0" applyNumberFormat="1" applyFont="1" applyFill="1" applyBorder="1" applyAlignment="1">
      <alignmen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Alignment="1">
      <alignment vertical="top"/>
    </xf>
    <xf numFmtId="0" fontId="72" fillId="0" borderId="0" xfId="0" applyFont="1" applyFill="1" applyAlignment="1">
      <alignment horizontal="center" vertical="top" wrapText="1"/>
    </xf>
    <xf numFmtId="0" fontId="10" fillId="0" borderId="0" xfId="0" applyFont="1" applyFill="1" applyAlignment="1">
      <alignment vertical="top"/>
    </xf>
    <xf numFmtId="4" fontId="10" fillId="0" borderId="0" xfId="0" applyNumberFormat="1" applyFont="1" applyFill="1" applyAlignment="1">
      <alignment vertical="top"/>
    </xf>
    <xf numFmtId="0" fontId="10" fillId="0" borderId="0" xfId="0" applyFont="1" applyAlignment="1">
      <alignment vertical="top"/>
    </xf>
    <xf numFmtId="4" fontId="9" fillId="0" borderId="0" xfId="0" applyNumberFormat="1" applyFont="1" applyFill="1" applyAlignment="1">
      <alignment vertical="top"/>
    </xf>
    <xf numFmtId="0" fontId="0" fillId="0" borderId="0" xfId="0" applyFill="1" applyAlignment="1">
      <alignment horizontal="center" vertical="top"/>
    </xf>
    <xf numFmtId="0" fontId="0" fillId="0" borderId="19" xfId="0" applyFill="1" applyBorder="1" applyAlignment="1">
      <alignment vertical="top"/>
    </xf>
    <xf numFmtId="0" fontId="0" fillId="0" borderId="19" xfId="0" applyFill="1" applyBorder="1" applyAlignment="1">
      <alignment horizontal="center" vertical="top"/>
    </xf>
    <xf numFmtId="0" fontId="9" fillId="0" borderId="19" xfId="0" applyFont="1" applyFill="1" applyBorder="1" applyAlignment="1">
      <alignment vertical="top"/>
    </xf>
    <xf numFmtId="4" fontId="9" fillId="0" borderId="19" xfId="868" applyNumberFormat="1" applyFont="1" applyFill="1" applyBorder="1" applyAlignment="1">
      <alignment vertical="top" wrapText="1"/>
    </xf>
    <xf numFmtId="0" fontId="9" fillId="0" borderId="19" xfId="0" applyFont="1" applyFill="1" applyBorder="1" applyAlignment="1">
      <alignment horizontal="center" vertical="top"/>
    </xf>
    <xf numFmtId="0" fontId="72" fillId="0" borderId="19" xfId="0" applyNumberFormat="1" applyFont="1" applyFill="1" applyBorder="1" applyAlignment="1">
      <alignment horizontal="left" vertical="top" wrapText="1"/>
    </xf>
    <xf numFmtId="4" fontId="72" fillId="0" borderId="19" xfId="0" applyNumberFormat="1" applyFont="1" applyFill="1" applyBorder="1" applyAlignment="1">
      <alignment horizontal="center" vertical="top"/>
    </xf>
    <xf numFmtId="0" fontId="156" fillId="0" borderId="19" xfId="0" applyFont="1" applyFill="1" applyBorder="1" applyAlignment="1">
      <alignment vertical="top" wrapText="1"/>
    </xf>
    <xf numFmtId="172" fontId="165" fillId="0" borderId="19" xfId="0" applyNumberFormat="1" applyFont="1" applyFill="1" applyBorder="1" applyAlignment="1">
      <alignment horizontal="center" vertical="top"/>
    </xf>
    <xf numFmtId="0" fontId="155" fillId="0" borderId="0" xfId="0" applyFont="1" applyAlignment="1">
      <alignment vertical="top"/>
    </xf>
    <xf numFmtId="172" fontId="72" fillId="0" borderId="19" xfId="0" applyNumberFormat="1" applyFont="1" applyFill="1" applyBorder="1" applyAlignment="1">
      <alignment horizontal="center" vertical="top"/>
    </xf>
    <xf numFmtId="0" fontId="165" fillId="0" borderId="0" xfId="0" applyFont="1" applyAlignment="1">
      <alignment vertical="top"/>
    </xf>
    <xf numFmtId="0" fontId="72" fillId="0" borderId="78" xfId="0" applyFont="1" applyFill="1" applyBorder="1" applyAlignment="1">
      <alignment vertical="top"/>
    </xf>
    <xf numFmtId="0" fontId="72" fillId="0" borderId="0" xfId="0" applyFont="1" applyAlignment="1">
      <alignment horizontal="center" vertical="top"/>
    </xf>
    <xf numFmtId="4" fontId="157" fillId="0" borderId="19" xfId="868" applyNumberFormat="1" applyFont="1" applyFill="1" applyBorder="1" applyAlignment="1">
      <alignment vertical="top" wrapText="1"/>
    </xf>
    <xf numFmtId="4" fontId="157" fillId="0" borderId="19" xfId="0" applyNumberFormat="1" applyFont="1" applyFill="1" applyBorder="1" applyAlignment="1">
      <alignment vertical="top"/>
    </xf>
    <xf numFmtId="0" fontId="137" fillId="0" borderId="0" xfId="0" applyFont="1" applyFill="1" applyAlignment="1">
      <alignment vertical="top"/>
    </xf>
    <xf numFmtId="0" fontId="137" fillId="0" borderId="0" xfId="0" applyFont="1" applyAlignment="1">
      <alignment vertical="top"/>
    </xf>
    <xf numFmtId="0" fontId="72" fillId="0" borderId="19" xfId="0" quotePrefix="1" applyFont="1" applyFill="1" applyBorder="1" applyAlignment="1">
      <alignment horizontal="left" vertical="top" wrapText="1"/>
    </xf>
    <xf numFmtId="4" fontId="62" fillId="0" borderId="19" xfId="868" applyNumberFormat="1" applyFont="1" applyFill="1" applyBorder="1" applyAlignment="1">
      <alignment vertical="top" wrapText="1"/>
    </xf>
    <xf numFmtId="0" fontId="62" fillId="0" borderId="19" xfId="0" applyFont="1" applyFill="1" applyBorder="1" applyAlignment="1">
      <alignment horizontal="center" vertical="top"/>
    </xf>
    <xf numFmtId="4" fontId="62" fillId="0" borderId="19" xfId="0" applyNumberFormat="1" applyFont="1" applyFill="1" applyBorder="1" applyAlignment="1">
      <alignment vertical="top"/>
    </xf>
    <xf numFmtId="0" fontId="72" fillId="70" borderId="19" xfId="0" applyFont="1" applyFill="1" applyBorder="1" applyAlignment="1">
      <alignment horizontal="left" vertical="top" wrapText="1"/>
    </xf>
    <xf numFmtId="0" fontId="9" fillId="70" borderId="0" xfId="0" applyFont="1" applyFill="1" applyAlignment="1">
      <alignment vertical="top"/>
    </xf>
    <xf numFmtId="4" fontId="72" fillId="0" borderId="19" xfId="1047" applyNumberFormat="1" applyFont="1" applyFill="1" applyBorder="1" applyAlignment="1">
      <alignment horizontal="center" vertical="top" wrapText="1"/>
    </xf>
    <xf numFmtId="4" fontId="72" fillId="0" borderId="19" xfId="1047" applyNumberFormat="1" applyFont="1" applyFill="1" applyBorder="1" applyAlignment="1" applyProtection="1">
      <alignment vertical="top" wrapText="1"/>
      <protection locked="0"/>
    </xf>
    <xf numFmtId="172" fontId="9" fillId="0" borderId="19" xfId="1302" applyNumberFormat="1" applyFont="1" applyFill="1" applyBorder="1" applyAlignment="1" applyProtection="1">
      <alignment horizontal="center" vertical="top"/>
    </xf>
    <xf numFmtId="4" fontId="157" fillId="0" borderId="19" xfId="0" applyNumberFormat="1" applyFont="1" applyFill="1" applyBorder="1" applyAlignment="1">
      <alignment horizontal="center" vertical="top"/>
    </xf>
    <xf numFmtId="4" fontId="62" fillId="0" borderId="19" xfId="0" applyNumberFormat="1" applyFont="1" applyFill="1" applyBorder="1" applyAlignment="1">
      <alignment horizontal="center" vertical="top"/>
    </xf>
    <xf numFmtId="0" fontId="9" fillId="70" borderId="19" xfId="0" applyFont="1" applyFill="1" applyBorder="1" applyAlignment="1">
      <alignment vertical="top"/>
    </xf>
    <xf numFmtId="0" fontId="30" fillId="48" borderId="0" xfId="0" applyFont="1" applyFill="1" applyBorder="1" applyAlignment="1">
      <alignment vertical="top"/>
    </xf>
    <xf numFmtId="39" fontId="72" fillId="0" borderId="19" xfId="0" applyNumberFormat="1" applyFont="1" applyFill="1" applyBorder="1" applyAlignment="1">
      <alignment vertical="top" wrapText="1"/>
    </xf>
    <xf numFmtId="2" fontId="72" fillId="0" borderId="19" xfId="0" applyNumberFormat="1" applyFont="1" applyFill="1" applyBorder="1" applyAlignment="1">
      <alignment vertical="top"/>
    </xf>
    <xf numFmtId="2" fontId="72" fillId="0" borderId="19" xfId="0" applyNumberFormat="1" applyFont="1" applyFill="1" applyBorder="1" applyAlignment="1">
      <alignment horizontal="center" vertical="top"/>
    </xf>
    <xf numFmtId="2" fontId="62" fillId="0" borderId="19" xfId="0" applyNumberFormat="1" applyFont="1" applyFill="1" applyBorder="1" applyAlignment="1">
      <alignment vertical="top"/>
    </xf>
    <xf numFmtId="2" fontId="62" fillId="0" borderId="19" xfId="0" applyNumberFormat="1" applyFont="1" applyFill="1" applyBorder="1" applyAlignment="1">
      <alignment horizontal="center" vertical="top"/>
    </xf>
    <xf numFmtId="4" fontId="72" fillId="0" borderId="0" xfId="0" applyNumberFormat="1" applyFont="1" applyFill="1" applyBorder="1" applyAlignment="1">
      <alignment vertical="top"/>
    </xf>
    <xf numFmtId="4" fontId="72" fillId="0" borderId="78" xfId="868" applyNumberFormat="1" applyFont="1" applyFill="1" applyBorder="1" applyAlignment="1">
      <alignment vertical="top" wrapText="1"/>
    </xf>
    <xf numFmtId="4" fontId="72" fillId="0" borderId="78" xfId="868" applyNumberFormat="1" applyFont="1" applyFill="1" applyBorder="1" applyAlignment="1">
      <alignment horizontal="right" vertical="top" wrapText="1"/>
    </xf>
    <xf numFmtId="4" fontId="72" fillId="70" borderId="19" xfId="0" applyNumberFormat="1" applyFont="1" applyFill="1" applyBorder="1" applyAlignment="1">
      <alignment horizontal="right" vertical="top"/>
    </xf>
    <xf numFmtId="4" fontId="72" fillId="70" borderId="78" xfId="868" applyNumberFormat="1" applyFont="1" applyFill="1" applyBorder="1" applyAlignment="1">
      <alignment horizontal="right" vertical="top" wrapText="1"/>
    </xf>
    <xf numFmtId="172" fontId="137" fillId="0" borderId="19" xfId="1302" applyNumberFormat="1" applyFont="1" applyFill="1" applyBorder="1" applyAlignment="1" applyProtection="1">
      <alignment horizontal="center" vertical="top"/>
    </xf>
    <xf numFmtId="172" fontId="10" fillId="0" borderId="19" xfId="1302" applyNumberFormat="1" applyFont="1" applyFill="1" applyBorder="1" applyAlignment="1" applyProtection="1">
      <alignment horizontal="center" vertical="top"/>
    </xf>
    <xf numFmtId="4" fontId="72" fillId="0" borderId="19" xfId="1749" applyNumberFormat="1" applyFont="1" applyFill="1" applyBorder="1" applyAlignment="1" applyProtection="1">
      <alignment vertical="top" wrapText="1"/>
    </xf>
    <xf numFmtId="0" fontId="72" fillId="0" borderId="19" xfId="1746" applyFont="1" applyFill="1" applyBorder="1" applyAlignment="1">
      <alignment horizontal="left" vertical="top" wrapText="1"/>
    </xf>
    <xf numFmtId="0" fontId="9" fillId="48" borderId="19" xfId="1269" applyNumberFormat="1" applyFont="1" applyFill="1" applyBorder="1" applyAlignment="1">
      <alignment horizontal="center" vertical="top" wrapText="1"/>
    </xf>
    <xf numFmtId="191" fontId="14" fillId="48" borderId="19" xfId="0" applyNumberFormat="1" applyFont="1" applyFill="1" applyBorder="1" applyAlignment="1">
      <alignment horizontal="center" vertical="top"/>
    </xf>
    <xf numFmtId="0" fontId="72" fillId="48" borderId="19" xfId="1269" applyNumberFormat="1" applyFont="1" applyFill="1" applyBorder="1" applyAlignment="1">
      <alignment horizontal="center" vertical="top" wrapText="1"/>
    </xf>
    <xf numFmtId="191" fontId="176" fillId="48" borderId="19" xfId="0" applyNumberFormat="1" applyFont="1" applyFill="1" applyBorder="1" applyAlignment="1">
      <alignment horizontal="center" vertical="top"/>
    </xf>
    <xf numFmtId="172" fontId="9" fillId="70" borderId="19" xfId="1051" applyNumberFormat="1" applyFont="1" applyFill="1" applyBorder="1" applyAlignment="1">
      <alignment horizontal="center" vertical="top" wrapText="1"/>
    </xf>
    <xf numFmtId="0" fontId="72" fillId="0" borderId="19" xfId="0" applyFont="1" applyFill="1" applyBorder="1" applyAlignment="1">
      <alignment horizontal="right" vertical="top" wrapText="1"/>
    </xf>
    <xf numFmtId="0" fontId="72" fillId="0" borderId="0" xfId="0" applyFont="1" applyFill="1" applyBorder="1" applyAlignment="1">
      <alignment vertical="top"/>
    </xf>
    <xf numFmtId="0" fontId="72" fillId="0" borderId="0" xfId="0" applyFont="1" applyFill="1" applyBorder="1" applyAlignment="1">
      <alignment horizontal="center" vertical="top"/>
    </xf>
    <xf numFmtId="0" fontId="72" fillId="0" borderId="0" xfId="0" applyFont="1" applyAlignment="1">
      <alignment vertical="top" wrapText="1"/>
    </xf>
    <xf numFmtId="0" fontId="0" fillId="0" borderId="0" xfId="0" applyAlignment="1">
      <alignment vertical="top" wrapText="1"/>
    </xf>
    <xf numFmtId="0" fontId="10" fillId="70" borderId="19" xfId="0" applyFont="1" applyFill="1" applyBorder="1" applyAlignment="1">
      <alignment horizontal="right" vertical="top"/>
    </xf>
    <xf numFmtId="39" fontId="9" fillId="70" borderId="19" xfId="808" applyNumberFormat="1" applyFont="1" applyFill="1" applyBorder="1" applyAlignment="1">
      <alignment vertical="top"/>
    </xf>
    <xf numFmtId="172" fontId="9" fillId="70" borderId="19" xfId="0" applyNumberFormat="1" applyFont="1" applyFill="1" applyBorder="1" applyAlignment="1">
      <alignment vertical="top"/>
    </xf>
    <xf numFmtId="172" fontId="9" fillId="70" borderId="19" xfId="0" applyNumberFormat="1" applyFont="1" applyFill="1" applyBorder="1" applyAlignment="1">
      <alignment horizontal="right" vertical="top"/>
    </xf>
    <xf numFmtId="0" fontId="9" fillId="70" borderId="19" xfId="0" applyFont="1" applyFill="1" applyBorder="1" applyAlignment="1">
      <alignment horizontal="right" vertical="top"/>
    </xf>
    <xf numFmtId="0" fontId="10" fillId="82" borderId="200" xfId="0" applyFont="1" applyFill="1" applyBorder="1" applyAlignment="1">
      <alignment vertical="top"/>
    </xf>
    <xf numFmtId="0" fontId="10" fillId="82" borderId="200" xfId="0" applyFont="1" applyFill="1" applyBorder="1" applyAlignment="1">
      <alignment horizontal="center" vertical="top"/>
    </xf>
    <xf numFmtId="0" fontId="10" fillId="82" borderId="202" xfId="0" applyFont="1" applyFill="1" applyBorder="1" applyAlignment="1">
      <alignment vertical="top"/>
    </xf>
    <xf numFmtId="4" fontId="9" fillId="82" borderId="203" xfId="0" applyNumberFormat="1" applyFont="1" applyFill="1" applyBorder="1" applyAlignment="1">
      <alignment horizontal="center" vertical="top"/>
    </xf>
    <xf numFmtId="4" fontId="10" fillId="82" borderId="200" xfId="0" applyNumberFormat="1" applyFont="1" applyFill="1" applyBorder="1" applyAlignment="1">
      <alignment vertical="top"/>
    </xf>
    <xf numFmtId="4" fontId="62" fillId="70" borderId="19" xfId="868" applyNumberFormat="1" applyFont="1" applyFill="1" applyBorder="1" applyAlignment="1">
      <alignment vertical="top" wrapText="1"/>
    </xf>
    <xf numFmtId="4" fontId="62" fillId="70" borderId="19" xfId="0" applyNumberFormat="1" applyFont="1" applyFill="1" applyBorder="1" applyAlignment="1">
      <alignment horizontal="center" vertical="top"/>
    </xf>
    <xf numFmtId="4" fontId="62" fillId="70" borderId="19" xfId="0" applyNumberFormat="1" applyFont="1" applyFill="1" applyBorder="1" applyAlignment="1">
      <alignment vertical="top"/>
    </xf>
    <xf numFmtId="4" fontId="72" fillId="70" borderId="19" xfId="0" applyNumberFormat="1" applyFont="1" applyFill="1" applyBorder="1" applyAlignment="1">
      <alignment horizontal="center" vertical="top"/>
    </xf>
    <xf numFmtId="0" fontId="72" fillId="70" borderId="200" xfId="0" applyFont="1" applyFill="1" applyBorder="1" applyAlignment="1">
      <alignment vertical="top"/>
    </xf>
    <xf numFmtId="4" fontId="9" fillId="70" borderId="201" xfId="868" applyNumberFormat="1" applyFont="1" applyFill="1" applyBorder="1" applyAlignment="1">
      <alignment horizontal="right" vertical="top" wrapText="1"/>
    </xf>
    <xf numFmtId="4" fontId="9" fillId="70" borderId="200" xfId="0" applyNumberFormat="1" applyFont="1" applyFill="1" applyBorder="1" applyAlignment="1">
      <alignment horizontal="center" vertical="top"/>
    </xf>
    <xf numFmtId="4" fontId="9" fillId="70" borderId="200" xfId="0" applyNumberFormat="1" applyFont="1" applyFill="1" applyBorder="1" applyAlignment="1">
      <alignment vertical="top"/>
    </xf>
    <xf numFmtId="4" fontId="9" fillId="70" borderId="19" xfId="0" applyNumberFormat="1" applyFont="1" applyFill="1" applyBorder="1" applyAlignment="1" applyProtection="1">
      <alignment vertical="top"/>
      <protection locked="0"/>
    </xf>
    <xf numFmtId="39" fontId="9" fillId="70" borderId="74" xfId="808" applyNumberFormat="1" applyFont="1" applyFill="1" applyBorder="1" applyAlignment="1">
      <alignment vertical="top" wrapText="1"/>
    </xf>
    <xf numFmtId="4" fontId="9" fillId="70" borderId="74" xfId="1048" applyNumberFormat="1" applyFont="1" applyFill="1" applyBorder="1" applyAlignment="1">
      <alignment horizontal="center" vertical="top" wrapText="1"/>
    </xf>
    <xf numFmtId="4" fontId="10" fillId="82" borderId="200" xfId="0" applyNumberFormat="1" applyFont="1" applyFill="1" applyBorder="1" applyAlignment="1">
      <alignment horizontal="right" vertical="top"/>
    </xf>
    <xf numFmtId="0" fontId="185" fillId="70" borderId="19" xfId="0" applyFont="1" applyFill="1" applyBorder="1" applyAlignment="1">
      <alignment vertical="top"/>
    </xf>
    <xf numFmtId="4" fontId="156" fillId="70" borderId="19" xfId="868" applyNumberFormat="1" applyFont="1" applyFill="1" applyBorder="1" applyAlignment="1">
      <alignment vertical="top" wrapText="1"/>
    </xf>
    <xf numFmtId="4" fontId="156" fillId="70" borderId="19" xfId="0" applyNumberFormat="1" applyFont="1" applyFill="1" applyBorder="1" applyAlignment="1">
      <alignment horizontal="center" vertical="top"/>
    </xf>
    <xf numFmtId="4" fontId="156" fillId="70" borderId="19" xfId="0" applyNumberFormat="1" applyFont="1" applyFill="1" applyBorder="1" applyAlignment="1">
      <alignment vertical="top"/>
    </xf>
    <xf numFmtId="2" fontId="9" fillId="70" borderId="74" xfId="0" applyNumberFormat="1" applyFont="1" applyFill="1" applyBorder="1" applyAlignment="1">
      <alignment vertical="top"/>
    </xf>
    <xf numFmtId="0" fontId="9" fillId="84" borderId="0" xfId="1245" applyFont="1" applyFill="1" applyAlignment="1">
      <alignment vertical="top" wrapText="1"/>
    </xf>
    <xf numFmtId="172" fontId="9" fillId="70" borderId="19" xfId="1302" applyNumberFormat="1" applyFont="1" applyFill="1" applyBorder="1" applyAlignment="1" applyProtection="1">
      <alignment horizontal="center" vertical="top"/>
    </xf>
    <xf numFmtId="39" fontId="9" fillId="70" borderId="19" xfId="1302" applyFont="1" applyFill="1" applyBorder="1" applyAlignment="1" applyProtection="1">
      <alignment horizontal="center" vertical="top" wrapText="1"/>
    </xf>
    <xf numFmtId="4" fontId="9" fillId="70" borderId="78" xfId="1302" applyNumberFormat="1" applyFont="1" applyFill="1" applyBorder="1" applyAlignment="1" applyProtection="1">
      <alignment horizontal="right" vertical="top"/>
    </xf>
    <xf numFmtId="0" fontId="9" fillId="84" borderId="0" xfId="0" applyFont="1" applyFill="1" applyBorder="1" applyAlignment="1">
      <alignment vertical="top" wrapText="1"/>
    </xf>
    <xf numFmtId="0" fontId="9" fillId="84" borderId="0" xfId="0" applyFont="1" applyFill="1" applyAlignment="1">
      <alignment vertical="top" wrapText="1"/>
    </xf>
    <xf numFmtId="39" fontId="72" fillId="70" borderId="19" xfId="1302" applyFont="1" applyFill="1" applyBorder="1" applyAlignment="1" applyProtection="1">
      <alignment horizontal="left" vertical="top"/>
    </xf>
    <xf numFmtId="4" fontId="9" fillId="70" borderId="19" xfId="1302" applyNumberFormat="1" applyFont="1" applyFill="1" applyBorder="1" applyAlignment="1" applyProtection="1">
      <alignment horizontal="right" vertical="top"/>
    </xf>
    <xf numFmtId="0" fontId="10" fillId="70" borderId="19" xfId="0" applyFont="1" applyFill="1" applyBorder="1" applyAlignment="1">
      <alignment horizontal="center" vertical="top"/>
    </xf>
    <xf numFmtId="0" fontId="10" fillId="70" borderId="74" xfId="0" applyFont="1" applyFill="1" applyBorder="1" applyAlignment="1">
      <alignment vertical="top"/>
    </xf>
    <xf numFmtId="0" fontId="62" fillId="70" borderId="19" xfId="0" applyFont="1" applyFill="1" applyBorder="1" applyAlignment="1">
      <alignment vertical="top"/>
    </xf>
    <xf numFmtId="0" fontId="62" fillId="70" borderId="19" xfId="0" applyFont="1" applyFill="1" applyBorder="1" applyAlignment="1">
      <alignment horizontal="center" vertical="top"/>
    </xf>
    <xf numFmtId="0" fontId="174" fillId="70" borderId="19" xfId="0" applyFont="1" applyFill="1" applyBorder="1" applyAlignment="1">
      <alignment vertical="top"/>
    </xf>
    <xf numFmtId="0" fontId="174" fillId="70" borderId="19" xfId="0" applyFont="1" applyFill="1" applyBorder="1" applyAlignment="1">
      <alignment horizontal="center" vertical="top"/>
    </xf>
    <xf numFmtId="4" fontId="174" fillId="70" borderId="19" xfId="0" applyNumberFormat="1" applyFont="1" applyFill="1" applyBorder="1" applyAlignment="1">
      <alignment vertical="top"/>
    </xf>
    <xf numFmtId="0" fontId="175" fillId="70" borderId="0" xfId="0" applyFont="1" applyFill="1" applyAlignment="1">
      <alignment vertical="top"/>
    </xf>
    <xf numFmtId="0" fontId="72" fillId="0" borderId="19" xfId="0" applyFont="1" applyFill="1" applyBorder="1" applyAlignment="1">
      <alignment horizontal="justify" vertical="top" wrapText="1"/>
    </xf>
    <xf numFmtId="0" fontId="10" fillId="0" borderId="19" xfId="0" applyFont="1" applyFill="1" applyBorder="1" applyAlignment="1">
      <alignment horizontal="justify" vertical="top" wrapText="1"/>
    </xf>
    <xf numFmtId="0" fontId="10" fillId="0" borderId="19" xfId="0" applyFont="1" applyFill="1" applyBorder="1" applyAlignment="1">
      <alignment vertical="top" wrapText="1"/>
    </xf>
    <xf numFmtId="0" fontId="72" fillId="70" borderId="19" xfId="0" applyNumberFormat="1" applyFont="1" applyFill="1" applyBorder="1" applyAlignment="1">
      <alignment horizontal="left" vertical="top" wrapText="1"/>
    </xf>
    <xf numFmtId="4" fontId="9" fillId="70" borderId="19" xfId="0" applyNumberFormat="1" applyFont="1" applyFill="1" applyBorder="1" applyAlignment="1">
      <alignment vertical="top" wrapText="1"/>
    </xf>
    <xf numFmtId="0" fontId="9" fillId="70" borderId="0" xfId="1210" applyFont="1" applyFill="1" applyBorder="1" applyAlignment="1">
      <alignment vertical="top"/>
    </xf>
    <xf numFmtId="172" fontId="9" fillId="70" borderId="19" xfId="1061" applyNumberFormat="1" applyFill="1" applyBorder="1" applyAlignment="1">
      <alignment vertical="top"/>
    </xf>
    <xf numFmtId="43" fontId="9" fillId="70" borderId="19" xfId="743" applyFont="1" applyFill="1" applyBorder="1" applyAlignment="1">
      <alignment horizontal="center" vertical="top"/>
    </xf>
    <xf numFmtId="4" fontId="9" fillId="70" borderId="78" xfId="1061" applyNumberFormat="1" applyFont="1" applyFill="1" applyBorder="1" applyAlignment="1">
      <alignment vertical="top" wrapText="1"/>
    </xf>
    <xf numFmtId="1" fontId="10" fillId="70" borderId="19" xfId="1061" applyNumberFormat="1" applyFont="1" applyFill="1" applyBorder="1" applyAlignment="1">
      <alignment horizontal="right" vertical="top"/>
    </xf>
    <xf numFmtId="0" fontId="15" fillId="70" borderId="19" xfId="0" applyFont="1" applyFill="1" applyBorder="1" applyAlignment="1">
      <alignment vertical="top"/>
    </xf>
    <xf numFmtId="4" fontId="14" fillId="70" borderId="19" xfId="1061" applyNumberFormat="1" applyFont="1" applyFill="1" applyBorder="1" applyAlignment="1">
      <alignment vertical="top" wrapText="1"/>
    </xf>
    <xf numFmtId="0" fontId="72" fillId="70" borderId="19" xfId="0" applyFont="1" applyFill="1" applyBorder="1" applyAlignment="1">
      <alignment horizontal="left" vertical="top"/>
    </xf>
    <xf numFmtId="0" fontId="9" fillId="70" borderId="74" xfId="0" applyFont="1" applyFill="1" applyBorder="1" applyAlignment="1">
      <alignment horizontal="right" vertical="top"/>
    </xf>
    <xf numFmtId="0" fontId="9" fillId="70" borderId="0" xfId="0" applyFont="1" applyFill="1" applyBorder="1" applyAlignment="1">
      <alignment vertical="top" wrapText="1"/>
    </xf>
    <xf numFmtId="0" fontId="9" fillId="70" borderId="0" xfId="0" applyFont="1" applyFill="1" applyAlignment="1">
      <alignment vertical="top" wrapText="1"/>
    </xf>
    <xf numFmtId="0" fontId="9" fillId="70" borderId="74" xfId="0" applyFont="1" applyFill="1" applyBorder="1" applyAlignment="1" applyProtection="1">
      <alignment vertical="top"/>
    </xf>
    <xf numFmtId="0" fontId="9" fillId="70" borderId="74" xfId="0" applyFont="1" applyFill="1" applyBorder="1" applyAlignment="1" applyProtection="1">
      <alignment horizontal="right" vertical="top"/>
    </xf>
    <xf numFmtId="4" fontId="9" fillId="70" borderId="78" xfId="0" applyNumberFormat="1" applyFont="1" applyFill="1" applyBorder="1" applyAlignment="1">
      <alignment vertical="top"/>
    </xf>
    <xf numFmtId="4" fontId="155" fillId="0" borderId="19" xfId="868" applyNumberFormat="1" applyFont="1" applyFill="1" applyBorder="1" applyAlignment="1">
      <alignment vertical="top" wrapText="1"/>
    </xf>
    <xf numFmtId="4" fontId="10" fillId="0" borderId="19" xfId="868" applyNumberFormat="1" applyFont="1" applyFill="1" applyBorder="1" applyAlignment="1">
      <alignment vertical="top" wrapText="1"/>
    </xf>
    <xf numFmtId="4" fontId="9" fillId="70" borderId="19" xfId="868" applyNumberFormat="1" applyFont="1" applyFill="1" applyBorder="1" applyAlignment="1">
      <alignment vertical="top" wrapText="1"/>
    </xf>
    <xf numFmtId="4" fontId="9" fillId="0" borderId="19" xfId="868" applyNumberFormat="1" applyFont="1" applyFill="1" applyBorder="1" applyAlignment="1" applyProtection="1">
      <alignment vertical="top" wrapText="1"/>
      <protection locked="0"/>
    </xf>
    <xf numFmtId="4" fontId="155" fillId="0" borderId="19" xfId="0" applyNumberFormat="1" applyFont="1" applyFill="1" applyBorder="1" applyAlignment="1">
      <alignment vertical="top"/>
    </xf>
    <xf numFmtId="4" fontId="9" fillId="0" borderId="19" xfId="868" applyNumberFormat="1" applyFont="1" applyFill="1" applyBorder="1" applyAlignment="1" applyProtection="1">
      <alignment vertical="top" wrapText="1"/>
    </xf>
    <xf numFmtId="39" fontId="9" fillId="0" borderId="19" xfId="0" applyNumberFormat="1" applyFont="1" applyFill="1" applyBorder="1" applyAlignment="1">
      <alignment vertical="top"/>
    </xf>
    <xf numFmtId="4" fontId="10" fillId="0" borderId="19" xfId="0" applyNumberFormat="1" applyFont="1" applyFill="1" applyBorder="1" applyAlignment="1">
      <alignment vertical="top"/>
    </xf>
    <xf numFmtId="49" fontId="72" fillId="70" borderId="19" xfId="0" applyNumberFormat="1" applyFont="1" applyFill="1" applyBorder="1" applyAlignment="1">
      <alignment horizontal="justify" vertical="top" wrapText="1"/>
    </xf>
    <xf numFmtId="4" fontId="72" fillId="70" borderId="19" xfId="868" applyNumberFormat="1" applyFont="1" applyFill="1" applyBorder="1" applyAlignment="1">
      <alignment horizontal="right" vertical="top" wrapText="1"/>
    </xf>
    <xf numFmtId="0" fontId="72" fillId="0" borderId="19" xfId="0" applyNumberFormat="1" applyFont="1" applyFill="1" applyBorder="1" applyAlignment="1">
      <alignment horizontal="justify" vertical="top" wrapText="1"/>
    </xf>
    <xf numFmtId="0" fontId="10" fillId="0" borderId="19" xfId="0" applyFont="1" applyFill="1" applyBorder="1" applyAlignment="1">
      <alignment horizontal="right" vertical="top" wrapText="1"/>
    </xf>
    <xf numFmtId="0" fontId="10" fillId="65" borderId="25" xfId="0" applyFont="1" applyFill="1" applyBorder="1" applyAlignment="1">
      <alignment horizontal="center" vertical="top" wrapText="1"/>
    </xf>
    <xf numFmtId="0" fontId="10" fillId="65" borderId="25" xfId="0" applyFont="1" applyFill="1" applyBorder="1" applyAlignment="1">
      <alignment vertical="top"/>
    </xf>
    <xf numFmtId="0" fontId="10" fillId="65" borderId="25" xfId="0" applyFont="1" applyFill="1" applyBorder="1" applyAlignment="1">
      <alignment horizontal="center" vertical="top"/>
    </xf>
    <xf numFmtId="0" fontId="72" fillId="69" borderId="102" xfId="0" applyFont="1" applyFill="1" applyBorder="1" applyAlignment="1">
      <alignment vertical="top"/>
    </xf>
    <xf numFmtId="0" fontId="72" fillId="69" borderId="102" xfId="0" applyFont="1" applyFill="1" applyBorder="1" applyAlignment="1">
      <alignment horizontal="center" vertical="top"/>
    </xf>
    <xf numFmtId="0" fontId="0" fillId="69" borderId="0" xfId="0" applyFill="1" applyAlignment="1">
      <alignment vertical="top"/>
    </xf>
    <xf numFmtId="0" fontId="62" fillId="69" borderId="102" xfId="0" applyFont="1" applyFill="1" applyBorder="1" applyAlignment="1">
      <alignment horizontal="right" vertical="top" wrapText="1"/>
    </xf>
    <xf numFmtId="10" fontId="9" fillId="0" borderId="19" xfId="1334" applyNumberFormat="1" applyFont="1" applyFill="1" applyBorder="1" applyAlignment="1">
      <alignment vertical="top"/>
    </xf>
    <xf numFmtId="0" fontId="10" fillId="0" borderId="19" xfId="0" applyFont="1" applyFill="1" applyBorder="1" applyAlignment="1">
      <alignment vertical="top"/>
    </xf>
    <xf numFmtId="0" fontId="10" fillId="0" borderId="19" xfId="0" applyFont="1" applyFill="1" applyBorder="1" applyAlignment="1">
      <alignment horizontal="center" vertical="top"/>
    </xf>
    <xf numFmtId="2" fontId="33" fillId="0" borderId="149" xfId="0" applyNumberFormat="1" applyFont="1" applyFill="1" applyBorder="1" applyAlignment="1">
      <alignment horizontal="center" vertical="top"/>
    </xf>
    <xf numFmtId="0" fontId="10" fillId="0" borderId="149" xfId="0" applyFont="1" applyFill="1" applyBorder="1" applyAlignment="1">
      <alignment horizontal="center" vertical="top" wrapText="1"/>
    </xf>
    <xf numFmtId="0" fontId="10" fillId="0" borderId="149" xfId="0" applyFont="1" applyFill="1" applyBorder="1" applyAlignment="1">
      <alignment horizontal="center" vertical="top"/>
    </xf>
    <xf numFmtId="4" fontId="10" fillId="0" borderId="149" xfId="0" applyNumberFormat="1" applyFont="1" applyFill="1" applyBorder="1" applyAlignment="1">
      <alignment horizontal="center" vertical="top"/>
    </xf>
    <xf numFmtId="2" fontId="34" fillId="0" borderId="19" xfId="0" applyNumberFormat="1" applyFont="1" applyFill="1" applyBorder="1" applyAlignment="1">
      <alignment horizontal="right" vertical="top"/>
    </xf>
    <xf numFmtId="4" fontId="0" fillId="0" borderId="19" xfId="0" applyNumberFormat="1" applyFill="1" applyBorder="1" applyAlignment="1">
      <alignment vertical="top"/>
    </xf>
    <xf numFmtId="2" fontId="72" fillId="0" borderId="19" xfId="0" applyNumberFormat="1" applyFont="1" applyFill="1" applyBorder="1" applyAlignment="1">
      <alignment horizontal="right" vertical="top"/>
    </xf>
    <xf numFmtId="1" fontId="62" fillId="0" borderId="19" xfId="0" applyNumberFormat="1" applyFont="1" applyFill="1" applyBorder="1" applyAlignment="1">
      <alignment horizontal="right" vertical="top"/>
    </xf>
    <xf numFmtId="194" fontId="62" fillId="0" borderId="19" xfId="0" applyNumberFormat="1" applyFont="1" applyFill="1" applyBorder="1" applyAlignment="1">
      <alignment horizontal="right" vertical="top"/>
    </xf>
    <xf numFmtId="2" fontId="72" fillId="70" borderId="19" xfId="0" applyNumberFormat="1" applyFont="1" applyFill="1" applyBorder="1" applyAlignment="1">
      <alignment horizontal="right" vertical="top"/>
    </xf>
    <xf numFmtId="194" fontId="72" fillId="0" borderId="19" xfId="0" applyNumberFormat="1" applyFont="1" applyFill="1" applyBorder="1" applyAlignment="1">
      <alignment horizontal="right" vertical="top"/>
    </xf>
    <xf numFmtId="2" fontId="62" fillId="0" borderId="19" xfId="0" applyNumberFormat="1" applyFont="1" applyFill="1" applyBorder="1" applyAlignment="1">
      <alignment horizontal="right" vertical="top"/>
    </xf>
    <xf numFmtId="1" fontId="62" fillId="70" borderId="19" xfId="0" applyNumberFormat="1" applyFont="1" applyFill="1" applyBorder="1" applyAlignment="1">
      <alignment horizontal="right" vertical="top"/>
    </xf>
    <xf numFmtId="194" fontId="62" fillId="70" borderId="19" xfId="0" applyNumberFormat="1" applyFont="1" applyFill="1" applyBorder="1" applyAlignment="1">
      <alignment horizontal="right" vertical="top"/>
    </xf>
    <xf numFmtId="2" fontId="62" fillId="70" borderId="19" xfId="0" applyNumberFormat="1" applyFont="1" applyFill="1" applyBorder="1" applyAlignment="1">
      <alignment horizontal="center" vertical="top"/>
    </xf>
    <xf numFmtId="2" fontId="9" fillId="0" borderId="0" xfId="0" applyNumberFormat="1" applyFont="1" applyBorder="1" applyAlignment="1">
      <alignment vertical="top"/>
    </xf>
    <xf numFmtId="0" fontId="183" fillId="0" borderId="0" xfId="0" applyFont="1" applyBorder="1" applyAlignment="1">
      <alignment vertical="top"/>
    </xf>
    <xf numFmtId="194" fontId="72" fillId="70" borderId="19" xfId="0" applyNumberFormat="1" applyFont="1" applyFill="1" applyBorder="1" applyAlignment="1">
      <alignment horizontal="right" vertical="top"/>
    </xf>
    <xf numFmtId="2" fontId="62" fillId="70" borderId="19" xfId="0" applyNumberFormat="1" applyFont="1" applyFill="1" applyBorder="1" applyAlignment="1">
      <alignment horizontal="right" vertical="top"/>
    </xf>
    <xf numFmtId="2" fontId="156" fillId="0" borderId="19" xfId="0" applyNumberFormat="1" applyFont="1" applyFill="1" applyBorder="1" applyAlignment="1">
      <alignment horizontal="right" vertical="top"/>
    </xf>
    <xf numFmtId="0" fontId="9" fillId="0" borderId="0" xfId="0" applyFont="1" applyBorder="1" applyAlignment="1">
      <alignment vertical="top"/>
    </xf>
    <xf numFmtId="4" fontId="9" fillId="0" borderId="0" xfId="0" applyNumberFormat="1" applyFont="1" applyBorder="1" applyAlignment="1">
      <alignment vertical="top"/>
    </xf>
    <xf numFmtId="1" fontId="166" fillId="70" borderId="19" xfId="0" applyNumberFormat="1" applyFont="1" applyFill="1" applyBorder="1" applyAlignment="1">
      <alignment horizontal="right" vertical="top"/>
    </xf>
    <xf numFmtId="4" fontId="10" fillId="70" borderId="19" xfId="0" applyNumberFormat="1" applyFont="1" applyFill="1" applyBorder="1" applyAlignment="1">
      <alignment vertical="top"/>
    </xf>
    <xf numFmtId="2" fontId="0" fillId="0" borderId="0" xfId="0" applyNumberFormat="1" applyBorder="1" applyAlignment="1">
      <alignment vertical="top"/>
    </xf>
    <xf numFmtId="43" fontId="9" fillId="0" borderId="0" xfId="0" applyNumberFormat="1" applyFont="1" applyBorder="1" applyAlignment="1">
      <alignment vertical="top"/>
    </xf>
    <xf numFmtId="2" fontId="10" fillId="70" borderId="19" xfId="0" applyNumberFormat="1" applyFont="1" applyFill="1" applyBorder="1" applyAlignment="1">
      <alignment horizontal="center" vertical="top"/>
    </xf>
    <xf numFmtId="1" fontId="10" fillId="0" borderId="74" xfId="0" applyNumberFormat="1" applyFont="1" applyFill="1" applyBorder="1" applyAlignment="1">
      <alignment horizontal="right" vertical="top"/>
    </xf>
    <xf numFmtId="2" fontId="72" fillId="0" borderId="74" xfId="0" applyNumberFormat="1" applyFont="1" applyFill="1" applyBorder="1" applyAlignment="1">
      <alignment horizontal="right" vertical="top"/>
    </xf>
    <xf numFmtId="1" fontId="62" fillId="0" borderId="74" xfId="0" applyNumberFormat="1" applyFont="1" applyFill="1" applyBorder="1" applyAlignment="1">
      <alignment horizontal="right" vertical="top"/>
    </xf>
    <xf numFmtId="2" fontId="72" fillId="0" borderId="19" xfId="838" applyNumberFormat="1" applyFont="1" applyFill="1" applyBorder="1" applyAlignment="1" applyProtection="1">
      <alignment horizontal="right" vertical="top"/>
    </xf>
    <xf numFmtId="2" fontId="62" fillId="0" borderId="74" xfId="0" applyNumberFormat="1" applyFont="1" applyFill="1" applyBorder="1" applyAlignment="1">
      <alignment horizontal="right" vertical="top"/>
    </xf>
    <xf numFmtId="4" fontId="177" fillId="0" borderId="0" xfId="1744" applyNumberFormat="1" applyFont="1" applyFill="1" applyBorder="1" applyAlignment="1">
      <alignment vertical="top"/>
    </xf>
    <xf numFmtId="4" fontId="141" fillId="0" borderId="0" xfId="1744" applyNumberFormat="1" applyFill="1" applyBorder="1" applyAlignment="1">
      <alignment vertical="top"/>
    </xf>
    <xf numFmtId="1" fontId="72" fillId="0" borderId="19" xfId="0" applyNumberFormat="1" applyFont="1" applyFill="1" applyBorder="1" applyAlignment="1">
      <alignment horizontal="right" vertical="top"/>
    </xf>
    <xf numFmtId="2" fontId="10" fillId="65" borderId="25" xfId="0" applyNumberFormat="1" applyFont="1" applyFill="1" applyBorder="1" applyAlignment="1">
      <alignment horizontal="right" vertical="top"/>
    </xf>
    <xf numFmtId="4" fontId="10" fillId="65" borderId="25" xfId="0" applyNumberFormat="1" applyFont="1" applyFill="1" applyBorder="1" applyAlignment="1">
      <alignment vertical="top"/>
    </xf>
    <xf numFmtId="2" fontId="72" fillId="69" borderId="102" xfId="0" applyNumberFormat="1" applyFont="1" applyFill="1" applyBorder="1" applyAlignment="1">
      <alignment horizontal="right" vertical="top"/>
    </xf>
    <xf numFmtId="4" fontId="62" fillId="69" borderId="102" xfId="0" applyNumberFormat="1" applyFont="1" applyFill="1" applyBorder="1" applyAlignment="1">
      <alignment vertical="top"/>
    </xf>
    <xf numFmtId="2" fontId="72" fillId="69" borderId="25" xfId="0" applyNumberFormat="1" applyFont="1" applyFill="1" applyBorder="1" applyAlignment="1">
      <alignment horizontal="right" vertical="top"/>
    </xf>
    <xf numFmtId="0" fontId="62" fillId="69" borderId="25" xfId="0" applyFont="1" applyFill="1" applyBorder="1" applyAlignment="1">
      <alignment horizontal="right" vertical="top" wrapText="1"/>
    </xf>
    <xf numFmtId="0" fontId="72" fillId="69" borderId="25" xfId="0" applyFont="1" applyFill="1" applyBorder="1" applyAlignment="1">
      <alignment vertical="top"/>
    </xf>
    <xf numFmtId="0" fontId="72" fillId="69" borderId="25" xfId="0" applyFont="1" applyFill="1" applyBorder="1" applyAlignment="1">
      <alignment horizontal="center" vertical="top"/>
    </xf>
    <xf numFmtId="4" fontId="62" fillId="69" borderId="25" xfId="0" applyNumberFormat="1" applyFont="1" applyFill="1" applyBorder="1" applyAlignment="1">
      <alignment vertical="top"/>
    </xf>
    <xf numFmtId="2" fontId="9" fillId="0" borderId="0" xfId="0" applyNumberFormat="1" applyFont="1" applyFill="1" applyAlignment="1">
      <alignment horizontal="right" vertical="top"/>
    </xf>
    <xf numFmtId="0" fontId="9" fillId="0" borderId="0" xfId="0" applyFont="1" applyFill="1" applyAlignment="1">
      <alignment horizontal="center" vertical="top" wrapText="1"/>
    </xf>
    <xf numFmtId="0" fontId="10" fillId="0" borderId="19" xfId="0" applyFont="1" applyBorder="1" applyAlignment="1">
      <alignment vertical="top"/>
    </xf>
    <xf numFmtId="0" fontId="62" fillId="70" borderId="19" xfId="0" applyFont="1" applyFill="1" applyBorder="1" applyAlignment="1">
      <alignment horizontal="right" vertical="top" wrapText="1"/>
    </xf>
    <xf numFmtId="4" fontId="72" fillId="70" borderId="200" xfId="0" applyNumberFormat="1" applyFont="1" applyFill="1" applyBorder="1" applyAlignment="1">
      <alignment horizontal="center" vertical="top"/>
    </xf>
    <xf numFmtId="0" fontId="62" fillId="0" borderId="0" xfId="0" applyFont="1" applyFill="1" applyAlignment="1">
      <alignment horizontal="center" vertical="top" wrapText="1"/>
    </xf>
    <xf numFmtId="0" fontId="62" fillId="0" borderId="0" xfId="0" applyFont="1" applyFill="1" applyAlignment="1">
      <alignment vertical="top"/>
    </xf>
    <xf numFmtId="4" fontId="62" fillId="0" borderId="0" xfId="0" applyNumberFormat="1" applyFont="1" applyFill="1" applyAlignment="1">
      <alignment vertical="top"/>
    </xf>
    <xf numFmtId="4" fontId="72" fillId="0" borderId="74" xfId="868" applyNumberFormat="1" applyFont="1" applyFill="1" applyBorder="1" applyAlignment="1">
      <alignment vertical="top" wrapText="1"/>
    </xf>
    <xf numFmtId="4" fontId="72" fillId="0" borderId="74" xfId="0" applyNumberFormat="1" applyFont="1" applyFill="1" applyBorder="1" applyAlignment="1">
      <alignment horizontal="center" vertical="top"/>
    </xf>
    <xf numFmtId="4" fontId="72" fillId="0" borderId="74" xfId="0" applyNumberFormat="1" applyFont="1" applyFill="1" applyBorder="1" applyAlignment="1">
      <alignment vertical="top"/>
    </xf>
    <xf numFmtId="1" fontId="156" fillId="0" borderId="19" xfId="0" applyNumberFormat="1" applyFont="1" applyFill="1" applyBorder="1" applyAlignment="1">
      <alignment horizontal="right" vertical="top"/>
    </xf>
    <xf numFmtId="0" fontId="157" fillId="0" borderId="19" xfId="0" applyFont="1" applyFill="1" applyBorder="1" applyAlignment="1">
      <alignment horizontal="left" vertical="top" wrapText="1"/>
    </xf>
    <xf numFmtId="4" fontId="157" fillId="0" borderId="74" xfId="868" applyNumberFormat="1" applyFont="1" applyFill="1" applyBorder="1" applyAlignment="1">
      <alignment vertical="top" wrapText="1"/>
    </xf>
    <xf numFmtId="4" fontId="157" fillId="0" borderId="74" xfId="0" applyNumberFormat="1" applyFont="1" applyFill="1" applyBorder="1" applyAlignment="1">
      <alignment horizontal="center" vertical="top"/>
    </xf>
    <xf numFmtId="4" fontId="157" fillId="0" borderId="74" xfId="0" applyNumberFormat="1" applyFont="1" applyFill="1" applyBorder="1" applyAlignment="1">
      <alignment vertical="top"/>
    </xf>
    <xf numFmtId="172" fontId="9" fillId="0" borderId="74" xfId="1302" applyNumberFormat="1" applyFont="1" applyFill="1" applyBorder="1" applyAlignment="1" applyProtection="1">
      <alignment horizontal="center" vertical="top"/>
    </xf>
    <xf numFmtId="4" fontId="72" fillId="0" borderId="78" xfId="0" applyNumberFormat="1" applyFont="1" applyFill="1" applyBorder="1" applyAlignment="1">
      <alignment vertical="top"/>
    </xf>
    <xf numFmtId="2" fontId="72" fillId="0" borderId="0" xfId="0" applyNumberFormat="1" applyFont="1" applyFill="1" applyAlignment="1">
      <alignment horizontal="left" vertical="top"/>
    </xf>
    <xf numFmtId="0" fontId="62" fillId="0" borderId="0" xfId="0" applyFont="1" applyFill="1" applyAlignment="1">
      <alignment horizontal="center" vertical="top"/>
    </xf>
    <xf numFmtId="4" fontId="9" fillId="0" borderId="19" xfId="1302" applyNumberFormat="1" applyFont="1" applyFill="1" applyBorder="1" applyAlignment="1" applyProtection="1">
      <alignment horizontal="right" vertical="top"/>
    </xf>
    <xf numFmtId="0" fontId="0" fillId="70" borderId="19" xfId="0" applyFill="1" applyBorder="1" applyAlignment="1">
      <alignment vertical="top"/>
    </xf>
    <xf numFmtId="4" fontId="72" fillId="0" borderId="19" xfId="868" applyNumberFormat="1" applyFont="1" applyFill="1" applyBorder="1" applyAlignment="1">
      <alignment horizontal="right" vertical="top" wrapText="1"/>
    </xf>
    <xf numFmtId="194" fontId="72" fillId="0" borderId="25" xfId="0" applyNumberFormat="1" applyFont="1" applyFill="1" applyBorder="1" applyAlignment="1">
      <alignment horizontal="right" vertical="top"/>
    </xf>
    <xf numFmtId="0" fontId="72" fillId="0" borderId="25" xfId="0" applyFont="1" applyFill="1" applyBorder="1" applyAlignment="1">
      <alignment vertical="top" wrapText="1"/>
    </xf>
    <xf numFmtId="4" fontId="9" fillId="0" borderId="25" xfId="868" applyNumberFormat="1" applyFont="1" applyFill="1" applyBorder="1" applyAlignment="1">
      <alignment vertical="top" wrapText="1"/>
    </xf>
    <xf numFmtId="0" fontId="72" fillId="0" borderId="25" xfId="0" applyFont="1" applyFill="1" applyBorder="1" applyAlignment="1">
      <alignment horizontal="center" vertical="top"/>
    </xf>
    <xf numFmtId="4" fontId="9" fillId="0" borderId="25" xfId="0" applyNumberFormat="1" applyFont="1" applyFill="1" applyBorder="1" applyAlignment="1">
      <alignment vertical="top"/>
    </xf>
    <xf numFmtId="2" fontId="72" fillId="0" borderId="25" xfId="0" applyNumberFormat="1" applyFont="1" applyFill="1" applyBorder="1" applyAlignment="1">
      <alignment horizontal="right" vertical="top"/>
    </xf>
    <xf numFmtId="0" fontId="72" fillId="0" borderId="25" xfId="0" quotePrefix="1" applyFont="1" applyFill="1" applyBorder="1" applyAlignment="1">
      <alignment horizontal="left" vertical="top" wrapText="1"/>
    </xf>
    <xf numFmtId="0" fontId="72" fillId="0" borderId="25" xfId="0" applyFont="1" applyFill="1" applyBorder="1" applyAlignment="1">
      <alignment horizontal="left" vertical="top" wrapText="1"/>
    </xf>
    <xf numFmtId="0" fontId="9" fillId="70" borderId="25" xfId="0" applyFont="1" applyFill="1" applyBorder="1" applyAlignment="1">
      <alignment horizontal="right" vertical="top"/>
    </xf>
    <xf numFmtId="0" fontId="72" fillId="70" borderId="25" xfId="0" applyFont="1" applyFill="1" applyBorder="1" applyAlignment="1">
      <alignment horizontal="left" vertical="top" wrapText="1"/>
    </xf>
    <xf numFmtId="39" fontId="9" fillId="70" borderId="25" xfId="808" applyNumberFormat="1" applyFont="1" applyFill="1" applyBorder="1" applyAlignment="1">
      <alignment vertical="top"/>
    </xf>
    <xf numFmtId="0" fontId="9" fillId="70" borderId="25" xfId="0" applyFont="1" applyFill="1" applyBorder="1" applyAlignment="1">
      <alignment horizontal="center" vertical="top"/>
    </xf>
    <xf numFmtId="4" fontId="9" fillId="70" borderId="25" xfId="0" applyNumberFormat="1" applyFont="1" applyFill="1" applyBorder="1" applyAlignment="1">
      <alignment vertical="top"/>
    </xf>
    <xf numFmtId="172" fontId="9" fillId="70" borderId="25" xfId="0" applyNumberFormat="1" applyFont="1" applyFill="1" applyBorder="1" applyAlignment="1">
      <alignment horizontal="right" vertical="top"/>
    </xf>
    <xf numFmtId="1" fontId="62" fillId="0" borderId="25" xfId="0" applyNumberFormat="1" applyFont="1" applyFill="1" applyBorder="1" applyAlignment="1">
      <alignment horizontal="right" vertical="top"/>
    </xf>
    <xf numFmtId="4" fontId="72" fillId="0" borderId="25" xfId="868" applyNumberFormat="1" applyFont="1" applyFill="1" applyBorder="1" applyAlignment="1">
      <alignment vertical="top" wrapText="1"/>
    </xf>
    <xf numFmtId="4" fontId="72" fillId="0" borderId="25" xfId="0" applyNumberFormat="1" applyFont="1" applyFill="1" applyBorder="1" applyAlignment="1">
      <alignment horizontal="center" vertical="top"/>
    </xf>
    <xf numFmtId="4" fontId="72" fillId="0" borderId="25" xfId="0" applyNumberFormat="1" applyFont="1" applyFill="1" applyBorder="1" applyAlignment="1">
      <alignment vertical="top"/>
    </xf>
    <xf numFmtId="2" fontId="62" fillId="0" borderId="25" xfId="0" applyNumberFormat="1" applyFont="1" applyFill="1" applyBorder="1" applyAlignment="1">
      <alignment horizontal="right" vertical="top"/>
    </xf>
    <xf numFmtId="0" fontId="62" fillId="0" borderId="25" xfId="0" applyFont="1" applyFill="1" applyBorder="1" applyAlignment="1">
      <alignment vertical="top" wrapText="1"/>
    </xf>
    <xf numFmtId="172" fontId="72" fillId="0" borderId="25" xfId="0" applyNumberFormat="1" applyFont="1" applyFill="1" applyBorder="1" applyAlignment="1">
      <alignment horizontal="center" vertical="top"/>
    </xf>
    <xf numFmtId="2" fontId="72" fillId="70" borderId="25" xfId="0" applyNumberFormat="1" applyFont="1" applyFill="1" applyBorder="1" applyAlignment="1">
      <alignment horizontal="right" vertical="top"/>
    </xf>
    <xf numFmtId="0" fontId="72" fillId="70" borderId="34" xfId="0" applyFont="1" applyFill="1" applyBorder="1" applyAlignment="1">
      <alignment horizontal="justify" vertical="top" wrapText="1"/>
    </xf>
    <xf numFmtId="4" fontId="9" fillId="70" borderId="25" xfId="868" applyNumberFormat="1" applyFont="1" applyFill="1" applyBorder="1" applyAlignment="1">
      <alignment vertical="top" wrapText="1"/>
    </xf>
    <xf numFmtId="0" fontId="72" fillId="70" borderId="25" xfId="0" applyFont="1" applyFill="1" applyBorder="1" applyAlignment="1">
      <alignment horizontal="center" vertical="top"/>
    </xf>
    <xf numFmtId="0" fontId="72" fillId="70" borderId="25" xfId="0" applyFont="1" applyFill="1" applyBorder="1" applyAlignment="1">
      <alignment vertical="top"/>
    </xf>
    <xf numFmtId="2" fontId="0" fillId="70" borderId="128" xfId="0" applyNumberFormat="1" applyFill="1" applyBorder="1" applyAlignment="1">
      <alignment vertical="top"/>
    </xf>
    <xf numFmtId="4" fontId="9" fillId="70" borderId="25" xfId="0" applyNumberFormat="1" applyFont="1" applyFill="1" applyBorder="1" applyAlignment="1">
      <alignment horizontal="center" vertical="top"/>
    </xf>
    <xf numFmtId="0" fontId="0" fillId="70" borderId="25" xfId="0" applyFill="1" applyBorder="1" applyAlignment="1">
      <alignment vertical="top"/>
    </xf>
    <xf numFmtId="0" fontId="183" fillId="0" borderId="34" xfId="0" applyFont="1" applyBorder="1" applyAlignment="1">
      <alignment vertical="top"/>
    </xf>
    <xf numFmtId="0" fontId="72" fillId="0" borderId="25" xfId="0" applyNumberFormat="1" applyFont="1" applyFill="1" applyBorder="1" applyAlignment="1">
      <alignment horizontal="left" vertical="top" wrapText="1"/>
    </xf>
    <xf numFmtId="0" fontId="9" fillId="0" borderId="67" xfId="0" applyFont="1" applyFill="1" applyBorder="1" applyAlignment="1" applyProtection="1">
      <alignment vertical="top"/>
    </xf>
    <xf numFmtId="39" fontId="9" fillId="0" borderId="25" xfId="1302" applyFont="1" applyFill="1" applyBorder="1" applyAlignment="1" applyProtection="1">
      <alignment horizontal="left" vertical="top"/>
    </xf>
    <xf numFmtId="4" fontId="9" fillId="0" borderId="128" xfId="1302" applyNumberFormat="1" applyFont="1" applyFill="1" applyBorder="1" applyAlignment="1" applyProtection="1">
      <alignment horizontal="right" vertical="top"/>
    </xf>
    <xf numFmtId="172" fontId="9" fillId="0" borderId="25" xfId="1302" applyNumberFormat="1" applyFont="1" applyFill="1" applyBorder="1" applyAlignment="1" applyProtection="1">
      <alignment horizontal="center" vertical="top"/>
    </xf>
    <xf numFmtId="4" fontId="72" fillId="0" borderId="128" xfId="868" applyNumberFormat="1" applyFont="1" applyFill="1" applyBorder="1" applyAlignment="1">
      <alignment horizontal="right" vertical="top" wrapText="1"/>
    </xf>
    <xf numFmtId="4" fontId="72" fillId="70" borderId="25" xfId="0" applyNumberFormat="1" applyFont="1" applyFill="1" applyBorder="1" applyAlignment="1">
      <alignment horizontal="right" vertical="top"/>
    </xf>
    <xf numFmtId="0" fontId="177" fillId="0" borderId="25" xfId="1744" applyFont="1" applyFill="1" applyBorder="1" applyAlignment="1">
      <alignment vertical="top"/>
    </xf>
    <xf numFmtId="0" fontId="72" fillId="0" borderId="25" xfId="1744" applyFont="1" applyFill="1" applyBorder="1" applyAlignment="1">
      <alignment horizontal="left" vertical="top"/>
    </xf>
    <xf numFmtId="172" fontId="177" fillId="0" borderId="25" xfId="1744" applyNumberFormat="1" applyFont="1" applyFill="1" applyBorder="1" applyAlignment="1">
      <alignment vertical="top"/>
    </xf>
    <xf numFmtId="0" fontId="10" fillId="48" borderId="25" xfId="1269" applyNumberFormat="1" applyFont="1" applyFill="1" applyBorder="1" applyAlignment="1">
      <alignment horizontal="right" vertical="top" wrapText="1"/>
    </xf>
    <xf numFmtId="0" fontId="10" fillId="48" borderId="128" xfId="1269" applyNumberFormat="1" applyFont="1" applyFill="1" applyBorder="1" applyAlignment="1">
      <alignment horizontal="left" vertical="top" wrapText="1"/>
    </xf>
    <xf numFmtId="39" fontId="9" fillId="48" borderId="128" xfId="1269" applyNumberFormat="1" applyFont="1" applyFill="1" applyBorder="1" applyAlignment="1" applyProtection="1">
      <alignment horizontal="right" vertical="top"/>
      <protection locked="0"/>
    </xf>
    <xf numFmtId="0" fontId="9" fillId="48" borderId="25" xfId="1269" applyNumberFormat="1" applyFont="1" applyFill="1" applyBorder="1" applyAlignment="1">
      <alignment horizontal="center" vertical="top" wrapText="1"/>
    </xf>
    <xf numFmtId="4" fontId="9" fillId="48" borderId="25" xfId="1269" applyNumberFormat="1" applyFont="1" applyFill="1" applyBorder="1" applyAlignment="1" applyProtection="1">
      <alignment vertical="top"/>
      <protection locked="0"/>
    </xf>
    <xf numFmtId="0" fontId="62" fillId="0" borderId="0" xfId="0" applyFont="1" applyFill="1" applyAlignment="1">
      <alignment horizontal="center" vertical="top"/>
    </xf>
    <xf numFmtId="2" fontId="72" fillId="0" borderId="0" xfId="0" applyNumberFormat="1" applyFont="1" applyFill="1" applyAlignment="1">
      <alignment horizontal="left" vertical="top"/>
    </xf>
    <xf numFmtId="4" fontId="9" fillId="70" borderId="19" xfId="808" applyNumberFormat="1" applyFont="1" applyFill="1" applyBorder="1" applyAlignment="1">
      <alignment vertical="top"/>
    </xf>
    <xf numFmtId="4" fontId="9" fillId="70" borderId="25" xfId="808" applyNumberFormat="1" applyFont="1" applyFill="1" applyBorder="1" applyAlignment="1">
      <alignment vertical="top"/>
    </xf>
    <xf numFmtId="4" fontId="10" fillId="82" borderId="202" xfId="0" applyNumberFormat="1" applyFont="1" applyFill="1" applyBorder="1" applyAlignment="1">
      <alignment vertical="top"/>
    </xf>
    <xf numFmtId="4" fontId="0" fillId="70" borderId="128" xfId="0" applyNumberFormat="1" applyFill="1" applyBorder="1" applyAlignment="1">
      <alignment vertical="top"/>
    </xf>
    <xf numFmtId="4" fontId="9" fillId="70" borderId="74" xfId="808" applyNumberFormat="1" applyFont="1" applyFill="1" applyBorder="1" applyAlignment="1">
      <alignment vertical="top" wrapText="1"/>
    </xf>
    <xf numFmtId="4" fontId="10" fillId="82" borderId="200" xfId="0" applyNumberFormat="1" applyFont="1" applyFill="1" applyBorder="1" applyAlignment="1">
      <alignment horizontal="center" vertical="top"/>
    </xf>
    <xf numFmtId="4" fontId="9" fillId="70" borderId="19" xfId="1061" applyNumberFormat="1" applyFont="1" applyFill="1" applyBorder="1" applyAlignment="1">
      <alignment vertical="top"/>
    </xf>
    <xf numFmtId="4" fontId="9" fillId="70" borderId="78" xfId="1061" applyNumberFormat="1" applyFont="1" applyFill="1" applyBorder="1" applyAlignment="1">
      <alignment vertical="top"/>
    </xf>
    <xf numFmtId="4" fontId="10" fillId="70" borderId="74" xfId="0" applyNumberFormat="1" applyFont="1" applyFill="1" applyBorder="1" applyAlignment="1">
      <alignment vertical="top"/>
    </xf>
    <xf numFmtId="4" fontId="0" fillId="0" borderId="0" xfId="0" applyNumberFormat="1" applyBorder="1" applyAlignment="1">
      <alignment vertical="top"/>
    </xf>
    <xf numFmtId="4" fontId="177" fillId="0" borderId="25" xfId="1744" applyNumberFormat="1" applyFont="1" applyFill="1" applyBorder="1" applyAlignment="1">
      <alignment vertical="top"/>
    </xf>
    <xf numFmtId="4" fontId="9" fillId="48" borderId="19" xfId="1269" applyNumberFormat="1" applyFont="1" applyFill="1" applyBorder="1" applyAlignment="1" applyProtection="1">
      <alignment horizontal="right" vertical="top"/>
      <protection locked="0"/>
    </xf>
    <xf numFmtId="4" fontId="9" fillId="48" borderId="78" xfId="1269" applyNumberFormat="1" applyFont="1" applyFill="1" applyBorder="1" applyAlignment="1" applyProtection="1">
      <alignment horizontal="right" vertical="top"/>
      <protection locked="0"/>
    </xf>
    <xf numFmtId="4" fontId="9" fillId="48" borderId="128" xfId="1269" applyNumberFormat="1" applyFont="1" applyFill="1" applyBorder="1" applyAlignment="1" applyProtection="1">
      <alignment horizontal="right" vertical="top"/>
      <protection locked="0"/>
    </xf>
    <xf numFmtId="4" fontId="0" fillId="0" borderId="19" xfId="0" applyNumberFormat="1" applyFill="1" applyBorder="1" applyAlignment="1">
      <alignment horizontal="center" vertical="top"/>
    </xf>
    <xf numFmtId="4" fontId="165" fillId="0" borderId="19" xfId="0" applyNumberFormat="1" applyFont="1" applyFill="1" applyBorder="1" applyAlignment="1">
      <alignment horizontal="center" vertical="top"/>
    </xf>
    <xf numFmtId="4" fontId="72" fillId="70" borderId="25" xfId="0" applyNumberFormat="1" applyFont="1" applyFill="1" applyBorder="1" applyAlignment="1">
      <alignment horizontal="center" vertical="top"/>
    </xf>
    <xf numFmtId="4" fontId="0" fillId="70" borderId="25" xfId="0" applyNumberFormat="1" applyFill="1" applyBorder="1" applyAlignment="1">
      <alignment vertical="top"/>
    </xf>
    <xf numFmtId="4" fontId="9" fillId="70" borderId="19" xfId="1061" applyNumberFormat="1" applyFont="1" applyFill="1" applyBorder="1" applyAlignment="1">
      <alignment horizontal="center" vertical="top"/>
    </xf>
    <xf numFmtId="4" fontId="9" fillId="70" borderId="19" xfId="743" applyNumberFormat="1" applyFont="1" applyFill="1" applyBorder="1" applyAlignment="1">
      <alignment horizontal="center" vertical="top"/>
    </xf>
    <xf numFmtId="4" fontId="9" fillId="0" borderId="19" xfId="1302" applyNumberFormat="1" applyFont="1" applyFill="1" applyBorder="1" applyAlignment="1" applyProtection="1">
      <alignment horizontal="center" vertical="top"/>
    </xf>
    <xf numFmtId="4" fontId="137" fillId="0" borderId="19" xfId="1302" applyNumberFormat="1" applyFont="1" applyFill="1" applyBorder="1" applyAlignment="1" applyProtection="1">
      <alignment horizontal="center" vertical="top"/>
    </xf>
    <xf numFmtId="4" fontId="10" fillId="0" borderId="19" xfId="1302" applyNumberFormat="1" applyFont="1" applyFill="1" applyBorder="1" applyAlignment="1" applyProtection="1">
      <alignment horizontal="center" vertical="top"/>
    </xf>
    <xf numFmtId="4" fontId="9" fillId="0" borderId="74" xfId="1302" applyNumberFormat="1" applyFont="1" applyFill="1" applyBorder="1" applyAlignment="1" applyProtection="1">
      <alignment horizontal="center" vertical="top"/>
    </xf>
    <xf numFmtId="4" fontId="9" fillId="70" borderId="19" xfId="1302" applyNumberFormat="1" applyFont="1" applyFill="1" applyBorder="1" applyAlignment="1" applyProtection="1">
      <alignment horizontal="center" vertical="top"/>
    </xf>
    <xf numFmtId="4" fontId="9" fillId="0" borderId="25" xfId="1302" applyNumberFormat="1" applyFont="1" applyFill="1" applyBorder="1" applyAlignment="1" applyProtection="1">
      <alignment horizontal="center" vertical="top"/>
    </xf>
    <xf numFmtId="4" fontId="9" fillId="70" borderId="19" xfId="1302" applyNumberFormat="1" applyFont="1" applyFill="1" applyBorder="1" applyAlignment="1" applyProtection="1">
      <alignment horizontal="center" vertical="top" wrapText="1"/>
    </xf>
    <xf numFmtId="4" fontId="174" fillId="70" borderId="19" xfId="0" applyNumberFormat="1" applyFont="1" applyFill="1" applyBorder="1" applyAlignment="1">
      <alignment horizontal="center" vertical="top"/>
    </xf>
    <xf numFmtId="4" fontId="9" fillId="48" borderId="19" xfId="1269" applyNumberFormat="1" applyFont="1" applyFill="1" applyBorder="1" applyAlignment="1">
      <alignment horizontal="center" vertical="top" wrapText="1"/>
    </xf>
    <xf numFmtId="4" fontId="9" fillId="48" borderId="25" xfId="1269" applyNumberFormat="1" applyFont="1" applyFill="1" applyBorder="1" applyAlignment="1">
      <alignment horizontal="center" vertical="top" wrapText="1"/>
    </xf>
    <xf numFmtId="4" fontId="72" fillId="48" borderId="19" xfId="1269" applyNumberFormat="1" applyFont="1" applyFill="1" applyBorder="1" applyAlignment="1">
      <alignment horizontal="center" vertical="top" wrapText="1"/>
    </xf>
    <xf numFmtId="4" fontId="176" fillId="48" borderId="19" xfId="0" applyNumberFormat="1" applyFont="1" applyFill="1" applyBorder="1" applyAlignment="1">
      <alignment horizontal="center" vertical="top"/>
    </xf>
    <xf numFmtId="4" fontId="9" fillId="70" borderId="19" xfId="1051" applyNumberFormat="1" applyFont="1" applyFill="1" applyBorder="1" applyAlignment="1">
      <alignment horizontal="center" vertical="top" wrapText="1"/>
    </xf>
    <xf numFmtId="0" fontId="62" fillId="70" borderId="19" xfId="0" applyFont="1" applyFill="1" applyBorder="1" applyAlignment="1" applyProtection="1">
      <alignment horizontal="left" vertical="top" wrapText="1"/>
    </xf>
    <xf numFmtId="0" fontId="72" fillId="70" borderId="19" xfId="0" applyFont="1" applyFill="1" applyBorder="1" applyAlignment="1" applyProtection="1">
      <alignment horizontal="left" vertical="top"/>
    </xf>
    <xf numFmtId="4" fontId="72" fillId="0" borderId="0" xfId="0" applyNumberFormat="1" applyFont="1" applyFill="1" applyAlignment="1">
      <alignment vertical="top"/>
    </xf>
    <xf numFmtId="4" fontId="72" fillId="0" borderId="0" xfId="0" applyNumberFormat="1" applyFont="1" applyAlignment="1">
      <alignment vertical="top"/>
    </xf>
    <xf numFmtId="0" fontId="62" fillId="0" borderId="0" xfId="0" applyFont="1" applyAlignment="1">
      <alignment vertical="top"/>
    </xf>
    <xf numFmtId="4" fontId="157" fillId="0" borderId="0" xfId="0" applyNumberFormat="1" applyFont="1" applyFill="1" applyBorder="1" applyAlignment="1">
      <alignment vertical="top" wrapText="1"/>
    </xf>
    <xf numFmtId="0" fontId="184" fillId="70" borderId="0" xfId="0" applyFont="1" applyFill="1" applyAlignment="1">
      <alignment vertical="top"/>
    </xf>
    <xf numFmtId="0" fontId="184" fillId="82" borderId="0" xfId="0" applyFont="1" applyFill="1" applyAlignment="1">
      <alignment vertical="top"/>
    </xf>
    <xf numFmtId="0" fontId="72" fillId="70" borderId="0" xfId="0" applyFont="1" applyFill="1" applyBorder="1" applyAlignment="1">
      <alignment vertical="top"/>
    </xf>
    <xf numFmtId="0" fontId="72" fillId="70" borderId="0" xfId="2027" applyFont="1" applyFill="1" applyBorder="1" applyAlignment="1">
      <alignment vertical="top"/>
    </xf>
    <xf numFmtId="0" fontId="72" fillId="0" borderId="0" xfId="2027" applyFont="1" applyFill="1" applyBorder="1" applyAlignment="1">
      <alignment vertical="top"/>
    </xf>
    <xf numFmtId="4" fontId="187" fillId="0" borderId="0" xfId="2028" applyNumberFormat="1" applyFont="1" applyFill="1" applyAlignment="1">
      <alignment vertical="top"/>
    </xf>
    <xf numFmtId="4" fontId="187" fillId="70" borderId="0" xfId="2028" applyNumberFormat="1" applyFont="1" applyFill="1" applyAlignment="1">
      <alignment vertical="top"/>
    </xf>
    <xf numFmtId="4" fontId="187" fillId="0" borderId="0" xfId="2028" applyNumberFormat="1" applyFont="1" applyFill="1" applyAlignment="1">
      <alignment vertical="top" wrapText="1"/>
    </xf>
    <xf numFmtId="4" fontId="187" fillId="70" borderId="0" xfId="2028" applyNumberFormat="1" applyFont="1" applyFill="1" applyAlignment="1">
      <alignment vertical="top" wrapText="1"/>
    </xf>
    <xf numFmtId="4" fontId="187" fillId="82" borderId="0" xfId="2028" applyNumberFormat="1" applyFont="1" applyFill="1" applyAlignment="1">
      <alignment vertical="top" wrapText="1"/>
    </xf>
    <xf numFmtId="0" fontId="72" fillId="70" borderId="0" xfId="971" applyFont="1" applyFill="1" applyBorder="1" applyAlignment="1">
      <alignment vertical="top"/>
    </xf>
    <xf numFmtId="0" fontId="72" fillId="70" borderId="0" xfId="971" applyFont="1" applyFill="1" applyAlignment="1">
      <alignment vertical="top"/>
    </xf>
    <xf numFmtId="0" fontId="72" fillId="85" borderId="0" xfId="971" applyFont="1" applyFill="1" applyAlignment="1">
      <alignment vertical="top"/>
    </xf>
    <xf numFmtId="0" fontId="184" fillId="85" borderId="0" xfId="0" applyFont="1" applyFill="1" applyAlignment="1">
      <alignment vertical="top"/>
    </xf>
    <xf numFmtId="0" fontId="188" fillId="70" borderId="0" xfId="0" applyFont="1" applyFill="1" applyAlignment="1">
      <alignment vertical="top"/>
    </xf>
    <xf numFmtId="0" fontId="188" fillId="86" borderId="0" xfId="0" applyFont="1" applyFill="1" applyAlignment="1">
      <alignment vertical="top"/>
    </xf>
    <xf numFmtId="0" fontId="62" fillId="86" borderId="0" xfId="971" applyFont="1" applyFill="1" applyAlignment="1">
      <alignment vertical="top"/>
    </xf>
    <xf numFmtId="172" fontId="62" fillId="70" borderId="19" xfId="995" applyNumberFormat="1" applyFont="1" applyFill="1" applyBorder="1" applyAlignment="1" applyProtection="1">
      <alignment vertical="top" wrapText="1"/>
    </xf>
    <xf numFmtId="0" fontId="1" fillId="70" borderId="0" xfId="0" applyFont="1" applyFill="1" applyAlignment="1">
      <alignment vertical="top"/>
    </xf>
    <xf numFmtId="0" fontId="1" fillId="82" borderId="0" xfId="0" applyFont="1" applyFill="1" applyAlignment="1">
      <alignment vertical="top"/>
    </xf>
    <xf numFmtId="0" fontId="72" fillId="70" borderId="0" xfId="0" applyFont="1" applyFill="1" applyAlignment="1">
      <alignment vertical="top"/>
    </xf>
    <xf numFmtId="0" fontId="72" fillId="70" borderId="0" xfId="1210" applyFont="1" applyFill="1" applyBorder="1" applyAlignment="1">
      <alignment vertical="top"/>
    </xf>
    <xf numFmtId="0" fontId="72" fillId="84" borderId="0" xfId="0" applyFont="1" applyFill="1" applyBorder="1" applyAlignment="1">
      <alignment vertical="top"/>
    </xf>
    <xf numFmtId="0" fontId="187" fillId="70" borderId="0" xfId="0" applyFont="1" applyFill="1" applyBorder="1" applyAlignment="1">
      <alignment vertical="top"/>
    </xf>
    <xf numFmtId="0" fontId="187" fillId="48" borderId="0" xfId="0" applyFont="1" applyFill="1" applyBorder="1" applyAlignment="1">
      <alignment vertical="top"/>
    </xf>
    <xf numFmtId="0" fontId="72" fillId="84" borderId="0" xfId="1245" applyFont="1" applyFill="1" applyAlignment="1">
      <alignment vertical="top" wrapText="1"/>
    </xf>
    <xf numFmtId="0" fontId="157" fillId="0" borderId="0" xfId="0" applyFont="1" applyAlignment="1">
      <alignment vertical="top"/>
    </xf>
    <xf numFmtId="0" fontId="157" fillId="0" borderId="0" xfId="0" applyFont="1" applyFill="1" applyAlignment="1">
      <alignment vertical="top"/>
    </xf>
    <xf numFmtId="0" fontId="72" fillId="70" borderId="0" xfId="0" applyFont="1" applyFill="1" applyAlignment="1">
      <alignment vertical="top" wrapText="1"/>
    </xf>
    <xf numFmtId="39" fontId="62" fillId="0" borderId="19" xfId="1302" applyFont="1" applyFill="1" applyBorder="1" applyAlignment="1" applyProtection="1">
      <alignment horizontal="left" vertical="top"/>
    </xf>
    <xf numFmtId="0" fontId="62" fillId="70" borderId="19" xfId="1767" applyFont="1" applyFill="1" applyBorder="1" applyAlignment="1" applyProtection="1">
      <alignment horizontal="center" vertical="top"/>
    </xf>
    <xf numFmtId="0" fontId="72" fillId="84" borderId="0" xfId="0" applyFont="1" applyFill="1" applyAlignment="1">
      <alignment vertical="top" wrapText="1"/>
    </xf>
    <xf numFmtId="0" fontId="189" fillId="70" borderId="0" xfId="0" applyFont="1" applyFill="1" applyAlignment="1">
      <alignment vertical="top"/>
    </xf>
    <xf numFmtId="239" fontId="157" fillId="0" borderId="0" xfId="1334" applyNumberFormat="1" applyFont="1" applyFill="1" applyBorder="1" applyAlignment="1">
      <alignment vertical="top"/>
    </xf>
    <xf numFmtId="239" fontId="157" fillId="70" borderId="0" xfId="1334" applyNumberFormat="1" applyFont="1" applyFill="1" applyBorder="1" applyAlignment="1">
      <alignment vertical="top"/>
    </xf>
    <xf numFmtId="4" fontId="72" fillId="70" borderId="0" xfId="0" applyNumberFormat="1" applyFont="1" applyFill="1" applyAlignment="1">
      <alignment vertical="top"/>
    </xf>
    <xf numFmtId="0" fontId="62" fillId="70" borderId="0" xfId="0" applyFont="1" applyFill="1" applyAlignment="1">
      <alignment vertical="top"/>
    </xf>
    <xf numFmtId="4" fontId="178" fillId="0" borderId="0" xfId="0" applyNumberFormat="1" applyFont="1" applyAlignment="1">
      <alignment vertical="top"/>
    </xf>
    <xf numFmtId="4" fontId="72" fillId="70" borderId="0" xfId="0" applyNumberFormat="1" applyFont="1" applyFill="1" applyAlignment="1">
      <alignment horizontal="right" vertical="top"/>
    </xf>
    <xf numFmtId="0" fontId="157" fillId="70" borderId="0" xfId="0" applyFont="1" applyFill="1" applyBorder="1" applyAlignment="1">
      <alignment vertical="top"/>
    </xf>
    <xf numFmtId="4" fontId="157" fillId="0" borderId="0" xfId="0" applyNumberFormat="1" applyFont="1" applyFill="1" applyBorder="1" applyAlignment="1">
      <alignment vertical="top"/>
    </xf>
    <xf numFmtId="4" fontId="157" fillId="70" borderId="0" xfId="0" applyNumberFormat="1" applyFont="1" applyFill="1" applyBorder="1" applyAlignment="1">
      <alignment vertical="top" wrapText="1"/>
    </xf>
    <xf numFmtId="4" fontId="62" fillId="70" borderId="101" xfId="0" applyNumberFormat="1" applyFont="1" applyFill="1" applyBorder="1" applyAlignment="1">
      <alignment vertical="top"/>
    </xf>
    <xf numFmtId="4" fontId="9" fillId="0" borderId="0" xfId="0" applyNumberFormat="1" applyFont="1" applyAlignment="1">
      <alignment vertical="top"/>
    </xf>
    <xf numFmtId="4" fontId="137" fillId="0" borderId="0" xfId="0" applyNumberFormat="1" applyFont="1" applyFill="1" applyBorder="1" applyAlignment="1">
      <alignment vertical="top" wrapText="1"/>
    </xf>
    <xf numFmtId="0" fontId="190" fillId="70" borderId="0" xfId="0" applyFont="1" applyFill="1" applyAlignment="1">
      <alignment vertical="top"/>
    </xf>
    <xf numFmtId="2" fontId="9" fillId="0" borderId="19" xfId="838" applyNumberFormat="1" applyFont="1" applyFill="1" applyBorder="1" applyAlignment="1" applyProtection="1">
      <alignment horizontal="right" vertical="top"/>
    </xf>
    <xf numFmtId="0" fontId="9" fillId="48" borderId="19" xfId="1751" applyFont="1" applyFill="1" applyBorder="1" applyAlignment="1" applyProtection="1">
      <alignment vertical="top" wrapText="1"/>
    </xf>
    <xf numFmtId="2" fontId="9" fillId="0" borderId="0" xfId="0" applyNumberFormat="1" applyFont="1" applyAlignment="1">
      <alignment vertical="top"/>
    </xf>
    <xf numFmtId="43" fontId="9" fillId="70" borderId="19" xfId="703" applyFont="1" applyFill="1" applyBorder="1" applyAlignment="1" applyProtection="1">
      <alignment vertical="top"/>
      <protection locked="0"/>
    </xf>
    <xf numFmtId="43" fontId="9" fillId="70" borderId="19" xfId="703" applyFont="1" applyFill="1" applyBorder="1" applyAlignment="1" applyProtection="1">
      <alignment horizontal="right" vertical="top" wrapText="1"/>
      <protection locked="0"/>
    </xf>
    <xf numFmtId="43" fontId="9" fillId="70" borderId="19" xfId="971" applyNumberFormat="1" applyFont="1" applyFill="1" applyBorder="1" applyAlignment="1" applyProtection="1">
      <alignment horizontal="right" vertical="top" wrapText="1"/>
    </xf>
    <xf numFmtId="39" fontId="9" fillId="70" borderId="19" xfId="971" applyNumberFormat="1" applyFont="1" applyFill="1" applyBorder="1" applyAlignment="1" applyProtection="1">
      <alignment vertical="top" wrapText="1"/>
      <protection locked="0"/>
    </xf>
    <xf numFmtId="240" fontId="9" fillId="70" borderId="19" xfId="995" applyNumberFormat="1" applyFont="1" applyFill="1" applyBorder="1" applyAlignment="1" applyProtection="1">
      <alignment horizontal="right" vertical="top"/>
    </xf>
    <xf numFmtId="0" fontId="9" fillId="70" borderId="19" xfId="995" applyFont="1" applyFill="1" applyBorder="1" applyAlignment="1" applyProtection="1">
      <alignment horizontal="center" vertical="top" wrapText="1"/>
    </xf>
    <xf numFmtId="4" fontId="9" fillId="70" borderId="19" xfId="0" applyNumberFormat="1" applyFont="1" applyFill="1" applyBorder="1" applyAlignment="1" applyProtection="1">
      <alignment vertical="top" wrapText="1"/>
    </xf>
    <xf numFmtId="0" fontId="9" fillId="70" borderId="19" xfId="0" applyFont="1" applyFill="1" applyBorder="1" applyAlignment="1" applyProtection="1">
      <alignment horizontal="center" vertical="top"/>
    </xf>
    <xf numFmtId="39" fontId="9" fillId="70" borderId="19" xfId="0" applyNumberFormat="1" applyFont="1" applyFill="1" applyBorder="1" applyAlignment="1" applyProtection="1">
      <alignment horizontal="right" vertical="top" wrapText="1"/>
      <protection locked="0"/>
    </xf>
    <xf numFmtId="191" fontId="9" fillId="70" borderId="19" xfId="0" applyNumberFormat="1" applyFont="1" applyFill="1" applyBorder="1" applyAlignment="1" applyProtection="1">
      <alignment horizontal="center" vertical="top"/>
    </xf>
    <xf numFmtId="0" fontId="9" fillId="70" borderId="19" xfId="1270" applyNumberFormat="1" applyFont="1" applyFill="1" applyBorder="1" applyAlignment="1" applyProtection="1">
      <alignment horizontal="center" vertical="top" wrapText="1"/>
    </xf>
    <xf numFmtId="39" fontId="9" fillId="70" borderId="25" xfId="0" applyNumberFormat="1" applyFont="1" applyFill="1" applyBorder="1" applyAlignment="1" applyProtection="1">
      <alignment horizontal="right" vertical="top" wrapText="1"/>
      <protection locked="0"/>
    </xf>
    <xf numFmtId="0" fontId="9" fillId="70" borderId="19" xfId="0" applyFont="1" applyFill="1" applyBorder="1" applyAlignment="1" applyProtection="1">
      <alignment vertical="top" wrapText="1"/>
    </xf>
    <xf numFmtId="4" fontId="9" fillId="70" borderId="19" xfId="0" applyNumberFormat="1" applyFont="1" applyFill="1" applyBorder="1" applyAlignment="1" applyProtection="1">
      <alignment horizontal="right" vertical="top"/>
    </xf>
    <xf numFmtId="4" fontId="9" fillId="70" borderId="19" xfId="0" applyNumberFormat="1" applyFont="1" applyFill="1" applyBorder="1" applyAlignment="1" applyProtection="1">
      <alignment horizontal="center" vertical="top"/>
    </xf>
    <xf numFmtId="2" fontId="9" fillId="70" borderId="19" xfId="0" applyNumberFormat="1" applyFont="1" applyFill="1" applyBorder="1" applyAlignment="1" applyProtection="1">
      <alignment vertical="top" wrapText="1"/>
    </xf>
    <xf numFmtId="172" fontId="9" fillId="70" borderId="19" xfId="0" applyNumberFormat="1" applyFont="1" applyFill="1" applyBorder="1" applyAlignment="1" applyProtection="1">
      <alignment horizontal="right" vertical="top"/>
    </xf>
    <xf numFmtId="172" fontId="9" fillId="65" borderId="25" xfId="0" applyNumberFormat="1" applyFont="1" applyFill="1" applyBorder="1" applyAlignment="1" applyProtection="1">
      <alignment horizontal="right" vertical="top"/>
    </xf>
    <xf numFmtId="172" fontId="9" fillId="65" borderId="25" xfId="0" applyNumberFormat="1" applyFont="1" applyFill="1" applyBorder="1" applyAlignment="1" applyProtection="1">
      <alignment horizontal="center" vertical="top"/>
    </xf>
    <xf numFmtId="39" fontId="9" fillId="70" borderId="19" xfId="1472" applyNumberFormat="1" applyFont="1" applyFill="1" applyBorder="1" applyAlignment="1" applyProtection="1">
      <alignment horizontal="center" vertical="top"/>
    </xf>
    <xf numFmtId="4" fontId="9" fillId="0" borderId="19" xfId="1047" applyNumberFormat="1" applyFont="1" applyFill="1" applyBorder="1" applyAlignment="1" applyProtection="1">
      <alignment vertical="top" wrapText="1"/>
      <protection locked="0"/>
    </xf>
    <xf numFmtId="4" fontId="9" fillId="0" borderId="19" xfId="1749" applyNumberFormat="1" applyFont="1" applyFill="1" applyBorder="1" applyAlignment="1" applyProtection="1">
      <alignment vertical="top" wrapText="1"/>
    </xf>
    <xf numFmtId="0" fontId="9" fillId="83" borderId="19" xfId="1764" applyFont="1" applyFill="1" applyBorder="1" applyAlignment="1" applyProtection="1">
      <alignment horizontal="center" vertical="top"/>
    </xf>
    <xf numFmtId="0" fontId="9" fillId="0" borderId="0" xfId="0" applyFont="1" applyAlignment="1">
      <alignment horizontal="center" vertical="top"/>
    </xf>
    <xf numFmtId="0" fontId="10" fillId="70" borderId="19" xfId="0" applyFont="1" applyFill="1" applyBorder="1" applyAlignment="1" applyProtection="1">
      <alignment horizontal="left" vertical="top"/>
    </xf>
    <xf numFmtId="4" fontId="10" fillId="65" borderId="25" xfId="699" applyNumberFormat="1" applyFont="1" applyFill="1" applyBorder="1" applyAlignment="1" applyProtection="1">
      <alignment horizontal="center" vertical="top"/>
    </xf>
    <xf numFmtId="0" fontId="190" fillId="85" borderId="0" xfId="0" applyFont="1" applyFill="1" applyAlignment="1">
      <alignment vertical="top"/>
    </xf>
    <xf numFmtId="0" fontId="9" fillId="85" borderId="0" xfId="971" applyFont="1" applyFill="1" applyAlignment="1">
      <alignment vertical="top"/>
    </xf>
    <xf numFmtId="0" fontId="10" fillId="70" borderId="19" xfId="0" applyFont="1" applyFill="1" applyBorder="1" applyAlignment="1" applyProtection="1">
      <alignment horizontal="justify" vertical="top" wrapText="1"/>
    </xf>
    <xf numFmtId="0" fontId="193" fillId="82" borderId="0" xfId="0" applyFont="1" applyFill="1" applyAlignment="1">
      <alignment vertical="top"/>
    </xf>
    <xf numFmtId="0" fontId="190" fillId="82" borderId="0" xfId="0" applyFont="1" applyFill="1" applyAlignment="1">
      <alignment vertical="top"/>
    </xf>
    <xf numFmtId="0" fontId="193" fillId="65" borderId="0" xfId="0" applyFont="1" applyFill="1" applyAlignment="1">
      <alignment vertical="top"/>
    </xf>
    <xf numFmtId="0" fontId="190" fillId="65" borderId="0" xfId="0" applyFont="1" applyFill="1" applyAlignment="1">
      <alignment vertical="top"/>
    </xf>
    <xf numFmtId="239" fontId="137" fillId="0" borderId="0" xfId="1334" applyNumberFormat="1" applyFont="1" applyFill="1" applyBorder="1" applyAlignment="1">
      <alignment vertical="top"/>
    </xf>
    <xf numFmtId="0" fontId="9" fillId="82" borderId="0" xfId="0" applyFont="1" applyFill="1" applyAlignment="1">
      <alignment vertical="top"/>
    </xf>
    <xf numFmtId="4" fontId="9" fillId="82" borderId="0" xfId="0" applyNumberFormat="1" applyFont="1" applyFill="1" applyAlignment="1">
      <alignment vertical="top"/>
    </xf>
    <xf numFmtId="4" fontId="9" fillId="82" borderId="0" xfId="0" applyNumberFormat="1" applyFont="1" applyFill="1" applyAlignment="1">
      <alignment horizontal="right" vertical="top"/>
    </xf>
    <xf numFmtId="0" fontId="137" fillId="70" borderId="0" xfId="0" applyFont="1" applyFill="1" applyBorder="1" applyAlignment="1">
      <alignment vertical="top"/>
    </xf>
    <xf numFmtId="4" fontId="137" fillId="69" borderId="0" xfId="0" applyNumberFormat="1" applyFont="1" applyFill="1" applyBorder="1" applyAlignment="1">
      <alignment vertical="top" wrapText="1"/>
    </xf>
    <xf numFmtId="4" fontId="9" fillId="69" borderId="0" xfId="0" applyNumberFormat="1" applyFont="1" applyFill="1" applyAlignment="1">
      <alignment vertical="top"/>
    </xf>
    <xf numFmtId="0" fontId="9" fillId="69" borderId="0" xfId="0" applyFont="1" applyFill="1" applyAlignment="1">
      <alignment vertical="top"/>
    </xf>
    <xf numFmtId="4" fontId="137" fillId="70" borderId="0" xfId="0" applyNumberFormat="1" applyFont="1" applyFill="1" applyBorder="1" applyAlignment="1">
      <alignment vertical="top" wrapText="1"/>
    </xf>
    <xf numFmtId="0" fontId="10" fillId="0" borderId="0" xfId="0" applyFont="1" applyFill="1" applyAlignment="1">
      <alignment horizontal="center" vertical="top" wrapText="1"/>
    </xf>
    <xf numFmtId="4" fontId="137" fillId="0" borderId="0" xfId="0" applyNumberFormat="1" applyFont="1" applyFill="1" applyBorder="1" applyAlignment="1">
      <alignment horizontal="center" vertical="top" wrapText="1"/>
    </xf>
    <xf numFmtId="0" fontId="10" fillId="0" borderId="0" xfId="0" applyFont="1" applyFill="1" applyAlignment="1">
      <alignment horizontal="left" vertical="top" wrapText="1"/>
    </xf>
    <xf numFmtId="4" fontId="10" fillId="65" borderId="204" xfId="699" applyNumberFormat="1" applyFont="1" applyFill="1" applyBorder="1" applyAlignment="1" applyProtection="1">
      <alignment horizontal="center" vertical="top"/>
    </xf>
    <xf numFmtId="172" fontId="9" fillId="65" borderId="204" xfId="0" applyNumberFormat="1" applyFont="1" applyFill="1" applyBorder="1" applyAlignment="1" applyProtection="1">
      <alignment horizontal="right" vertical="top"/>
    </xf>
    <xf numFmtId="172" fontId="9" fillId="65" borderId="204" xfId="0" applyNumberFormat="1" applyFont="1" applyFill="1" applyBorder="1" applyAlignment="1" applyProtection="1">
      <alignment horizontal="center" vertical="top"/>
    </xf>
    <xf numFmtId="4" fontId="72" fillId="70" borderId="19" xfId="2028" applyNumberFormat="1" applyFont="1" applyFill="1" applyBorder="1" applyAlignment="1" applyProtection="1">
      <alignment horizontal="left" vertical="top" wrapText="1"/>
    </xf>
    <xf numFmtId="0" fontId="72" fillId="83" borderId="19" xfId="0" applyFont="1" applyFill="1" applyBorder="1" applyAlignment="1" applyProtection="1">
      <alignment horizontal="justify" vertical="top"/>
    </xf>
    <xf numFmtId="0" fontId="72" fillId="83" borderId="25" xfId="0" applyFont="1" applyFill="1" applyBorder="1" applyAlignment="1" applyProtection="1">
      <alignment horizontal="justify" vertical="top"/>
    </xf>
    <xf numFmtId="0" fontId="10" fillId="70" borderId="19" xfId="0" applyFont="1" applyFill="1" applyBorder="1" applyAlignment="1" applyProtection="1">
      <alignment horizontal="left" vertical="top" wrapText="1"/>
    </xf>
    <xf numFmtId="0" fontId="9" fillId="70" borderId="19" xfId="0" applyFont="1" applyFill="1" applyBorder="1" applyAlignment="1" applyProtection="1">
      <alignment horizontal="left" vertical="top" wrapText="1"/>
    </xf>
    <xf numFmtId="0" fontId="72" fillId="0" borderId="0" xfId="0" applyFont="1" applyFill="1" applyAlignment="1">
      <alignment vertical="top"/>
    </xf>
    <xf numFmtId="0" fontId="9" fillId="0" borderId="0" xfId="0" applyFont="1" applyFill="1" applyAlignment="1">
      <alignment vertical="top"/>
    </xf>
    <xf numFmtId="43" fontId="9" fillId="70" borderId="25" xfId="703" applyFont="1" applyFill="1" applyBorder="1" applyAlignment="1" applyProtection="1">
      <alignment horizontal="right" vertical="top" wrapText="1"/>
      <protection locked="0"/>
    </xf>
    <xf numFmtId="0" fontId="72" fillId="70" borderId="25" xfId="0" applyFont="1" applyFill="1" applyBorder="1" applyAlignment="1" applyProtection="1">
      <alignment horizontal="left" vertical="top"/>
    </xf>
    <xf numFmtId="2" fontId="9" fillId="70" borderId="25" xfId="0" applyNumberFormat="1" applyFont="1" applyFill="1" applyBorder="1" applyAlignment="1" applyProtection="1">
      <alignment vertical="top" wrapText="1"/>
    </xf>
    <xf numFmtId="0" fontId="9" fillId="70" borderId="25" xfId="1270" applyNumberFormat="1" applyFont="1" applyFill="1" applyBorder="1" applyAlignment="1" applyProtection="1">
      <alignment horizontal="center" vertical="top" wrapText="1"/>
    </xf>
    <xf numFmtId="4" fontId="62" fillId="70" borderId="150" xfId="699" applyNumberFormat="1" applyFont="1" applyFill="1" applyBorder="1" applyAlignment="1" applyProtection="1">
      <alignment horizontal="center" vertical="top"/>
    </xf>
    <xf numFmtId="172" fontId="9" fillId="70" borderId="150" xfId="0" applyNumberFormat="1" applyFont="1" applyFill="1" applyBorder="1" applyAlignment="1" applyProtection="1">
      <alignment horizontal="right" vertical="top"/>
    </xf>
    <xf numFmtId="172" fontId="9" fillId="70" borderId="150" xfId="0" applyNumberFormat="1" applyFont="1" applyFill="1" applyBorder="1" applyAlignment="1" applyProtection="1">
      <alignment horizontal="center" vertical="top"/>
    </xf>
    <xf numFmtId="39" fontId="9" fillId="70" borderId="25" xfId="971" applyNumberFormat="1" applyFont="1" applyFill="1" applyBorder="1" applyAlignment="1" applyProtection="1">
      <alignment vertical="top" wrapText="1"/>
      <protection locked="0"/>
    </xf>
    <xf numFmtId="4" fontId="9" fillId="70" borderId="19" xfId="1050" applyNumberFormat="1" applyFont="1" applyFill="1" applyBorder="1" applyAlignment="1" applyProtection="1">
      <alignment horizontal="right" vertical="top" wrapText="1"/>
    </xf>
    <xf numFmtId="0" fontId="9" fillId="70" borderId="25" xfId="0" applyFont="1" applyFill="1" applyBorder="1" applyAlignment="1" applyProtection="1">
      <alignment vertical="top"/>
    </xf>
    <xf numFmtId="185" fontId="10" fillId="70" borderId="19" xfId="0" applyNumberFormat="1" applyFont="1" applyFill="1" applyBorder="1" applyAlignment="1" applyProtection="1">
      <alignment horizontal="center" vertical="top"/>
    </xf>
    <xf numFmtId="185" fontId="10" fillId="70" borderId="19" xfId="0" applyNumberFormat="1" applyFont="1" applyFill="1" applyBorder="1" applyAlignment="1" applyProtection="1">
      <alignment horizontal="right" vertical="top"/>
    </xf>
    <xf numFmtId="4" fontId="9" fillId="0" borderId="19" xfId="1302" applyNumberFormat="1" applyFont="1" applyFill="1" applyBorder="1" applyAlignment="1" applyProtection="1">
      <alignment vertical="top"/>
    </xf>
    <xf numFmtId="0" fontId="9" fillId="70" borderId="19" xfId="0" applyFont="1" applyFill="1" applyBorder="1" applyAlignment="1" applyProtection="1">
      <alignment horizontal="right" vertical="top"/>
    </xf>
    <xf numFmtId="0" fontId="9" fillId="0" borderId="0" xfId="0" applyFont="1" applyFill="1" applyAlignment="1">
      <alignment vertical="top"/>
    </xf>
    <xf numFmtId="2" fontId="9" fillId="0" borderId="0" xfId="0" applyNumberFormat="1" applyFont="1" applyFill="1" applyAlignment="1">
      <alignment horizontal="left" vertical="top"/>
    </xf>
    <xf numFmtId="0" fontId="72" fillId="70" borderId="19" xfId="1048" applyNumberFormat="1" applyFont="1" applyFill="1" applyBorder="1" applyAlignment="1" applyProtection="1">
      <alignment vertical="top"/>
    </xf>
    <xf numFmtId="182" fontId="9" fillId="70" borderId="19" xfId="0" applyNumberFormat="1" applyFont="1" applyFill="1" applyBorder="1" applyAlignment="1" applyProtection="1">
      <alignment vertical="top"/>
    </xf>
    <xf numFmtId="4" fontId="9" fillId="70" borderId="19" xfId="0" applyNumberFormat="1" applyFont="1" applyFill="1" applyBorder="1" applyAlignment="1" applyProtection="1">
      <alignment vertical="top"/>
    </xf>
    <xf numFmtId="0" fontId="9" fillId="70" borderId="19" xfId="1050" applyFont="1" applyFill="1" applyBorder="1" applyAlignment="1" applyProtection="1">
      <alignment horizontal="left" vertical="top" wrapText="1"/>
    </xf>
    <xf numFmtId="185" fontId="9" fillId="48" borderId="19" xfId="0" applyNumberFormat="1" applyFont="1" applyFill="1" applyBorder="1" applyAlignment="1" applyProtection="1">
      <alignment horizontal="right" vertical="top"/>
    </xf>
    <xf numFmtId="185" fontId="10" fillId="48" borderId="19" xfId="0" applyNumberFormat="1" applyFont="1" applyFill="1" applyBorder="1" applyAlignment="1" applyProtection="1">
      <alignment horizontal="right" vertical="top"/>
    </xf>
    <xf numFmtId="2" fontId="10" fillId="65" borderId="149" xfId="0" applyNumberFormat="1" applyFont="1" applyFill="1" applyBorder="1" applyAlignment="1" applyProtection="1">
      <alignment horizontal="center" vertical="top"/>
    </xf>
    <xf numFmtId="0" fontId="10" fillId="65" borderId="149" xfId="0" applyFont="1" applyFill="1" applyBorder="1" applyAlignment="1" applyProtection="1">
      <alignment horizontal="center" vertical="top" wrapText="1"/>
    </xf>
    <xf numFmtId="0" fontId="10" fillId="65" borderId="149" xfId="0" applyFont="1" applyFill="1" applyBorder="1" applyAlignment="1" applyProtection="1">
      <alignment horizontal="center" vertical="top"/>
    </xf>
    <xf numFmtId="2" fontId="9" fillId="0" borderId="19" xfId="0" applyNumberFormat="1" applyFont="1" applyFill="1" applyBorder="1" applyAlignment="1" applyProtection="1">
      <alignment horizontal="right" vertical="top"/>
    </xf>
    <xf numFmtId="0" fontId="62" fillId="0" borderId="19" xfId="0" applyFont="1" applyFill="1" applyBorder="1" applyAlignment="1" applyProtection="1">
      <alignment horizontal="left" vertical="top" wrapText="1"/>
    </xf>
    <xf numFmtId="4" fontId="9" fillId="0" borderId="19" xfId="0" applyNumberFormat="1" applyFont="1" applyFill="1" applyBorder="1" applyAlignment="1" applyProtection="1">
      <alignment vertical="top"/>
    </xf>
    <xf numFmtId="4" fontId="9" fillId="0" borderId="19" xfId="0" applyNumberFormat="1" applyFont="1" applyFill="1" applyBorder="1" applyAlignment="1" applyProtection="1">
      <alignment horizontal="center" vertical="top"/>
    </xf>
    <xf numFmtId="189" fontId="10" fillId="70" borderId="19" xfId="699" applyNumberFormat="1" applyFont="1" applyFill="1" applyBorder="1" applyAlignment="1" applyProtection="1">
      <alignment horizontal="center" vertical="top"/>
    </xf>
    <xf numFmtId="0" fontId="10" fillId="0" borderId="19" xfId="0" applyFont="1" applyFill="1" applyBorder="1" applyAlignment="1" applyProtection="1">
      <alignment horizontal="left" vertical="top" wrapText="1"/>
    </xf>
    <xf numFmtId="43" fontId="9" fillId="70" borderId="19" xfId="699" applyFont="1" applyFill="1" applyBorder="1" applyAlignment="1" applyProtection="1">
      <alignment vertical="top"/>
    </xf>
    <xf numFmtId="43" fontId="9" fillId="70" borderId="19" xfId="699" applyFont="1" applyFill="1" applyBorder="1" applyAlignment="1" applyProtection="1">
      <alignment horizontal="right" vertical="top"/>
    </xf>
    <xf numFmtId="189" fontId="10" fillId="70" borderId="19" xfId="699" applyNumberFormat="1" applyFont="1" applyFill="1" applyBorder="1" applyAlignment="1" applyProtection="1">
      <alignment horizontal="right" vertical="top"/>
    </xf>
    <xf numFmtId="0" fontId="72" fillId="70" borderId="19" xfId="0" applyFont="1" applyFill="1" applyBorder="1" applyAlignment="1" applyProtection="1">
      <alignment horizontal="left" vertical="top" wrapText="1"/>
    </xf>
    <xf numFmtId="0" fontId="62" fillId="70" borderId="19" xfId="0" applyFont="1" applyFill="1" applyBorder="1" applyAlignment="1" applyProtection="1">
      <alignment horizontal="center" vertical="top"/>
    </xf>
    <xf numFmtId="2" fontId="9" fillId="70" borderId="19" xfId="0" applyNumberFormat="1" applyFont="1" applyFill="1" applyBorder="1" applyAlignment="1" applyProtection="1">
      <alignment vertical="top"/>
    </xf>
    <xf numFmtId="4" fontId="9" fillId="70" borderId="19" xfId="743" applyNumberFormat="1" applyFont="1" applyFill="1" applyBorder="1" applyAlignment="1" applyProtection="1">
      <alignment vertical="top" wrapText="1"/>
    </xf>
    <xf numFmtId="0" fontId="72" fillId="70" borderId="19" xfId="0" applyFont="1" applyFill="1" applyBorder="1" applyAlignment="1" applyProtection="1">
      <alignment horizontal="center" vertical="top"/>
    </xf>
    <xf numFmtId="0" fontId="10" fillId="70" borderId="19" xfId="0" applyFont="1" applyFill="1" applyBorder="1" applyAlignment="1" applyProtection="1">
      <alignment horizontal="right" vertical="top"/>
    </xf>
    <xf numFmtId="0" fontId="10" fillId="70" borderId="19" xfId="0" applyFont="1" applyFill="1" applyBorder="1" applyAlignment="1" applyProtection="1">
      <alignment vertical="top" wrapText="1"/>
    </xf>
    <xf numFmtId="4" fontId="9" fillId="70" borderId="19" xfId="743" applyNumberFormat="1" applyFont="1" applyFill="1" applyBorder="1" applyAlignment="1" applyProtection="1">
      <alignment vertical="top"/>
    </xf>
    <xf numFmtId="182" fontId="9" fillId="70" borderId="19" xfId="0" applyNumberFormat="1" applyFont="1" applyFill="1" applyBorder="1" applyAlignment="1" applyProtection="1">
      <alignment vertical="top" wrapText="1"/>
    </xf>
    <xf numFmtId="4" fontId="9" fillId="70" borderId="19" xfId="0" applyNumberFormat="1" applyFont="1" applyFill="1" applyBorder="1" applyAlignment="1" applyProtection="1">
      <alignment horizontal="right" vertical="top" wrapText="1"/>
    </xf>
    <xf numFmtId="0" fontId="72" fillId="70" borderId="19" xfId="0" applyNumberFormat="1" applyFont="1" applyFill="1" applyBorder="1" applyAlignment="1" applyProtection="1">
      <alignment vertical="top" wrapText="1"/>
    </xf>
    <xf numFmtId="4" fontId="9" fillId="70" borderId="19" xfId="0" applyNumberFormat="1" applyFont="1" applyFill="1" applyBorder="1" applyAlignment="1" applyProtection="1">
      <alignment horizontal="center" vertical="top" wrapText="1"/>
    </xf>
    <xf numFmtId="0" fontId="62" fillId="70" borderId="19" xfId="0" applyFont="1" applyFill="1" applyBorder="1" applyAlignment="1" applyProtection="1">
      <alignment vertical="top"/>
    </xf>
    <xf numFmtId="0" fontId="72" fillId="70" borderId="19" xfId="971" applyFont="1" applyFill="1" applyBorder="1" applyAlignment="1" applyProtection="1">
      <alignment horizontal="justify" vertical="top" wrapText="1"/>
    </xf>
    <xf numFmtId="0" fontId="9" fillId="82" borderId="204" xfId="0" applyFont="1" applyFill="1" applyBorder="1" applyAlignment="1" applyProtection="1">
      <alignment vertical="top"/>
    </xf>
    <xf numFmtId="0" fontId="62" fillId="82" borderId="204" xfId="0" applyFont="1" applyFill="1" applyBorder="1" applyAlignment="1" applyProtection="1">
      <alignment horizontal="center" vertical="top"/>
    </xf>
    <xf numFmtId="0" fontId="10" fillId="82" borderId="204" xfId="0" applyFont="1" applyFill="1" applyBorder="1" applyAlignment="1" applyProtection="1">
      <alignment vertical="top"/>
    </xf>
    <xf numFmtId="0" fontId="72" fillId="70" borderId="19" xfId="0" applyFont="1" applyFill="1" applyBorder="1" applyAlignment="1" applyProtection="1">
      <alignment vertical="top"/>
    </xf>
    <xf numFmtId="43" fontId="10" fillId="70" borderId="19" xfId="699" applyFont="1" applyFill="1" applyBorder="1" applyAlignment="1" applyProtection="1">
      <alignment horizontal="center" vertical="top"/>
    </xf>
    <xf numFmtId="39" fontId="10" fillId="70" borderId="19" xfId="971" applyNumberFormat="1" applyFont="1" applyFill="1" applyBorder="1" applyAlignment="1" applyProtection="1">
      <alignment horizontal="left" vertical="top"/>
    </xf>
    <xf numFmtId="39" fontId="9" fillId="70" borderId="19" xfId="971" applyNumberFormat="1" applyFont="1" applyFill="1" applyBorder="1" applyAlignment="1" applyProtection="1">
      <alignment vertical="top"/>
    </xf>
    <xf numFmtId="4" fontId="9" fillId="70" borderId="19" xfId="2028" applyNumberFormat="1" applyFont="1" applyFill="1" applyBorder="1" applyAlignment="1" applyProtection="1">
      <alignment vertical="top"/>
    </xf>
    <xf numFmtId="0" fontId="10" fillId="70" borderId="19" xfId="971" applyFont="1" applyFill="1" applyBorder="1" applyAlignment="1" applyProtection="1">
      <alignment vertical="top"/>
    </xf>
    <xf numFmtId="4" fontId="9" fillId="70" borderId="19" xfId="971" applyNumberFormat="1" applyFont="1" applyFill="1" applyBorder="1" applyAlignment="1" applyProtection="1">
      <alignment horizontal="right" vertical="top"/>
    </xf>
    <xf numFmtId="4" fontId="9" fillId="70" borderId="19" xfId="971" applyNumberFormat="1" applyFont="1" applyFill="1" applyBorder="1" applyAlignment="1" applyProtection="1">
      <alignment horizontal="center" vertical="top"/>
    </xf>
    <xf numFmtId="188" fontId="9" fillId="70" borderId="19" xfId="699" applyNumberFormat="1" applyFont="1" applyFill="1" applyBorder="1" applyAlignment="1" applyProtection="1">
      <alignment vertical="top" wrapText="1"/>
    </xf>
    <xf numFmtId="39" fontId="72" fillId="70" borderId="19" xfId="971" applyNumberFormat="1" applyFont="1" applyFill="1" applyBorder="1" applyAlignment="1" applyProtection="1">
      <alignment vertical="top" wrapText="1"/>
    </xf>
    <xf numFmtId="43" fontId="9" fillId="70" borderId="19" xfId="703" applyFont="1" applyFill="1" applyBorder="1" applyAlignment="1" applyProtection="1">
      <alignment horizontal="center" vertical="top" wrapText="1"/>
    </xf>
    <xf numFmtId="0" fontId="72" fillId="70" borderId="19" xfId="971" applyFont="1" applyFill="1" applyBorder="1" applyAlignment="1" applyProtection="1">
      <alignment vertical="top"/>
    </xf>
    <xf numFmtId="4" fontId="9" fillId="70" borderId="19" xfId="2028" applyNumberFormat="1" applyFont="1" applyFill="1" applyBorder="1" applyAlignment="1" applyProtection="1">
      <alignment vertical="top" wrapText="1"/>
    </xf>
    <xf numFmtId="189" fontId="10" fillId="70" borderId="19" xfId="699" applyNumberFormat="1" applyFont="1" applyFill="1" applyBorder="1" applyAlignment="1" applyProtection="1">
      <alignment horizontal="right" vertical="top" wrapText="1"/>
    </xf>
    <xf numFmtId="0" fontId="10" fillId="70" borderId="19" xfId="971" applyFont="1" applyFill="1" applyBorder="1" applyAlignment="1" applyProtection="1">
      <alignment vertical="top" wrapText="1"/>
    </xf>
    <xf numFmtId="172" fontId="9" fillId="70" borderId="19" xfId="971" applyNumberFormat="1" applyFont="1" applyFill="1" applyBorder="1" applyAlignment="1" applyProtection="1">
      <alignment horizontal="center" vertical="top" wrapText="1"/>
    </xf>
    <xf numFmtId="188" fontId="9" fillId="70" borderId="19" xfId="699" applyNumberFormat="1" applyFont="1" applyFill="1" applyBorder="1" applyAlignment="1" applyProtection="1">
      <alignment horizontal="right" vertical="top" wrapText="1"/>
    </xf>
    <xf numFmtId="43" fontId="9" fillId="70" borderId="19" xfId="699" applyFont="1" applyFill="1" applyBorder="1" applyAlignment="1" applyProtection="1">
      <alignment vertical="top" wrapText="1"/>
    </xf>
    <xf numFmtId="0" fontId="72" fillId="70" borderId="19" xfId="971" applyFont="1" applyFill="1" applyBorder="1" applyAlignment="1" applyProtection="1">
      <alignment vertical="top" wrapText="1"/>
    </xf>
    <xf numFmtId="172" fontId="9" fillId="70" borderId="19" xfId="971" applyNumberFormat="1" applyFont="1" applyFill="1" applyBorder="1" applyAlignment="1" applyProtection="1">
      <alignment vertical="top" wrapText="1"/>
    </xf>
    <xf numFmtId="189" fontId="9" fillId="70" borderId="19" xfId="699" applyNumberFormat="1" applyFont="1" applyFill="1" applyBorder="1" applyAlignment="1" applyProtection="1">
      <alignment horizontal="right" vertical="top" wrapText="1"/>
    </xf>
    <xf numFmtId="4" fontId="72" fillId="70" borderId="19" xfId="2028" applyNumberFormat="1" applyFont="1" applyFill="1" applyBorder="1" applyAlignment="1" applyProtection="1">
      <alignment vertical="top"/>
    </xf>
    <xf numFmtId="173" fontId="10" fillId="70" borderId="19" xfId="827" applyFont="1" applyFill="1" applyBorder="1" applyAlignment="1" applyProtection="1">
      <alignment vertical="top"/>
    </xf>
    <xf numFmtId="172" fontId="10" fillId="70" borderId="19" xfId="1042" applyNumberFormat="1" applyFont="1" applyFill="1" applyBorder="1" applyAlignment="1" applyProtection="1">
      <alignment horizontal="center" vertical="top"/>
    </xf>
    <xf numFmtId="172" fontId="9" fillId="70" borderId="19" xfId="1042" applyNumberFormat="1" applyFont="1" applyFill="1" applyBorder="1" applyAlignment="1" applyProtection="1">
      <alignment horizontal="center" vertical="top"/>
    </xf>
    <xf numFmtId="188" fontId="9" fillId="70" borderId="25" xfId="699" applyNumberFormat="1" applyFont="1" applyFill="1" applyBorder="1" applyAlignment="1" applyProtection="1">
      <alignment horizontal="right" vertical="top" wrapText="1"/>
    </xf>
    <xf numFmtId="39" fontId="72" fillId="70" borderId="25" xfId="971" applyNumberFormat="1" applyFont="1" applyFill="1" applyBorder="1" applyAlignment="1" applyProtection="1">
      <alignment vertical="top" wrapText="1"/>
    </xf>
    <xf numFmtId="172" fontId="9" fillId="70" borderId="25" xfId="971" applyNumberFormat="1" applyFont="1" applyFill="1" applyBorder="1" applyAlignment="1" applyProtection="1">
      <alignment vertical="top" wrapText="1"/>
    </xf>
    <xf numFmtId="172" fontId="9" fillId="70" borderId="25" xfId="971" applyNumberFormat="1" applyFont="1" applyFill="1" applyBorder="1" applyAlignment="1" applyProtection="1">
      <alignment horizontal="center" vertical="top" wrapText="1"/>
    </xf>
    <xf numFmtId="43" fontId="9" fillId="70" borderId="19" xfId="699" applyFont="1" applyFill="1" applyBorder="1" applyAlignment="1" applyProtection="1">
      <alignment horizontal="right" vertical="top" wrapText="1"/>
    </xf>
    <xf numFmtId="216" fontId="72" fillId="70" borderId="19" xfId="1042" applyFont="1" applyFill="1" applyBorder="1" applyAlignment="1" applyProtection="1">
      <alignment vertical="top" wrapText="1"/>
    </xf>
    <xf numFmtId="43" fontId="10" fillId="70" borderId="19" xfId="699" applyFont="1" applyFill="1" applyBorder="1" applyAlignment="1" applyProtection="1">
      <alignment horizontal="right" vertical="top" wrapText="1"/>
    </xf>
    <xf numFmtId="0" fontId="62" fillId="70" borderId="19" xfId="971" applyFont="1" applyFill="1" applyBorder="1" applyAlignment="1" applyProtection="1">
      <alignment vertical="top" wrapText="1"/>
    </xf>
    <xf numFmtId="188" fontId="10" fillId="70" borderId="19" xfId="699" applyNumberFormat="1" applyFont="1" applyFill="1" applyBorder="1" applyAlignment="1" applyProtection="1">
      <alignment horizontal="center" vertical="top" wrapText="1"/>
    </xf>
    <xf numFmtId="4" fontId="9" fillId="70" borderId="19" xfId="971" applyNumberFormat="1" applyFont="1" applyFill="1" applyBorder="1" applyAlignment="1" applyProtection="1">
      <alignment horizontal="center" vertical="top" wrapText="1"/>
    </xf>
    <xf numFmtId="4" fontId="9" fillId="70" borderId="19" xfId="868" applyNumberFormat="1" applyFont="1" applyFill="1" applyBorder="1" applyAlignment="1" applyProtection="1">
      <alignment horizontal="right" vertical="top" wrapText="1"/>
    </xf>
    <xf numFmtId="39" fontId="72" fillId="70" borderId="19" xfId="971" applyNumberFormat="1" applyFont="1" applyFill="1" applyBorder="1" applyAlignment="1" applyProtection="1">
      <alignment horizontal="justify" vertical="top" wrapText="1"/>
    </xf>
    <xf numFmtId="0" fontId="9" fillId="70" borderId="25" xfId="0" applyFont="1" applyFill="1" applyBorder="1" applyAlignment="1" applyProtection="1">
      <alignment horizontal="right" vertical="top"/>
    </xf>
    <xf numFmtId="39" fontId="72" fillId="70" borderId="25" xfId="971" applyNumberFormat="1" applyFont="1" applyFill="1" applyBorder="1" applyAlignment="1" applyProtection="1">
      <alignment horizontal="justify" vertical="top" wrapText="1"/>
    </xf>
    <xf numFmtId="2" fontId="9" fillId="70" borderId="25" xfId="0" applyNumberFormat="1" applyFont="1" applyFill="1" applyBorder="1" applyAlignment="1" applyProtection="1">
      <alignment vertical="top"/>
    </xf>
    <xf numFmtId="0" fontId="9" fillId="70" borderId="25" xfId="0" applyFont="1" applyFill="1" applyBorder="1" applyAlignment="1" applyProtection="1">
      <alignment horizontal="center" vertical="top"/>
    </xf>
    <xf numFmtId="4" fontId="9" fillId="70" borderId="25" xfId="0" applyNumberFormat="1" applyFont="1" applyFill="1" applyBorder="1" applyAlignment="1" applyProtection="1">
      <alignment vertical="top"/>
    </xf>
    <xf numFmtId="0" fontId="72" fillId="70" borderId="19" xfId="0" applyFont="1" applyFill="1" applyBorder="1" applyAlignment="1" applyProtection="1">
      <alignment vertical="top" wrapText="1"/>
    </xf>
    <xf numFmtId="2" fontId="9" fillId="70" borderId="19" xfId="0" applyNumberFormat="1" applyFont="1" applyFill="1" applyBorder="1" applyAlignment="1" applyProtection="1">
      <alignment horizontal="right" vertical="top"/>
    </xf>
    <xf numFmtId="0" fontId="62" fillId="0" borderId="19" xfId="0" applyFont="1" applyBorder="1" applyAlignment="1" applyProtection="1">
      <alignment horizontal="center" vertical="top"/>
    </xf>
    <xf numFmtId="0" fontId="10" fillId="0" borderId="19" xfId="0" applyFont="1" applyBorder="1" applyAlignment="1" applyProtection="1">
      <alignment vertical="top"/>
    </xf>
    <xf numFmtId="4" fontId="9" fillId="0" borderId="19" xfId="0" applyNumberFormat="1" applyFont="1" applyBorder="1" applyAlignment="1" applyProtection="1">
      <alignment vertical="top"/>
    </xf>
    <xf numFmtId="192" fontId="9" fillId="70" borderId="19" xfId="1302" applyNumberFormat="1" applyFont="1" applyFill="1" applyBorder="1" applyAlignment="1" applyProtection="1">
      <alignment horizontal="right" vertical="top" wrapText="1"/>
    </xf>
    <xf numFmtId="4" fontId="9" fillId="70" borderId="19" xfId="1302" applyNumberFormat="1" applyFont="1" applyFill="1" applyBorder="1" applyAlignment="1" applyProtection="1">
      <alignment horizontal="right" vertical="top" wrapText="1"/>
    </xf>
    <xf numFmtId="39" fontId="9" fillId="70" borderId="19" xfId="1302" applyNumberFormat="1" applyFont="1" applyFill="1" applyBorder="1" applyAlignment="1" applyProtection="1">
      <alignment horizontal="center" vertical="top"/>
    </xf>
    <xf numFmtId="0" fontId="10" fillId="82" borderId="204" xfId="0" applyFont="1" applyFill="1" applyBorder="1" applyAlignment="1" applyProtection="1">
      <alignment horizontal="center" vertical="top"/>
    </xf>
    <xf numFmtId="4" fontId="10" fillId="82" borderId="204" xfId="0" applyNumberFormat="1" applyFont="1" applyFill="1" applyBorder="1" applyAlignment="1" applyProtection="1">
      <alignment vertical="top"/>
    </xf>
    <xf numFmtId="4" fontId="10" fillId="70" borderId="19" xfId="0" applyNumberFormat="1" applyFont="1" applyFill="1" applyBorder="1" applyAlignment="1" applyProtection="1">
      <alignment vertical="top"/>
    </xf>
    <xf numFmtId="241" fontId="10" fillId="70" borderId="19" xfId="0" applyNumberFormat="1" applyFont="1" applyFill="1" applyBorder="1" applyAlignment="1" applyProtection="1">
      <alignment horizontal="right" vertical="top" wrapText="1"/>
    </xf>
    <xf numFmtId="242" fontId="9" fillId="70" borderId="19" xfId="0" applyNumberFormat="1" applyFont="1" applyFill="1" applyBorder="1" applyAlignment="1" applyProtection="1">
      <alignment horizontal="right" vertical="top" wrapText="1"/>
    </xf>
    <xf numFmtId="242" fontId="9" fillId="70" borderId="19" xfId="0" quotePrefix="1" applyNumberFormat="1" applyFont="1" applyFill="1" applyBorder="1" applyAlignment="1" applyProtection="1">
      <alignment horizontal="right" vertical="top" wrapText="1"/>
    </xf>
    <xf numFmtId="241" fontId="9" fillId="70" borderId="19" xfId="0" applyNumberFormat="1" applyFont="1" applyFill="1" applyBorder="1" applyAlignment="1" applyProtection="1">
      <alignment horizontal="right" vertical="top" wrapText="1"/>
    </xf>
    <xf numFmtId="43" fontId="72" fillId="70" borderId="19" xfId="0" applyNumberFormat="1" applyFont="1" applyFill="1" applyBorder="1" applyAlignment="1" applyProtection="1">
      <alignment vertical="top"/>
    </xf>
    <xf numFmtId="242" fontId="9" fillId="70" borderId="25" xfId="0" applyNumberFormat="1" applyFont="1" applyFill="1" applyBorder="1" applyAlignment="1" applyProtection="1">
      <alignment horizontal="right" vertical="top" wrapText="1"/>
    </xf>
    <xf numFmtId="0" fontId="9" fillId="65" borderId="204" xfId="0" applyFont="1" applyFill="1" applyBorder="1" applyAlignment="1" applyProtection="1">
      <alignment horizontal="right" vertical="top"/>
    </xf>
    <xf numFmtId="0" fontId="10" fillId="70" borderId="19" xfId="0" applyFont="1" applyFill="1" applyBorder="1" applyAlignment="1" applyProtection="1">
      <alignment horizontal="center" vertical="top"/>
    </xf>
    <xf numFmtId="0" fontId="9" fillId="65" borderId="25" xfId="0" applyFont="1" applyFill="1" applyBorder="1" applyAlignment="1" applyProtection="1">
      <alignment horizontal="right" vertical="top"/>
    </xf>
    <xf numFmtId="0" fontId="9" fillId="70" borderId="150" xfId="0" applyFont="1" applyFill="1" applyBorder="1" applyAlignment="1" applyProtection="1">
      <alignment horizontal="right" vertical="top"/>
    </xf>
    <xf numFmtId="43" fontId="9" fillId="70" borderId="19" xfId="0" applyNumberFormat="1" applyFont="1" applyFill="1" applyBorder="1" applyAlignment="1" applyProtection="1">
      <alignment horizontal="center" vertical="top"/>
    </xf>
    <xf numFmtId="0" fontId="9" fillId="70" borderId="19" xfId="0" applyNumberFormat="1" applyFont="1" applyFill="1" applyBorder="1" applyAlignment="1" applyProtection="1">
      <alignment horizontal="right" vertical="top" wrapText="1"/>
    </xf>
    <xf numFmtId="0" fontId="9" fillId="70" borderId="19" xfId="0" applyNumberFormat="1" applyFont="1" applyFill="1" applyBorder="1" applyAlignment="1" applyProtection="1">
      <alignment horizontal="center" vertical="top" wrapText="1"/>
    </xf>
    <xf numFmtId="0" fontId="72" fillId="70" borderId="19" xfId="0" applyFont="1" applyFill="1" applyBorder="1" applyAlignment="1" applyProtection="1">
      <alignment horizontal="justify" vertical="top"/>
    </xf>
    <xf numFmtId="0" fontId="72" fillId="83" borderId="19" xfId="0" applyFont="1" applyFill="1" applyBorder="1" applyAlignment="1" applyProtection="1">
      <alignment vertical="top" wrapText="1"/>
    </xf>
    <xf numFmtId="43" fontId="9" fillId="70" borderId="25" xfId="0" applyNumberFormat="1" applyFont="1" applyFill="1" applyBorder="1" applyAlignment="1" applyProtection="1">
      <alignment horizontal="center" vertical="top"/>
    </xf>
    <xf numFmtId="0" fontId="72" fillId="83" borderId="19" xfId="0" applyFont="1" applyFill="1" applyBorder="1" applyAlignment="1" applyProtection="1">
      <alignment horizontal="left" vertical="top"/>
    </xf>
    <xf numFmtId="188" fontId="10" fillId="70" borderId="19" xfId="699" applyNumberFormat="1" applyFont="1" applyFill="1" applyBorder="1" applyAlignment="1" applyProtection="1">
      <alignment horizontal="right" vertical="top" wrapText="1"/>
    </xf>
    <xf numFmtId="0" fontId="62" fillId="70" borderId="19" xfId="0" applyFont="1" applyFill="1" applyBorder="1" applyAlignment="1" applyProtection="1">
      <alignment vertical="top" wrapText="1"/>
    </xf>
    <xf numFmtId="0" fontId="194" fillId="70" borderId="19" xfId="0" applyFont="1" applyFill="1" applyBorder="1" applyAlignment="1" applyProtection="1">
      <alignment horizontal="center" vertical="top"/>
    </xf>
    <xf numFmtId="188" fontId="9" fillId="70" borderId="19" xfId="699" applyNumberFormat="1" applyFont="1" applyFill="1" applyBorder="1" applyAlignment="1" applyProtection="1">
      <alignment horizontal="center" vertical="top" wrapText="1"/>
    </xf>
    <xf numFmtId="4" fontId="9" fillId="70" borderId="19" xfId="971" applyNumberFormat="1" applyFont="1" applyFill="1" applyBorder="1" applyAlignment="1" applyProtection="1">
      <alignment vertical="top"/>
    </xf>
    <xf numFmtId="43" fontId="9" fillId="82" borderId="204" xfId="699" applyFont="1" applyFill="1" applyBorder="1" applyAlignment="1" applyProtection="1">
      <alignment horizontal="right" vertical="top" wrapText="1"/>
    </xf>
    <xf numFmtId="0" fontId="62" fillId="82" borderId="204" xfId="0" applyFont="1" applyFill="1" applyBorder="1" applyAlignment="1" applyProtection="1">
      <alignment horizontal="center" vertical="top" wrapText="1"/>
    </xf>
    <xf numFmtId="43" fontId="9" fillId="82" borderId="204" xfId="699" applyFont="1" applyFill="1" applyBorder="1" applyAlignment="1" applyProtection="1">
      <alignment horizontal="center" vertical="top" wrapText="1"/>
    </xf>
    <xf numFmtId="0" fontId="62" fillId="70" borderId="19" xfId="0" applyFont="1" applyFill="1" applyBorder="1" applyAlignment="1" applyProtection="1">
      <alignment horizontal="center" vertical="top" wrapText="1"/>
    </xf>
    <xf numFmtId="43" fontId="9" fillId="70" borderId="19" xfId="699" applyFont="1" applyFill="1" applyBorder="1" applyAlignment="1" applyProtection="1">
      <alignment horizontal="center" vertical="top" wrapText="1"/>
    </xf>
    <xf numFmtId="1" fontId="10" fillId="70" borderId="19" xfId="0" applyNumberFormat="1" applyFont="1" applyFill="1" applyBorder="1" applyAlignment="1" applyProtection="1">
      <alignment horizontal="center" vertical="top"/>
    </xf>
    <xf numFmtId="4" fontId="9" fillId="70" borderId="19" xfId="702" applyNumberFormat="1" applyFont="1" applyFill="1" applyBorder="1" applyAlignment="1" applyProtection="1">
      <alignment vertical="top"/>
    </xf>
    <xf numFmtId="4" fontId="9" fillId="70" borderId="19" xfId="702" applyNumberFormat="1" applyFont="1" applyFill="1" applyBorder="1" applyAlignment="1" applyProtection="1">
      <alignment horizontal="center" vertical="top"/>
    </xf>
    <xf numFmtId="172" fontId="9" fillId="70" borderId="19" xfId="0" applyNumberFormat="1" applyFont="1" applyFill="1" applyBorder="1" applyAlignment="1" applyProtection="1">
      <alignment horizontal="center" vertical="top" wrapText="1"/>
    </xf>
    <xf numFmtId="43" fontId="9" fillId="70" borderId="25" xfId="699" applyFont="1" applyFill="1" applyBorder="1" applyAlignment="1" applyProtection="1">
      <alignment horizontal="right" vertical="top" wrapText="1"/>
    </xf>
    <xf numFmtId="4" fontId="9" fillId="70" borderId="25" xfId="0" applyNumberFormat="1" applyFont="1" applyFill="1" applyBorder="1" applyAlignment="1" applyProtection="1">
      <alignment horizontal="center" vertical="top"/>
    </xf>
    <xf numFmtId="172" fontId="9" fillId="70" borderId="19" xfId="1050" applyNumberFormat="1" applyFont="1" applyFill="1" applyBorder="1" applyAlignment="1" applyProtection="1">
      <alignment horizontal="right" vertical="top" wrapText="1"/>
    </xf>
    <xf numFmtId="0" fontId="9" fillId="70" borderId="19" xfId="1050" applyFont="1" applyFill="1" applyBorder="1" applyAlignment="1" applyProtection="1">
      <alignment horizontal="center" vertical="top" wrapText="1"/>
    </xf>
    <xf numFmtId="0" fontId="10" fillId="82" borderId="204" xfId="0" applyFont="1" applyFill="1" applyBorder="1" applyAlignment="1" applyProtection="1">
      <alignment horizontal="center" vertical="top" wrapText="1"/>
    </xf>
    <xf numFmtId="4" fontId="9" fillId="82" borderId="204" xfId="0" applyNumberFormat="1" applyFont="1" applyFill="1" applyBorder="1" applyAlignment="1" applyProtection="1">
      <alignment horizontal="center" vertical="top" wrapText="1"/>
    </xf>
    <xf numFmtId="43" fontId="9" fillId="65" borderId="25" xfId="699" applyFont="1" applyFill="1" applyBorder="1" applyAlignment="1" applyProtection="1">
      <alignment horizontal="right" vertical="top" wrapText="1"/>
    </xf>
    <xf numFmtId="0" fontId="10" fillId="65" borderId="25" xfId="0" applyFont="1" applyFill="1" applyBorder="1" applyAlignment="1" applyProtection="1">
      <alignment horizontal="center" vertical="top" wrapText="1"/>
    </xf>
    <xf numFmtId="43" fontId="9" fillId="65" borderId="25" xfId="699" applyFont="1" applyFill="1" applyBorder="1" applyAlignment="1" applyProtection="1">
      <alignment horizontal="center" vertical="top" wrapText="1"/>
    </xf>
    <xf numFmtId="4" fontId="9" fillId="65" borderId="25" xfId="0" applyNumberFormat="1" applyFont="1" applyFill="1" applyBorder="1" applyAlignment="1" applyProtection="1">
      <alignment horizontal="center" vertical="top" wrapText="1"/>
    </xf>
    <xf numFmtId="2" fontId="10" fillId="0" borderId="19" xfId="0" applyNumberFormat="1" applyFont="1" applyFill="1" applyBorder="1" applyAlignment="1" applyProtection="1">
      <alignment horizontal="center" vertical="top"/>
    </xf>
    <xf numFmtId="0" fontId="10" fillId="0" borderId="19" xfId="0" applyFont="1" applyFill="1" applyBorder="1" applyAlignment="1" applyProtection="1">
      <alignment vertical="top" wrapText="1"/>
    </xf>
    <xf numFmtId="0" fontId="72" fillId="0" borderId="19" xfId="0" applyFont="1" applyFill="1" applyBorder="1" applyAlignment="1" applyProtection="1">
      <alignment vertical="top" wrapText="1"/>
    </xf>
    <xf numFmtId="1" fontId="10" fillId="0" borderId="19" xfId="0" applyNumberFormat="1" applyFont="1" applyFill="1" applyBorder="1" applyAlignment="1" applyProtection="1">
      <alignment horizontal="right" vertical="top"/>
    </xf>
    <xf numFmtId="194" fontId="10" fillId="0" borderId="19" xfId="0" applyNumberFormat="1" applyFont="1" applyFill="1" applyBorder="1" applyAlignment="1" applyProtection="1">
      <alignment horizontal="right" vertical="top"/>
    </xf>
    <xf numFmtId="0" fontId="72" fillId="70" borderId="19" xfId="0" applyNumberFormat="1" applyFont="1" applyFill="1" applyBorder="1" applyAlignment="1" applyProtection="1">
      <alignment horizontal="left" vertical="top" wrapText="1"/>
    </xf>
    <xf numFmtId="0" fontId="62" fillId="0" borderId="19" xfId="0" applyFont="1" applyFill="1" applyBorder="1" applyAlignment="1" applyProtection="1">
      <alignment vertical="top" wrapText="1"/>
    </xf>
    <xf numFmtId="4" fontId="155" fillId="0" borderId="19" xfId="868" applyNumberFormat="1" applyFont="1" applyFill="1" applyBorder="1" applyAlignment="1" applyProtection="1">
      <alignment vertical="top" wrapText="1"/>
    </xf>
    <xf numFmtId="4" fontId="155" fillId="0" borderId="19" xfId="0" applyNumberFormat="1" applyFont="1" applyFill="1" applyBorder="1" applyAlignment="1" applyProtection="1">
      <alignment horizontal="center" vertical="top"/>
    </xf>
    <xf numFmtId="194" fontId="9" fillId="0" borderId="19" xfId="0" applyNumberFormat="1" applyFont="1" applyFill="1" applyBorder="1" applyAlignment="1" applyProtection="1">
      <alignment horizontal="right" vertical="top"/>
    </xf>
    <xf numFmtId="0" fontId="72" fillId="0" borderId="19" xfId="0" applyNumberFormat="1" applyFont="1" applyFill="1" applyBorder="1" applyAlignment="1" applyProtection="1">
      <alignment horizontal="left" vertical="top" wrapText="1"/>
    </xf>
    <xf numFmtId="2" fontId="10" fillId="0" borderId="19" xfId="0" applyNumberFormat="1" applyFont="1" applyFill="1" applyBorder="1" applyAlignment="1" applyProtection="1">
      <alignment horizontal="right" vertical="top"/>
    </xf>
    <xf numFmtId="0" fontId="72" fillId="0" borderId="19" xfId="0" applyFont="1" applyFill="1" applyBorder="1" applyAlignment="1" applyProtection="1">
      <alignment vertical="top"/>
    </xf>
    <xf numFmtId="0" fontId="9" fillId="0" borderId="19" xfId="0" applyFont="1" applyFill="1" applyBorder="1" applyAlignment="1" applyProtection="1">
      <alignment horizontal="right" vertical="top"/>
    </xf>
    <xf numFmtId="2" fontId="10" fillId="0" borderId="206" xfId="0" applyNumberFormat="1" applyFont="1" applyFill="1" applyBorder="1" applyAlignment="1" applyProtection="1">
      <alignment horizontal="right" vertical="top"/>
    </xf>
    <xf numFmtId="0" fontId="62" fillId="0" borderId="206" xfId="0" applyFont="1" applyFill="1" applyBorder="1" applyAlignment="1" applyProtection="1">
      <alignment vertical="top" wrapText="1"/>
    </xf>
    <xf numFmtId="4" fontId="9" fillId="0" borderId="206" xfId="868" applyNumberFormat="1" applyFont="1" applyFill="1" applyBorder="1" applyAlignment="1" applyProtection="1">
      <alignment vertical="top" wrapText="1"/>
    </xf>
    <xf numFmtId="4" fontId="9" fillId="0" borderId="206" xfId="0" applyNumberFormat="1" applyFont="1" applyFill="1" applyBorder="1" applyAlignment="1" applyProtection="1">
      <alignment horizontal="center" vertical="top"/>
    </xf>
    <xf numFmtId="4" fontId="9" fillId="0" borderId="206" xfId="0" applyNumberFormat="1" applyFont="1" applyFill="1" applyBorder="1" applyAlignment="1" applyProtection="1">
      <alignment vertical="top"/>
    </xf>
    <xf numFmtId="194" fontId="9" fillId="0" borderId="25" xfId="0" applyNumberFormat="1" applyFont="1" applyFill="1" applyBorder="1" applyAlignment="1" applyProtection="1">
      <alignment horizontal="right" vertical="top"/>
    </xf>
    <xf numFmtId="0" fontId="72" fillId="0" borderId="25" xfId="0" applyFont="1" applyFill="1" applyBorder="1" applyAlignment="1" applyProtection="1">
      <alignment vertical="top" wrapText="1"/>
    </xf>
    <xf numFmtId="4" fontId="9" fillId="0" borderId="25" xfId="868" applyNumberFormat="1" applyFont="1" applyFill="1" applyBorder="1" applyAlignment="1" applyProtection="1">
      <alignment vertical="top" wrapText="1"/>
    </xf>
    <xf numFmtId="4" fontId="9" fillId="0" borderId="25" xfId="0" applyNumberFormat="1" applyFont="1" applyFill="1" applyBorder="1" applyAlignment="1" applyProtection="1">
      <alignment horizontal="center" vertical="top"/>
    </xf>
    <xf numFmtId="0" fontId="72" fillId="0" borderId="19" xfId="1744" applyFont="1" applyFill="1" applyBorder="1" applyAlignment="1" applyProtection="1">
      <alignment horizontal="left" vertical="top" wrapText="1"/>
    </xf>
    <xf numFmtId="0" fontId="72" fillId="0" borderId="19" xfId="0" quotePrefix="1" applyFont="1" applyFill="1" applyBorder="1" applyAlignment="1" applyProtection="1">
      <alignment horizontal="left" vertical="top" wrapText="1"/>
    </xf>
    <xf numFmtId="0" fontId="72" fillId="0" borderId="19" xfId="0" applyFont="1" applyFill="1" applyBorder="1" applyAlignment="1" applyProtection="1">
      <alignment horizontal="left" vertical="top" wrapText="1"/>
    </xf>
    <xf numFmtId="0" fontId="72" fillId="70" borderId="19" xfId="0" applyFont="1" applyFill="1" applyBorder="1" applyAlignment="1" applyProtection="1">
      <alignment horizontal="justify" vertical="top" wrapText="1"/>
    </xf>
    <xf numFmtId="0" fontId="9" fillId="70" borderId="19" xfId="0" applyFont="1" applyFill="1" applyBorder="1" applyAlignment="1" applyProtection="1">
      <alignment horizontal="right" vertical="top" wrapText="1"/>
    </xf>
    <xf numFmtId="0" fontId="9" fillId="70" borderId="206" xfId="0" applyFont="1" applyFill="1" applyBorder="1" applyAlignment="1" applyProtection="1">
      <alignment horizontal="right" vertical="top" wrapText="1"/>
    </xf>
    <xf numFmtId="0" fontId="72" fillId="70" borderId="206" xfId="0" applyFont="1" applyFill="1" applyBorder="1" applyAlignment="1" applyProtection="1">
      <alignment vertical="top"/>
    </xf>
    <xf numFmtId="4" fontId="9" fillId="70" borderId="206" xfId="868" applyNumberFormat="1" applyFont="1" applyFill="1" applyBorder="1" applyAlignment="1" applyProtection="1">
      <alignment horizontal="right" vertical="top" wrapText="1"/>
    </xf>
    <xf numFmtId="4" fontId="9" fillId="70" borderId="206" xfId="0" applyNumberFormat="1" applyFont="1" applyFill="1" applyBorder="1" applyAlignment="1" applyProtection="1">
      <alignment horizontal="center" vertical="top"/>
    </xf>
    <xf numFmtId="0" fontId="10" fillId="70" borderId="19" xfId="0" applyFont="1" applyFill="1" applyBorder="1" applyAlignment="1" applyProtection="1">
      <alignment horizontal="right" vertical="top" wrapText="1"/>
    </xf>
    <xf numFmtId="4" fontId="10" fillId="0" borderId="19" xfId="868" applyNumberFormat="1" applyFont="1" applyFill="1" applyBorder="1" applyAlignment="1" applyProtection="1">
      <alignment vertical="top" wrapText="1"/>
    </xf>
    <xf numFmtId="4" fontId="10" fillId="0" borderId="19" xfId="0" applyNumberFormat="1" applyFont="1" applyFill="1" applyBorder="1" applyAlignment="1" applyProtection="1">
      <alignment horizontal="center" vertical="top"/>
    </xf>
    <xf numFmtId="4" fontId="10" fillId="0" borderId="19" xfId="0" applyNumberFormat="1" applyFont="1" applyFill="1" applyBorder="1" applyAlignment="1" applyProtection="1">
      <alignment vertical="top"/>
    </xf>
    <xf numFmtId="4" fontId="9" fillId="70" borderId="19" xfId="868" applyNumberFormat="1" applyFont="1" applyFill="1" applyBorder="1" applyAlignment="1" applyProtection="1">
      <alignment vertical="top" wrapText="1"/>
    </xf>
    <xf numFmtId="49" fontId="72" fillId="70" borderId="19" xfId="0" applyNumberFormat="1" applyFont="1" applyFill="1" applyBorder="1" applyAlignment="1" applyProtection="1">
      <alignment horizontal="justify" vertical="top" wrapText="1"/>
    </xf>
    <xf numFmtId="1" fontId="10" fillId="70" borderId="19" xfId="0" applyNumberFormat="1" applyFont="1" applyFill="1" applyBorder="1" applyAlignment="1" applyProtection="1">
      <alignment horizontal="right" vertical="top"/>
    </xf>
    <xf numFmtId="194" fontId="10" fillId="70" borderId="19" xfId="0" applyNumberFormat="1" applyFont="1" applyFill="1" applyBorder="1" applyAlignment="1" applyProtection="1">
      <alignment horizontal="right" vertical="top"/>
    </xf>
    <xf numFmtId="2" fontId="9" fillId="70" borderId="206" xfId="0" applyNumberFormat="1" applyFont="1" applyFill="1" applyBorder="1" applyAlignment="1" applyProtection="1">
      <alignment horizontal="right" vertical="top"/>
    </xf>
    <xf numFmtId="0" fontId="72" fillId="0" borderId="206" xfId="0" applyFont="1" applyBorder="1" applyAlignment="1" applyProtection="1">
      <alignment horizontal="justify" vertical="top" wrapText="1"/>
    </xf>
    <xf numFmtId="4" fontId="9" fillId="70" borderId="206" xfId="868" applyNumberFormat="1" applyFont="1" applyFill="1" applyBorder="1" applyAlignment="1" applyProtection="1">
      <alignment vertical="top" wrapText="1"/>
    </xf>
    <xf numFmtId="0" fontId="72" fillId="83" borderId="19" xfId="0" applyFont="1" applyFill="1" applyBorder="1" applyAlignment="1" applyProtection="1">
      <alignment vertical="top"/>
    </xf>
    <xf numFmtId="194" fontId="9" fillId="0" borderId="206" xfId="0" applyNumberFormat="1" applyFont="1" applyFill="1" applyBorder="1" applyAlignment="1" applyProtection="1">
      <alignment horizontal="right" vertical="top"/>
    </xf>
    <xf numFmtId="0" fontId="72" fillId="0" borderId="206" xfId="0" applyFont="1" applyFill="1" applyBorder="1" applyAlignment="1" applyProtection="1">
      <alignment vertical="top" wrapText="1"/>
    </xf>
    <xf numFmtId="4" fontId="9" fillId="70" borderId="19" xfId="808" applyNumberFormat="1" applyFont="1" applyFill="1" applyBorder="1" applyAlignment="1" applyProtection="1">
      <alignment vertical="top"/>
    </xf>
    <xf numFmtId="4" fontId="9" fillId="82" borderId="204" xfId="0" applyNumberFormat="1" applyFont="1" applyFill="1" applyBorder="1" applyAlignment="1" applyProtection="1">
      <alignment horizontal="center" vertical="top"/>
    </xf>
    <xf numFmtId="39" fontId="72" fillId="0" borderId="19" xfId="1047" applyNumberFormat="1" applyFont="1" applyFill="1" applyBorder="1" applyAlignment="1" applyProtection="1">
      <alignment vertical="top" wrapText="1"/>
    </xf>
    <xf numFmtId="4" fontId="9" fillId="0" borderId="19" xfId="1047" applyNumberFormat="1" applyFont="1" applyFill="1" applyBorder="1" applyAlignment="1" applyProtection="1">
      <alignment horizontal="center" vertical="top" wrapText="1"/>
    </xf>
    <xf numFmtId="2" fontId="10" fillId="70" borderId="19" xfId="0" applyNumberFormat="1" applyFont="1" applyFill="1" applyBorder="1" applyAlignment="1" applyProtection="1">
      <alignment horizontal="center" vertical="top"/>
    </xf>
    <xf numFmtId="39" fontId="72" fillId="0" borderId="19" xfId="0" applyNumberFormat="1" applyFont="1" applyFill="1" applyBorder="1" applyAlignment="1" applyProtection="1">
      <alignment horizontal="left" vertical="top" wrapText="1"/>
    </xf>
    <xf numFmtId="194" fontId="9" fillId="0" borderId="19" xfId="0" applyNumberFormat="1" applyFont="1" applyBorder="1" applyAlignment="1" applyProtection="1">
      <alignment horizontal="right" vertical="top"/>
    </xf>
    <xf numFmtId="1" fontId="9" fillId="0" borderId="19" xfId="0" applyNumberFormat="1" applyFont="1" applyFill="1" applyBorder="1" applyAlignment="1" applyProtection="1">
      <alignment horizontal="right" vertical="top"/>
    </xf>
    <xf numFmtId="194" fontId="9" fillId="70" borderId="19" xfId="0" applyNumberFormat="1" applyFont="1" applyFill="1" applyBorder="1" applyAlignment="1" applyProtection="1">
      <alignment horizontal="right" vertical="top"/>
    </xf>
    <xf numFmtId="2" fontId="9" fillId="0" borderId="19" xfId="0" applyNumberFormat="1" applyFont="1" applyBorder="1" applyAlignment="1" applyProtection="1">
      <alignment horizontal="right" vertical="top"/>
    </xf>
    <xf numFmtId="4" fontId="9" fillId="70" borderId="19" xfId="808" applyNumberFormat="1" applyFont="1" applyFill="1" applyBorder="1" applyAlignment="1" applyProtection="1">
      <alignment vertical="top" wrapText="1"/>
    </xf>
    <xf numFmtId="4" fontId="9" fillId="70" borderId="19" xfId="1048" applyNumberFormat="1" applyFont="1" applyFill="1" applyBorder="1" applyAlignment="1" applyProtection="1">
      <alignment horizontal="center" vertical="top" wrapText="1"/>
    </xf>
    <xf numFmtId="4" fontId="9" fillId="0" borderId="19" xfId="868" applyNumberFormat="1" applyFont="1" applyFill="1" applyBorder="1" applyAlignment="1" applyProtection="1">
      <alignment horizontal="right" vertical="top" wrapText="1"/>
    </xf>
    <xf numFmtId="0" fontId="62" fillId="0" borderId="19" xfId="0" applyFont="1" applyFill="1" applyBorder="1" applyAlignment="1" applyProtection="1">
      <alignment horizontal="justify" vertical="top" wrapText="1"/>
    </xf>
    <xf numFmtId="0" fontId="183" fillId="0" borderId="19" xfId="0" applyFont="1" applyBorder="1" applyAlignment="1" applyProtection="1">
      <alignment vertical="top"/>
    </xf>
    <xf numFmtId="0" fontId="10" fillId="82" borderId="206" xfId="0" applyFont="1" applyFill="1" applyBorder="1" applyAlignment="1" applyProtection="1">
      <alignment horizontal="center" vertical="top"/>
    </xf>
    <xf numFmtId="4" fontId="10" fillId="82" borderId="206" xfId="0" applyNumberFormat="1" applyFont="1" applyFill="1" applyBorder="1" applyAlignment="1" applyProtection="1">
      <alignment horizontal="center" vertical="top"/>
    </xf>
    <xf numFmtId="1" fontId="10" fillId="70" borderId="19" xfId="1061" applyNumberFormat="1" applyFont="1" applyFill="1" applyBorder="1" applyAlignment="1" applyProtection="1">
      <alignment horizontal="right" vertical="top"/>
    </xf>
    <xf numFmtId="4" fontId="9" fillId="70" borderId="19" xfId="1061" applyNumberFormat="1" applyFont="1" applyFill="1" applyBorder="1" applyAlignment="1" applyProtection="1">
      <alignment vertical="top"/>
    </xf>
    <xf numFmtId="4" fontId="9" fillId="70" borderId="19" xfId="1061" applyNumberFormat="1" applyFont="1" applyFill="1" applyBorder="1" applyAlignment="1" applyProtection="1">
      <alignment horizontal="center" vertical="top"/>
    </xf>
    <xf numFmtId="4" fontId="9" fillId="70" borderId="19" xfId="1061" applyNumberFormat="1" applyFont="1" applyFill="1" applyBorder="1" applyAlignment="1" applyProtection="1">
      <alignment vertical="top" wrapText="1"/>
    </xf>
    <xf numFmtId="0" fontId="10" fillId="48" borderId="19" xfId="1061" applyFont="1" applyFill="1" applyBorder="1" applyAlignment="1" applyProtection="1">
      <alignment vertical="top" wrapText="1"/>
    </xf>
    <xf numFmtId="4" fontId="9" fillId="70" borderId="19" xfId="743" applyNumberFormat="1" applyFont="1" applyFill="1" applyBorder="1" applyAlignment="1" applyProtection="1">
      <alignment horizontal="center" vertical="top"/>
    </xf>
    <xf numFmtId="2" fontId="10" fillId="70" borderId="19" xfId="0" applyNumberFormat="1" applyFont="1" applyFill="1" applyBorder="1" applyAlignment="1" applyProtection="1">
      <alignment horizontal="right" vertical="top"/>
    </xf>
    <xf numFmtId="39" fontId="72" fillId="0" borderId="19" xfId="0" applyNumberFormat="1" applyFont="1" applyFill="1" applyBorder="1" applyAlignment="1" applyProtection="1">
      <alignment vertical="top" wrapText="1"/>
    </xf>
    <xf numFmtId="4" fontId="10" fillId="70" borderId="19" xfId="868" applyNumberFormat="1" applyFont="1" applyFill="1" applyBorder="1" applyAlignment="1" applyProtection="1">
      <alignment vertical="top" wrapText="1"/>
    </xf>
    <xf numFmtId="4" fontId="10" fillId="70" borderId="19" xfId="0" applyNumberFormat="1" applyFont="1" applyFill="1" applyBorder="1" applyAlignment="1" applyProtection="1">
      <alignment horizontal="center" vertical="top"/>
    </xf>
    <xf numFmtId="0" fontId="10" fillId="82" borderId="205" xfId="0" applyFont="1" applyFill="1" applyBorder="1" applyAlignment="1" applyProtection="1">
      <alignment vertical="top"/>
    </xf>
    <xf numFmtId="0" fontId="10" fillId="82" borderId="205" xfId="0" applyFont="1" applyFill="1" applyBorder="1" applyAlignment="1" applyProtection="1">
      <alignment horizontal="center" vertical="top"/>
    </xf>
    <xf numFmtId="4" fontId="10" fillId="82" borderId="205" xfId="0" applyNumberFormat="1" applyFont="1" applyFill="1" applyBorder="1" applyAlignment="1" applyProtection="1">
      <alignment vertical="top"/>
    </xf>
    <xf numFmtId="0" fontId="72" fillId="0" borderId="19" xfId="0" applyFont="1" applyBorder="1" applyAlignment="1" applyProtection="1">
      <alignment vertical="top"/>
    </xf>
    <xf numFmtId="0" fontId="10" fillId="82" borderId="25" xfId="0" applyFont="1" applyFill="1" applyBorder="1" applyAlignment="1" applyProtection="1">
      <alignment vertical="top"/>
    </xf>
    <xf numFmtId="0" fontId="62" fillId="82" borderId="25" xfId="0" applyFont="1" applyFill="1" applyBorder="1" applyAlignment="1" applyProtection="1">
      <alignment horizontal="center" vertical="top"/>
    </xf>
    <xf numFmtId="4" fontId="10" fillId="82" borderId="25" xfId="0" applyNumberFormat="1" applyFont="1" applyFill="1" applyBorder="1" applyAlignment="1" applyProtection="1">
      <alignment vertical="top"/>
    </xf>
    <xf numFmtId="4" fontId="9" fillId="0" borderId="19" xfId="1744" applyNumberFormat="1" applyFont="1" applyFill="1" applyBorder="1" applyAlignment="1" applyProtection="1">
      <alignment vertical="top"/>
    </xf>
    <xf numFmtId="0" fontId="72" fillId="70" borderId="25" xfId="0" applyFont="1" applyFill="1" applyBorder="1" applyAlignment="1" applyProtection="1">
      <alignment vertical="top" wrapText="1"/>
    </xf>
    <xf numFmtId="0" fontId="10" fillId="82" borderId="200" xfId="0" applyFont="1" applyFill="1" applyBorder="1" applyAlignment="1" applyProtection="1">
      <alignment horizontal="center" vertical="top"/>
    </xf>
    <xf numFmtId="4" fontId="10" fillId="82" borderId="200" xfId="0" applyNumberFormat="1" applyFont="1" applyFill="1" applyBorder="1" applyAlignment="1" applyProtection="1">
      <alignment vertical="top"/>
    </xf>
    <xf numFmtId="0" fontId="10" fillId="0" borderId="19" xfId="0" applyFont="1" applyFill="1" applyBorder="1" applyAlignment="1" applyProtection="1">
      <alignment horizontal="justify" vertical="top" wrapText="1"/>
    </xf>
    <xf numFmtId="1" fontId="10" fillId="0" borderId="204" xfId="0" applyNumberFormat="1" applyFont="1" applyFill="1" applyBorder="1" applyAlignment="1" applyProtection="1">
      <alignment horizontal="right" vertical="top"/>
    </xf>
    <xf numFmtId="0" fontId="72" fillId="0" borderId="204" xfId="0" applyFont="1" applyFill="1" applyBorder="1" applyAlignment="1" applyProtection="1">
      <alignment horizontal="left" vertical="top" wrapText="1"/>
    </xf>
    <xf numFmtId="4" fontId="9" fillId="0" borderId="204" xfId="868" applyNumberFormat="1" applyFont="1" applyFill="1" applyBorder="1" applyAlignment="1" applyProtection="1">
      <alignment vertical="top" wrapText="1"/>
    </xf>
    <xf numFmtId="4" fontId="9" fillId="0" borderId="204" xfId="0" applyNumberFormat="1" applyFont="1" applyFill="1" applyBorder="1" applyAlignment="1" applyProtection="1">
      <alignment horizontal="center" vertical="top"/>
    </xf>
    <xf numFmtId="2" fontId="9" fillId="0" borderId="25" xfId="0" applyNumberFormat="1" applyFont="1" applyFill="1" applyBorder="1" applyAlignment="1" applyProtection="1">
      <alignment horizontal="right" vertical="top"/>
    </xf>
    <xf numFmtId="0" fontId="72" fillId="0" borderId="19" xfId="0" applyFont="1" applyFill="1" applyBorder="1" applyAlignment="1" applyProtection="1">
      <alignment horizontal="justify" vertical="top" wrapText="1"/>
    </xf>
    <xf numFmtId="0" fontId="62" fillId="82" borderId="205" xfId="0" applyFont="1" applyFill="1" applyBorder="1" applyAlignment="1" applyProtection="1">
      <alignment horizontal="center" vertical="top"/>
    </xf>
    <xf numFmtId="0" fontId="9" fillId="0" borderId="25" xfId="0" applyFont="1" applyFill="1" applyBorder="1" applyAlignment="1" applyProtection="1">
      <alignment horizontal="justify" vertical="top" wrapText="1"/>
    </xf>
    <xf numFmtId="4" fontId="9" fillId="0" borderId="25" xfId="868" applyNumberFormat="1" applyFont="1" applyFill="1" applyBorder="1" applyAlignment="1" applyProtection="1">
      <alignment horizontal="right" vertical="top" wrapText="1"/>
    </xf>
    <xf numFmtId="0" fontId="10" fillId="0" borderId="19" xfId="1746" applyFont="1" applyFill="1" applyBorder="1" applyAlignment="1" applyProtection="1">
      <alignment vertical="top"/>
    </xf>
    <xf numFmtId="0" fontId="9" fillId="0" borderId="19" xfId="1746" applyFont="1" applyFill="1" applyBorder="1" applyAlignment="1" applyProtection="1">
      <alignment vertical="top"/>
    </xf>
    <xf numFmtId="0" fontId="72" fillId="0" borderId="19" xfId="1746" applyFont="1" applyFill="1" applyBorder="1" applyAlignment="1" applyProtection="1">
      <alignment horizontal="left" vertical="top" wrapText="1"/>
    </xf>
    <xf numFmtId="0" fontId="72" fillId="0" borderId="19" xfId="1746" applyFont="1" applyFill="1" applyBorder="1" applyAlignment="1" applyProtection="1">
      <alignment vertical="top" wrapText="1"/>
    </xf>
    <xf numFmtId="0" fontId="10" fillId="0" borderId="19" xfId="1744" applyFont="1" applyFill="1" applyBorder="1" applyAlignment="1" applyProtection="1">
      <alignment vertical="top"/>
    </xf>
    <xf numFmtId="0" fontId="9" fillId="0" borderId="19" xfId="1744" applyFont="1" applyFill="1" applyBorder="1" applyAlignment="1" applyProtection="1">
      <alignment vertical="top"/>
    </xf>
    <xf numFmtId="0" fontId="72" fillId="0" borderId="19" xfId="1744" applyFont="1" applyFill="1" applyBorder="1" applyAlignment="1" applyProtection="1">
      <alignment horizontal="left" vertical="top"/>
    </xf>
    <xf numFmtId="2" fontId="9" fillId="0" borderId="19" xfId="1744" applyNumberFormat="1" applyFont="1" applyFill="1" applyBorder="1" applyAlignment="1" applyProtection="1">
      <alignment vertical="top"/>
    </xf>
    <xf numFmtId="1" fontId="9" fillId="0" borderId="19" xfId="1744" applyNumberFormat="1" applyFont="1" applyFill="1" applyBorder="1" applyAlignment="1" applyProtection="1">
      <alignment vertical="top"/>
    </xf>
    <xf numFmtId="0" fontId="72" fillId="0" borderId="19" xfId="1744" applyFont="1" applyFill="1" applyBorder="1" applyAlignment="1" applyProtection="1">
      <alignment vertical="top"/>
    </xf>
    <xf numFmtId="0" fontId="72" fillId="70" borderId="19" xfId="1744" applyFont="1" applyFill="1" applyBorder="1" applyAlignment="1" applyProtection="1">
      <alignment vertical="top" wrapText="1"/>
    </xf>
    <xf numFmtId="0" fontId="9" fillId="0" borderId="19" xfId="1744" applyFont="1" applyFill="1" applyBorder="1" applyAlignment="1" applyProtection="1">
      <alignment horizontal="right" vertical="top"/>
    </xf>
    <xf numFmtId="0" fontId="72" fillId="0" borderId="19" xfId="1744" applyFont="1" applyFill="1" applyBorder="1" applyAlignment="1" applyProtection="1">
      <alignment vertical="top" wrapText="1"/>
    </xf>
    <xf numFmtId="0" fontId="9" fillId="0" borderId="25" xfId="1744" applyFont="1" applyFill="1" applyBorder="1" applyAlignment="1" applyProtection="1">
      <alignment horizontal="right" vertical="top"/>
    </xf>
    <xf numFmtId="0" fontId="72" fillId="0" borderId="25" xfId="1744" applyFont="1" applyFill="1" applyBorder="1" applyAlignment="1" applyProtection="1">
      <alignment vertical="top" wrapText="1"/>
    </xf>
    <xf numFmtId="4" fontId="9" fillId="0" borderId="25" xfId="1744" applyNumberFormat="1" applyFont="1" applyFill="1" applyBorder="1" applyAlignment="1" applyProtection="1">
      <alignment vertical="top"/>
    </xf>
    <xf numFmtId="0" fontId="10" fillId="48" borderId="19" xfId="1269" applyNumberFormat="1" applyFont="1" applyFill="1" applyBorder="1" applyAlignment="1" applyProtection="1">
      <alignment horizontal="center" vertical="top" wrapText="1"/>
    </xf>
    <xf numFmtId="4" fontId="9" fillId="48" borderId="19" xfId="1269" applyNumberFormat="1" applyFont="1" applyFill="1" applyBorder="1" applyAlignment="1" applyProtection="1">
      <alignment horizontal="right" vertical="top"/>
    </xf>
    <xf numFmtId="4" fontId="9" fillId="48" borderId="19" xfId="1269" applyNumberFormat="1" applyFont="1" applyFill="1" applyBorder="1" applyAlignment="1" applyProtection="1">
      <alignment horizontal="center" vertical="top" wrapText="1"/>
    </xf>
    <xf numFmtId="0" fontId="62" fillId="48" borderId="19" xfId="1269" applyNumberFormat="1" applyFont="1" applyFill="1" applyBorder="1" applyAlignment="1" applyProtection="1">
      <alignment horizontal="left" vertical="top" wrapText="1"/>
    </xf>
    <xf numFmtId="0" fontId="10" fillId="48" borderId="19" xfId="1269" applyNumberFormat="1" applyFont="1" applyFill="1" applyBorder="1" applyAlignment="1" applyProtection="1">
      <alignment horizontal="right" vertical="top" wrapText="1"/>
    </xf>
    <xf numFmtId="0" fontId="10" fillId="48" borderId="19" xfId="1269" applyNumberFormat="1" applyFont="1" applyFill="1" applyBorder="1" applyAlignment="1" applyProtection="1">
      <alignment horizontal="left" vertical="top" wrapText="1"/>
    </xf>
    <xf numFmtId="0" fontId="9" fillId="48" borderId="19" xfId="1269" applyNumberFormat="1" applyFont="1" applyFill="1" applyBorder="1" applyAlignment="1" applyProtection="1">
      <alignment horizontal="right" vertical="top" wrapText="1"/>
    </xf>
    <xf numFmtId="4" fontId="9" fillId="48" borderId="19" xfId="0" applyNumberFormat="1" applyFont="1" applyFill="1" applyBorder="1" applyAlignment="1" applyProtection="1">
      <alignment vertical="top"/>
    </xf>
    <xf numFmtId="4" fontId="9" fillId="48" borderId="19" xfId="0" applyNumberFormat="1" applyFont="1" applyFill="1" applyBorder="1" applyAlignment="1" applyProtection="1">
      <alignment horizontal="center" vertical="top"/>
    </xf>
    <xf numFmtId="0" fontId="72" fillId="48" borderId="19" xfId="0" applyFont="1" applyFill="1" applyBorder="1" applyAlignment="1" applyProtection="1">
      <alignment vertical="top" wrapText="1"/>
    </xf>
    <xf numFmtId="0" fontId="62" fillId="48" borderId="19" xfId="0" applyFont="1" applyFill="1" applyBorder="1" applyAlignment="1" applyProtection="1">
      <alignment vertical="top" wrapText="1"/>
    </xf>
    <xf numFmtId="4" fontId="9" fillId="70" borderId="19" xfId="1051" applyNumberFormat="1" applyFont="1" applyFill="1" applyBorder="1" applyAlignment="1" applyProtection="1">
      <alignment horizontal="center" vertical="top" wrapText="1"/>
    </xf>
    <xf numFmtId="2" fontId="10" fillId="65" borderId="205" xfId="0" applyNumberFormat="1" applyFont="1" applyFill="1" applyBorder="1" applyAlignment="1" applyProtection="1">
      <alignment horizontal="right" vertical="top"/>
    </xf>
    <xf numFmtId="0" fontId="10" fillId="65" borderId="205" xfId="0" applyFont="1" applyFill="1" applyBorder="1" applyAlignment="1" applyProtection="1">
      <alignment horizontal="center" vertical="top" wrapText="1"/>
    </xf>
    <xf numFmtId="0" fontId="10" fillId="65" borderId="205" xfId="0" applyFont="1" applyFill="1" applyBorder="1" applyAlignment="1" applyProtection="1">
      <alignment vertical="top"/>
    </xf>
    <xf numFmtId="0" fontId="10" fillId="65" borderId="205" xfId="0" applyFont="1" applyFill="1" applyBorder="1" applyAlignment="1" applyProtection="1">
      <alignment horizontal="center" vertical="top"/>
    </xf>
    <xf numFmtId="0" fontId="9" fillId="82" borderId="205" xfId="0" applyFont="1" applyFill="1" applyBorder="1" applyAlignment="1" applyProtection="1">
      <alignment vertical="top"/>
    </xf>
    <xf numFmtId="4" fontId="9" fillId="82" borderId="205" xfId="0" applyNumberFormat="1" applyFont="1" applyFill="1" applyBorder="1" applyAlignment="1" applyProtection="1">
      <alignment vertical="top"/>
    </xf>
    <xf numFmtId="0" fontId="9" fillId="82" borderId="205" xfId="0" applyFont="1" applyFill="1" applyBorder="1" applyAlignment="1" applyProtection="1">
      <alignment horizontal="center" vertical="top"/>
    </xf>
    <xf numFmtId="0" fontId="72" fillId="70" borderId="25" xfId="0" applyFont="1" applyFill="1" applyBorder="1" applyAlignment="1" applyProtection="1">
      <alignment vertical="top"/>
    </xf>
    <xf numFmtId="4" fontId="72" fillId="70" borderId="19" xfId="0" applyNumberFormat="1" applyFont="1" applyFill="1" applyBorder="1" applyAlignment="1" applyProtection="1">
      <alignment vertical="top"/>
    </xf>
    <xf numFmtId="4" fontId="9" fillId="70" borderId="19" xfId="924" applyNumberFormat="1" applyFont="1" applyFill="1" applyBorder="1" applyAlignment="1" applyProtection="1">
      <alignment vertical="top"/>
    </xf>
    <xf numFmtId="0" fontId="9" fillId="70" borderId="19" xfId="1742" applyFont="1" applyFill="1" applyBorder="1" applyAlignment="1" applyProtection="1">
      <alignment horizontal="center" vertical="top"/>
    </xf>
    <xf numFmtId="4" fontId="72" fillId="70" borderId="19" xfId="0" applyNumberFormat="1" applyFont="1" applyFill="1" applyBorder="1" applyAlignment="1" applyProtection="1">
      <alignment vertical="top" wrapText="1"/>
    </xf>
    <xf numFmtId="173" fontId="9" fillId="70" borderId="19" xfId="924" applyFont="1" applyFill="1" applyBorder="1" applyAlignment="1" applyProtection="1">
      <alignment vertical="top"/>
    </xf>
    <xf numFmtId="0" fontId="62" fillId="70" borderId="19" xfId="0" applyFont="1" applyFill="1" applyBorder="1" applyAlignment="1" applyProtection="1">
      <alignment horizontal="justify" vertical="top" wrapText="1"/>
    </xf>
    <xf numFmtId="0" fontId="9" fillId="0" borderId="19" xfId="0" applyFont="1" applyBorder="1" applyAlignment="1" applyProtection="1">
      <alignment vertical="top"/>
    </xf>
    <xf numFmtId="191" fontId="9" fillId="48" borderId="19" xfId="0" applyNumberFormat="1" applyFont="1" applyFill="1" applyBorder="1" applyAlignment="1" applyProtection="1">
      <alignment horizontal="center" vertical="top"/>
    </xf>
    <xf numFmtId="43" fontId="9" fillId="70" borderId="19" xfId="699" applyFont="1" applyFill="1" applyBorder="1" applyAlignment="1" applyProtection="1">
      <alignment horizontal="center" vertical="top"/>
    </xf>
    <xf numFmtId="0" fontId="9" fillId="65" borderId="205" xfId="0" applyFont="1" applyFill="1" applyBorder="1" applyAlignment="1" applyProtection="1">
      <alignment vertical="top"/>
    </xf>
    <xf numFmtId="4" fontId="9" fillId="65" borderId="205" xfId="0" applyNumberFormat="1" applyFont="1" applyFill="1" applyBorder="1" applyAlignment="1" applyProtection="1">
      <alignment vertical="top"/>
    </xf>
    <xf numFmtId="2" fontId="72" fillId="70" borderId="19" xfId="0" applyNumberFormat="1" applyFont="1" applyFill="1" applyBorder="1" applyAlignment="1" applyProtection="1">
      <alignment vertical="top"/>
    </xf>
    <xf numFmtId="0" fontId="9" fillId="82" borderId="25" xfId="0" applyFont="1" applyFill="1" applyBorder="1" applyAlignment="1" applyProtection="1">
      <alignment vertical="top"/>
    </xf>
    <xf numFmtId="0" fontId="10" fillId="82" borderId="25" xfId="0" applyFont="1" applyFill="1" applyBorder="1" applyAlignment="1" applyProtection="1">
      <alignment horizontal="center" vertical="top"/>
    </xf>
    <xf numFmtId="4" fontId="9" fillId="82" borderId="25" xfId="0" applyNumberFormat="1" applyFont="1" applyFill="1" applyBorder="1" applyAlignment="1" applyProtection="1">
      <alignment vertical="top"/>
    </xf>
    <xf numFmtId="0" fontId="72" fillId="0" borderId="19" xfId="0" applyNumberFormat="1" applyFont="1" applyFill="1" applyBorder="1" applyAlignment="1" applyProtection="1">
      <alignment horizontal="justify" vertical="top" wrapText="1"/>
    </xf>
    <xf numFmtId="2" fontId="10" fillId="65" borderId="204" xfId="0" applyNumberFormat="1" applyFont="1" applyFill="1" applyBorder="1" applyAlignment="1" applyProtection="1">
      <alignment horizontal="right" vertical="top"/>
    </xf>
    <xf numFmtId="0" fontId="10" fillId="65" borderId="204" xfId="0" applyFont="1" applyFill="1" applyBorder="1" applyAlignment="1" applyProtection="1">
      <alignment horizontal="center" vertical="top" wrapText="1"/>
    </xf>
    <xf numFmtId="0" fontId="10" fillId="65" borderId="204" xfId="0" applyFont="1" applyFill="1" applyBorder="1" applyAlignment="1" applyProtection="1">
      <alignment vertical="top"/>
    </xf>
    <xf numFmtId="0" fontId="10" fillId="65" borderId="204" xfId="0" applyFont="1" applyFill="1" applyBorder="1" applyAlignment="1" applyProtection="1">
      <alignment horizontal="center" vertical="top"/>
    </xf>
    <xf numFmtId="2" fontId="10" fillId="65" borderId="25" xfId="0" applyNumberFormat="1" applyFont="1" applyFill="1" applyBorder="1" applyAlignment="1" applyProtection="1">
      <alignment horizontal="right" vertical="top"/>
    </xf>
    <xf numFmtId="0" fontId="10" fillId="65" borderId="25" xfId="0" applyFont="1" applyFill="1" applyBorder="1" applyAlignment="1" applyProtection="1">
      <alignment vertical="top"/>
    </xf>
    <xf numFmtId="0" fontId="10" fillId="65" borderId="25" xfId="0" applyFont="1" applyFill="1" applyBorder="1" applyAlignment="1" applyProtection="1">
      <alignment horizontal="center" vertical="top"/>
    </xf>
    <xf numFmtId="0" fontId="9" fillId="0" borderId="19" xfId="0" applyFont="1" applyFill="1" applyBorder="1" applyAlignment="1" applyProtection="1">
      <alignment horizontal="center" vertical="top"/>
    </xf>
    <xf numFmtId="0" fontId="72" fillId="0" borderId="19" xfId="0" applyFont="1" applyFill="1" applyBorder="1" applyAlignment="1" applyProtection="1">
      <alignment horizontal="right" vertical="top" wrapText="1"/>
    </xf>
    <xf numFmtId="10" fontId="9" fillId="0" borderId="19" xfId="1334" applyNumberFormat="1" applyFont="1" applyFill="1" applyBorder="1" applyAlignment="1" applyProtection="1">
      <alignment vertical="top"/>
    </xf>
    <xf numFmtId="0" fontId="72" fillId="83" borderId="19" xfId="0" applyFont="1" applyFill="1" applyBorder="1" applyAlignment="1" applyProtection="1">
      <alignment horizontal="right" vertical="top" wrapText="1"/>
    </xf>
    <xf numFmtId="2" fontId="9" fillId="83" borderId="19" xfId="0" applyNumberFormat="1" applyFont="1" applyFill="1" applyBorder="1" applyAlignment="1" applyProtection="1">
      <alignment horizontal="right" vertical="top" wrapText="1"/>
    </xf>
    <xf numFmtId="0" fontId="62" fillId="0" borderId="19" xfId="0" applyFont="1" applyFill="1" applyBorder="1" applyAlignment="1" applyProtection="1">
      <alignment horizontal="right" vertical="top" wrapText="1"/>
    </xf>
    <xf numFmtId="0" fontId="10" fillId="0" borderId="19" xfId="0" applyFont="1" applyFill="1" applyBorder="1" applyAlignment="1" applyProtection="1">
      <alignment horizontal="center" vertical="top"/>
    </xf>
    <xf numFmtId="2" fontId="9" fillId="69" borderId="102" xfId="0" applyNumberFormat="1" applyFont="1" applyFill="1" applyBorder="1" applyAlignment="1" applyProtection="1">
      <alignment horizontal="right" vertical="top"/>
    </xf>
    <xf numFmtId="0" fontId="10" fillId="69" borderId="102" xfId="0" applyFont="1" applyFill="1" applyBorder="1" applyAlignment="1" applyProtection="1">
      <alignment horizontal="right" vertical="top" wrapText="1"/>
    </xf>
    <xf numFmtId="0" fontId="9" fillId="69" borderId="102" xfId="0" applyFont="1" applyFill="1" applyBorder="1" applyAlignment="1" applyProtection="1">
      <alignment vertical="top"/>
    </xf>
    <xf numFmtId="0" fontId="9" fillId="69" borderId="102" xfId="0" applyFont="1" applyFill="1" applyBorder="1" applyAlignment="1" applyProtection="1">
      <alignment horizontal="center" vertical="top"/>
    </xf>
    <xf numFmtId="2" fontId="9" fillId="69" borderId="25" xfId="0" applyNumberFormat="1" applyFont="1" applyFill="1" applyBorder="1" applyAlignment="1" applyProtection="1">
      <alignment horizontal="right" vertical="top"/>
    </xf>
    <xf numFmtId="0" fontId="10" fillId="69" borderId="25" xfId="0" applyFont="1" applyFill="1" applyBorder="1" applyAlignment="1" applyProtection="1">
      <alignment horizontal="right" vertical="top" wrapText="1"/>
    </xf>
    <xf numFmtId="0" fontId="9" fillId="69" borderId="25" xfId="0" applyFont="1" applyFill="1" applyBorder="1" applyAlignment="1" applyProtection="1">
      <alignment vertical="top"/>
    </xf>
    <xf numFmtId="0" fontId="9" fillId="69" borderId="25" xfId="0" applyFont="1" applyFill="1" applyBorder="1" applyAlignment="1" applyProtection="1">
      <alignment horizontal="center" vertical="top"/>
    </xf>
    <xf numFmtId="2" fontId="9" fillId="0" borderId="0" xfId="0" applyNumberFormat="1" applyFont="1" applyFill="1" applyAlignment="1" applyProtection="1">
      <alignment horizontal="right" vertical="top"/>
    </xf>
    <xf numFmtId="0" fontId="9" fillId="0" borderId="0" xfId="0" applyFont="1" applyFill="1" applyAlignment="1" applyProtection="1">
      <alignment vertical="top" wrapText="1"/>
    </xf>
    <xf numFmtId="0" fontId="9"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4" fontId="9" fillId="0" borderId="0" xfId="0" applyNumberFormat="1" applyFont="1" applyFill="1" applyBorder="1" applyAlignment="1" applyProtection="1">
      <alignment vertical="top"/>
    </xf>
    <xf numFmtId="0" fontId="10" fillId="65" borderId="149" xfId="0" applyFont="1" applyFill="1" applyBorder="1" applyAlignment="1" applyProtection="1">
      <alignment horizontal="center" vertical="top"/>
      <protection locked="0"/>
    </xf>
    <xf numFmtId="4" fontId="10" fillId="65" borderId="149" xfId="0" applyNumberFormat="1" applyFont="1" applyFill="1" applyBorder="1" applyAlignment="1" applyProtection="1">
      <alignment horizontal="center" vertical="top"/>
      <protection locked="0"/>
    </xf>
    <xf numFmtId="4" fontId="9" fillId="0" borderId="19" xfId="0" applyNumberFormat="1" applyFont="1" applyFill="1" applyBorder="1" applyAlignment="1" applyProtection="1">
      <alignment vertical="top"/>
      <protection locked="0"/>
    </xf>
    <xf numFmtId="43" fontId="9" fillId="70" borderId="19" xfId="699" applyFont="1" applyFill="1" applyBorder="1" applyAlignment="1" applyProtection="1">
      <alignment horizontal="right" vertical="top"/>
      <protection locked="0"/>
    </xf>
    <xf numFmtId="43" fontId="10" fillId="70" borderId="19" xfId="699" applyFont="1" applyFill="1" applyBorder="1" applyAlignment="1" applyProtection="1">
      <alignment vertical="top"/>
      <protection locked="0"/>
    </xf>
    <xf numFmtId="4" fontId="9" fillId="70" borderId="19" xfId="743" applyNumberFormat="1" applyFont="1" applyFill="1" applyBorder="1" applyAlignment="1" applyProtection="1">
      <alignment horizontal="right" vertical="top"/>
      <protection locked="0"/>
    </xf>
    <xf numFmtId="4" fontId="9" fillId="70" borderId="19" xfId="0" applyNumberFormat="1" applyFont="1" applyFill="1" applyBorder="1" applyAlignment="1" applyProtection="1">
      <alignment horizontal="right" vertical="top"/>
      <protection locked="0"/>
    </xf>
    <xf numFmtId="4" fontId="9" fillId="70" borderId="19" xfId="743" applyNumberFormat="1" applyFont="1" applyFill="1" applyBorder="1" applyAlignment="1" applyProtection="1">
      <alignment vertical="top" wrapText="1"/>
      <protection locked="0"/>
    </xf>
    <xf numFmtId="4" fontId="9" fillId="70" borderId="19" xfId="805" applyNumberFormat="1" applyFont="1" applyFill="1" applyBorder="1" applyAlignment="1" applyProtection="1">
      <alignment vertical="top" wrapText="1"/>
      <protection locked="0"/>
    </xf>
    <xf numFmtId="4" fontId="9" fillId="70" borderId="19" xfId="743" applyNumberFormat="1" applyFont="1" applyFill="1" applyBorder="1" applyAlignment="1" applyProtection="1">
      <alignment horizontal="right" vertical="top" wrapText="1"/>
      <protection locked="0"/>
    </xf>
    <xf numFmtId="4" fontId="9" fillId="70" borderId="19" xfId="743" applyNumberFormat="1" applyFont="1" applyFill="1" applyBorder="1" applyAlignment="1" applyProtection="1">
      <alignment vertical="top"/>
      <protection locked="0"/>
    </xf>
    <xf numFmtId="4" fontId="9" fillId="82" borderId="204" xfId="0" applyNumberFormat="1" applyFont="1" applyFill="1" applyBorder="1" applyAlignment="1" applyProtection="1">
      <alignment vertical="top"/>
      <protection locked="0"/>
    </xf>
    <xf numFmtId="4" fontId="10" fillId="82" borderId="204" xfId="0" applyNumberFormat="1" applyFont="1" applyFill="1" applyBorder="1" applyAlignment="1" applyProtection="1">
      <alignment horizontal="right" vertical="top"/>
      <protection locked="0"/>
    </xf>
    <xf numFmtId="43" fontId="9" fillId="70" borderId="19" xfId="703" applyFont="1" applyFill="1" applyBorder="1" applyAlignment="1" applyProtection="1">
      <alignment horizontal="right" vertical="top"/>
      <protection locked="0"/>
    </xf>
    <xf numFmtId="4" fontId="9" fillId="70" borderId="19" xfId="2028" applyNumberFormat="1" applyFont="1" applyFill="1" applyBorder="1" applyAlignment="1" applyProtection="1">
      <alignment vertical="top"/>
      <protection locked="0"/>
    </xf>
    <xf numFmtId="4" fontId="9" fillId="70" borderId="19" xfId="2028" applyNumberFormat="1" applyFont="1" applyFill="1" applyBorder="1" applyAlignment="1" applyProtection="1">
      <alignment vertical="top" wrapText="1"/>
      <protection locked="0"/>
    </xf>
    <xf numFmtId="4" fontId="9" fillId="70" borderId="25" xfId="0" applyNumberFormat="1" applyFont="1" applyFill="1" applyBorder="1" applyAlignment="1" applyProtection="1">
      <alignment horizontal="right" vertical="top"/>
      <protection locked="0"/>
    </xf>
    <xf numFmtId="43" fontId="9" fillId="70" borderId="19" xfId="703" applyFont="1" applyFill="1" applyBorder="1" applyAlignment="1" applyProtection="1">
      <alignment vertical="top" wrapText="1"/>
      <protection locked="0"/>
    </xf>
    <xf numFmtId="4" fontId="9" fillId="70" borderId="19" xfId="0" applyNumberFormat="1" applyFont="1" applyFill="1" applyBorder="1" applyAlignment="1" applyProtection="1">
      <alignment horizontal="center" vertical="top"/>
      <protection locked="0"/>
    </xf>
    <xf numFmtId="4" fontId="9" fillId="70" borderId="19" xfId="745" applyNumberFormat="1" applyFont="1" applyFill="1" applyBorder="1" applyAlignment="1" applyProtection="1">
      <alignment horizontal="right" vertical="top" wrapText="1"/>
      <protection locked="0"/>
    </xf>
    <xf numFmtId="0" fontId="9" fillId="70" borderId="19" xfId="0" applyFont="1" applyFill="1" applyBorder="1" applyAlignment="1" applyProtection="1">
      <alignment vertical="top"/>
      <protection locked="0"/>
    </xf>
    <xf numFmtId="4" fontId="9" fillId="70" borderId="25" xfId="0" applyNumberFormat="1" applyFont="1" applyFill="1" applyBorder="1" applyAlignment="1" applyProtection="1">
      <alignment vertical="top"/>
      <protection locked="0"/>
    </xf>
    <xf numFmtId="4" fontId="9" fillId="70" borderId="19" xfId="0" applyNumberFormat="1" applyFont="1" applyFill="1" applyBorder="1" applyAlignment="1" applyProtection="1">
      <alignment horizontal="right" vertical="top" wrapText="1"/>
      <protection locked="0"/>
    </xf>
    <xf numFmtId="4" fontId="9" fillId="70" borderId="19" xfId="1302" applyNumberFormat="1" applyFont="1" applyFill="1" applyBorder="1" applyAlignment="1" applyProtection="1">
      <alignment vertical="top"/>
      <protection locked="0"/>
    </xf>
    <xf numFmtId="4" fontId="9" fillId="0" borderId="19" xfId="0" applyNumberFormat="1" applyFont="1" applyBorder="1" applyAlignment="1" applyProtection="1">
      <alignment vertical="top"/>
      <protection locked="0"/>
    </xf>
    <xf numFmtId="4" fontId="10" fillId="82" borderId="204" xfId="0" applyNumberFormat="1" applyFont="1" applyFill="1" applyBorder="1" applyAlignment="1" applyProtection="1">
      <alignment vertical="top"/>
      <protection locked="0"/>
    </xf>
    <xf numFmtId="4" fontId="10" fillId="70" borderId="19" xfId="0" applyNumberFormat="1" applyFont="1" applyFill="1" applyBorder="1" applyAlignment="1" applyProtection="1">
      <alignment vertical="top"/>
      <protection locked="0"/>
    </xf>
    <xf numFmtId="4" fontId="9" fillId="70" borderId="19" xfId="995" applyNumberFormat="1" applyFont="1" applyFill="1" applyBorder="1" applyAlignment="1" applyProtection="1">
      <alignment horizontal="right" vertical="top" wrapText="1"/>
      <protection locked="0"/>
    </xf>
    <xf numFmtId="4" fontId="9" fillId="70" borderId="19" xfId="744" applyNumberFormat="1" applyFont="1" applyFill="1" applyBorder="1" applyAlignment="1" applyProtection="1">
      <alignment horizontal="right" vertical="top" wrapText="1"/>
      <protection locked="0"/>
    </xf>
    <xf numFmtId="4" fontId="9" fillId="70" borderId="19" xfId="744" applyNumberFormat="1" applyFont="1" applyFill="1" applyBorder="1" applyAlignment="1" applyProtection="1">
      <alignment vertical="top" wrapText="1"/>
      <protection locked="0"/>
    </xf>
    <xf numFmtId="172" fontId="9" fillId="70" borderId="19" xfId="1502" applyNumberFormat="1" applyFont="1" applyFill="1" applyBorder="1" applyAlignment="1" applyProtection="1">
      <alignment vertical="top"/>
      <protection locked="0"/>
    </xf>
    <xf numFmtId="4" fontId="9" fillId="70" borderId="19" xfId="744" applyNumberFormat="1" applyFont="1" applyFill="1" applyBorder="1" applyAlignment="1" applyProtection="1">
      <alignment vertical="top"/>
      <protection locked="0"/>
    </xf>
    <xf numFmtId="4" fontId="9" fillId="70" borderId="25" xfId="744" applyNumberFormat="1" applyFont="1" applyFill="1" applyBorder="1" applyAlignment="1" applyProtection="1">
      <alignment horizontal="right" vertical="top" wrapText="1"/>
      <protection locked="0"/>
    </xf>
    <xf numFmtId="172" fontId="9" fillId="70" borderId="19" xfId="0" applyNumberFormat="1" applyFont="1" applyFill="1" applyBorder="1" applyAlignment="1" applyProtection="1">
      <alignment horizontal="right" vertical="top"/>
      <protection locked="0"/>
    </xf>
    <xf numFmtId="0" fontId="9" fillId="65" borderId="204" xfId="0" applyFont="1" applyFill="1" applyBorder="1" applyAlignment="1" applyProtection="1">
      <alignment vertical="top"/>
      <protection locked="0"/>
    </xf>
    <xf numFmtId="4" fontId="10" fillId="65" borderId="204" xfId="0" applyNumberFormat="1" applyFont="1" applyFill="1" applyBorder="1" applyAlignment="1" applyProtection="1">
      <alignment vertical="top"/>
      <protection locked="0"/>
    </xf>
    <xf numFmtId="172" fontId="9" fillId="70" borderId="19" xfId="0" applyNumberFormat="1" applyFont="1" applyFill="1" applyBorder="1" applyAlignment="1" applyProtection="1">
      <alignment vertical="top"/>
      <protection locked="0"/>
    </xf>
    <xf numFmtId="0" fontId="9" fillId="65" borderId="25" xfId="0" applyFont="1" applyFill="1" applyBorder="1" applyAlignment="1" applyProtection="1">
      <alignment vertical="top"/>
      <protection locked="0"/>
    </xf>
    <xf numFmtId="4" fontId="10" fillId="65" borderId="25" xfId="0" applyNumberFormat="1" applyFont="1" applyFill="1" applyBorder="1" applyAlignment="1" applyProtection="1">
      <alignment vertical="top"/>
      <protection locked="0"/>
    </xf>
    <xf numFmtId="0" fontId="9" fillId="70" borderId="150" xfId="0" applyFont="1" applyFill="1" applyBorder="1" applyAlignment="1" applyProtection="1">
      <alignment vertical="top"/>
      <protection locked="0"/>
    </xf>
    <xf numFmtId="4" fontId="10" fillId="70" borderId="150" xfId="0" applyNumberFormat="1" applyFont="1" applyFill="1" applyBorder="1" applyAlignment="1" applyProtection="1">
      <alignment vertical="top"/>
      <protection locked="0"/>
    </xf>
    <xf numFmtId="182" fontId="9" fillId="70" borderId="19" xfId="0" applyNumberFormat="1" applyFont="1" applyFill="1" applyBorder="1" applyAlignment="1" applyProtection="1">
      <alignment vertical="top" wrapText="1"/>
      <protection locked="0"/>
    </xf>
    <xf numFmtId="182" fontId="9" fillId="70" borderId="25" xfId="0" applyNumberFormat="1" applyFont="1" applyFill="1" applyBorder="1" applyAlignment="1" applyProtection="1">
      <alignment vertical="top" wrapText="1"/>
      <protection locked="0"/>
    </xf>
    <xf numFmtId="182" fontId="9" fillId="70" borderId="19" xfId="0" applyNumberFormat="1" applyFont="1" applyFill="1" applyBorder="1" applyAlignment="1" applyProtection="1">
      <alignment horizontal="right" vertical="top"/>
      <protection locked="0"/>
    </xf>
    <xf numFmtId="182" fontId="9" fillId="70" borderId="19" xfId="0" applyNumberFormat="1" applyFont="1" applyFill="1" applyBorder="1" applyAlignment="1" applyProtection="1">
      <alignment vertical="top"/>
      <protection locked="0"/>
    </xf>
    <xf numFmtId="43" fontId="9" fillId="82" borderId="204" xfId="699" applyFont="1" applyFill="1" applyBorder="1" applyAlignment="1" applyProtection="1">
      <alignment horizontal="right" vertical="top" wrapText="1"/>
      <protection locked="0"/>
    </xf>
    <xf numFmtId="43" fontId="10" fillId="82" borderId="204" xfId="699" applyFont="1" applyFill="1" applyBorder="1" applyAlignment="1" applyProtection="1">
      <alignment horizontal="right" vertical="top" wrapText="1"/>
      <protection locked="0"/>
    </xf>
    <xf numFmtId="43" fontId="9" fillId="70" borderId="19" xfId="699" applyFont="1" applyFill="1" applyBorder="1" applyAlignment="1" applyProtection="1">
      <alignment horizontal="right" vertical="top" wrapText="1"/>
      <protection locked="0"/>
    </xf>
    <xf numFmtId="43" fontId="10" fillId="70" borderId="19" xfId="699" applyFont="1" applyFill="1" applyBorder="1" applyAlignment="1" applyProtection="1">
      <alignment horizontal="right" vertical="top" wrapText="1"/>
      <protection locked="0"/>
    </xf>
    <xf numFmtId="4" fontId="9" fillId="70" borderId="19" xfId="702" applyNumberFormat="1" applyFont="1" applyFill="1" applyBorder="1" applyAlignment="1" applyProtection="1">
      <alignment vertical="top"/>
      <protection locked="0"/>
    </xf>
    <xf numFmtId="4" fontId="9" fillId="70" borderId="19" xfId="847" applyNumberFormat="1" applyFont="1" applyFill="1" applyBorder="1" applyAlignment="1" applyProtection="1">
      <alignment vertical="top"/>
      <protection locked="0"/>
    </xf>
    <xf numFmtId="43" fontId="9" fillId="65" borderId="25" xfId="699" applyFont="1" applyFill="1" applyBorder="1" applyAlignment="1" applyProtection="1">
      <alignment horizontal="right" vertical="top" wrapText="1"/>
      <protection locked="0"/>
    </xf>
    <xf numFmtId="43" fontId="10" fillId="65" borderId="25" xfId="699" applyFont="1" applyFill="1" applyBorder="1" applyAlignment="1" applyProtection="1">
      <alignment horizontal="right" vertical="top" wrapText="1"/>
      <protection locked="0"/>
    </xf>
    <xf numFmtId="4" fontId="155" fillId="0" borderId="19" xfId="0" applyNumberFormat="1" applyFont="1" applyFill="1" applyBorder="1" applyAlignment="1" applyProtection="1">
      <alignment vertical="top"/>
      <protection locked="0"/>
    </xf>
    <xf numFmtId="4" fontId="9" fillId="0" borderId="206" xfId="0" applyNumberFormat="1" applyFont="1" applyFill="1" applyBorder="1" applyAlignment="1" applyProtection="1">
      <alignment vertical="top"/>
      <protection locked="0"/>
    </xf>
    <xf numFmtId="4" fontId="9" fillId="0" borderId="25" xfId="0" applyNumberFormat="1" applyFont="1" applyFill="1" applyBorder="1" applyAlignment="1" applyProtection="1">
      <alignment vertical="top"/>
      <protection locked="0"/>
    </xf>
    <xf numFmtId="4" fontId="9" fillId="70" borderId="19" xfId="0" applyNumberFormat="1" applyFont="1" applyFill="1" applyBorder="1" applyAlignment="1" applyProtection="1">
      <alignment vertical="top" wrapText="1"/>
      <protection locked="0"/>
    </xf>
    <xf numFmtId="4" fontId="9" fillId="70" borderId="206" xfId="0" applyNumberFormat="1" applyFont="1" applyFill="1" applyBorder="1" applyAlignment="1" applyProtection="1">
      <alignment vertical="top"/>
      <protection locked="0"/>
    </xf>
    <xf numFmtId="4" fontId="10" fillId="0" borderId="19" xfId="0" applyNumberFormat="1" applyFont="1" applyFill="1" applyBorder="1" applyAlignment="1" applyProtection="1">
      <alignment vertical="top"/>
      <protection locked="0"/>
    </xf>
    <xf numFmtId="4" fontId="10" fillId="82" borderId="206" xfId="0" applyNumberFormat="1" applyFont="1" applyFill="1" applyBorder="1" applyAlignment="1" applyProtection="1">
      <alignment horizontal="center" vertical="top"/>
      <protection locked="0"/>
    </xf>
    <xf numFmtId="4" fontId="10" fillId="82" borderId="206" xfId="0" applyNumberFormat="1" applyFont="1" applyFill="1" applyBorder="1" applyAlignment="1" applyProtection="1">
      <alignment horizontal="right" vertical="top"/>
      <protection locked="0"/>
    </xf>
    <xf numFmtId="4" fontId="9" fillId="70" borderId="19" xfId="1061" applyNumberFormat="1" applyFont="1" applyFill="1" applyBorder="1" applyAlignment="1" applyProtection="1">
      <alignment vertical="top"/>
      <protection locked="0"/>
    </xf>
    <xf numFmtId="4" fontId="9" fillId="70" borderId="19" xfId="1061" applyNumberFormat="1" applyFont="1" applyFill="1" applyBorder="1" applyAlignment="1" applyProtection="1">
      <alignment vertical="top" wrapText="1"/>
      <protection locked="0"/>
    </xf>
    <xf numFmtId="172" fontId="9" fillId="70" borderId="19" xfId="1061" applyNumberFormat="1" applyFont="1" applyFill="1" applyBorder="1" applyAlignment="1" applyProtection="1">
      <alignment vertical="top"/>
      <protection locked="0"/>
    </xf>
    <xf numFmtId="4" fontId="10" fillId="82" borderId="205" xfId="0" applyNumberFormat="1" applyFont="1" applyFill="1" applyBorder="1" applyAlignment="1" applyProtection="1">
      <alignment vertical="top"/>
      <protection locked="0"/>
    </xf>
    <xf numFmtId="4" fontId="10" fillId="82" borderId="25" xfId="0" applyNumberFormat="1" applyFont="1" applyFill="1" applyBorder="1" applyAlignment="1" applyProtection="1">
      <alignment vertical="top"/>
      <protection locked="0"/>
    </xf>
    <xf numFmtId="4" fontId="9" fillId="0" borderId="19" xfId="1744" applyNumberFormat="1" applyFont="1" applyFill="1" applyBorder="1" applyAlignment="1" applyProtection="1">
      <alignment vertical="top"/>
      <protection locked="0"/>
    </xf>
    <xf numFmtId="4" fontId="10" fillId="82" borderId="200" xfId="0" applyNumberFormat="1" applyFont="1" applyFill="1" applyBorder="1" applyAlignment="1" applyProtection="1">
      <alignment vertical="top"/>
      <protection locked="0"/>
    </xf>
    <xf numFmtId="4" fontId="9" fillId="0" borderId="204" xfId="0" applyNumberFormat="1" applyFont="1" applyFill="1" applyBorder="1" applyAlignment="1" applyProtection="1">
      <alignment vertical="top"/>
      <protection locked="0"/>
    </xf>
    <xf numFmtId="4" fontId="9" fillId="70" borderId="19" xfId="1743" applyNumberFormat="1" applyFont="1" applyFill="1" applyBorder="1" applyAlignment="1" applyProtection="1">
      <alignment vertical="top"/>
      <protection locked="0"/>
    </xf>
    <xf numFmtId="4" fontId="9" fillId="0" borderId="19" xfId="1743" applyNumberFormat="1" applyFont="1" applyFill="1" applyBorder="1" applyAlignment="1" applyProtection="1">
      <alignment vertical="top"/>
      <protection locked="0"/>
    </xf>
    <xf numFmtId="4" fontId="9" fillId="48" borderId="19" xfId="0" applyNumberFormat="1" applyFont="1" applyFill="1" applyBorder="1" applyAlignment="1" applyProtection="1">
      <alignment vertical="top"/>
      <protection locked="0"/>
    </xf>
    <xf numFmtId="4" fontId="9" fillId="48" borderId="19" xfId="1500" applyNumberFormat="1" applyFont="1" applyFill="1" applyBorder="1" applyAlignment="1" applyProtection="1">
      <alignment vertical="top"/>
      <protection locked="0"/>
    </xf>
    <xf numFmtId="0" fontId="72" fillId="70" borderId="19" xfId="0" applyFont="1" applyFill="1" applyBorder="1" applyAlignment="1" applyProtection="1">
      <alignment vertical="top" wrapText="1"/>
      <protection locked="0"/>
    </xf>
    <xf numFmtId="0" fontId="10" fillId="65" borderId="205" xfId="0" applyFont="1" applyFill="1" applyBorder="1" applyAlignment="1" applyProtection="1">
      <alignment vertical="top"/>
      <protection locked="0"/>
    </xf>
    <xf numFmtId="4" fontId="10" fillId="65" borderId="205" xfId="0" applyNumberFormat="1" applyFont="1" applyFill="1" applyBorder="1" applyAlignment="1" applyProtection="1">
      <alignment vertical="top"/>
      <protection locked="0"/>
    </xf>
    <xf numFmtId="0" fontId="10" fillId="70" borderId="19" xfId="0" applyFont="1" applyFill="1" applyBorder="1" applyAlignment="1" applyProtection="1">
      <alignment vertical="top"/>
      <protection locked="0"/>
    </xf>
    <xf numFmtId="0" fontId="10" fillId="70" borderId="19" xfId="0" applyFont="1" applyFill="1" applyBorder="1" applyAlignment="1" applyProtection="1">
      <alignment vertical="top" wrapText="1"/>
      <protection locked="0"/>
    </xf>
    <xf numFmtId="4" fontId="9" fillId="82" borderId="205" xfId="0" applyNumberFormat="1" applyFont="1" applyFill="1" applyBorder="1" applyAlignment="1" applyProtection="1">
      <alignment vertical="top"/>
      <protection locked="0"/>
    </xf>
    <xf numFmtId="4" fontId="9" fillId="65" borderId="205" xfId="0" applyNumberFormat="1" applyFont="1" applyFill="1" applyBorder="1" applyAlignment="1" applyProtection="1">
      <alignment vertical="top"/>
      <protection locked="0"/>
    </xf>
    <xf numFmtId="4" fontId="72" fillId="70" borderId="19" xfId="0" applyNumberFormat="1" applyFont="1" applyFill="1" applyBorder="1" applyAlignment="1" applyProtection="1">
      <alignment vertical="top"/>
      <protection locked="0"/>
    </xf>
    <xf numFmtId="4" fontId="9" fillId="82" borderId="25" xfId="0" applyNumberFormat="1" applyFont="1" applyFill="1" applyBorder="1" applyAlignment="1" applyProtection="1">
      <alignment vertical="top"/>
      <protection locked="0"/>
    </xf>
    <xf numFmtId="0" fontId="10" fillId="65" borderId="204" xfId="0" applyFont="1" applyFill="1" applyBorder="1" applyAlignment="1" applyProtection="1">
      <alignment vertical="top"/>
      <protection locked="0"/>
    </xf>
    <xf numFmtId="0" fontId="10" fillId="65" borderId="25" xfId="0" applyFont="1" applyFill="1" applyBorder="1" applyAlignment="1" applyProtection="1">
      <alignment vertical="top"/>
      <protection locked="0"/>
    </xf>
    <xf numFmtId="0" fontId="9" fillId="0" borderId="19" xfId="0" applyFont="1" applyBorder="1" applyAlignment="1" applyProtection="1">
      <alignment vertical="top"/>
      <protection locked="0"/>
    </xf>
    <xf numFmtId="4" fontId="9" fillId="83" borderId="19" xfId="1753" applyNumberFormat="1" applyFont="1" applyFill="1" applyBorder="1" applyAlignment="1" applyProtection="1">
      <alignment vertical="top"/>
      <protection locked="0"/>
    </xf>
    <xf numFmtId="4" fontId="9" fillId="83" borderId="19" xfId="0" applyNumberFormat="1" applyFont="1" applyFill="1" applyBorder="1" applyAlignment="1" applyProtection="1">
      <alignment horizontal="right" vertical="top" wrapText="1"/>
      <protection locked="0"/>
    </xf>
    <xf numFmtId="0" fontId="9" fillId="0" borderId="19" xfId="0" applyFont="1" applyFill="1" applyBorder="1" applyAlignment="1" applyProtection="1">
      <alignment vertical="top"/>
      <protection locked="0"/>
    </xf>
    <xf numFmtId="0" fontId="9" fillId="69" borderId="102" xfId="0" applyFont="1" applyFill="1" applyBorder="1" applyAlignment="1" applyProtection="1">
      <alignment vertical="top"/>
      <protection locked="0"/>
    </xf>
    <xf numFmtId="4" fontId="10" fillId="69" borderId="102" xfId="0" applyNumberFormat="1" applyFont="1" applyFill="1" applyBorder="1" applyAlignment="1" applyProtection="1">
      <alignment vertical="top"/>
      <protection locked="0"/>
    </xf>
    <xf numFmtId="0" fontId="9" fillId="69" borderId="25" xfId="0" applyFont="1" applyFill="1" applyBorder="1" applyAlignment="1" applyProtection="1">
      <alignment vertical="top"/>
      <protection locked="0"/>
    </xf>
    <xf numFmtId="4" fontId="10" fillId="69" borderId="25" xfId="0" applyNumberFormat="1" applyFont="1" applyFill="1" applyBorder="1" applyAlignment="1" applyProtection="1">
      <alignment vertical="top"/>
      <protection locked="0"/>
    </xf>
    <xf numFmtId="4" fontId="9" fillId="70" borderId="19" xfId="868" applyNumberFormat="1" applyFont="1" applyFill="1" applyBorder="1" applyAlignment="1" applyProtection="1">
      <alignment horizontal="right" vertical="top" wrapText="1"/>
      <protection locked="0"/>
    </xf>
    <xf numFmtId="0" fontId="10" fillId="0" borderId="0" xfId="0" applyFont="1" applyFill="1" applyAlignment="1">
      <alignment horizontal="center" vertical="top"/>
    </xf>
    <xf numFmtId="194" fontId="9" fillId="0" borderId="25" xfId="0" applyNumberFormat="1" applyFont="1" applyBorder="1" applyAlignment="1" applyProtection="1">
      <alignment horizontal="right" vertical="top"/>
    </xf>
    <xf numFmtId="4" fontId="9" fillId="70" borderId="25" xfId="868" applyNumberFormat="1" applyFont="1" applyFill="1" applyBorder="1" applyAlignment="1" applyProtection="1">
      <alignment horizontal="right" vertical="top" wrapText="1"/>
    </xf>
    <xf numFmtId="194" fontId="9" fillId="70" borderId="25" xfId="0" applyNumberFormat="1" applyFont="1" applyFill="1" applyBorder="1" applyAlignment="1" applyProtection="1">
      <alignment horizontal="right" vertical="top"/>
    </xf>
    <xf numFmtId="4" fontId="9" fillId="70" borderId="25" xfId="868" applyNumberFormat="1" applyFont="1" applyFill="1" applyBorder="1" applyAlignment="1" applyProtection="1">
      <alignment vertical="top" wrapText="1"/>
    </xf>
    <xf numFmtId="0" fontId="72" fillId="0" borderId="25" xfId="0" applyNumberFormat="1" applyFont="1" applyFill="1" applyBorder="1" applyAlignment="1" applyProtection="1">
      <alignment horizontal="left" vertical="top" wrapText="1"/>
    </xf>
    <xf numFmtId="0" fontId="9" fillId="0" borderId="25" xfId="0" applyFont="1" applyFill="1" applyBorder="1" applyAlignment="1" applyProtection="1">
      <alignment vertical="top"/>
    </xf>
    <xf numFmtId="4" fontId="9" fillId="0" borderId="25" xfId="1302" applyNumberFormat="1" applyFont="1" applyFill="1" applyBorder="1" applyAlignment="1" applyProtection="1">
      <alignment horizontal="right" vertical="top"/>
    </xf>
    <xf numFmtId="194" fontId="9" fillId="0" borderId="150" xfId="0" applyNumberFormat="1" applyFont="1" applyFill="1" applyBorder="1" applyAlignment="1" applyProtection="1">
      <alignment horizontal="right" vertical="top"/>
    </xf>
    <xf numFmtId="0" fontId="72" fillId="0" borderId="150" xfId="0" applyFont="1" applyFill="1" applyBorder="1" applyAlignment="1" applyProtection="1">
      <alignment vertical="top" wrapText="1"/>
    </xf>
    <xf numFmtId="4" fontId="9" fillId="0" borderId="150" xfId="868" applyNumberFormat="1" applyFont="1" applyFill="1" applyBorder="1" applyAlignment="1" applyProtection="1">
      <alignment vertical="top" wrapText="1"/>
    </xf>
    <xf numFmtId="4" fontId="9" fillId="0" borderId="150" xfId="0" applyNumberFormat="1" applyFont="1" applyFill="1" applyBorder="1" applyAlignment="1" applyProtection="1">
      <alignment horizontal="center" vertical="top"/>
    </xf>
    <xf numFmtId="4" fontId="9" fillId="0" borderId="150" xfId="0" applyNumberFormat="1" applyFont="1" applyFill="1" applyBorder="1" applyAlignment="1" applyProtection="1">
      <alignment vertical="top"/>
      <protection locked="0"/>
    </xf>
    <xf numFmtId="0" fontId="0" fillId="0" borderId="0" xfId="0"/>
    <xf numFmtId="0" fontId="0" fillId="0" borderId="0" xfId="0" applyAlignment="1">
      <alignment horizontal="center"/>
    </xf>
    <xf numFmtId="0" fontId="9" fillId="48" borderId="0" xfId="1763" applyFill="1" applyAlignment="1" applyProtection="1">
      <alignment horizontal="left" vertical="top"/>
    </xf>
    <xf numFmtId="0" fontId="9" fillId="48" borderId="0" xfId="1763" quotePrefix="1" applyFill="1" applyAlignment="1" applyProtection="1">
      <alignment horizontal="left" vertical="top"/>
    </xf>
    <xf numFmtId="0" fontId="10" fillId="48" borderId="0" xfId="1763" applyFont="1" applyFill="1" applyAlignment="1" applyProtection="1">
      <alignment horizontal="center" vertical="top" wrapText="1"/>
    </xf>
    <xf numFmtId="0" fontId="9" fillId="48" borderId="0" xfId="1763" applyFill="1" applyAlignment="1" applyProtection="1">
      <alignment horizontal="left" vertical="top" wrapText="1"/>
    </xf>
    <xf numFmtId="0" fontId="10" fillId="66" borderId="0" xfId="1110" applyFont="1" applyFill="1" applyAlignment="1">
      <alignment horizontal="center"/>
    </xf>
    <xf numFmtId="0" fontId="62" fillId="48" borderId="0" xfId="1110" applyFont="1" applyFill="1" applyAlignment="1">
      <alignment horizontal="center"/>
    </xf>
    <xf numFmtId="0" fontId="167" fillId="48" borderId="0" xfId="1110" applyFont="1" applyFill="1" applyAlignment="1">
      <alignment horizontal="center"/>
    </xf>
    <xf numFmtId="3" fontId="167" fillId="48" borderId="36" xfId="1110" applyNumberFormat="1" applyFont="1" applyFill="1" applyBorder="1" applyAlignment="1">
      <alignment horizontal="center"/>
    </xf>
    <xf numFmtId="4" fontId="172" fillId="70" borderId="0" xfId="1110" applyNumberFormat="1" applyFont="1" applyFill="1" applyAlignment="1">
      <alignment horizontal="left" vertical="top" wrapText="1"/>
    </xf>
    <xf numFmtId="0" fontId="160" fillId="0" borderId="106" xfId="1497" applyFont="1" applyBorder="1" applyAlignment="1">
      <alignment horizontal="center" vertical="center"/>
    </xf>
    <xf numFmtId="0" fontId="160" fillId="0" borderId="25" xfId="1497" applyFont="1" applyBorder="1" applyAlignment="1">
      <alignment horizontal="center" vertical="center"/>
    </xf>
    <xf numFmtId="0" fontId="160" fillId="66" borderId="107" xfId="1497" applyFont="1" applyFill="1" applyBorder="1" applyAlignment="1">
      <alignment horizontal="center" vertical="center"/>
    </xf>
    <xf numFmtId="0" fontId="160" fillId="66" borderId="95" xfId="1497" applyFont="1" applyFill="1" applyBorder="1" applyAlignment="1">
      <alignment horizontal="center" vertical="center"/>
    </xf>
    <xf numFmtId="0" fontId="5" fillId="0" borderId="32" xfId="1497" applyBorder="1" applyAlignment="1">
      <alignment horizontal="center"/>
    </xf>
    <xf numFmtId="0" fontId="160" fillId="0" borderId="19" xfId="1497" applyFont="1" applyBorder="1" applyAlignment="1">
      <alignment horizontal="center" vertical="center"/>
    </xf>
    <xf numFmtId="0" fontId="160" fillId="0" borderId="102" xfId="1497" applyFont="1" applyBorder="1" applyAlignment="1">
      <alignment horizontal="center" vertical="center"/>
    </xf>
    <xf numFmtId="0" fontId="160" fillId="66" borderId="101" xfId="1497" applyFont="1" applyFill="1" applyBorder="1" applyAlignment="1">
      <alignment horizontal="center" vertical="center"/>
    </xf>
    <xf numFmtId="0" fontId="160" fillId="66" borderId="104" xfId="1497" applyFont="1" applyFill="1" applyBorder="1" applyAlignment="1">
      <alignment horizontal="center" vertical="center"/>
    </xf>
    <xf numFmtId="4" fontId="5" fillId="0" borderId="32" xfId="1497" applyNumberFormat="1" applyBorder="1" applyAlignment="1">
      <alignment horizontal="center"/>
    </xf>
    <xf numFmtId="0" fontId="160" fillId="0" borderId="105" xfId="1497" applyFont="1" applyFill="1" applyBorder="1" applyAlignment="1">
      <alignment horizontal="center" vertical="center"/>
    </xf>
    <xf numFmtId="0" fontId="160" fillId="0" borderId="100" xfId="1497" applyFont="1" applyFill="1" applyBorder="1" applyAlignment="1">
      <alignment horizontal="center" vertical="center"/>
    </xf>
    <xf numFmtId="2" fontId="160" fillId="0" borderId="106" xfId="1497" applyNumberFormat="1" applyFont="1" applyFill="1" applyBorder="1" applyAlignment="1">
      <alignment horizontal="center" vertical="center"/>
    </xf>
    <xf numFmtId="2" fontId="160" fillId="0" borderId="19" xfId="1497" applyNumberFormat="1" applyFont="1" applyFill="1" applyBorder="1" applyAlignment="1">
      <alignment horizontal="center" vertical="center"/>
    </xf>
    <xf numFmtId="0" fontId="160" fillId="0" borderId="107" xfId="1497" applyFont="1" applyFill="1" applyBorder="1" applyAlignment="1">
      <alignment horizontal="center" vertical="center"/>
    </xf>
    <xf numFmtId="0" fontId="160" fillId="0" borderId="101" xfId="1497" applyFont="1" applyFill="1" applyBorder="1" applyAlignment="1">
      <alignment horizontal="center" vertical="center"/>
    </xf>
    <xf numFmtId="0" fontId="160" fillId="0" borderId="103" xfId="1497" applyFont="1" applyFill="1" applyBorder="1" applyAlignment="1">
      <alignment horizontal="center" vertical="center"/>
    </xf>
    <xf numFmtId="0" fontId="160" fillId="0" borderId="106" xfId="1497" applyFont="1" applyFill="1" applyBorder="1" applyAlignment="1">
      <alignment horizontal="center" vertical="center"/>
    </xf>
    <xf numFmtId="0" fontId="160" fillId="0" borderId="19" xfId="1497" applyFont="1" applyFill="1" applyBorder="1" applyAlignment="1">
      <alignment horizontal="center" vertical="center"/>
    </xf>
    <xf numFmtId="0" fontId="160" fillId="0" borderId="102" xfId="1497" applyFont="1" applyFill="1" applyBorder="1" applyAlignment="1">
      <alignment horizontal="center" vertical="center"/>
    </xf>
    <xf numFmtId="0" fontId="158" fillId="0" borderId="0" xfId="1497" applyFont="1" applyBorder="1" applyAlignment="1">
      <alignment horizontal="center"/>
    </xf>
    <xf numFmtId="0" fontId="158" fillId="0" borderId="0" xfId="1497" applyFont="1" applyAlignment="1">
      <alignment horizontal="center"/>
    </xf>
    <xf numFmtId="0" fontId="159" fillId="62" borderId="105" xfId="1497" applyFont="1" applyFill="1" applyBorder="1" applyAlignment="1">
      <alignment horizontal="center" vertical="center" wrapText="1"/>
    </xf>
    <xf numFmtId="0" fontId="159" fillId="62" borderId="100" xfId="1497" applyFont="1" applyFill="1" applyBorder="1" applyAlignment="1">
      <alignment horizontal="center" vertical="center" wrapText="1"/>
    </xf>
    <xf numFmtId="0" fontId="159" fillId="62" borderId="87" xfId="1497" applyFont="1" applyFill="1" applyBorder="1" applyAlignment="1">
      <alignment horizontal="center" vertical="center" wrapText="1"/>
    </xf>
    <xf numFmtId="0" fontId="159" fillId="62" borderId="150" xfId="1497" applyFont="1" applyFill="1" applyBorder="1" applyAlignment="1">
      <alignment horizontal="center" vertical="center" wrapText="1"/>
    </xf>
    <xf numFmtId="0" fontId="159" fillId="62" borderId="163" xfId="1497" applyFont="1" applyFill="1" applyBorder="1" applyAlignment="1">
      <alignment horizontal="center" vertical="center" wrapText="1"/>
    </xf>
    <xf numFmtId="0" fontId="159" fillId="62" borderId="145" xfId="1497" applyFont="1" applyFill="1" applyBorder="1" applyAlignment="1">
      <alignment horizontal="center" vertical="center" wrapText="1"/>
    </xf>
    <xf numFmtId="0" fontId="159" fillId="62" borderId="106" xfId="1497" applyFont="1" applyFill="1" applyBorder="1" applyAlignment="1">
      <alignment horizontal="center" vertical="center" wrapText="1"/>
    </xf>
    <xf numFmtId="0" fontId="159" fillId="62" borderId="19" xfId="1497" applyFont="1" applyFill="1" applyBorder="1" applyAlignment="1">
      <alignment horizontal="center" vertical="center" wrapText="1"/>
    </xf>
    <xf numFmtId="0" fontId="159" fillId="62" borderId="167" xfId="1497" applyFont="1" applyFill="1" applyBorder="1" applyAlignment="1">
      <alignment horizontal="center" vertical="center" wrapText="1"/>
    </xf>
    <xf numFmtId="0" fontId="160" fillId="0" borderId="150" xfId="1497" applyFont="1" applyFill="1" applyBorder="1" applyAlignment="1">
      <alignment horizontal="center" vertical="center"/>
    </xf>
    <xf numFmtId="0" fontId="160" fillId="0" borderId="173" xfId="1497" applyFont="1" applyFill="1" applyBorder="1" applyAlignment="1">
      <alignment horizontal="center" vertical="center"/>
    </xf>
    <xf numFmtId="0" fontId="160" fillId="0" borderId="104" xfId="1497" applyFont="1" applyFill="1" applyBorder="1" applyAlignment="1">
      <alignment horizontal="center" vertical="center"/>
    </xf>
    <xf numFmtId="0" fontId="160" fillId="0" borderId="29" xfId="1497" applyFont="1" applyFill="1" applyBorder="1" applyAlignment="1">
      <alignment horizontal="center" vertical="center"/>
    </xf>
    <xf numFmtId="0" fontId="160" fillId="0" borderId="32" xfId="1497" applyFont="1" applyFill="1" applyBorder="1" applyAlignment="1">
      <alignment horizontal="center" vertical="center"/>
    </xf>
    <xf numFmtId="0" fontId="160" fillId="0" borderId="22" xfId="1497" applyFont="1" applyFill="1" applyBorder="1" applyAlignment="1">
      <alignment horizontal="center" vertical="center"/>
    </xf>
    <xf numFmtId="0" fontId="160" fillId="0" borderId="177" xfId="1497" applyFont="1" applyFill="1" applyBorder="1" applyAlignment="1">
      <alignment horizontal="center" vertical="center"/>
    </xf>
    <xf numFmtId="0" fontId="160" fillId="0" borderId="160" xfId="1497" applyFont="1" applyFill="1" applyBorder="1" applyAlignment="1">
      <alignment horizontal="center" vertical="center"/>
    </xf>
    <xf numFmtId="0" fontId="160" fillId="0" borderId="180" xfId="1497" applyFont="1" applyFill="1" applyBorder="1" applyAlignment="1">
      <alignment horizontal="center" vertical="center"/>
    </xf>
    <xf numFmtId="4" fontId="160" fillId="0" borderId="106" xfId="1497" applyNumberFormat="1" applyFont="1" applyFill="1" applyBorder="1" applyAlignment="1">
      <alignment horizontal="center" vertical="center"/>
    </xf>
    <xf numFmtId="4" fontId="160" fillId="0" borderId="19" xfId="1497" applyNumberFormat="1" applyFont="1" applyFill="1" applyBorder="1" applyAlignment="1">
      <alignment horizontal="center" vertical="center"/>
    </xf>
    <xf numFmtId="4" fontId="160" fillId="0" borderId="102" xfId="1497" applyNumberFormat="1" applyFont="1" applyFill="1" applyBorder="1" applyAlignment="1">
      <alignment horizontal="center" vertical="center"/>
    </xf>
    <xf numFmtId="0" fontId="160" fillId="0" borderId="178" xfId="1497" applyFont="1" applyFill="1" applyBorder="1" applyAlignment="1">
      <alignment horizontal="center" vertical="center"/>
    </xf>
    <xf numFmtId="0" fontId="160" fillId="0" borderId="179" xfId="1497" applyFont="1" applyFill="1" applyBorder="1" applyAlignment="1">
      <alignment horizontal="center" vertical="center"/>
    </xf>
    <xf numFmtId="0" fontId="160" fillId="0" borderId="181" xfId="1497" applyFont="1" applyFill="1" applyBorder="1" applyAlignment="1">
      <alignment horizontal="center" vertical="center"/>
    </xf>
    <xf numFmtId="0" fontId="160" fillId="0" borderId="25" xfId="1497" applyFont="1" applyFill="1" applyBorder="1" applyAlignment="1">
      <alignment horizontal="center" vertical="center"/>
    </xf>
    <xf numFmtId="0" fontId="160" fillId="0" borderId="95" xfId="1497" applyFont="1" applyFill="1" applyBorder="1" applyAlignment="1">
      <alignment horizontal="center" vertical="center"/>
    </xf>
    <xf numFmtId="0" fontId="159" fillId="62" borderId="103" xfId="1497" applyFont="1" applyFill="1" applyBorder="1" applyAlignment="1">
      <alignment horizontal="center" vertical="center" wrapText="1"/>
    </xf>
    <xf numFmtId="0" fontId="159" fillId="62" borderId="166" xfId="1497" applyFont="1" applyFill="1" applyBorder="1" applyAlignment="1">
      <alignment horizontal="center" vertical="center" wrapText="1"/>
    </xf>
    <xf numFmtId="0" fontId="159" fillId="62" borderId="164" xfId="1497" applyFont="1" applyFill="1" applyBorder="1" applyAlignment="1">
      <alignment horizontal="center" vertical="center" wrapText="1"/>
    </xf>
    <xf numFmtId="0" fontId="159" fillId="62" borderId="168" xfId="1497" applyFont="1" applyFill="1" applyBorder="1" applyAlignment="1">
      <alignment horizontal="center" vertical="center" wrapText="1"/>
    </xf>
    <xf numFmtId="0" fontId="159" fillId="62" borderId="165" xfId="1497" applyFont="1" applyFill="1" applyBorder="1" applyAlignment="1">
      <alignment horizontal="center" vertical="center" wrapText="1"/>
    </xf>
    <xf numFmtId="0" fontId="159" fillId="62" borderId="169" xfId="1497" applyFont="1" applyFill="1" applyBorder="1" applyAlignment="1">
      <alignment horizontal="center" vertical="center" wrapText="1"/>
    </xf>
    <xf numFmtId="0" fontId="160" fillId="0" borderId="163" xfId="1497" applyFont="1" applyFill="1" applyBorder="1" applyAlignment="1">
      <alignment horizontal="center" vertical="center"/>
    </xf>
    <xf numFmtId="0" fontId="160" fillId="0" borderId="176" xfId="1497" applyFont="1" applyFill="1" applyBorder="1" applyAlignment="1">
      <alignment horizontal="center" vertical="center"/>
    </xf>
    <xf numFmtId="0" fontId="160" fillId="0" borderId="145" xfId="1497" applyFont="1" applyFill="1" applyBorder="1" applyAlignment="1">
      <alignment horizontal="center" vertical="center"/>
    </xf>
    <xf numFmtId="0" fontId="160" fillId="66" borderId="106" xfId="1497" applyFont="1" applyFill="1" applyBorder="1" applyAlignment="1">
      <alignment horizontal="center" vertical="center"/>
    </xf>
    <xf numFmtId="0" fontId="160" fillId="66" borderId="25" xfId="1497" applyFont="1" applyFill="1" applyBorder="1" applyAlignment="1">
      <alignment horizontal="center" vertical="center"/>
    </xf>
    <xf numFmtId="0" fontId="160" fillId="0" borderId="106" xfId="1497" applyFont="1" applyFill="1" applyBorder="1" applyAlignment="1">
      <alignment horizontal="left" vertical="center" wrapText="1"/>
    </xf>
    <xf numFmtId="0" fontId="160" fillId="0" borderId="25" xfId="1497" applyFont="1" applyFill="1" applyBorder="1" applyAlignment="1">
      <alignment horizontal="left" vertical="center" wrapText="1"/>
    </xf>
    <xf numFmtId="0" fontId="164" fillId="0" borderId="106" xfId="1497" applyFont="1" applyFill="1" applyBorder="1" applyAlignment="1">
      <alignment horizontal="center" vertical="center"/>
    </xf>
    <xf numFmtId="0" fontId="164" fillId="0" borderId="25" xfId="1497" applyFont="1" applyFill="1" applyBorder="1" applyAlignment="1">
      <alignment horizontal="center" vertical="center"/>
    </xf>
    <xf numFmtId="0" fontId="160" fillId="0" borderId="31" xfId="1497" applyFont="1" applyFill="1" applyBorder="1" applyAlignment="1">
      <alignment horizontal="center" vertical="center"/>
    </xf>
    <xf numFmtId="0" fontId="160" fillId="0" borderId="33" xfId="1497" applyFont="1" applyFill="1" applyBorder="1" applyAlignment="1">
      <alignment horizontal="center" vertical="center"/>
    </xf>
    <xf numFmtId="0" fontId="160" fillId="0" borderId="37" xfId="1497" applyFont="1" applyFill="1" applyBorder="1" applyAlignment="1">
      <alignment horizontal="center" vertical="center"/>
    </xf>
    <xf numFmtId="0" fontId="164" fillId="0" borderId="150" xfId="1497" applyFont="1" applyFill="1" applyBorder="1" applyAlignment="1">
      <alignment horizontal="center" vertical="center"/>
    </xf>
    <xf numFmtId="0" fontId="164" fillId="0" borderId="19" xfId="1497" applyFont="1" applyFill="1" applyBorder="1" applyAlignment="1">
      <alignment horizontal="center" vertical="center"/>
    </xf>
    <xf numFmtId="0" fontId="164" fillId="0" borderId="102" xfId="1497" applyFont="1" applyFill="1" applyBorder="1" applyAlignment="1">
      <alignment horizontal="center" vertical="center"/>
    </xf>
    <xf numFmtId="0" fontId="160" fillId="0" borderId="175" xfId="1497" applyFont="1" applyFill="1" applyBorder="1" applyAlignment="1">
      <alignment horizontal="center" vertical="center"/>
    </xf>
    <xf numFmtId="0" fontId="160" fillId="0" borderId="141" xfId="1497" applyFont="1" applyFill="1" applyBorder="1" applyAlignment="1">
      <alignment horizontal="center" vertical="center"/>
    </xf>
    <xf numFmtId="0" fontId="160" fillId="0" borderId="174" xfId="1497" applyFont="1" applyFill="1" applyBorder="1" applyAlignment="1">
      <alignment horizontal="center" vertical="center"/>
    </xf>
    <xf numFmtId="0" fontId="160" fillId="0" borderId="150" xfId="1497" applyFont="1" applyBorder="1" applyAlignment="1">
      <alignment horizontal="center" vertical="center"/>
    </xf>
    <xf numFmtId="0" fontId="160" fillId="0" borderId="141" xfId="1497" applyFont="1" applyFill="1" applyBorder="1" applyAlignment="1">
      <alignment horizontal="center" vertical="center" wrapText="1"/>
    </xf>
    <xf numFmtId="0" fontId="160" fillId="0" borderId="144" xfId="1497" applyFont="1" applyFill="1" applyBorder="1" applyAlignment="1">
      <alignment horizontal="center" vertical="center" wrapText="1"/>
    </xf>
    <xf numFmtId="0" fontId="160" fillId="0" borderId="144" xfId="1497" applyFont="1" applyFill="1" applyBorder="1" applyAlignment="1">
      <alignment horizontal="center" vertical="center"/>
    </xf>
    <xf numFmtId="0" fontId="160" fillId="81" borderId="100" xfId="1497" applyFont="1" applyFill="1" applyBorder="1" applyAlignment="1">
      <alignment horizontal="center" vertical="center"/>
    </xf>
    <xf numFmtId="0" fontId="160" fillId="81" borderId="103" xfId="1497" applyFont="1" applyFill="1" applyBorder="1" applyAlignment="1">
      <alignment horizontal="center" vertical="center"/>
    </xf>
    <xf numFmtId="0" fontId="160" fillId="81" borderId="19" xfId="1497" applyFont="1" applyFill="1" applyBorder="1" applyAlignment="1">
      <alignment horizontal="center" vertical="center"/>
    </xf>
    <xf numFmtId="0" fontId="160" fillId="81" borderId="101" xfId="1497" applyFont="1" applyFill="1" applyBorder="1" applyAlignment="1">
      <alignment horizontal="center" vertical="center"/>
    </xf>
    <xf numFmtId="0" fontId="160" fillId="81" borderId="150" xfId="1497" applyFont="1" applyFill="1" applyBorder="1" applyAlignment="1">
      <alignment horizontal="center"/>
    </xf>
    <xf numFmtId="0" fontId="160" fillId="81" borderId="102" xfId="1497" applyFont="1" applyFill="1" applyBorder="1" applyAlignment="1">
      <alignment horizontal="center"/>
    </xf>
    <xf numFmtId="0" fontId="160" fillId="81" borderId="173" xfId="1497" applyFont="1" applyFill="1" applyBorder="1" applyAlignment="1">
      <alignment horizontal="center" vertical="center"/>
    </xf>
    <xf numFmtId="0" fontId="160" fillId="81" borderId="104" xfId="1497" applyFont="1" applyFill="1" applyBorder="1" applyAlignment="1">
      <alignment horizontal="center" vertical="center"/>
    </xf>
    <xf numFmtId="0" fontId="160" fillId="0" borderId="143" xfId="1497" applyFont="1" applyFill="1" applyBorder="1" applyAlignment="1">
      <alignment horizontal="center" vertical="center"/>
    </xf>
    <xf numFmtId="2" fontId="160" fillId="0" borderId="106" xfId="1497" applyNumberFormat="1" applyFont="1" applyBorder="1" applyAlignment="1">
      <alignment horizontal="center" vertical="center"/>
    </xf>
    <xf numFmtId="0" fontId="160" fillId="0" borderId="88" xfId="1497" applyFont="1" applyBorder="1" applyAlignment="1">
      <alignment horizontal="center" vertical="center"/>
    </xf>
    <xf numFmtId="0" fontId="160" fillId="0" borderId="172" xfId="1497" applyFont="1" applyBorder="1" applyAlignment="1">
      <alignment horizontal="center" vertical="center"/>
    </xf>
    <xf numFmtId="0" fontId="160" fillId="0" borderId="173" xfId="1497" applyFont="1" applyBorder="1" applyAlignment="1">
      <alignment horizontal="center" vertical="center"/>
    </xf>
    <xf numFmtId="0" fontId="160" fillId="66" borderId="19" xfId="1497" applyFont="1" applyFill="1" applyBorder="1" applyAlignment="1">
      <alignment horizontal="center" vertical="center"/>
    </xf>
    <xf numFmtId="0" fontId="160" fillId="0" borderId="170" xfId="1497" applyFont="1" applyFill="1" applyBorder="1" applyAlignment="1">
      <alignment horizontal="center" vertical="center"/>
    </xf>
    <xf numFmtId="0" fontId="160" fillId="0" borderId="78" xfId="1497" applyFont="1" applyFill="1" applyBorder="1" applyAlignment="1">
      <alignment horizontal="center" vertical="center"/>
    </xf>
    <xf numFmtId="0" fontId="160" fillId="0" borderId="138" xfId="1497" applyFont="1" applyFill="1" applyBorder="1" applyAlignment="1">
      <alignment horizontal="center" vertical="center"/>
    </xf>
    <xf numFmtId="0" fontId="160" fillId="66" borderId="102" xfId="1497" applyFont="1" applyFill="1" applyBorder="1" applyAlignment="1">
      <alignment horizontal="center" vertical="center"/>
    </xf>
    <xf numFmtId="0" fontId="159" fillId="62" borderId="29" xfId="1497" applyFont="1" applyFill="1" applyBorder="1" applyAlignment="1">
      <alignment horizontal="center" vertical="center" wrapText="1"/>
    </xf>
    <xf numFmtId="0" fontId="159" fillId="62" borderId="22" xfId="1497" applyFont="1" applyFill="1" applyBorder="1" applyAlignment="1">
      <alignment horizontal="center" vertical="center" wrapText="1"/>
    </xf>
    <xf numFmtId="0" fontId="159" fillId="62" borderId="102" xfId="1497" applyFont="1" applyFill="1" applyBorder="1" applyAlignment="1">
      <alignment horizontal="center" vertical="center" wrapText="1"/>
    </xf>
    <xf numFmtId="0" fontId="159" fillId="62" borderId="88" xfId="1497" applyFont="1" applyFill="1" applyBorder="1" applyAlignment="1">
      <alignment horizontal="center" vertical="center" wrapText="1"/>
    </xf>
    <xf numFmtId="0" fontId="159" fillId="62" borderId="171" xfId="1497" applyFont="1" applyFill="1" applyBorder="1" applyAlignment="1">
      <alignment horizontal="center" vertical="center" wrapText="1"/>
    </xf>
    <xf numFmtId="0" fontId="62" fillId="0" borderId="0" xfId="0" applyFont="1" applyFill="1" applyAlignment="1">
      <alignment horizontal="center" vertical="top"/>
    </xf>
    <xf numFmtId="0" fontId="62" fillId="0" borderId="0" xfId="0" applyFont="1" applyFill="1" applyAlignment="1">
      <alignment horizontal="left" vertical="top"/>
    </xf>
    <xf numFmtId="0" fontId="72" fillId="0" borderId="0" xfId="0" applyFont="1" applyFill="1" applyAlignment="1">
      <alignment vertical="top"/>
    </xf>
    <xf numFmtId="0" fontId="72" fillId="0" borderId="0" xfId="0" applyFont="1" applyFill="1" applyAlignment="1">
      <alignment horizontal="left" vertical="top"/>
    </xf>
    <xf numFmtId="2" fontId="72" fillId="0" borderId="0" xfId="0" applyNumberFormat="1" applyFont="1" applyFill="1" applyAlignment="1">
      <alignment horizontal="left" vertical="top"/>
    </xf>
    <xf numFmtId="0" fontId="10" fillId="0" borderId="0" xfId="0" applyFont="1" applyFill="1" applyAlignment="1">
      <alignment horizontal="center" vertical="top"/>
    </xf>
    <xf numFmtId="0" fontId="10" fillId="0" borderId="0" xfId="0" applyFont="1" applyFill="1" applyAlignment="1">
      <alignment horizontal="left" vertical="top"/>
    </xf>
    <xf numFmtId="4" fontId="0" fillId="66" borderId="150" xfId="0" applyNumberFormat="1" applyFill="1" applyBorder="1" applyAlignment="1">
      <alignment horizontal="center" vertical="center"/>
    </xf>
    <xf numFmtId="4" fontId="0" fillId="66" borderId="25" xfId="0" applyNumberFormat="1" applyFill="1" applyBorder="1" applyAlignment="1">
      <alignment horizontal="center" vertical="center"/>
    </xf>
    <xf numFmtId="4" fontId="0" fillId="66" borderId="19" xfId="0" applyNumberFormat="1" applyFill="1" applyBorder="1" applyAlignment="1">
      <alignment horizontal="center" vertical="center"/>
    </xf>
    <xf numFmtId="4" fontId="0" fillId="0" borderId="150" xfId="0" applyNumberFormat="1" applyBorder="1" applyAlignment="1">
      <alignment horizontal="center" vertical="center"/>
    </xf>
    <xf numFmtId="4" fontId="0" fillId="0" borderId="19" xfId="0" applyNumberFormat="1" applyBorder="1" applyAlignment="1">
      <alignment horizontal="center" vertical="center"/>
    </xf>
    <xf numFmtId="4" fontId="0" fillId="0" borderId="25" xfId="0" applyNumberFormat="1" applyBorder="1" applyAlignment="1">
      <alignment horizontal="center" vertical="center"/>
    </xf>
    <xf numFmtId="4" fontId="0" fillId="0" borderId="0" xfId="0" applyNumberFormat="1" applyAlignment="1">
      <alignment horizontal="center"/>
    </xf>
    <xf numFmtId="4" fontId="0" fillId="0" borderId="149" xfId="0" applyNumberFormat="1" applyBorder="1" applyAlignment="1">
      <alignment horizontal="center" vertical="center"/>
    </xf>
    <xf numFmtId="0" fontId="9" fillId="0" borderId="0" xfId="970"/>
    <xf numFmtId="0" fontId="31" fillId="48" borderId="148" xfId="1293" applyFont="1" applyFill="1" applyBorder="1" applyAlignment="1">
      <alignment horizontal="right"/>
    </xf>
    <xf numFmtId="0" fontId="31" fillId="70" borderId="148" xfId="1293" applyFont="1" applyFill="1" applyBorder="1" applyAlignment="1">
      <alignment horizontal="right"/>
    </xf>
    <xf numFmtId="0" fontId="31" fillId="70" borderId="154" xfId="1293" applyFont="1" applyFill="1" applyBorder="1" applyAlignment="1">
      <alignment horizontal="right"/>
    </xf>
    <xf numFmtId="0" fontId="31" fillId="70" borderId="153" xfId="1293" applyFont="1" applyFill="1" applyBorder="1" applyAlignment="1">
      <alignment horizontal="right"/>
    </xf>
    <xf numFmtId="0" fontId="9" fillId="0" borderId="47" xfId="1293" applyFont="1" applyFill="1" applyBorder="1" applyAlignment="1">
      <alignment horizontal="left"/>
    </xf>
    <xf numFmtId="0" fontId="15" fillId="0" borderId="0" xfId="1293" applyFont="1" applyFill="1" applyBorder="1" applyAlignment="1">
      <alignment horizontal="center"/>
    </xf>
    <xf numFmtId="0" fontId="27" fillId="0" borderId="0" xfId="1293" applyFont="1" applyFill="1" applyBorder="1" applyAlignment="1">
      <alignment horizontal="center"/>
    </xf>
    <xf numFmtId="0" fontId="10" fillId="0" borderId="0" xfId="1293" applyFont="1" applyFill="1" applyBorder="1" applyAlignment="1">
      <alignment horizontal="center"/>
    </xf>
    <xf numFmtId="0" fontId="142" fillId="0" borderId="0" xfId="1293" applyFont="1" applyFill="1" applyBorder="1" applyAlignment="1">
      <alignment horizontal="left"/>
    </xf>
    <xf numFmtId="0" fontId="10" fillId="0" borderId="24" xfId="992" applyFont="1" applyFill="1" applyBorder="1" applyAlignment="1">
      <alignment horizontal="right" vertical="top"/>
    </xf>
    <xf numFmtId="0" fontId="10" fillId="0" borderId="63" xfId="0" applyFont="1" applyFill="1" applyBorder="1" applyAlignment="1">
      <alignment horizontal="right" vertical="top"/>
    </xf>
    <xf numFmtId="0" fontId="27" fillId="0" borderId="47" xfId="1293" applyFont="1" applyFill="1" applyBorder="1" applyAlignment="1">
      <alignment horizontal="center" vertical="center" wrapText="1"/>
    </xf>
    <xf numFmtId="4" fontId="10" fillId="0" borderId="24" xfId="0" applyNumberFormat="1" applyFont="1" applyFill="1" applyBorder="1" applyAlignment="1">
      <alignment horizontal="right"/>
    </xf>
    <xf numFmtId="4" fontId="10" fillId="0" borderId="45" xfId="0" applyNumberFormat="1" applyFont="1" applyFill="1" applyBorder="1" applyAlignment="1">
      <alignment horizontal="right"/>
    </xf>
    <xf numFmtId="171" fontId="141" fillId="0" borderId="66" xfId="1452" applyFont="1" applyFill="1" applyBorder="1" applyAlignment="1">
      <alignment horizontal="center"/>
    </xf>
    <xf numFmtId="171" fontId="141" fillId="0" borderId="99" xfId="1452" applyFont="1" applyFill="1" applyBorder="1" applyAlignment="1">
      <alignment horizontal="center"/>
    </xf>
    <xf numFmtId="171" fontId="141" fillId="0" borderId="50" xfId="1452" applyFont="1" applyFill="1" applyBorder="1" applyAlignment="1">
      <alignment horizontal="center"/>
    </xf>
    <xf numFmtId="171" fontId="147" fillId="0" borderId="66" xfId="1452" applyFont="1" applyFill="1" applyBorder="1" applyAlignment="1">
      <alignment horizontal="center"/>
    </xf>
    <xf numFmtId="171" fontId="147" fillId="0" borderId="99" xfId="1452" applyFont="1" applyFill="1" applyBorder="1" applyAlignment="1">
      <alignment horizontal="center"/>
    </xf>
    <xf numFmtId="171" fontId="147" fillId="0" borderId="50" xfId="1452" applyFont="1" applyFill="1" applyBorder="1" applyAlignment="1">
      <alignment horizontal="center"/>
    </xf>
    <xf numFmtId="172" fontId="46" fillId="0" borderId="24" xfId="0" applyNumberFormat="1" applyFont="1" applyFill="1" applyBorder="1" applyAlignment="1">
      <alignment horizontal="right"/>
    </xf>
    <xf numFmtId="0" fontId="10" fillId="0" borderId="47" xfId="1489" applyFont="1" applyFill="1" applyBorder="1" applyAlignment="1">
      <alignment horizontal="left" vertical="top"/>
    </xf>
    <xf numFmtId="0" fontId="15" fillId="0" borderId="34" xfId="1293" applyFont="1" applyFill="1" applyBorder="1" applyAlignment="1">
      <alignment horizontal="center"/>
    </xf>
    <xf numFmtId="4" fontId="10" fillId="0" borderId="22" xfId="1051" applyNumberFormat="1" applyFont="1" applyFill="1" applyBorder="1" applyAlignment="1">
      <alignment horizontal="left"/>
    </xf>
    <xf numFmtId="4" fontId="10" fillId="0" borderId="36" xfId="1051" applyNumberFormat="1" applyFont="1" applyFill="1" applyBorder="1" applyAlignment="1">
      <alignment horizontal="left"/>
    </xf>
    <xf numFmtId="4" fontId="10" fillId="0" borderId="138" xfId="1051" applyNumberFormat="1" applyFont="1" applyFill="1" applyBorder="1" applyAlignment="1">
      <alignment horizontal="left"/>
    </xf>
    <xf numFmtId="0" fontId="147" fillId="0" borderId="0" xfId="0" applyFont="1" applyFill="1" applyBorder="1" applyAlignment="1">
      <alignment horizontal="center" vertical="top" wrapText="1"/>
    </xf>
    <xf numFmtId="0" fontId="9" fillId="0" borderId="0" xfId="0" applyFont="1" applyFill="1" applyBorder="1" applyAlignment="1">
      <alignment horizontal="center" wrapText="1"/>
    </xf>
    <xf numFmtId="0" fontId="10" fillId="0" borderId="69" xfId="0" applyFont="1" applyFill="1" applyBorder="1"/>
    <xf numFmtId="0" fontId="9" fillId="0" borderId="0" xfId="0" applyFont="1" applyFill="1" applyAlignment="1">
      <alignment horizontal="center" wrapText="1"/>
    </xf>
    <xf numFmtId="4" fontId="10" fillId="0" borderId="26" xfId="1051" applyNumberFormat="1" applyFont="1" applyFill="1" applyBorder="1" applyAlignment="1">
      <alignment horizontal="left" wrapText="1"/>
    </xf>
    <xf numFmtId="4" fontId="10" fillId="0" borderId="28" xfId="1051" applyNumberFormat="1" applyFont="1" applyFill="1" applyBorder="1" applyAlignment="1">
      <alignment horizontal="left" wrapText="1"/>
    </xf>
    <xf numFmtId="4" fontId="10" fillId="0" borderId="139" xfId="1051" applyNumberFormat="1" applyFont="1" applyFill="1" applyBorder="1" applyAlignment="1">
      <alignment horizontal="left" wrapText="1"/>
    </xf>
    <xf numFmtId="4" fontId="10" fillId="0" borderId="26" xfId="1051" applyNumberFormat="1" applyFont="1" applyFill="1" applyBorder="1" applyAlignment="1">
      <alignment horizontal="left"/>
    </xf>
    <xf numFmtId="4" fontId="10" fillId="0" borderId="28" xfId="1051" applyNumberFormat="1" applyFont="1" applyFill="1" applyBorder="1" applyAlignment="1">
      <alignment horizontal="left"/>
    </xf>
    <xf numFmtId="4" fontId="10" fillId="0" borderId="139" xfId="1051" applyNumberFormat="1" applyFont="1" applyFill="1" applyBorder="1" applyAlignment="1">
      <alignment horizontal="left"/>
    </xf>
    <xf numFmtId="0" fontId="0" fillId="0" borderId="0" xfId="0" applyFill="1"/>
    <xf numFmtId="0" fontId="31" fillId="48" borderId="115" xfId="1293" applyFont="1" applyFill="1" applyBorder="1" applyAlignment="1">
      <alignment horizontal="right"/>
    </xf>
    <xf numFmtId="0" fontId="31" fillId="70" borderId="124" xfId="1293" applyFont="1" applyFill="1" applyBorder="1" applyAlignment="1">
      <alignment horizontal="right"/>
    </xf>
    <xf numFmtId="0" fontId="31" fillId="70" borderId="123" xfId="1293" applyFont="1" applyFill="1" applyBorder="1" applyAlignment="1">
      <alignment horizontal="right"/>
    </xf>
    <xf numFmtId="39" fontId="9" fillId="68" borderId="108" xfId="1047" applyNumberFormat="1" applyFont="1" applyFill="1" applyBorder="1" applyAlignment="1">
      <alignment horizontal="left" vertical="top" wrapText="1"/>
    </xf>
    <xf numFmtId="39" fontId="9" fillId="68" borderId="47" xfId="1047" applyNumberFormat="1" applyFont="1" applyFill="1" applyBorder="1" applyAlignment="1">
      <alignment horizontal="left" vertical="top" wrapText="1"/>
    </xf>
    <xf numFmtId="39" fontId="9" fillId="68" borderId="109" xfId="1047" applyNumberFormat="1" applyFont="1" applyFill="1" applyBorder="1" applyAlignment="1">
      <alignment horizontal="left" vertical="top" wrapText="1"/>
    </xf>
  </cellXfs>
  <cellStyles count="2029">
    <cellStyle name="_x000d__x000a_JournalTemplate=C:\COMFO\CTALK\JOURSTD.TPL_x000d__x000a_LbStateAddress=3 3 0 251 1 89 2 311_x000d__x000a_LbStateJou" xfId="1" xr:uid="{00000000-0005-0000-0000-000000000000}"/>
    <cellStyle name="20% - Accent1" xfId="2" xr:uid="{00000000-0005-0000-0000-000001000000}"/>
    <cellStyle name="20% - Accent1 2" xfId="3" xr:uid="{00000000-0005-0000-0000-000002000000}"/>
    <cellStyle name="20% - Accent1 2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2" xfId="8" xr:uid="{00000000-0005-0000-0000-000007000000}"/>
    <cellStyle name="20% - Accent2 2" xfId="9" xr:uid="{00000000-0005-0000-0000-000008000000}"/>
    <cellStyle name="20% - Accent2 2 2" xfId="10" xr:uid="{00000000-0005-0000-0000-000009000000}"/>
    <cellStyle name="20% - Accent2 3" xfId="11" xr:uid="{00000000-0005-0000-0000-00000A000000}"/>
    <cellStyle name="20% - Accent2 4" xfId="12" xr:uid="{00000000-0005-0000-0000-00000B000000}"/>
    <cellStyle name="20% - Accent2 5" xfId="13" xr:uid="{00000000-0005-0000-0000-00000C000000}"/>
    <cellStyle name="20% - Accent3" xfId="14" xr:uid="{00000000-0005-0000-0000-00000D000000}"/>
    <cellStyle name="20% - Accent3 2" xfId="15" xr:uid="{00000000-0005-0000-0000-00000E000000}"/>
    <cellStyle name="20% - Accent3 2 2" xfId="16" xr:uid="{00000000-0005-0000-0000-00000F000000}"/>
    <cellStyle name="20% - Accent3 3" xfId="17" xr:uid="{00000000-0005-0000-0000-000010000000}"/>
    <cellStyle name="20% - Accent3 4" xfId="18" xr:uid="{00000000-0005-0000-0000-000011000000}"/>
    <cellStyle name="20% - Accent3 5" xfId="19" xr:uid="{00000000-0005-0000-0000-000012000000}"/>
    <cellStyle name="20% - Accent4" xfId="20" xr:uid="{00000000-0005-0000-0000-000013000000}"/>
    <cellStyle name="20% - Accent4 2" xfId="21" xr:uid="{00000000-0005-0000-0000-000014000000}"/>
    <cellStyle name="20% - Accent4 2 2" xfId="22" xr:uid="{00000000-0005-0000-0000-000015000000}"/>
    <cellStyle name="20% - Accent4 3" xfId="23" xr:uid="{00000000-0005-0000-0000-000016000000}"/>
    <cellStyle name="20% - Accent4 4" xfId="24" xr:uid="{00000000-0005-0000-0000-000017000000}"/>
    <cellStyle name="20% - Accent4 5" xfId="25" xr:uid="{00000000-0005-0000-0000-000018000000}"/>
    <cellStyle name="20% - Accent5" xfId="26" xr:uid="{00000000-0005-0000-0000-000019000000}"/>
    <cellStyle name="20% - Accent5 2" xfId="27" xr:uid="{00000000-0005-0000-0000-00001A000000}"/>
    <cellStyle name="20% - Accent6" xfId="28" xr:uid="{00000000-0005-0000-0000-00001B000000}"/>
    <cellStyle name="20% - Accent6 2" xfId="29" xr:uid="{00000000-0005-0000-0000-00001C000000}"/>
    <cellStyle name="20% - Accent6 2 2" xfId="30" xr:uid="{00000000-0005-0000-0000-00001D000000}"/>
    <cellStyle name="20% - Accent6 3" xfId="31" xr:uid="{00000000-0005-0000-0000-00001E000000}"/>
    <cellStyle name="20% - Accent6 4" xfId="32" xr:uid="{00000000-0005-0000-0000-00001F000000}"/>
    <cellStyle name="20% - Accent6 5" xfId="33" xr:uid="{00000000-0005-0000-0000-000020000000}"/>
    <cellStyle name="20% - Énfasis1 2" xfId="34" xr:uid="{00000000-0005-0000-0000-000021000000}"/>
    <cellStyle name="20% - Énfasis1 2 2" xfId="35" xr:uid="{00000000-0005-0000-0000-000022000000}"/>
    <cellStyle name="20% - Énfasis1 3" xfId="36" xr:uid="{00000000-0005-0000-0000-000023000000}"/>
    <cellStyle name="20% - Énfasis1 3 2" xfId="37" xr:uid="{00000000-0005-0000-0000-000024000000}"/>
    <cellStyle name="20% - Énfasis1 4" xfId="38" xr:uid="{00000000-0005-0000-0000-000025000000}"/>
    <cellStyle name="20% - Énfasis2 2" xfId="39" xr:uid="{00000000-0005-0000-0000-000026000000}"/>
    <cellStyle name="20% - Énfasis2 2 2" xfId="40" xr:uid="{00000000-0005-0000-0000-000027000000}"/>
    <cellStyle name="20% - Énfasis2 3" xfId="41" xr:uid="{00000000-0005-0000-0000-000028000000}"/>
    <cellStyle name="20% - Énfasis2 3 2" xfId="42" xr:uid="{00000000-0005-0000-0000-000029000000}"/>
    <cellStyle name="20% - Énfasis2 4" xfId="43" xr:uid="{00000000-0005-0000-0000-00002A000000}"/>
    <cellStyle name="20% - Énfasis3 2" xfId="44" xr:uid="{00000000-0005-0000-0000-00002B000000}"/>
    <cellStyle name="20% - Énfasis3 2 2" xfId="45" xr:uid="{00000000-0005-0000-0000-00002C000000}"/>
    <cellStyle name="20% - Énfasis3 3" xfId="46" xr:uid="{00000000-0005-0000-0000-00002D000000}"/>
    <cellStyle name="20% - Énfasis3 3 2" xfId="47" xr:uid="{00000000-0005-0000-0000-00002E000000}"/>
    <cellStyle name="20% - Énfasis3 4" xfId="48" xr:uid="{00000000-0005-0000-0000-00002F000000}"/>
    <cellStyle name="20% - Énfasis4 2" xfId="49" xr:uid="{00000000-0005-0000-0000-000030000000}"/>
    <cellStyle name="20% - Énfasis4 2 2" xfId="50" xr:uid="{00000000-0005-0000-0000-000031000000}"/>
    <cellStyle name="20% - Énfasis4 3" xfId="51" xr:uid="{00000000-0005-0000-0000-000032000000}"/>
    <cellStyle name="20% - Énfasis4 3 2" xfId="52" xr:uid="{00000000-0005-0000-0000-000033000000}"/>
    <cellStyle name="20% - Énfasis4 4" xfId="53" xr:uid="{00000000-0005-0000-0000-000034000000}"/>
    <cellStyle name="20% - Énfasis5 2" xfId="54" xr:uid="{00000000-0005-0000-0000-000035000000}"/>
    <cellStyle name="20% - Énfasis5 2 2" xfId="55" xr:uid="{00000000-0005-0000-0000-000036000000}"/>
    <cellStyle name="20% - Énfasis5 3" xfId="56" xr:uid="{00000000-0005-0000-0000-000037000000}"/>
    <cellStyle name="20% - Énfasis5 3 2" xfId="57" xr:uid="{00000000-0005-0000-0000-000038000000}"/>
    <cellStyle name="20% - Énfasis5 4" xfId="58" xr:uid="{00000000-0005-0000-0000-000039000000}"/>
    <cellStyle name="20% - Énfasis6 2" xfId="59" xr:uid="{00000000-0005-0000-0000-00003A000000}"/>
    <cellStyle name="20% - Énfasis6 2 2" xfId="60" xr:uid="{00000000-0005-0000-0000-00003B000000}"/>
    <cellStyle name="20% - Énfasis6 3" xfId="61" xr:uid="{00000000-0005-0000-0000-00003C000000}"/>
    <cellStyle name="20% - Énfasis6 3 2" xfId="62" xr:uid="{00000000-0005-0000-0000-00003D000000}"/>
    <cellStyle name="20% - Énfasis6 4" xfId="63" xr:uid="{00000000-0005-0000-0000-00003E000000}"/>
    <cellStyle name="40% - Accent1" xfId="64" xr:uid="{00000000-0005-0000-0000-00003F000000}"/>
    <cellStyle name="40% - Accent1 2" xfId="65" xr:uid="{00000000-0005-0000-0000-000040000000}"/>
    <cellStyle name="40% - Accent1 2 2" xfId="66" xr:uid="{00000000-0005-0000-0000-000041000000}"/>
    <cellStyle name="40% - Accent1 3" xfId="67" xr:uid="{00000000-0005-0000-0000-000042000000}"/>
    <cellStyle name="40% - Accent1 4" xfId="68" xr:uid="{00000000-0005-0000-0000-000043000000}"/>
    <cellStyle name="40% - Accent1 5" xfId="69" xr:uid="{00000000-0005-0000-0000-000044000000}"/>
    <cellStyle name="40% - Accent2" xfId="70" xr:uid="{00000000-0005-0000-0000-000045000000}"/>
    <cellStyle name="40% - Accent2 2" xfId="71" xr:uid="{00000000-0005-0000-0000-000046000000}"/>
    <cellStyle name="40% - Accent3" xfId="72" xr:uid="{00000000-0005-0000-0000-000047000000}"/>
    <cellStyle name="40% - Accent3 2" xfId="73" xr:uid="{00000000-0005-0000-0000-000048000000}"/>
    <cellStyle name="40% - Accent3 2 2" xfId="74" xr:uid="{00000000-0005-0000-0000-000049000000}"/>
    <cellStyle name="40% - Accent3 3" xfId="75" xr:uid="{00000000-0005-0000-0000-00004A000000}"/>
    <cellStyle name="40% - Accent3 4" xfId="76" xr:uid="{00000000-0005-0000-0000-00004B000000}"/>
    <cellStyle name="40% - Accent3 5" xfId="77" xr:uid="{00000000-0005-0000-0000-00004C000000}"/>
    <cellStyle name="40% - Accent4" xfId="78" xr:uid="{00000000-0005-0000-0000-00004D000000}"/>
    <cellStyle name="40% - Accent4 2" xfId="79" xr:uid="{00000000-0005-0000-0000-00004E000000}"/>
    <cellStyle name="40% - Accent4 2 2" xfId="80" xr:uid="{00000000-0005-0000-0000-00004F000000}"/>
    <cellStyle name="40% - Accent4 3" xfId="81" xr:uid="{00000000-0005-0000-0000-000050000000}"/>
    <cellStyle name="40% - Accent4 4" xfId="82" xr:uid="{00000000-0005-0000-0000-000051000000}"/>
    <cellStyle name="40% - Accent4 5" xfId="83" xr:uid="{00000000-0005-0000-0000-000052000000}"/>
    <cellStyle name="40% - Accent5" xfId="84" xr:uid="{00000000-0005-0000-0000-000053000000}"/>
    <cellStyle name="40% - Accent5 2" xfId="85" xr:uid="{00000000-0005-0000-0000-000054000000}"/>
    <cellStyle name="40% - Accent5 2 2" xfId="86" xr:uid="{00000000-0005-0000-0000-000055000000}"/>
    <cellStyle name="40% - Accent5 3" xfId="87" xr:uid="{00000000-0005-0000-0000-000056000000}"/>
    <cellStyle name="40% - Accent5 4" xfId="88" xr:uid="{00000000-0005-0000-0000-000057000000}"/>
    <cellStyle name="40% - Accent5 5" xfId="89" xr:uid="{00000000-0005-0000-0000-000058000000}"/>
    <cellStyle name="40% - Accent6" xfId="90" xr:uid="{00000000-0005-0000-0000-000059000000}"/>
    <cellStyle name="40% - Accent6 2" xfId="91" xr:uid="{00000000-0005-0000-0000-00005A000000}"/>
    <cellStyle name="40% - Accent6 2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Énfasis1 2" xfId="96" xr:uid="{00000000-0005-0000-0000-00005F000000}"/>
    <cellStyle name="40% - Énfasis1 2 2" xfId="97" xr:uid="{00000000-0005-0000-0000-000060000000}"/>
    <cellStyle name="40% - Énfasis1 3" xfId="98" xr:uid="{00000000-0005-0000-0000-000061000000}"/>
    <cellStyle name="40% - Énfasis1 3 2" xfId="99" xr:uid="{00000000-0005-0000-0000-000062000000}"/>
    <cellStyle name="40% - Énfasis1 4" xfId="100" xr:uid="{00000000-0005-0000-0000-000063000000}"/>
    <cellStyle name="40% - Énfasis2 2" xfId="101" xr:uid="{00000000-0005-0000-0000-000064000000}"/>
    <cellStyle name="40% - Énfasis2 2 2" xfId="102" xr:uid="{00000000-0005-0000-0000-000065000000}"/>
    <cellStyle name="40% - Énfasis2 3" xfId="103" xr:uid="{00000000-0005-0000-0000-000066000000}"/>
    <cellStyle name="40% - Énfasis2 3 2" xfId="104" xr:uid="{00000000-0005-0000-0000-000067000000}"/>
    <cellStyle name="40% - Énfasis2 4" xfId="105" xr:uid="{00000000-0005-0000-0000-000068000000}"/>
    <cellStyle name="40% - Énfasis3 2" xfId="106" xr:uid="{00000000-0005-0000-0000-000069000000}"/>
    <cellStyle name="40% - Énfasis3 2 2" xfId="107" xr:uid="{00000000-0005-0000-0000-00006A000000}"/>
    <cellStyle name="40% - Énfasis3 3" xfId="108" xr:uid="{00000000-0005-0000-0000-00006B000000}"/>
    <cellStyle name="40% - Énfasis3 3 2" xfId="109" xr:uid="{00000000-0005-0000-0000-00006C000000}"/>
    <cellStyle name="40% - Énfasis3 4" xfId="110" xr:uid="{00000000-0005-0000-0000-00006D000000}"/>
    <cellStyle name="40% - Énfasis4 2" xfId="111" xr:uid="{00000000-0005-0000-0000-00006E000000}"/>
    <cellStyle name="40% - Énfasis4 2 2" xfId="112" xr:uid="{00000000-0005-0000-0000-00006F000000}"/>
    <cellStyle name="40% - Énfasis4 3" xfId="113" xr:uid="{00000000-0005-0000-0000-000070000000}"/>
    <cellStyle name="40% - Énfasis4 3 2" xfId="114" xr:uid="{00000000-0005-0000-0000-000071000000}"/>
    <cellStyle name="40% - Énfasis4 4" xfId="115" xr:uid="{00000000-0005-0000-0000-000072000000}"/>
    <cellStyle name="40% - Énfasis5 2" xfId="116" xr:uid="{00000000-0005-0000-0000-000073000000}"/>
    <cellStyle name="40% - Énfasis5 2 2" xfId="117" xr:uid="{00000000-0005-0000-0000-000074000000}"/>
    <cellStyle name="40% - Énfasis5 3" xfId="118" xr:uid="{00000000-0005-0000-0000-000075000000}"/>
    <cellStyle name="40% - Énfasis5 3 2" xfId="119" xr:uid="{00000000-0005-0000-0000-000076000000}"/>
    <cellStyle name="40% - Énfasis5 4" xfId="120" xr:uid="{00000000-0005-0000-0000-000077000000}"/>
    <cellStyle name="40% - Énfasis6 2" xfId="121" xr:uid="{00000000-0005-0000-0000-000078000000}"/>
    <cellStyle name="40% - Énfasis6 2 2" xfId="122" xr:uid="{00000000-0005-0000-0000-000079000000}"/>
    <cellStyle name="40% - Énfasis6 3" xfId="123" xr:uid="{00000000-0005-0000-0000-00007A000000}"/>
    <cellStyle name="40% - Énfasis6 3 2" xfId="124" xr:uid="{00000000-0005-0000-0000-00007B000000}"/>
    <cellStyle name="40% - Énfasis6 4" xfId="125" xr:uid="{00000000-0005-0000-0000-00007C000000}"/>
    <cellStyle name="60% - Accent1" xfId="126" xr:uid="{00000000-0005-0000-0000-00007D000000}"/>
    <cellStyle name="60% - Accent1 2" xfId="127" xr:uid="{00000000-0005-0000-0000-00007E000000}"/>
    <cellStyle name="60% - Accent1 2 2" xfId="128" xr:uid="{00000000-0005-0000-0000-00007F000000}"/>
    <cellStyle name="60% - Accent1 3" xfId="129" xr:uid="{00000000-0005-0000-0000-000080000000}"/>
    <cellStyle name="60% - Accent1 4" xfId="130" xr:uid="{00000000-0005-0000-0000-000081000000}"/>
    <cellStyle name="60% - Accent1 5" xfId="131" xr:uid="{00000000-0005-0000-0000-000082000000}"/>
    <cellStyle name="60% - Accent2" xfId="132" xr:uid="{00000000-0005-0000-0000-000083000000}"/>
    <cellStyle name="60% - Accent2 2" xfId="133" xr:uid="{00000000-0005-0000-0000-000084000000}"/>
    <cellStyle name="60% - Accent2 2 2" xfId="134" xr:uid="{00000000-0005-0000-0000-000085000000}"/>
    <cellStyle name="60% - Accent2 3" xfId="135" xr:uid="{00000000-0005-0000-0000-000086000000}"/>
    <cellStyle name="60% - Accent2 4" xfId="136" xr:uid="{00000000-0005-0000-0000-000087000000}"/>
    <cellStyle name="60% - Accent2 5" xfId="137" xr:uid="{00000000-0005-0000-0000-000088000000}"/>
    <cellStyle name="60% - Accent3" xfId="138" xr:uid="{00000000-0005-0000-0000-000089000000}"/>
    <cellStyle name="60% - Accent3 2" xfId="139" xr:uid="{00000000-0005-0000-0000-00008A000000}"/>
    <cellStyle name="60% - Accent3 2 2" xfId="140" xr:uid="{00000000-0005-0000-0000-00008B000000}"/>
    <cellStyle name="60% - Accent3 3" xfId="141" xr:uid="{00000000-0005-0000-0000-00008C000000}"/>
    <cellStyle name="60% - Accent3 4" xfId="142" xr:uid="{00000000-0005-0000-0000-00008D000000}"/>
    <cellStyle name="60% - Accent3 5" xfId="143" xr:uid="{00000000-0005-0000-0000-00008E000000}"/>
    <cellStyle name="60% - Accent4" xfId="144" xr:uid="{00000000-0005-0000-0000-00008F000000}"/>
    <cellStyle name="60% - Accent4 2" xfId="145" xr:uid="{00000000-0005-0000-0000-000090000000}"/>
    <cellStyle name="60% - Accent4 2 2" xfId="146" xr:uid="{00000000-0005-0000-0000-000091000000}"/>
    <cellStyle name="60% - Accent4 3" xfId="147" xr:uid="{00000000-0005-0000-0000-000092000000}"/>
    <cellStyle name="60% - Accent4 4" xfId="148" xr:uid="{00000000-0005-0000-0000-000093000000}"/>
    <cellStyle name="60% - Accent4 5" xfId="149" xr:uid="{00000000-0005-0000-0000-000094000000}"/>
    <cellStyle name="60% - Accent5" xfId="150" xr:uid="{00000000-0005-0000-0000-000095000000}"/>
    <cellStyle name="60% - Accent5 2" xfId="151" xr:uid="{00000000-0005-0000-0000-000096000000}"/>
    <cellStyle name="60% - Accent5 2 2" xfId="152" xr:uid="{00000000-0005-0000-0000-000097000000}"/>
    <cellStyle name="60% - Accent5 3" xfId="153" xr:uid="{00000000-0005-0000-0000-000098000000}"/>
    <cellStyle name="60% - Accent5 4" xfId="154" xr:uid="{00000000-0005-0000-0000-000099000000}"/>
    <cellStyle name="60% - Accent5 5" xfId="155" xr:uid="{00000000-0005-0000-0000-00009A000000}"/>
    <cellStyle name="60% - Accent6" xfId="156" xr:uid="{00000000-0005-0000-0000-00009B000000}"/>
    <cellStyle name="60% - Accent6 2" xfId="157" xr:uid="{00000000-0005-0000-0000-00009C000000}"/>
    <cellStyle name="60% - Accent6 2 2" xfId="158" xr:uid="{00000000-0005-0000-0000-00009D000000}"/>
    <cellStyle name="60% - Accent6 3" xfId="159" xr:uid="{00000000-0005-0000-0000-00009E000000}"/>
    <cellStyle name="60% - Accent6 4" xfId="160" xr:uid="{00000000-0005-0000-0000-00009F000000}"/>
    <cellStyle name="60% - Accent6 5" xfId="161" xr:uid="{00000000-0005-0000-0000-0000A0000000}"/>
    <cellStyle name="60% - Énfasis1 2" xfId="162" xr:uid="{00000000-0005-0000-0000-0000A1000000}"/>
    <cellStyle name="60% - Énfasis1 2 2" xfId="163" xr:uid="{00000000-0005-0000-0000-0000A2000000}"/>
    <cellStyle name="60% - Énfasis1 3" xfId="164" xr:uid="{00000000-0005-0000-0000-0000A3000000}"/>
    <cellStyle name="60% - Énfasis1 3 2" xfId="165" xr:uid="{00000000-0005-0000-0000-0000A4000000}"/>
    <cellStyle name="60% - Énfasis1 4" xfId="166" xr:uid="{00000000-0005-0000-0000-0000A5000000}"/>
    <cellStyle name="60% - Énfasis2 2" xfId="167" xr:uid="{00000000-0005-0000-0000-0000A6000000}"/>
    <cellStyle name="60% - Énfasis2 2 2" xfId="168" xr:uid="{00000000-0005-0000-0000-0000A7000000}"/>
    <cellStyle name="60% - Énfasis2 3" xfId="169" xr:uid="{00000000-0005-0000-0000-0000A8000000}"/>
    <cellStyle name="60% - Énfasis2 3 2" xfId="170" xr:uid="{00000000-0005-0000-0000-0000A9000000}"/>
    <cellStyle name="60% - Énfasis2 4" xfId="171" xr:uid="{00000000-0005-0000-0000-0000AA000000}"/>
    <cellStyle name="60% - Énfasis3 2" xfId="172" xr:uid="{00000000-0005-0000-0000-0000AB000000}"/>
    <cellStyle name="60% - Énfasis3 2 2" xfId="173" xr:uid="{00000000-0005-0000-0000-0000AC000000}"/>
    <cellStyle name="60% - Énfasis3 3" xfId="174" xr:uid="{00000000-0005-0000-0000-0000AD000000}"/>
    <cellStyle name="60% - Énfasis3 3 2" xfId="175" xr:uid="{00000000-0005-0000-0000-0000AE000000}"/>
    <cellStyle name="60% - Énfasis3 4" xfId="176" xr:uid="{00000000-0005-0000-0000-0000AF000000}"/>
    <cellStyle name="60% - Énfasis4 2" xfId="177" xr:uid="{00000000-0005-0000-0000-0000B0000000}"/>
    <cellStyle name="60% - Énfasis4 2 2" xfId="178" xr:uid="{00000000-0005-0000-0000-0000B1000000}"/>
    <cellStyle name="60% - Énfasis4 3" xfId="179" xr:uid="{00000000-0005-0000-0000-0000B2000000}"/>
    <cellStyle name="60% - Énfasis4 3 2" xfId="180" xr:uid="{00000000-0005-0000-0000-0000B3000000}"/>
    <cellStyle name="60% - Énfasis4 4" xfId="181" xr:uid="{00000000-0005-0000-0000-0000B4000000}"/>
    <cellStyle name="60% - Énfasis5 2" xfId="182" xr:uid="{00000000-0005-0000-0000-0000B5000000}"/>
    <cellStyle name="60% - Énfasis5 2 2" xfId="183" xr:uid="{00000000-0005-0000-0000-0000B6000000}"/>
    <cellStyle name="60% - Énfasis5 3" xfId="184" xr:uid="{00000000-0005-0000-0000-0000B7000000}"/>
    <cellStyle name="60% - Énfasis5 3 2" xfId="185" xr:uid="{00000000-0005-0000-0000-0000B8000000}"/>
    <cellStyle name="60% - Énfasis5 4" xfId="186" xr:uid="{00000000-0005-0000-0000-0000B9000000}"/>
    <cellStyle name="60% - Énfasis6 2" xfId="187" xr:uid="{00000000-0005-0000-0000-0000BA000000}"/>
    <cellStyle name="60% - Énfasis6 2 2" xfId="188" xr:uid="{00000000-0005-0000-0000-0000BB000000}"/>
    <cellStyle name="60% - Énfasis6 3" xfId="189" xr:uid="{00000000-0005-0000-0000-0000BC000000}"/>
    <cellStyle name="60% - Énfasis6 3 2" xfId="190" xr:uid="{00000000-0005-0000-0000-0000BD000000}"/>
    <cellStyle name="60% - Énfasis6 4" xfId="191" xr:uid="{00000000-0005-0000-0000-0000BE000000}"/>
    <cellStyle name="Accent1" xfId="192" xr:uid="{00000000-0005-0000-0000-0000BF000000}"/>
    <cellStyle name="Accent1 - 20%" xfId="193" xr:uid="{00000000-0005-0000-0000-0000C0000000}"/>
    <cellStyle name="Accent1 - 20% 2" xfId="194" xr:uid="{00000000-0005-0000-0000-0000C1000000}"/>
    <cellStyle name="Accent1 - 20% 3" xfId="195" xr:uid="{00000000-0005-0000-0000-0000C2000000}"/>
    <cellStyle name="Accent1 - 40%" xfId="196" xr:uid="{00000000-0005-0000-0000-0000C3000000}"/>
    <cellStyle name="Accent1 - 40% 2" xfId="197" xr:uid="{00000000-0005-0000-0000-0000C4000000}"/>
    <cellStyle name="Accent1 - 40% 3" xfId="198" xr:uid="{00000000-0005-0000-0000-0000C5000000}"/>
    <cellStyle name="Accent1 - 60%" xfId="199" xr:uid="{00000000-0005-0000-0000-0000C6000000}"/>
    <cellStyle name="Accent1 - 60% 2" xfId="200" xr:uid="{00000000-0005-0000-0000-0000C7000000}"/>
    <cellStyle name="Accent1 - 60% 3" xfId="201" xr:uid="{00000000-0005-0000-0000-0000C8000000}"/>
    <cellStyle name="Accent1 10" xfId="202" xr:uid="{00000000-0005-0000-0000-0000C9000000}"/>
    <cellStyle name="Accent1 11" xfId="203" xr:uid="{00000000-0005-0000-0000-0000CA000000}"/>
    <cellStyle name="Accent1 12" xfId="204" xr:uid="{00000000-0005-0000-0000-0000CB000000}"/>
    <cellStyle name="Accent1 13" xfId="205" xr:uid="{00000000-0005-0000-0000-0000CC000000}"/>
    <cellStyle name="Accent1 14" xfId="206" xr:uid="{00000000-0005-0000-0000-0000CD000000}"/>
    <cellStyle name="Accent1 15" xfId="207" xr:uid="{00000000-0005-0000-0000-0000CE000000}"/>
    <cellStyle name="Accent1 16" xfId="208" xr:uid="{00000000-0005-0000-0000-0000CF000000}"/>
    <cellStyle name="Accent1 17" xfId="209" xr:uid="{00000000-0005-0000-0000-0000D0000000}"/>
    <cellStyle name="Accent1 18" xfId="210" xr:uid="{00000000-0005-0000-0000-0000D1000000}"/>
    <cellStyle name="Accent1 19" xfId="211" xr:uid="{00000000-0005-0000-0000-0000D2000000}"/>
    <cellStyle name="Accent1 2" xfId="212" xr:uid="{00000000-0005-0000-0000-0000D3000000}"/>
    <cellStyle name="Accent1 2 2" xfId="213" xr:uid="{00000000-0005-0000-0000-0000D4000000}"/>
    <cellStyle name="Accent1 20" xfId="214" xr:uid="{00000000-0005-0000-0000-0000D5000000}"/>
    <cellStyle name="Accent1 21" xfId="215" xr:uid="{00000000-0005-0000-0000-0000D6000000}"/>
    <cellStyle name="Accent1 22" xfId="1445" xr:uid="{00000000-0005-0000-0000-0000D7000000}"/>
    <cellStyle name="Accent1 23" xfId="1469" xr:uid="{00000000-0005-0000-0000-0000D8000000}"/>
    <cellStyle name="Accent1 24" xfId="1478" xr:uid="{00000000-0005-0000-0000-0000D9000000}"/>
    <cellStyle name="Accent1 3" xfId="216" xr:uid="{00000000-0005-0000-0000-0000DA000000}"/>
    <cellStyle name="Accent1 4" xfId="217" xr:uid="{00000000-0005-0000-0000-0000DB000000}"/>
    <cellStyle name="Accent1 5" xfId="218" xr:uid="{00000000-0005-0000-0000-0000DC000000}"/>
    <cellStyle name="Accent1 6" xfId="219" xr:uid="{00000000-0005-0000-0000-0000DD000000}"/>
    <cellStyle name="Accent1 7" xfId="220" xr:uid="{00000000-0005-0000-0000-0000DE000000}"/>
    <cellStyle name="Accent1 8" xfId="221" xr:uid="{00000000-0005-0000-0000-0000DF000000}"/>
    <cellStyle name="Accent1 9" xfId="222" xr:uid="{00000000-0005-0000-0000-0000E0000000}"/>
    <cellStyle name="Accent1_ANALISIS PARA PRESENTAR OPRET" xfId="223" xr:uid="{00000000-0005-0000-0000-0000E1000000}"/>
    <cellStyle name="Accent2" xfId="224" xr:uid="{00000000-0005-0000-0000-0000E2000000}"/>
    <cellStyle name="Accent2 - 20%" xfId="225" xr:uid="{00000000-0005-0000-0000-0000E3000000}"/>
    <cellStyle name="Accent2 - 20% 2" xfId="226" xr:uid="{00000000-0005-0000-0000-0000E4000000}"/>
    <cellStyle name="Accent2 - 20% 3" xfId="227" xr:uid="{00000000-0005-0000-0000-0000E5000000}"/>
    <cellStyle name="Accent2 - 40%" xfId="228" xr:uid="{00000000-0005-0000-0000-0000E6000000}"/>
    <cellStyle name="Accent2 - 40% 2" xfId="229" xr:uid="{00000000-0005-0000-0000-0000E7000000}"/>
    <cellStyle name="Accent2 - 60%" xfId="230" xr:uid="{00000000-0005-0000-0000-0000E8000000}"/>
    <cellStyle name="Accent2 - 60% 2" xfId="231" xr:uid="{00000000-0005-0000-0000-0000E9000000}"/>
    <cellStyle name="Accent2 10" xfId="232" xr:uid="{00000000-0005-0000-0000-0000EA000000}"/>
    <cellStyle name="Accent2 11" xfId="233" xr:uid="{00000000-0005-0000-0000-0000EB000000}"/>
    <cellStyle name="Accent2 12" xfId="234" xr:uid="{00000000-0005-0000-0000-0000EC000000}"/>
    <cellStyle name="Accent2 13" xfId="235" xr:uid="{00000000-0005-0000-0000-0000ED000000}"/>
    <cellStyle name="Accent2 14" xfId="236" xr:uid="{00000000-0005-0000-0000-0000EE000000}"/>
    <cellStyle name="Accent2 15" xfId="237" xr:uid="{00000000-0005-0000-0000-0000EF000000}"/>
    <cellStyle name="Accent2 16" xfId="238" xr:uid="{00000000-0005-0000-0000-0000F0000000}"/>
    <cellStyle name="Accent2 17" xfId="239" xr:uid="{00000000-0005-0000-0000-0000F1000000}"/>
    <cellStyle name="Accent2 18" xfId="240" xr:uid="{00000000-0005-0000-0000-0000F2000000}"/>
    <cellStyle name="Accent2 19" xfId="241" xr:uid="{00000000-0005-0000-0000-0000F3000000}"/>
    <cellStyle name="Accent2 2" xfId="242" xr:uid="{00000000-0005-0000-0000-0000F4000000}"/>
    <cellStyle name="Accent2 2 2" xfId="243" xr:uid="{00000000-0005-0000-0000-0000F5000000}"/>
    <cellStyle name="Accent2 20" xfId="244" xr:uid="{00000000-0005-0000-0000-0000F6000000}"/>
    <cellStyle name="Accent2 21" xfId="245" xr:uid="{00000000-0005-0000-0000-0000F7000000}"/>
    <cellStyle name="Accent2 22" xfId="1446" xr:uid="{00000000-0005-0000-0000-0000F8000000}"/>
    <cellStyle name="Accent2 23" xfId="1468" xr:uid="{00000000-0005-0000-0000-0000F9000000}"/>
    <cellStyle name="Accent2 24" xfId="1477" xr:uid="{00000000-0005-0000-0000-0000FA000000}"/>
    <cellStyle name="Accent2 3" xfId="246" xr:uid="{00000000-0005-0000-0000-0000FB000000}"/>
    <cellStyle name="Accent2 4" xfId="247" xr:uid="{00000000-0005-0000-0000-0000FC000000}"/>
    <cellStyle name="Accent2 5" xfId="248" xr:uid="{00000000-0005-0000-0000-0000FD000000}"/>
    <cellStyle name="Accent2 6" xfId="249" xr:uid="{00000000-0005-0000-0000-0000FE000000}"/>
    <cellStyle name="Accent2 7" xfId="250" xr:uid="{00000000-0005-0000-0000-0000FF000000}"/>
    <cellStyle name="Accent2 8" xfId="251" xr:uid="{00000000-0005-0000-0000-000000010000}"/>
    <cellStyle name="Accent2 9" xfId="252" xr:uid="{00000000-0005-0000-0000-000001010000}"/>
    <cellStyle name="Accent2_ANALISIS PARA PRESENTAR OPRET" xfId="253" xr:uid="{00000000-0005-0000-0000-000002010000}"/>
    <cellStyle name="Accent3" xfId="254" xr:uid="{00000000-0005-0000-0000-000003010000}"/>
    <cellStyle name="Accent3 - 20%" xfId="255" xr:uid="{00000000-0005-0000-0000-000004010000}"/>
    <cellStyle name="Accent3 - 20% 2" xfId="256" xr:uid="{00000000-0005-0000-0000-000005010000}"/>
    <cellStyle name="Accent3 - 20% 3" xfId="257" xr:uid="{00000000-0005-0000-0000-000006010000}"/>
    <cellStyle name="Accent3 - 40%" xfId="258" xr:uid="{00000000-0005-0000-0000-000007010000}"/>
    <cellStyle name="Accent3 - 40% 2" xfId="259" xr:uid="{00000000-0005-0000-0000-000008010000}"/>
    <cellStyle name="Accent3 - 40% 3" xfId="260" xr:uid="{00000000-0005-0000-0000-000009010000}"/>
    <cellStyle name="Accent3 - 60%" xfId="261" xr:uid="{00000000-0005-0000-0000-00000A010000}"/>
    <cellStyle name="Accent3 - 60% 2" xfId="262" xr:uid="{00000000-0005-0000-0000-00000B010000}"/>
    <cellStyle name="Accent3 10" xfId="263" xr:uid="{00000000-0005-0000-0000-00000C010000}"/>
    <cellStyle name="Accent3 11" xfId="264" xr:uid="{00000000-0005-0000-0000-00000D010000}"/>
    <cellStyle name="Accent3 12" xfId="265" xr:uid="{00000000-0005-0000-0000-00000E010000}"/>
    <cellStyle name="Accent3 13" xfId="266" xr:uid="{00000000-0005-0000-0000-00000F010000}"/>
    <cellStyle name="Accent3 14" xfId="267" xr:uid="{00000000-0005-0000-0000-000010010000}"/>
    <cellStyle name="Accent3 15" xfId="268" xr:uid="{00000000-0005-0000-0000-000011010000}"/>
    <cellStyle name="Accent3 16" xfId="269" xr:uid="{00000000-0005-0000-0000-000012010000}"/>
    <cellStyle name="Accent3 17" xfId="270" xr:uid="{00000000-0005-0000-0000-000013010000}"/>
    <cellStyle name="Accent3 18" xfId="271" xr:uid="{00000000-0005-0000-0000-000014010000}"/>
    <cellStyle name="Accent3 19" xfId="272" xr:uid="{00000000-0005-0000-0000-000015010000}"/>
    <cellStyle name="Accent3 2" xfId="273" xr:uid="{00000000-0005-0000-0000-000016010000}"/>
    <cellStyle name="Accent3 2 2" xfId="274" xr:uid="{00000000-0005-0000-0000-000017010000}"/>
    <cellStyle name="Accent3 20" xfId="275" xr:uid="{00000000-0005-0000-0000-000018010000}"/>
    <cellStyle name="Accent3 21" xfId="276" xr:uid="{00000000-0005-0000-0000-000019010000}"/>
    <cellStyle name="Accent3 22" xfId="1447" xr:uid="{00000000-0005-0000-0000-00001A010000}"/>
    <cellStyle name="Accent3 23" xfId="1467" xr:uid="{00000000-0005-0000-0000-00001B010000}"/>
    <cellStyle name="Accent3 24" xfId="1476" xr:uid="{00000000-0005-0000-0000-00001C010000}"/>
    <cellStyle name="Accent3 3" xfId="277" xr:uid="{00000000-0005-0000-0000-00001D010000}"/>
    <cellStyle name="Accent3 4" xfId="278" xr:uid="{00000000-0005-0000-0000-00001E010000}"/>
    <cellStyle name="Accent3 5" xfId="279" xr:uid="{00000000-0005-0000-0000-00001F010000}"/>
    <cellStyle name="Accent3 6" xfId="280" xr:uid="{00000000-0005-0000-0000-000020010000}"/>
    <cellStyle name="Accent3 7" xfId="281" xr:uid="{00000000-0005-0000-0000-000021010000}"/>
    <cellStyle name="Accent3 8" xfId="282" xr:uid="{00000000-0005-0000-0000-000022010000}"/>
    <cellStyle name="Accent3 9" xfId="283" xr:uid="{00000000-0005-0000-0000-000023010000}"/>
    <cellStyle name="Accent3_ANALISIS PARA PRESENTAR OPRET" xfId="284" xr:uid="{00000000-0005-0000-0000-000024010000}"/>
    <cellStyle name="Accent4" xfId="285" xr:uid="{00000000-0005-0000-0000-000025010000}"/>
    <cellStyle name="Accent4 - 20%" xfId="286" xr:uid="{00000000-0005-0000-0000-000026010000}"/>
    <cellStyle name="Accent4 - 20% 2" xfId="287" xr:uid="{00000000-0005-0000-0000-000027010000}"/>
    <cellStyle name="Accent4 - 20% 3" xfId="288" xr:uid="{00000000-0005-0000-0000-000028010000}"/>
    <cellStyle name="Accent4 - 40%" xfId="289" xr:uid="{00000000-0005-0000-0000-000029010000}"/>
    <cellStyle name="Accent4 - 40% 2" xfId="290" xr:uid="{00000000-0005-0000-0000-00002A010000}"/>
    <cellStyle name="Accent4 - 60%" xfId="291" xr:uid="{00000000-0005-0000-0000-00002B010000}"/>
    <cellStyle name="Accent4 - 60% 2" xfId="292" xr:uid="{00000000-0005-0000-0000-00002C010000}"/>
    <cellStyle name="Accent4 - 60% 3" xfId="293" xr:uid="{00000000-0005-0000-0000-00002D010000}"/>
    <cellStyle name="Accent4 10" xfId="294" xr:uid="{00000000-0005-0000-0000-00002E010000}"/>
    <cellStyle name="Accent4 11" xfId="295" xr:uid="{00000000-0005-0000-0000-00002F010000}"/>
    <cellStyle name="Accent4 12" xfId="296" xr:uid="{00000000-0005-0000-0000-000030010000}"/>
    <cellStyle name="Accent4 13" xfId="297" xr:uid="{00000000-0005-0000-0000-000031010000}"/>
    <cellStyle name="Accent4 14" xfId="298" xr:uid="{00000000-0005-0000-0000-000032010000}"/>
    <cellStyle name="Accent4 15" xfId="299" xr:uid="{00000000-0005-0000-0000-000033010000}"/>
    <cellStyle name="Accent4 16" xfId="300" xr:uid="{00000000-0005-0000-0000-000034010000}"/>
    <cellStyle name="Accent4 17" xfId="301" xr:uid="{00000000-0005-0000-0000-000035010000}"/>
    <cellStyle name="Accent4 18" xfId="302" xr:uid="{00000000-0005-0000-0000-000036010000}"/>
    <cellStyle name="Accent4 19" xfId="303" xr:uid="{00000000-0005-0000-0000-000037010000}"/>
    <cellStyle name="Accent4 2" xfId="304" xr:uid="{00000000-0005-0000-0000-000038010000}"/>
    <cellStyle name="Accent4 2 2" xfId="305" xr:uid="{00000000-0005-0000-0000-000039010000}"/>
    <cellStyle name="Accent4 20" xfId="306" xr:uid="{00000000-0005-0000-0000-00003A010000}"/>
    <cellStyle name="Accent4 21" xfId="307" xr:uid="{00000000-0005-0000-0000-00003B010000}"/>
    <cellStyle name="Accent4 22" xfId="1448" xr:uid="{00000000-0005-0000-0000-00003C010000}"/>
    <cellStyle name="Accent4 23" xfId="1466" xr:uid="{00000000-0005-0000-0000-00003D010000}"/>
    <cellStyle name="Accent4 24" xfId="1475" xr:uid="{00000000-0005-0000-0000-00003E010000}"/>
    <cellStyle name="Accent4 3" xfId="308" xr:uid="{00000000-0005-0000-0000-00003F010000}"/>
    <cellStyle name="Accent4 4" xfId="309" xr:uid="{00000000-0005-0000-0000-000040010000}"/>
    <cellStyle name="Accent4 5" xfId="310" xr:uid="{00000000-0005-0000-0000-000041010000}"/>
    <cellStyle name="Accent4 6" xfId="311" xr:uid="{00000000-0005-0000-0000-000042010000}"/>
    <cellStyle name="Accent4 7" xfId="312" xr:uid="{00000000-0005-0000-0000-000043010000}"/>
    <cellStyle name="Accent4 8" xfId="313" xr:uid="{00000000-0005-0000-0000-000044010000}"/>
    <cellStyle name="Accent4 9" xfId="314" xr:uid="{00000000-0005-0000-0000-000045010000}"/>
    <cellStyle name="Accent4_ANALISIS PARA PRESENTAR OPRET" xfId="315" xr:uid="{00000000-0005-0000-0000-000046010000}"/>
    <cellStyle name="Accent5" xfId="316" xr:uid="{00000000-0005-0000-0000-000047010000}"/>
    <cellStyle name="Accent5 - 20%" xfId="317" xr:uid="{00000000-0005-0000-0000-000048010000}"/>
    <cellStyle name="Accent5 - 20% 2" xfId="318" xr:uid="{00000000-0005-0000-0000-000049010000}"/>
    <cellStyle name="Accent5 - 20% 3" xfId="319" xr:uid="{00000000-0005-0000-0000-00004A010000}"/>
    <cellStyle name="Accent5 - 40%" xfId="320" xr:uid="{00000000-0005-0000-0000-00004B010000}"/>
    <cellStyle name="Accent5 - 40% 2" xfId="321" xr:uid="{00000000-0005-0000-0000-00004C010000}"/>
    <cellStyle name="Accent5 - 40% 3" xfId="322" xr:uid="{00000000-0005-0000-0000-00004D010000}"/>
    <cellStyle name="Accent5 - 60%" xfId="323" xr:uid="{00000000-0005-0000-0000-00004E010000}"/>
    <cellStyle name="Accent5 - 60% 2" xfId="324" xr:uid="{00000000-0005-0000-0000-00004F010000}"/>
    <cellStyle name="Accent5 - 60% 3" xfId="325" xr:uid="{00000000-0005-0000-0000-000050010000}"/>
    <cellStyle name="Accent5 2" xfId="326" xr:uid="{00000000-0005-0000-0000-000051010000}"/>
    <cellStyle name="Accent5_ANALISIS PARA PRESENTAR OPRET" xfId="327" xr:uid="{00000000-0005-0000-0000-000052010000}"/>
    <cellStyle name="Accent6" xfId="328" xr:uid="{00000000-0005-0000-0000-000053010000}"/>
    <cellStyle name="Accent6 - 20%" xfId="329" xr:uid="{00000000-0005-0000-0000-000054010000}"/>
    <cellStyle name="Accent6 - 20% 2" xfId="330" xr:uid="{00000000-0005-0000-0000-000055010000}"/>
    <cellStyle name="Accent6 - 20% 3" xfId="331" xr:uid="{00000000-0005-0000-0000-000056010000}"/>
    <cellStyle name="Accent6 - 40%" xfId="332" xr:uid="{00000000-0005-0000-0000-000057010000}"/>
    <cellStyle name="Accent6 - 40% 2" xfId="333" xr:uid="{00000000-0005-0000-0000-000058010000}"/>
    <cellStyle name="Accent6 - 40% 3" xfId="334" xr:uid="{00000000-0005-0000-0000-000059010000}"/>
    <cellStyle name="Accent6 - 60%" xfId="335" xr:uid="{00000000-0005-0000-0000-00005A010000}"/>
    <cellStyle name="Accent6 - 60% 2" xfId="336" xr:uid="{00000000-0005-0000-0000-00005B010000}"/>
    <cellStyle name="Accent6 - 60% 3" xfId="337" xr:uid="{00000000-0005-0000-0000-00005C010000}"/>
    <cellStyle name="Accent6 10" xfId="338" xr:uid="{00000000-0005-0000-0000-00005D010000}"/>
    <cellStyle name="Accent6 11" xfId="339" xr:uid="{00000000-0005-0000-0000-00005E010000}"/>
    <cellStyle name="Accent6 12" xfId="340" xr:uid="{00000000-0005-0000-0000-00005F010000}"/>
    <cellStyle name="Accent6 13" xfId="341" xr:uid="{00000000-0005-0000-0000-000060010000}"/>
    <cellStyle name="Accent6 14" xfId="342" xr:uid="{00000000-0005-0000-0000-000061010000}"/>
    <cellStyle name="Accent6 15" xfId="343" xr:uid="{00000000-0005-0000-0000-000062010000}"/>
    <cellStyle name="Accent6 16" xfId="344" xr:uid="{00000000-0005-0000-0000-000063010000}"/>
    <cellStyle name="Accent6 17" xfId="345" xr:uid="{00000000-0005-0000-0000-000064010000}"/>
    <cellStyle name="Accent6 18" xfId="346" xr:uid="{00000000-0005-0000-0000-000065010000}"/>
    <cellStyle name="Accent6 19" xfId="347" xr:uid="{00000000-0005-0000-0000-000066010000}"/>
    <cellStyle name="Accent6 2" xfId="348" xr:uid="{00000000-0005-0000-0000-000067010000}"/>
    <cellStyle name="Accent6 2 2" xfId="349" xr:uid="{00000000-0005-0000-0000-000068010000}"/>
    <cellStyle name="Accent6 20" xfId="350" xr:uid="{00000000-0005-0000-0000-000069010000}"/>
    <cellStyle name="Accent6 21" xfId="351" xr:uid="{00000000-0005-0000-0000-00006A010000}"/>
    <cellStyle name="Accent6 22" xfId="1449" xr:uid="{00000000-0005-0000-0000-00006B010000}"/>
    <cellStyle name="Accent6 23" xfId="1463" xr:uid="{00000000-0005-0000-0000-00006C010000}"/>
    <cellStyle name="Accent6 24" xfId="1474" xr:uid="{00000000-0005-0000-0000-00006D010000}"/>
    <cellStyle name="Accent6 3" xfId="352" xr:uid="{00000000-0005-0000-0000-00006E010000}"/>
    <cellStyle name="Accent6 4" xfId="353" xr:uid="{00000000-0005-0000-0000-00006F010000}"/>
    <cellStyle name="Accent6 5" xfId="354" xr:uid="{00000000-0005-0000-0000-000070010000}"/>
    <cellStyle name="Accent6 6" xfId="355" xr:uid="{00000000-0005-0000-0000-000071010000}"/>
    <cellStyle name="Accent6 7" xfId="356" xr:uid="{00000000-0005-0000-0000-000072010000}"/>
    <cellStyle name="Accent6 8" xfId="357" xr:uid="{00000000-0005-0000-0000-000073010000}"/>
    <cellStyle name="Accent6 9" xfId="358" xr:uid="{00000000-0005-0000-0000-000074010000}"/>
    <cellStyle name="Accent6_ANALISIS PARA PRESENTAR OPRET" xfId="359" xr:uid="{00000000-0005-0000-0000-000075010000}"/>
    <cellStyle name="Bad" xfId="360" xr:uid="{00000000-0005-0000-0000-000076010000}"/>
    <cellStyle name="Bad 2" xfId="361" xr:uid="{00000000-0005-0000-0000-000077010000}"/>
    <cellStyle name="Bad 2 2" xfId="362" xr:uid="{00000000-0005-0000-0000-000078010000}"/>
    <cellStyle name="Bad 3" xfId="363" xr:uid="{00000000-0005-0000-0000-000079010000}"/>
    <cellStyle name="Bad 4" xfId="364" xr:uid="{00000000-0005-0000-0000-00007A010000}"/>
    <cellStyle name="Bad 5" xfId="365" xr:uid="{00000000-0005-0000-0000-00007B010000}"/>
    <cellStyle name="Buena 2" xfId="366" xr:uid="{00000000-0005-0000-0000-00007C010000}"/>
    <cellStyle name="Buena 2 2" xfId="367" xr:uid="{00000000-0005-0000-0000-00007D010000}"/>
    <cellStyle name="Buena 3" xfId="368" xr:uid="{00000000-0005-0000-0000-00007E010000}"/>
    <cellStyle name="Buena 3 2" xfId="369" xr:uid="{00000000-0005-0000-0000-00007F010000}"/>
    <cellStyle name="Buena 4" xfId="370" xr:uid="{00000000-0005-0000-0000-000080010000}"/>
    <cellStyle name="Calculation" xfId="371" xr:uid="{00000000-0005-0000-0000-000081010000}"/>
    <cellStyle name="Calculation 2" xfId="372" xr:uid="{00000000-0005-0000-0000-000082010000}"/>
    <cellStyle name="Calculation 2 2" xfId="373" xr:uid="{00000000-0005-0000-0000-000083010000}"/>
    <cellStyle name="Calculation 2 2 2" xfId="1507" xr:uid="{00000000-0005-0000-0000-000084010000}"/>
    <cellStyle name="Calculation 2 3" xfId="1506" xr:uid="{00000000-0005-0000-0000-000085010000}"/>
    <cellStyle name="Calculation 3" xfId="374" xr:uid="{00000000-0005-0000-0000-000086010000}"/>
    <cellStyle name="Calculation 3 2" xfId="1508" xr:uid="{00000000-0005-0000-0000-000087010000}"/>
    <cellStyle name="Calculation 4" xfId="375" xr:uid="{00000000-0005-0000-0000-000088010000}"/>
    <cellStyle name="Calculation 4 2" xfId="1509" xr:uid="{00000000-0005-0000-0000-000089010000}"/>
    <cellStyle name="Calculation 5" xfId="376" xr:uid="{00000000-0005-0000-0000-00008A010000}"/>
    <cellStyle name="Calculation 5 2" xfId="1510" xr:uid="{00000000-0005-0000-0000-00008B010000}"/>
    <cellStyle name="Calculation 6" xfId="1505" xr:uid="{00000000-0005-0000-0000-00008C010000}"/>
    <cellStyle name="Cálculo 2" xfId="377" xr:uid="{00000000-0005-0000-0000-00008D010000}"/>
    <cellStyle name="Cálculo 2 2" xfId="378" xr:uid="{00000000-0005-0000-0000-00008E010000}"/>
    <cellStyle name="Cálculo 2 2 2" xfId="1512" xr:uid="{00000000-0005-0000-0000-00008F010000}"/>
    <cellStyle name="Cálculo 2 3" xfId="1511" xr:uid="{00000000-0005-0000-0000-000090010000}"/>
    <cellStyle name="Cálculo 3" xfId="379" xr:uid="{00000000-0005-0000-0000-000091010000}"/>
    <cellStyle name="Cálculo 3 2" xfId="380" xr:uid="{00000000-0005-0000-0000-000092010000}"/>
    <cellStyle name="Cálculo 3 2 2" xfId="1514" xr:uid="{00000000-0005-0000-0000-000093010000}"/>
    <cellStyle name="Cálculo 3 3" xfId="1513" xr:uid="{00000000-0005-0000-0000-000094010000}"/>
    <cellStyle name="Cálculo 4" xfId="381" xr:uid="{00000000-0005-0000-0000-000095010000}"/>
    <cellStyle name="Cálculo 4 2" xfId="1515" xr:uid="{00000000-0005-0000-0000-000096010000}"/>
    <cellStyle name="Celda de comprobación 2" xfId="382" xr:uid="{00000000-0005-0000-0000-000097010000}"/>
    <cellStyle name="Celda de comprobación 2 2" xfId="383" xr:uid="{00000000-0005-0000-0000-000098010000}"/>
    <cellStyle name="Celda de comprobación 3" xfId="384" xr:uid="{00000000-0005-0000-0000-000099010000}"/>
    <cellStyle name="Celda de comprobación 3 2" xfId="385" xr:uid="{00000000-0005-0000-0000-00009A010000}"/>
    <cellStyle name="Celda de comprobación 4" xfId="386" xr:uid="{00000000-0005-0000-0000-00009B010000}"/>
    <cellStyle name="Celda vinculada 2" xfId="387" xr:uid="{00000000-0005-0000-0000-00009C010000}"/>
    <cellStyle name="Celda vinculada 2 2" xfId="388" xr:uid="{00000000-0005-0000-0000-00009D010000}"/>
    <cellStyle name="Celda vinculada 2 2 2" xfId="1771" xr:uid="{00000000-0005-0000-0000-00009E010000}"/>
    <cellStyle name="Celda vinculada 2 3" xfId="1770" xr:uid="{00000000-0005-0000-0000-00009F010000}"/>
    <cellStyle name="Celda vinculada 3" xfId="389" xr:uid="{00000000-0005-0000-0000-0000A0010000}"/>
    <cellStyle name="Celda vinculada 3 2" xfId="390" xr:uid="{00000000-0005-0000-0000-0000A1010000}"/>
    <cellStyle name="Celda vinculada 3 2 2" xfId="1773" xr:uid="{00000000-0005-0000-0000-0000A2010000}"/>
    <cellStyle name="Celda vinculada 3 3" xfId="1772" xr:uid="{00000000-0005-0000-0000-0000A3010000}"/>
    <cellStyle name="Celda vinculada 4" xfId="391" xr:uid="{00000000-0005-0000-0000-0000A4010000}"/>
    <cellStyle name="Celda vinculada 4 2" xfId="1774" xr:uid="{00000000-0005-0000-0000-0000A5010000}"/>
    <cellStyle name="Check Cell" xfId="392" xr:uid="{00000000-0005-0000-0000-0000A6010000}"/>
    <cellStyle name="Check Cell 2" xfId="393" xr:uid="{00000000-0005-0000-0000-0000A7010000}"/>
    <cellStyle name="Comma 10" xfId="394" xr:uid="{00000000-0005-0000-0000-0000A8010000}"/>
    <cellStyle name="Comma 11" xfId="395" xr:uid="{00000000-0005-0000-0000-0000A9010000}"/>
    <cellStyle name="Comma 12" xfId="396" xr:uid="{00000000-0005-0000-0000-0000AA010000}"/>
    <cellStyle name="Comma 13" xfId="397" xr:uid="{00000000-0005-0000-0000-0000AB010000}"/>
    <cellStyle name="Comma 14" xfId="1756" xr:uid="{00000000-0005-0000-0000-0000AC010000}"/>
    <cellStyle name="Comma 2" xfId="398" xr:uid="{00000000-0005-0000-0000-0000AD010000}"/>
    <cellStyle name="Comma 2 10" xfId="399" xr:uid="{00000000-0005-0000-0000-0000AE010000}"/>
    <cellStyle name="Comma 2 10 2" xfId="1516" xr:uid="{00000000-0005-0000-0000-0000AF010000}"/>
    <cellStyle name="Comma 2 11" xfId="400" xr:uid="{00000000-0005-0000-0000-0000B0010000}"/>
    <cellStyle name="Comma 2 12" xfId="401" xr:uid="{00000000-0005-0000-0000-0000B1010000}"/>
    <cellStyle name="Comma 2 12 2" xfId="1517" xr:uid="{00000000-0005-0000-0000-0000B2010000}"/>
    <cellStyle name="Comma 2 13" xfId="402" xr:uid="{00000000-0005-0000-0000-0000B3010000}"/>
    <cellStyle name="Comma 2 14" xfId="403" xr:uid="{00000000-0005-0000-0000-0000B4010000}"/>
    <cellStyle name="Comma 2 15" xfId="404" xr:uid="{00000000-0005-0000-0000-0000B5010000}"/>
    <cellStyle name="Comma 2 2" xfId="405" xr:uid="{00000000-0005-0000-0000-0000B6010000}"/>
    <cellStyle name="Comma 2 2 2" xfId="406" xr:uid="{00000000-0005-0000-0000-0000B7010000}"/>
    <cellStyle name="Comma 2 2 3" xfId="407" xr:uid="{00000000-0005-0000-0000-0000B8010000}"/>
    <cellStyle name="Comma 2 2 3 2" xfId="408" xr:uid="{00000000-0005-0000-0000-0000B9010000}"/>
    <cellStyle name="Comma 2 2 3 2 2" xfId="1519" xr:uid="{00000000-0005-0000-0000-0000BA010000}"/>
    <cellStyle name="Comma 2 2 3 3" xfId="1518" xr:uid="{00000000-0005-0000-0000-0000BB010000}"/>
    <cellStyle name="Comma 2 2 4" xfId="409" xr:uid="{00000000-0005-0000-0000-0000BC010000}"/>
    <cellStyle name="Comma 2 2 5" xfId="410" xr:uid="{00000000-0005-0000-0000-0000BD010000}"/>
    <cellStyle name="Comma 2 2 6" xfId="411" xr:uid="{00000000-0005-0000-0000-0000BE010000}"/>
    <cellStyle name="Comma 2 3" xfId="412" xr:uid="{00000000-0005-0000-0000-0000BF010000}"/>
    <cellStyle name="Comma 2 3 2" xfId="413" xr:uid="{00000000-0005-0000-0000-0000C0010000}"/>
    <cellStyle name="Comma 2 3 3" xfId="414" xr:uid="{00000000-0005-0000-0000-0000C1010000}"/>
    <cellStyle name="Comma 2 3 3 2" xfId="415" xr:uid="{00000000-0005-0000-0000-0000C2010000}"/>
    <cellStyle name="Comma 2 3 3 2 2" xfId="1521" xr:uid="{00000000-0005-0000-0000-0000C3010000}"/>
    <cellStyle name="Comma 2 3 3 3" xfId="1520" xr:uid="{00000000-0005-0000-0000-0000C4010000}"/>
    <cellStyle name="Comma 2 3 4" xfId="416" xr:uid="{00000000-0005-0000-0000-0000C5010000}"/>
    <cellStyle name="Comma 2 3 5" xfId="417" xr:uid="{00000000-0005-0000-0000-0000C6010000}"/>
    <cellStyle name="Comma 2 4" xfId="418" xr:uid="{00000000-0005-0000-0000-0000C7010000}"/>
    <cellStyle name="Comma 2 4 2" xfId="419" xr:uid="{00000000-0005-0000-0000-0000C8010000}"/>
    <cellStyle name="Comma 2 4 2 2" xfId="1523" xr:uid="{00000000-0005-0000-0000-0000C9010000}"/>
    <cellStyle name="Comma 2 4 3" xfId="420" xr:uid="{00000000-0005-0000-0000-0000CA010000}"/>
    <cellStyle name="Comma 2 4 3 2" xfId="1524" xr:uid="{00000000-0005-0000-0000-0000CB010000}"/>
    <cellStyle name="Comma 2 4 4" xfId="421" xr:uid="{00000000-0005-0000-0000-0000CC010000}"/>
    <cellStyle name="Comma 2 4 4 2" xfId="1525" xr:uid="{00000000-0005-0000-0000-0000CD010000}"/>
    <cellStyle name="Comma 2 4 5" xfId="422" xr:uid="{00000000-0005-0000-0000-0000CE010000}"/>
    <cellStyle name="Comma 2 4 5 2" xfId="1526" xr:uid="{00000000-0005-0000-0000-0000CF010000}"/>
    <cellStyle name="Comma 2 4 6" xfId="423" xr:uid="{00000000-0005-0000-0000-0000D0010000}"/>
    <cellStyle name="Comma 2 4 6 2" xfId="1527" xr:uid="{00000000-0005-0000-0000-0000D1010000}"/>
    <cellStyle name="Comma 2 4 7" xfId="1522" xr:uid="{00000000-0005-0000-0000-0000D2010000}"/>
    <cellStyle name="Comma 2 5" xfId="424" xr:uid="{00000000-0005-0000-0000-0000D3010000}"/>
    <cellStyle name="Comma 2 5 2" xfId="425" xr:uid="{00000000-0005-0000-0000-0000D4010000}"/>
    <cellStyle name="Comma 2 5 2 2" xfId="1529" xr:uid="{00000000-0005-0000-0000-0000D5010000}"/>
    <cellStyle name="Comma 2 5 3" xfId="426" xr:uid="{00000000-0005-0000-0000-0000D6010000}"/>
    <cellStyle name="Comma 2 5 3 2" xfId="1530" xr:uid="{00000000-0005-0000-0000-0000D7010000}"/>
    <cellStyle name="Comma 2 5 4" xfId="427" xr:uid="{00000000-0005-0000-0000-0000D8010000}"/>
    <cellStyle name="Comma 2 5 4 2" xfId="1531" xr:uid="{00000000-0005-0000-0000-0000D9010000}"/>
    <cellStyle name="Comma 2 5 5" xfId="428" xr:uid="{00000000-0005-0000-0000-0000DA010000}"/>
    <cellStyle name="Comma 2 5 5 2" xfId="1532" xr:uid="{00000000-0005-0000-0000-0000DB010000}"/>
    <cellStyle name="Comma 2 5 6" xfId="429" xr:uid="{00000000-0005-0000-0000-0000DC010000}"/>
    <cellStyle name="Comma 2 5 6 2" xfId="1533" xr:uid="{00000000-0005-0000-0000-0000DD010000}"/>
    <cellStyle name="Comma 2 5 7" xfId="1528" xr:uid="{00000000-0005-0000-0000-0000DE010000}"/>
    <cellStyle name="Comma 2 6" xfId="430" xr:uid="{00000000-0005-0000-0000-0000DF010000}"/>
    <cellStyle name="Comma 2 7" xfId="431" xr:uid="{00000000-0005-0000-0000-0000E0010000}"/>
    <cellStyle name="Comma 2 7 2" xfId="1534" xr:uid="{00000000-0005-0000-0000-0000E1010000}"/>
    <cellStyle name="Comma 2 8" xfId="432" xr:uid="{00000000-0005-0000-0000-0000E2010000}"/>
    <cellStyle name="Comma 2 8 2" xfId="1535" xr:uid="{00000000-0005-0000-0000-0000E3010000}"/>
    <cellStyle name="Comma 2 9" xfId="433" xr:uid="{00000000-0005-0000-0000-0000E4010000}"/>
    <cellStyle name="Comma 2 9 2" xfId="1536" xr:uid="{00000000-0005-0000-0000-0000E5010000}"/>
    <cellStyle name="Comma 3" xfId="434" xr:uid="{00000000-0005-0000-0000-0000E6010000}"/>
    <cellStyle name="Comma 3 2" xfId="435" xr:uid="{00000000-0005-0000-0000-0000E7010000}"/>
    <cellStyle name="Comma 3 2 2" xfId="436" xr:uid="{00000000-0005-0000-0000-0000E8010000}"/>
    <cellStyle name="Comma 3 2 3" xfId="437" xr:uid="{00000000-0005-0000-0000-0000E9010000}"/>
    <cellStyle name="Comma 3 2 4" xfId="438" xr:uid="{00000000-0005-0000-0000-0000EA010000}"/>
    <cellStyle name="Comma 3 3" xfId="439" xr:uid="{00000000-0005-0000-0000-0000EB010000}"/>
    <cellStyle name="Comma 3 3 2" xfId="440" xr:uid="{00000000-0005-0000-0000-0000EC010000}"/>
    <cellStyle name="Comma 3 4" xfId="441" xr:uid="{00000000-0005-0000-0000-0000ED010000}"/>
    <cellStyle name="Comma 3 4 2" xfId="1537" xr:uid="{00000000-0005-0000-0000-0000EE010000}"/>
    <cellStyle name="Comma 3 5" xfId="442" xr:uid="{00000000-0005-0000-0000-0000EF010000}"/>
    <cellStyle name="Comma 3 6" xfId="443" xr:uid="{00000000-0005-0000-0000-0000F0010000}"/>
    <cellStyle name="Comma 3 7" xfId="444" xr:uid="{00000000-0005-0000-0000-0000F1010000}"/>
    <cellStyle name="Comma 3_Adicional No. 1  Edificio Biblioteca y Verja y parqueos  Universidad ITECO" xfId="445" xr:uid="{00000000-0005-0000-0000-0000F2010000}"/>
    <cellStyle name="Comma 4" xfId="446" xr:uid="{00000000-0005-0000-0000-0000F3010000}"/>
    <cellStyle name="Comma 4 2" xfId="447" xr:uid="{00000000-0005-0000-0000-0000F4010000}"/>
    <cellStyle name="Comma 4 3" xfId="448" xr:uid="{00000000-0005-0000-0000-0000F5010000}"/>
    <cellStyle name="Comma 4_Presupuesto_remodelacion vivienda en cancino pe" xfId="449" xr:uid="{00000000-0005-0000-0000-0000F6010000}"/>
    <cellStyle name="Comma 5" xfId="450" xr:uid="{00000000-0005-0000-0000-0000F7010000}"/>
    <cellStyle name="Comma 5 2" xfId="451" xr:uid="{00000000-0005-0000-0000-0000F8010000}"/>
    <cellStyle name="Comma 6" xfId="452" xr:uid="{00000000-0005-0000-0000-0000F9010000}"/>
    <cellStyle name="Comma 6 2" xfId="453" xr:uid="{00000000-0005-0000-0000-0000FA010000}"/>
    <cellStyle name="Comma 7" xfId="454" xr:uid="{00000000-0005-0000-0000-0000FB010000}"/>
    <cellStyle name="Comma 7 2" xfId="455" xr:uid="{00000000-0005-0000-0000-0000FC010000}"/>
    <cellStyle name="Comma 8" xfId="456" xr:uid="{00000000-0005-0000-0000-0000FD010000}"/>
    <cellStyle name="Comma 8 2" xfId="457" xr:uid="{00000000-0005-0000-0000-0000FE010000}"/>
    <cellStyle name="Comma 8 2 2" xfId="458" xr:uid="{00000000-0005-0000-0000-0000FF010000}"/>
    <cellStyle name="Comma 8 3" xfId="459" xr:uid="{00000000-0005-0000-0000-000000020000}"/>
    <cellStyle name="Comma 9" xfId="460" xr:uid="{00000000-0005-0000-0000-000001020000}"/>
    <cellStyle name="Comma_ANALISIS EL PUERTO 2" xfId="461" xr:uid="{00000000-0005-0000-0000-000002020000}"/>
    <cellStyle name="Comma_ANALISIS EL PUERTO 2 2" xfId="462" xr:uid="{00000000-0005-0000-0000-000003020000}"/>
    <cellStyle name="Comma_ANALISIS EL PUERTO 3" xfId="1488" xr:uid="{00000000-0005-0000-0000-000004020000}"/>
    <cellStyle name="Comma_ANALISIS EL PUERTO_PRES. 62-08 ACUEDUCTO SABANA YEGUA Y TABARA ABAJO, AZUA (desenlazado)" xfId="463" xr:uid="{00000000-0005-0000-0000-000005020000}"/>
    <cellStyle name="Comma_ANALISIS EL PUERTO_PRES. 62-08 ACUEDUCTO SABANA YEGUA Y TABARA ABAJO, AZUA (desenlazado) 2" xfId="1443" xr:uid="{00000000-0005-0000-0000-000006020000}"/>
    <cellStyle name="Currency 2" xfId="464" xr:uid="{00000000-0005-0000-0000-000007020000}"/>
    <cellStyle name="Currency 2 2" xfId="465" xr:uid="{00000000-0005-0000-0000-000008020000}"/>
    <cellStyle name="Currency 2 3" xfId="466" xr:uid="{00000000-0005-0000-0000-000009020000}"/>
    <cellStyle name="Currency 3" xfId="467" xr:uid="{00000000-0005-0000-0000-00000A020000}"/>
    <cellStyle name="Currency 4" xfId="468" xr:uid="{00000000-0005-0000-0000-00000B020000}"/>
    <cellStyle name="Emphasis 1" xfId="469" xr:uid="{00000000-0005-0000-0000-00000C020000}"/>
    <cellStyle name="Emphasis 1 2" xfId="470" xr:uid="{00000000-0005-0000-0000-00000D020000}"/>
    <cellStyle name="Emphasis 2" xfId="471" xr:uid="{00000000-0005-0000-0000-00000E020000}"/>
    <cellStyle name="Emphasis 2 2" xfId="472" xr:uid="{00000000-0005-0000-0000-00000F020000}"/>
    <cellStyle name="Emphasis 2 3" xfId="473" xr:uid="{00000000-0005-0000-0000-000010020000}"/>
    <cellStyle name="Emphasis 3" xfId="474" xr:uid="{00000000-0005-0000-0000-000011020000}"/>
    <cellStyle name="Emphasis 3 2" xfId="475" xr:uid="{00000000-0005-0000-0000-000012020000}"/>
    <cellStyle name="Encabezado 1 2" xfId="476" xr:uid="{00000000-0005-0000-0000-000013020000}"/>
    <cellStyle name="Encabezado 4 2" xfId="477" xr:uid="{00000000-0005-0000-0000-000014020000}"/>
    <cellStyle name="Encabezado 4 2 2" xfId="478" xr:uid="{00000000-0005-0000-0000-000015020000}"/>
    <cellStyle name="Encabezado 4 3" xfId="479" xr:uid="{00000000-0005-0000-0000-000016020000}"/>
    <cellStyle name="Encabezado 4 3 2" xfId="480" xr:uid="{00000000-0005-0000-0000-000017020000}"/>
    <cellStyle name="Encabezado 4 4" xfId="481" xr:uid="{00000000-0005-0000-0000-000018020000}"/>
    <cellStyle name="Énfasis 1" xfId="482" xr:uid="{00000000-0005-0000-0000-000019020000}"/>
    <cellStyle name="Énfasis 2" xfId="483" xr:uid="{00000000-0005-0000-0000-00001A020000}"/>
    <cellStyle name="Énfasis 3" xfId="484" xr:uid="{00000000-0005-0000-0000-00001B020000}"/>
    <cellStyle name="Énfasis1 - 20%" xfId="485" xr:uid="{00000000-0005-0000-0000-00001C020000}"/>
    <cellStyle name="Énfasis1 - 40%" xfId="486" xr:uid="{00000000-0005-0000-0000-00001D020000}"/>
    <cellStyle name="Énfasis1 - 60%" xfId="487" xr:uid="{00000000-0005-0000-0000-00001E020000}"/>
    <cellStyle name="Énfasis1 10" xfId="488" xr:uid="{00000000-0005-0000-0000-00001F020000}"/>
    <cellStyle name="Énfasis1 11" xfId="489" xr:uid="{00000000-0005-0000-0000-000020020000}"/>
    <cellStyle name="Énfasis1 12" xfId="490" xr:uid="{00000000-0005-0000-0000-000021020000}"/>
    <cellStyle name="Énfasis1 13" xfId="491" xr:uid="{00000000-0005-0000-0000-000022020000}"/>
    <cellStyle name="Énfasis1 14" xfId="492" xr:uid="{00000000-0005-0000-0000-000023020000}"/>
    <cellStyle name="Énfasis1 15" xfId="493" xr:uid="{00000000-0005-0000-0000-000024020000}"/>
    <cellStyle name="Énfasis1 16" xfId="494" xr:uid="{00000000-0005-0000-0000-000025020000}"/>
    <cellStyle name="Énfasis1 2" xfId="495" xr:uid="{00000000-0005-0000-0000-000026020000}"/>
    <cellStyle name="Énfasis1 2 2" xfId="496" xr:uid="{00000000-0005-0000-0000-000027020000}"/>
    <cellStyle name="Énfasis1 3" xfId="497" xr:uid="{00000000-0005-0000-0000-000028020000}"/>
    <cellStyle name="Énfasis1 3 2" xfId="498" xr:uid="{00000000-0005-0000-0000-000029020000}"/>
    <cellStyle name="Énfasis1 4" xfId="499" xr:uid="{00000000-0005-0000-0000-00002A020000}"/>
    <cellStyle name="Énfasis1 5" xfId="500" xr:uid="{00000000-0005-0000-0000-00002B020000}"/>
    <cellStyle name="Énfasis1 6" xfId="501" xr:uid="{00000000-0005-0000-0000-00002C020000}"/>
    <cellStyle name="Énfasis1 7" xfId="502" xr:uid="{00000000-0005-0000-0000-00002D020000}"/>
    <cellStyle name="Énfasis1 8" xfId="503" xr:uid="{00000000-0005-0000-0000-00002E020000}"/>
    <cellStyle name="Énfasis1 9" xfId="504" xr:uid="{00000000-0005-0000-0000-00002F020000}"/>
    <cellStyle name="Énfasis2 - 20%" xfId="505" xr:uid="{00000000-0005-0000-0000-000030020000}"/>
    <cellStyle name="Énfasis2 - 40%" xfId="506" xr:uid="{00000000-0005-0000-0000-000031020000}"/>
    <cellStyle name="Énfasis2 - 60%" xfId="507" xr:uid="{00000000-0005-0000-0000-000032020000}"/>
    <cellStyle name="Énfasis2 10" xfId="508" xr:uid="{00000000-0005-0000-0000-000033020000}"/>
    <cellStyle name="Énfasis2 11" xfId="509" xr:uid="{00000000-0005-0000-0000-000034020000}"/>
    <cellStyle name="Énfasis2 12" xfId="510" xr:uid="{00000000-0005-0000-0000-000035020000}"/>
    <cellStyle name="Énfasis2 13" xfId="511" xr:uid="{00000000-0005-0000-0000-000036020000}"/>
    <cellStyle name="Énfasis2 14" xfId="512" xr:uid="{00000000-0005-0000-0000-000037020000}"/>
    <cellStyle name="Énfasis2 15" xfId="513" xr:uid="{00000000-0005-0000-0000-000038020000}"/>
    <cellStyle name="Énfasis2 16" xfId="514" xr:uid="{00000000-0005-0000-0000-000039020000}"/>
    <cellStyle name="Énfasis2 2" xfId="515" xr:uid="{00000000-0005-0000-0000-00003A020000}"/>
    <cellStyle name="Énfasis2 2 2" xfId="516" xr:uid="{00000000-0005-0000-0000-00003B020000}"/>
    <cellStyle name="Énfasis2 3" xfId="517" xr:uid="{00000000-0005-0000-0000-00003C020000}"/>
    <cellStyle name="Énfasis2 3 2" xfId="518" xr:uid="{00000000-0005-0000-0000-00003D020000}"/>
    <cellStyle name="Énfasis2 4" xfId="519" xr:uid="{00000000-0005-0000-0000-00003E020000}"/>
    <cellStyle name="Énfasis2 5" xfId="520" xr:uid="{00000000-0005-0000-0000-00003F020000}"/>
    <cellStyle name="Énfasis2 6" xfId="521" xr:uid="{00000000-0005-0000-0000-000040020000}"/>
    <cellStyle name="Énfasis2 7" xfId="522" xr:uid="{00000000-0005-0000-0000-000041020000}"/>
    <cellStyle name="Énfasis2 8" xfId="523" xr:uid="{00000000-0005-0000-0000-000042020000}"/>
    <cellStyle name="Énfasis2 9" xfId="524" xr:uid="{00000000-0005-0000-0000-000043020000}"/>
    <cellStyle name="Énfasis3 - 20%" xfId="525" xr:uid="{00000000-0005-0000-0000-000044020000}"/>
    <cellStyle name="Énfasis3 - 40%" xfId="526" xr:uid="{00000000-0005-0000-0000-000045020000}"/>
    <cellStyle name="Énfasis3 - 60%" xfId="527" xr:uid="{00000000-0005-0000-0000-000046020000}"/>
    <cellStyle name="Énfasis3 10" xfId="528" xr:uid="{00000000-0005-0000-0000-000047020000}"/>
    <cellStyle name="Énfasis3 11" xfId="529" xr:uid="{00000000-0005-0000-0000-000048020000}"/>
    <cellStyle name="Énfasis3 12" xfId="530" xr:uid="{00000000-0005-0000-0000-000049020000}"/>
    <cellStyle name="Énfasis3 13" xfId="531" xr:uid="{00000000-0005-0000-0000-00004A020000}"/>
    <cellStyle name="Énfasis3 14" xfId="532" xr:uid="{00000000-0005-0000-0000-00004B020000}"/>
    <cellStyle name="Énfasis3 15" xfId="533" xr:uid="{00000000-0005-0000-0000-00004C020000}"/>
    <cellStyle name="Énfasis3 16" xfId="534" xr:uid="{00000000-0005-0000-0000-00004D020000}"/>
    <cellStyle name="Énfasis3 2" xfId="535" xr:uid="{00000000-0005-0000-0000-00004E020000}"/>
    <cellStyle name="Énfasis3 2 2" xfId="536" xr:uid="{00000000-0005-0000-0000-00004F020000}"/>
    <cellStyle name="Énfasis3 3" xfId="537" xr:uid="{00000000-0005-0000-0000-000050020000}"/>
    <cellStyle name="Énfasis3 3 2" xfId="538" xr:uid="{00000000-0005-0000-0000-000051020000}"/>
    <cellStyle name="Énfasis3 4" xfId="539" xr:uid="{00000000-0005-0000-0000-000052020000}"/>
    <cellStyle name="Énfasis3 5" xfId="540" xr:uid="{00000000-0005-0000-0000-000053020000}"/>
    <cellStyle name="Énfasis3 6" xfId="541" xr:uid="{00000000-0005-0000-0000-000054020000}"/>
    <cellStyle name="Énfasis3 7" xfId="542" xr:uid="{00000000-0005-0000-0000-000055020000}"/>
    <cellStyle name="Énfasis3 8" xfId="543" xr:uid="{00000000-0005-0000-0000-000056020000}"/>
    <cellStyle name="Énfasis3 9" xfId="544" xr:uid="{00000000-0005-0000-0000-000057020000}"/>
    <cellStyle name="Énfasis4 - 20%" xfId="545" xr:uid="{00000000-0005-0000-0000-000058020000}"/>
    <cellStyle name="Énfasis4 - 40%" xfId="546" xr:uid="{00000000-0005-0000-0000-000059020000}"/>
    <cellStyle name="Énfasis4 - 60%" xfId="547" xr:uid="{00000000-0005-0000-0000-00005A020000}"/>
    <cellStyle name="Énfasis4 10" xfId="548" xr:uid="{00000000-0005-0000-0000-00005B020000}"/>
    <cellStyle name="Énfasis4 11" xfId="549" xr:uid="{00000000-0005-0000-0000-00005C020000}"/>
    <cellStyle name="Énfasis4 12" xfId="550" xr:uid="{00000000-0005-0000-0000-00005D020000}"/>
    <cellStyle name="Énfasis4 13" xfId="551" xr:uid="{00000000-0005-0000-0000-00005E020000}"/>
    <cellStyle name="Énfasis4 14" xfId="552" xr:uid="{00000000-0005-0000-0000-00005F020000}"/>
    <cellStyle name="Énfasis4 15" xfId="553" xr:uid="{00000000-0005-0000-0000-000060020000}"/>
    <cellStyle name="Énfasis4 16" xfId="554" xr:uid="{00000000-0005-0000-0000-000061020000}"/>
    <cellStyle name="Énfasis4 2" xfId="555" xr:uid="{00000000-0005-0000-0000-000062020000}"/>
    <cellStyle name="Énfasis4 2 2" xfId="556" xr:uid="{00000000-0005-0000-0000-000063020000}"/>
    <cellStyle name="Énfasis4 3" xfId="557" xr:uid="{00000000-0005-0000-0000-000064020000}"/>
    <cellStyle name="Énfasis4 3 2" xfId="558" xr:uid="{00000000-0005-0000-0000-000065020000}"/>
    <cellStyle name="Énfasis4 4" xfId="559" xr:uid="{00000000-0005-0000-0000-000066020000}"/>
    <cellStyle name="Énfasis4 5" xfId="560" xr:uid="{00000000-0005-0000-0000-000067020000}"/>
    <cellStyle name="Énfasis4 6" xfId="561" xr:uid="{00000000-0005-0000-0000-000068020000}"/>
    <cellStyle name="Énfasis4 7" xfId="562" xr:uid="{00000000-0005-0000-0000-000069020000}"/>
    <cellStyle name="Énfasis4 8" xfId="563" xr:uid="{00000000-0005-0000-0000-00006A020000}"/>
    <cellStyle name="Énfasis4 9" xfId="564" xr:uid="{00000000-0005-0000-0000-00006B020000}"/>
    <cellStyle name="Énfasis5 - 20%" xfId="565" xr:uid="{00000000-0005-0000-0000-00006C020000}"/>
    <cellStyle name="Énfasis5 - 40%" xfId="566" xr:uid="{00000000-0005-0000-0000-00006D020000}"/>
    <cellStyle name="Énfasis5 - 60%" xfId="567" xr:uid="{00000000-0005-0000-0000-00006E020000}"/>
    <cellStyle name="Énfasis5 10" xfId="568" xr:uid="{00000000-0005-0000-0000-00006F020000}"/>
    <cellStyle name="Énfasis5 11" xfId="569" xr:uid="{00000000-0005-0000-0000-000070020000}"/>
    <cellStyle name="Énfasis5 12" xfId="570" xr:uid="{00000000-0005-0000-0000-000071020000}"/>
    <cellStyle name="Énfasis5 13" xfId="571" xr:uid="{00000000-0005-0000-0000-000072020000}"/>
    <cellStyle name="Énfasis5 14" xfId="572" xr:uid="{00000000-0005-0000-0000-000073020000}"/>
    <cellStyle name="Énfasis5 15" xfId="573" xr:uid="{00000000-0005-0000-0000-000074020000}"/>
    <cellStyle name="Énfasis5 16" xfId="574" xr:uid="{00000000-0005-0000-0000-000075020000}"/>
    <cellStyle name="Énfasis5 2" xfId="575" xr:uid="{00000000-0005-0000-0000-000076020000}"/>
    <cellStyle name="Énfasis5 2 2" xfId="576" xr:uid="{00000000-0005-0000-0000-000077020000}"/>
    <cellStyle name="Énfasis5 3" xfId="577" xr:uid="{00000000-0005-0000-0000-000078020000}"/>
    <cellStyle name="Énfasis5 3 2" xfId="578" xr:uid="{00000000-0005-0000-0000-000079020000}"/>
    <cellStyle name="Énfasis5 4" xfId="579" xr:uid="{00000000-0005-0000-0000-00007A020000}"/>
    <cellStyle name="Énfasis5 5" xfId="580" xr:uid="{00000000-0005-0000-0000-00007B020000}"/>
    <cellStyle name="Énfasis5 6" xfId="581" xr:uid="{00000000-0005-0000-0000-00007C020000}"/>
    <cellStyle name="Énfasis5 7" xfId="582" xr:uid="{00000000-0005-0000-0000-00007D020000}"/>
    <cellStyle name="Énfasis5 8" xfId="583" xr:uid="{00000000-0005-0000-0000-00007E020000}"/>
    <cellStyle name="Énfasis5 9" xfId="584" xr:uid="{00000000-0005-0000-0000-00007F020000}"/>
    <cellStyle name="Énfasis6 - 20%" xfId="585" xr:uid="{00000000-0005-0000-0000-000080020000}"/>
    <cellStyle name="Énfasis6 - 40%" xfId="586" xr:uid="{00000000-0005-0000-0000-000081020000}"/>
    <cellStyle name="Énfasis6 - 60%" xfId="587" xr:uid="{00000000-0005-0000-0000-000082020000}"/>
    <cellStyle name="Énfasis6 10" xfId="588" xr:uid="{00000000-0005-0000-0000-000083020000}"/>
    <cellStyle name="Énfasis6 11" xfId="589" xr:uid="{00000000-0005-0000-0000-000084020000}"/>
    <cellStyle name="Énfasis6 12" xfId="590" xr:uid="{00000000-0005-0000-0000-000085020000}"/>
    <cellStyle name="Énfasis6 13" xfId="591" xr:uid="{00000000-0005-0000-0000-000086020000}"/>
    <cellStyle name="Énfasis6 14" xfId="592" xr:uid="{00000000-0005-0000-0000-000087020000}"/>
    <cellStyle name="Énfasis6 15" xfId="593" xr:uid="{00000000-0005-0000-0000-000088020000}"/>
    <cellStyle name="Énfasis6 16" xfId="594" xr:uid="{00000000-0005-0000-0000-000089020000}"/>
    <cellStyle name="Énfasis6 2" xfId="595" xr:uid="{00000000-0005-0000-0000-00008A020000}"/>
    <cellStyle name="Énfasis6 2 2" xfId="596" xr:uid="{00000000-0005-0000-0000-00008B020000}"/>
    <cellStyle name="Énfasis6 3" xfId="597" xr:uid="{00000000-0005-0000-0000-00008C020000}"/>
    <cellStyle name="Énfasis6 3 2" xfId="598" xr:uid="{00000000-0005-0000-0000-00008D020000}"/>
    <cellStyle name="Énfasis6 4" xfId="599" xr:uid="{00000000-0005-0000-0000-00008E020000}"/>
    <cellStyle name="Énfasis6 5" xfId="600" xr:uid="{00000000-0005-0000-0000-00008F020000}"/>
    <cellStyle name="Énfasis6 6" xfId="601" xr:uid="{00000000-0005-0000-0000-000090020000}"/>
    <cellStyle name="Énfasis6 7" xfId="602" xr:uid="{00000000-0005-0000-0000-000091020000}"/>
    <cellStyle name="Énfasis6 8" xfId="603" xr:uid="{00000000-0005-0000-0000-000092020000}"/>
    <cellStyle name="Énfasis6 9" xfId="604" xr:uid="{00000000-0005-0000-0000-000093020000}"/>
    <cellStyle name="Entrada 2" xfId="605" xr:uid="{00000000-0005-0000-0000-000094020000}"/>
    <cellStyle name="Entrada 2 2" xfId="606" xr:uid="{00000000-0005-0000-0000-000095020000}"/>
    <cellStyle name="Entrada 2 2 2" xfId="1539" xr:uid="{00000000-0005-0000-0000-000096020000}"/>
    <cellStyle name="Entrada 2 3" xfId="1538" xr:uid="{00000000-0005-0000-0000-000097020000}"/>
    <cellStyle name="Entrada 3" xfId="607" xr:uid="{00000000-0005-0000-0000-000098020000}"/>
    <cellStyle name="Entrada 3 2" xfId="608" xr:uid="{00000000-0005-0000-0000-000099020000}"/>
    <cellStyle name="Entrada 3 2 2" xfId="1541" xr:uid="{00000000-0005-0000-0000-00009A020000}"/>
    <cellStyle name="Entrada 3 3" xfId="1540" xr:uid="{00000000-0005-0000-0000-00009B020000}"/>
    <cellStyle name="Entrada 4" xfId="609" xr:uid="{00000000-0005-0000-0000-00009C020000}"/>
    <cellStyle name="Entrada 4 2" xfId="1542" xr:uid="{00000000-0005-0000-0000-00009D020000}"/>
    <cellStyle name="Euro" xfId="610" xr:uid="{00000000-0005-0000-0000-00009E020000}"/>
    <cellStyle name="Euro 2" xfId="611" xr:uid="{00000000-0005-0000-0000-00009F020000}"/>
    <cellStyle name="Euro 2 2" xfId="612" xr:uid="{00000000-0005-0000-0000-0000A0020000}"/>
    <cellStyle name="Euro 2 2 2" xfId="613" xr:uid="{00000000-0005-0000-0000-0000A1020000}"/>
    <cellStyle name="Euro 2 2 3" xfId="614" xr:uid="{00000000-0005-0000-0000-0000A2020000}"/>
    <cellStyle name="Euro 2 3" xfId="615" xr:uid="{00000000-0005-0000-0000-0000A3020000}"/>
    <cellStyle name="Euro 2 3 2" xfId="616" xr:uid="{00000000-0005-0000-0000-0000A4020000}"/>
    <cellStyle name="Euro 2 4" xfId="617" xr:uid="{00000000-0005-0000-0000-0000A5020000}"/>
    <cellStyle name="Euro 2 5" xfId="618" xr:uid="{00000000-0005-0000-0000-0000A6020000}"/>
    <cellStyle name="Euro 3" xfId="619" xr:uid="{00000000-0005-0000-0000-0000A7020000}"/>
    <cellStyle name="Euro 3 2" xfId="620" xr:uid="{00000000-0005-0000-0000-0000A8020000}"/>
    <cellStyle name="Euro 3 3" xfId="621" xr:uid="{00000000-0005-0000-0000-0000A9020000}"/>
    <cellStyle name="Euro 4" xfId="622" xr:uid="{00000000-0005-0000-0000-0000AA020000}"/>
    <cellStyle name="Euro 4 2" xfId="623" xr:uid="{00000000-0005-0000-0000-0000AB020000}"/>
    <cellStyle name="Euro 5" xfId="624" xr:uid="{00000000-0005-0000-0000-0000AC020000}"/>
    <cellStyle name="Euro 6" xfId="625" xr:uid="{00000000-0005-0000-0000-0000AD020000}"/>
    <cellStyle name="Euro 7" xfId="626" xr:uid="{00000000-0005-0000-0000-0000AE020000}"/>
    <cellStyle name="Euro 8" xfId="1450" xr:uid="{00000000-0005-0000-0000-0000AF020000}"/>
    <cellStyle name="Euro_act 102-11 al 46-11 REH OT, EST BOM, PT Y DR AC CASTILLO LOS CAFES" xfId="627" xr:uid="{00000000-0005-0000-0000-0000B0020000}"/>
    <cellStyle name="Excel Built-in Comma" xfId="628" xr:uid="{00000000-0005-0000-0000-0000B1020000}"/>
    <cellStyle name="Excel Built-in Normal" xfId="629" xr:uid="{00000000-0005-0000-0000-0000B2020000}"/>
    <cellStyle name="Explanatory Text" xfId="630" xr:uid="{00000000-0005-0000-0000-0000B3020000}"/>
    <cellStyle name="Explanatory Text 2" xfId="631" xr:uid="{00000000-0005-0000-0000-0000B4020000}"/>
    <cellStyle name="F2" xfId="632" xr:uid="{00000000-0005-0000-0000-0000B5020000}"/>
    <cellStyle name="F2 2" xfId="633" xr:uid="{00000000-0005-0000-0000-0000B6020000}"/>
    <cellStyle name="F2_act 102-11 al 46-11 REH OT, EST BOM, PT Y DR AC CASTILLO LOS CAFES" xfId="634" xr:uid="{00000000-0005-0000-0000-0000B7020000}"/>
    <cellStyle name="F3" xfId="635" xr:uid="{00000000-0005-0000-0000-0000B8020000}"/>
    <cellStyle name="F3 2" xfId="636" xr:uid="{00000000-0005-0000-0000-0000B9020000}"/>
    <cellStyle name="F3_act 102-11 al 46-11 REH OT, EST BOM, PT Y DR AC CASTILLO LOS CAFES" xfId="637" xr:uid="{00000000-0005-0000-0000-0000BA020000}"/>
    <cellStyle name="F4" xfId="638" xr:uid="{00000000-0005-0000-0000-0000BB020000}"/>
    <cellStyle name="F4 2" xfId="639" xr:uid="{00000000-0005-0000-0000-0000BC020000}"/>
    <cellStyle name="F4_act 102-11 al 46-11 REH OT, EST BOM, PT Y DR AC CASTILLO LOS CAFES" xfId="640" xr:uid="{00000000-0005-0000-0000-0000BD020000}"/>
    <cellStyle name="F5" xfId="641" xr:uid="{00000000-0005-0000-0000-0000BE020000}"/>
    <cellStyle name="F5 2" xfId="642" xr:uid="{00000000-0005-0000-0000-0000BF020000}"/>
    <cellStyle name="F5_act 102-11 al 46-11 REH OT, EST BOM, PT Y DR AC CASTILLO LOS CAFES" xfId="643" xr:uid="{00000000-0005-0000-0000-0000C0020000}"/>
    <cellStyle name="F6" xfId="644" xr:uid="{00000000-0005-0000-0000-0000C1020000}"/>
    <cellStyle name="F6 2" xfId="645" xr:uid="{00000000-0005-0000-0000-0000C2020000}"/>
    <cellStyle name="F6_act 102-11 al 46-11 REH OT, EST BOM, PT Y DR AC CASTILLO LOS CAFES" xfId="646" xr:uid="{00000000-0005-0000-0000-0000C3020000}"/>
    <cellStyle name="F7" xfId="647" xr:uid="{00000000-0005-0000-0000-0000C4020000}"/>
    <cellStyle name="F7 2" xfId="648" xr:uid="{00000000-0005-0000-0000-0000C5020000}"/>
    <cellStyle name="F7_act 102-11 al 46-11 REH OT, EST BOM, PT Y DR AC CASTILLO LOS CAFES" xfId="649" xr:uid="{00000000-0005-0000-0000-0000C6020000}"/>
    <cellStyle name="F8" xfId="650" xr:uid="{00000000-0005-0000-0000-0000C7020000}"/>
    <cellStyle name="F8 2" xfId="651" xr:uid="{00000000-0005-0000-0000-0000C8020000}"/>
    <cellStyle name="F8_act 102-11 al 46-11 REH OT, EST BOM, PT Y DR AC CASTILLO LOS CAFES" xfId="652" xr:uid="{00000000-0005-0000-0000-0000C9020000}"/>
    <cellStyle name="Followed Hyperlink" xfId="653" xr:uid="{00000000-0005-0000-0000-0000CA020000}"/>
    <cellStyle name="Good" xfId="654" xr:uid="{00000000-0005-0000-0000-0000CB020000}"/>
    <cellStyle name="Good 2" xfId="655" xr:uid="{00000000-0005-0000-0000-0000CC020000}"/>
    <cellStyle name="Good 2 2" xfId="656" xr:uid="{00000000-0005-0000-0000-0000CD020000}"/>
    <cellStyle name="Good 3" xfId="657" xr:uid="{00000000-0005-0000-0000-0000CE020000}"/>
    <cellStyle name="Good 4" xfId="658" xr:uid="{00000000-0005-0000-0000-0000CF020000}"/>
    <cellStyle name="Heading 1" xfId="659" xr:uid="{00000000-0005-0000-0000-0000D0020000}"/>
    <cellStyle name="Heading 1 2" xfId="660" xr:uid="{00000000-0005-0000-0000-0000D1020000}"/>
    <cellStyle name="Heading 1 2 2" xfId="661" xr:uid="{00000000-0005-0000-0000-0000D2020000}"/>
    <cellStyle name="Heading 1 3" xfId="662" xr:uid="{00000000-0005-0000-0000-0000D3020000}"/>
    <cellStyle name="Heading 1 4" xfId="663" xr:uid="{00000000-0005-0000-0000-0000D4020000}"/>
    <cellStyle name="Heading 1 5" xfId="664" xr:uid="{00000000-0005-0000-0000-0000D5020000}"/>
    <cellStyle name="Heading 2" xfId="665" xr:uid="{00000000-0005-0000-0000-0000D6020000}"/>
    <cellStyle name="Heading 2 2" xfId="666" xr:uid="{00000000-0005-0000-0000-0000D7020000}"/>
    <cellStyle name="Heading 2 2 2" xfId="667" xr:uid="{00000000-0005-0000-0000-0000D8020000}"/>
    <cellStyle name="Heading 2 3" xfId="668" xr:uid="{00000000-0005-0000-0000-0000D9020000}"/>
    <cellStyle name="Heading 2 4" xfId="669" xr:uid="{00000000-0005-0000-0000-0000DA020000}"/>
    <cellStyle name="Heading 2 5" xfId="670" xr:uid="{00000000-0005-0000-0000-0000DB020000}"/>
    <cellStyle name="Heading 3" xfId="671" xr:uid="{00000000-0005-0000-0000-0000DC020000}"/>
    <cellStyle name="Heading 3 2" xfId="672" xr:uid="{00000000-0005-0000-0000-0000DD020000}"/>
    <cellStyle name="Heading 3 2 2" xfId="673" xr:uid="{00000000-0005-0000-0000-0000DE020000}"/>
    <cellStyle name="Heading 3 3" xfId="674" xr:uid="{00000000-0005-0000-0000-0000DF020000}"/>
    <cellStyle name="Heading 3 4" xfId="675" xr:uid="{00000000-0005-0000-0000-0000E0020000}"/>
    <cellStyle name="Heading 3 5" xfId="676" xr:uid="{00000000-0005-0000-0000-0000E1020000}"/>
    <cellStyle name="Heading 4" xfId="677" xr:uid="{00000000-0005-0000-0000-0000E2020000}"/>
    <cellStyle name="Heading 4 2" xfId="678" xr:uid="{00000000-0005-0000-0000-0000E3020000}"/>
    <cellStyle name="Heading 4 2 2" xfId="679" xr:uid="{00000000-0005-0000-0000-0000E4020000}"/>
    <cellStyle name="Heading 4 3" xfId="680" xr:uid="{00000000-0005-0000-0000-0000E5020000}"/>
    <cellStyle name="Heading 4 4" xfId="681" xr:uid="{00000000-0005-0000-0000-0000E6020000}"/>
    <cellStyle name="Hipervínculo visitado 2" xfId="682" xr:uid="{00000000-0005-0000-0000-0000E7020000}"/>
    <cellStyle name="Hyperlink" xfId="683" xr:uid="{00000000-0005-0000-0000-0000E8020000}"/>
    <cellStyle name="Incorrecto 2" xfId="684" xr:uid="{00000000-0005-0000-0000-0000E9020000}"/>
    <cellStyle name="Incorrecto 2 2" xfId="685" xr:uid="{00000000-0005-0000-0000-0000EA020000}"/>
    <cellStyle name="Incorrecto 3" xfId="686" xr:uid="{00000000-0005-0000-0000-0000EB020000}"/>
    <cellStyle name="Incorrecto 3 2" xfId="687" xr:uid="{00000000-0005-0000-0000-0000EC020000}"/>
    <cellStyle name="Incorrecto 4" xfId="688" xr:uid="{00000000-0005-0000-0000-0000ED020000}"/>
    <cellStyle name="Input" xfId="689" xr:uid="{00000000-0005-0000-0000-0000EE020000}"/>
    <cellStyle name="Input 2" xfId="690" xr:uid="{00000000-0005-0000-0000-0000EF020000}"/>
    <cellStyle name="Input 2 2" xfId="691" xr:uid="{00000000-0005-0000-0000-0000F0020000}"/>
    <cellStyle name="Input 2 2 2" xfId="1545" xr:uid="{00000000-0005-0000-0000-0000F1020000}"/>
    <cellStyle name="Input 2 3" xfId="1544" xr:uid="{00000000-0005-0000-0000-0000F2020000}"/>
    <cellStyle name="Input 3" xfId="692" xr:uid="{00000000-0005-0000-0000-0000F3020000}"/>
    <cellStyle name="Input 3 2" xfId="1546" xr:uid="{00000000-0005-0000-0000-0000F4020000}"/>
    <cellStyle name="Input 4" xfId="693" xr:uid="{00000000-0005-0000-0000-0000F5020000}"/>
    <cellStyle name="Input 4 2" xfId="1547" xr:uid="{00000000-0005-0000-0000-0000F6020000}"/>
    <cellStyle name="Input 5" xfId="1543" xr:uid="{00000000-0005-0000-0000-0000F7020000}"/>
    <cellStyle name="Linked Cell" xfId="694" xr:uid="{00000000-0005-0000-0000-0000F8020000}"/>
    <cellStyle name="Linked Cell 2" xfId="695" xr:uid="{00000000-0005-0000-0000-0000F9020000}"/>
    <cellStyle name="Linked Cell 2 2" xfId="696" xr:uid="{00000000-0005-0000-0000-0000FA020000}"/>
    <cellStyle name="Linked Cell 2 2 2" xfId="1777" xr:uid="{00000000-0005-0000-0000-0000FB020000}"/>
    <cellStyle name="Linked Cell 2 3" xfId="1776" xr:uid="{00000000-0005-0000-0000-0000FC020000}"/>
    <cellStyle name="Linked Cell 3" xfId="697" xr:uid="{00000000-0005-0000-0000-0000FD020000}"/>
    <cellStyle name="Linked Cell 3 2" xfId="1778" xr:uid="{00000000-0005-0000-0000-0000FE020000}"/>
    <cellStyle name="Linked Cell 4" xfId="698" xr:uid="{00000000-0005-0000-0000-0000FF020000}"/>
    <cellStyle name="Linked Cell 4 2" xfId="1779" xr:uid="{00000000-0005-0000-0000-000000030000}"/>
    <cellStyle name="Linked Cell 5" xfId="1775" xr:uid="{00000000-0005-0000-0000-000001030000}"/>
    <cellStyle name="Millares" xfId="699" builtinId="3"/>
    <cellStyle name="Millares [0] 3" xfId="700" xr:uid="{00000000-0005-0000-0000-000003030000}"/>
    <cellStyle name="Millares [0] 5" xfId="701" xr:uid="{00000000-0005-0000-0000-000004030000}"/>
    <cellStyle name="Millares 10" xfId="702" xr:uid="{00000000-0005-0000-0000-000005030000}"/>
    <cellStyle name="Millares 10 2" xfId="703" xr:uid="{00000000-0005-0000-0000-000006030000}"/>
    <cellStyle name="Millares 10 2 2" xfId="704" xr:uid="{00000000-0005-0000-0000-000007030000}"/>
    <cellStyle name="Millares 10 2 2 2" xfId="1498" xr:uid="{00000000-0005-0000-0000-000008030000}"/>
    <cellStyle name="Millares 10 2 2 3" xfId="1502" xr:uid="{00000000-0005-0000-0000-000009030000}"/>
    <cellStyle name="Millares 10 2 3" xfId="705" xr:uid="{00000000-0005-0000-0000-00000A030000}"/>
    <cellStyle name="Millares 10 2 4" xfId="706" xr:uid="{00000000-0005-0000-0000-00000B030000}"/>
    <cellStyle name="Millares 10 3" xfId="707" xr:uid="{00000000-0005-0000-0000-00000C030000}"/>
    <cellStyle name="Millares 10 3 2" xfId="1548" xr:uid="{00000000-0005-0000-0000-00000D030000}"/>
    <cellStyle name="Millares 10 4" xfId="708" xr:uid="{00000000-0005-0000-0000-00000E030000}"/>
    <cellStyle name="Millares 10 5" xfId="709" xr:uid="{00000000-0005-0000-0000-00000F030000}"/>
    <cellStyle name="Millares 10 6" xfId="710" xr:uid="{00000000-0005-0000-0000-000010030000}"/>
    <cellStyle name="Millares 10 7" xfId="711" xr:uid="{00000000-0005-0000-0000-000011030000}"/>
    <cellStyle name="Millares 10 7 2" xfId="1549" xr:uid="{00000000-0005-0000-0000-000012030000}"/>
    <cellStyle name="Millares 10 8" xfId="1452" xr:uid="{00000000-0005-0000-0000-000013030000}"/>
    <cellStyle name="Millares 10 9" xfId="1753" xr:uid="{00000000-0005-0000-0000-000014030000}"/>
    <cellStyle name="Millares 11" xfId="712" xr:uid="{00000000-0005-0000-0000-000015030000}"/>
    <cellStyle name="Millares 11 2" xfId="713" xr:uid="{00000000-0005-0000-0000-000016030000}"/>
    <cellStyle name="Millares 11 3" xfId="714" xr:uid="{00000000-0005-0000-0000-000017030000}"/>
    <cellStyle name="Millares 11 4" xfId="715" xr:uid="{00000000-0005-0000-0000-000018030000}"/>
    <cellStyle name="Millares 11 5" xfId="716" xr:uid="{00000000-0005-0000-0000-000019030000}"/>
    <cellStyle name="Millares 12" xfId="717" xr:uid="{00000000-0005-0000-0000-00001A030000}"/>
    <cellStyle name="Millares 12 2" xfId="718" xr:uid="{00000000-0005-0000-0000-00001B030000}"/>
    <cellStyle name="Millares 12 2 2" xfId="719" xr:uid="{00000000-0005-0000-0000-00001C030000}"/>
    <cellStyle name="Millares 12 3" xfId="720" xr:uid="{00000000-0005-0000-0000-00001D030000}"/>
    <cellStyle name="Millares 13" xfId="721" xr:uid="{00000000-0005-0000-0000-00001E030000}"/>
    <cellStyle name="Millares 13 2" xfId="722" xr:uid="{00000000-0005-0000-0000-00001F030000}"/>
    <cellStyle name="Millares 13 3" xfId="723" xr:uid="{00000000-0005-0000-0000-000020030000}"/>
    <cellStyle name="Millares 13 4" xfId="724" xr:uid="{00000000-0005-0000-0000-000021030000}"/>
    <cellStyle name="Millares 14" xfId="725" xr:uid="{00000000-0005-0000-0000-000022030000}"/>
    <cellStyle name="Millares 14 2" xfId="1550" xr:uid="{00000000-0005-0000-0000-000023030000}"/>
    <cellStyle name="Millares 15" xfId="726" xr:uid="{00000000-0005-0000-0000-000024030000}"/>
    <cellStyle name="Millares 15 2" xfId="727" xr:uid="{00000000-0005-0000-0000-000025030000}"/>
    <cellStyle name="Millares 16" xfId="728" xr:uid="{00000000-0005-0000-0000-000026030000}"/>
    <cellStyle name="Millares 16 2" xfId="729" xr:uid="{00000000-0005-0000-0000-000027030000}"/>
    <cellStyle name="Millares 17" xfId="730" xr:uid="{00000000-0005-0000-0000-000028030000}"/>
    <cellStyle name="Millares 17 2" xfId="731" xr:uid="{00000000-0005-0000-0000-000029030000}"/>
    <cellStyle name="Millares 18" xfId="732" xr:uid="{00000000-0005-0000-0000-00002A030000}"/>
    <cellStyle name="Millares 18 2" xfId="733" xr:uid="{00000000-0005-0000-0000-00002B030000}"/>
    <cellStyle name="Millares 18 3" xfId="1551" xr:uid="{00000000-0005-0000-0000-00002C030000}"/>
    <cellStyle name="Millares 19" xfId="734" xr:uid="{00000000-0005-0000-0000-00002D030000}"/>
    <cellStyle name="Millares 19 2" xfId="735" xr:uid="{00000000-0005-0000-0000-00002E030000}"/>
    <cellStyle name="Millares 2" xfId="736" xr:uid="{00000000-0005-0000-0000-00002F030000}"/>
    <cellStyle name="Millares 2 10" xfId="737" xr:uid="{00000000-0005-0000-0000-000030030000}"/>
    <cellStyle name="Millares 2 11" xfId="738" xr:uid="{00000000-0005-0000-0000-000031030000}"/>
    <cellStyle name="Millares 2 12" xfId="739" xr:uid="{00000000-0005-0000-0000-000032030000}"/>
    <cellStyle name="Millares 2 13" xfId="1750" xr:uid="{00000000-0005-0000-0000-000033030000}"/>
    <cellStyle name="Millares 2 2" xfId="740" xr:uid="{00000000-0005-0000-0000-000034030000}"/>
    <cellStyle name="Millares 2 2 2" xfId="741" xr:uid="{00000000-0005-0000-0000-000035030000}"/>
    <cellStyle name="Millares 2 2 2 2" xfId="742" xr:uid="{00000000-0005-0000-0000-000036030000}"/>
    <cellStyle name="Millares 2 2 2 2 2" xfId="743" xr:uid="{00000000-0005-0000-0000-000037030000}"/>
    <cellStyle name="Millares 2 2 2 3" xfId="744" xr:uid="{00000000-0005-0000-0000-000038030000}"/>
    <cellStyle name="Millares 2 2 2 4" xfId="745" xr:uid="{00000000-0005-0000-0000-000039030000}"/>
    <cellStyle name="Millares 2 2 2 5" xfId="1454" xr:uid="{00000000-0005-0000-0000-00003A030000}"/>
    <cellStyle name="Millares 2 2 2 6" xfId="1755" xr:uid="{00000000-0005-0000-0000-00003B030000}"/>
    <cellStyle name="Millares 2 2 3" xfId="746" xr:uid="{00000000-0005-0000-0000-00003C030000}"/>
    <cellStyle name="Millares 2 2 3 2" xfId="747" xr:uid="{00000000-0005-0000-0000-00003D030000}"/>
    <cellStyle name="Millares 2 2 3 3" xfId="748" xr:uid="{00000000-0005-0000-0000-00003E030000}"/>
    <cellStyle name="Millares 2 2 3 4" xfId="749" xr:uid="{00000000-0005-0000-0000-00003F030000}"/>
    <cellStyle name="Millares 2 2 4" xfId="750" xr:uid="{00000000-0005-0000-0000-000040030000}"/>
    <cellStyle name="Millares 2 3" xfId="751" xr:uid="{00000000-0005-0000-0000-000041030000}"/>
    <cellStyle name="Millares 2 3 2" xfId="752" xr:uid="{00000000-0005-0000-0000-000042030000}"/>
    <cellStyle name="Millares 2 3 2 2" xfId="753" xr:uid="{00000000-0005-0000-0000-000043030000}"/>
    <cellStyle name="Millares 2 3 3" xfId="754" xr:uid="{00000000-0005-0000-0000-000044030000}"/>
    <cellStyle name="Millares 2 3 4" xfId="755" xr:uid="{00000000-0005-0000-0000-000045030000}"/>
    <cellStyle name="Millares 2 3 5" xfId="756" xr:uid="{00000000-0005-0000-0000-000046030000}"/>
    <cellStyle name="Millares 2 3 6" xfId="757" xr:uid="{00000000-0005-0000-0000-000047030000}"/>
    <cellStyle name="Millares 2 3 7" xfId="758" xr:uid="{00000000-0005-0000-0000-000048030000}"/>
    <cellStyle name="Millares 2 4" xfId="759" xr:uid="{00000000-0005-0000-0000-000049030000}"/>
    <cellStyle name="Millares 2 4 2" xfId="760" xr:uid="{00000000-0005-0000-0000-00004A030000}"/>
    <cellStyle name="Millares 2 4 2 2" xfId="761" xr:uid="{00000000-0005-0000-0000-00004B030000}"/>
    <cellStyle name="Millares 2 4 2 3" xfId="762" xr:uid="{00000000-0005-0000-0000-00004C030000}"/>
    <cellStyle name="Millares 2 4 3" xfId="763" xr:uid="{00000000-0005-0000-0000-00004D030000}"/>
    <cellStyle name="Millares 2 4 4" xfId="764" xr:uid="{00000000-0005-0000-0000-00004E030000}"/>
    <cellStyle name="Millares 2 4 5" xfId="765" xr:uid="{00000000-0005-0000-0000-00004F030000}"/>
    <cellStyle name="Millares 2 5" xfId="766" xr:uid="{00000000-0005-0000-0000-000050030000}"/>
    <cellStyle name="Millares 2 5 2" xfId="767" xr:uid="{00000000-0005-0000-0000-000051030000}"/>
    <cellStyle name="Millares 2 5 3" xfId="768" xr:uid="{00000000-0005-0000-0000-000052030000}"/>
    <cellStyle name="Millares 2 5 4" xfId="769" xr:uid="{00000000-0005-0000-0000-000053030000}"/>
    <cellStyle name="Millares 2 6" xfId="770" xr:uid="{00000000-0005-0000-0000-000054030000}"/>
    <cellStyle name="Millares 2 6 2" xfId="771" xr:uid="{00000000-0005-0000-0000-000055030000}"/>
    <cellStyle name="Millares 2 6 2 2" xfId="1552" xr:uid="{00000000-0005-0000-0000-000056030000}"/>
    <cellStyle name="Millares 2 7" xfId="772" xr:uid="{00000000-0005-0000-0000-000057030000}"/>
    <cellStyle name="Millares 2 7 2" xfId="1553" xr:uid="{00000000-0005-0000-0000-000058030000}"/>
    <cellStyle name="Millares 2 8" xfId="773" xr:uid="{00000000-0005-0000-0000-000059030000}"/>
    <cellStyle name="Millares 2 8 2" xfId="1554" xr:uid="{00000000-0005-0000-0000-00005A030000}"/>
    <cellStyle name="Millares 2 9" xfId="774" xr:uid="{00000000-0005-0000-0000-00005B030000}"/>
    <cellStyle name="Millares 2 9 2" xfId="1555" xr:uid="{00000000-0005-0000-0000-00005C030000}"/>
    <cellStyle name="Millares 2_111-12 ac neyba zona alta" xfId="775" xr:uid="{00000000-0005-0000-0000-00005D030000}"/>
    <cellStyle name="Millares 20" xfId="776" xr:uid="{00000000-0005-0000-0000-00005E030000}"/>
    <cellStyle name="Millares 21" xfId="777" xr:uid="{00000000-0005-0000-0000-00005F030000}"/>
    <cellStyle name="Millares 22" xfId="778" xr:uid="{00000000-0005-0000-0000-000060030000}"/>
    <cellStyle name="Millares 23" xfId="779" xr:uid="{00000000-0005-0000-0000-000061030000}"/>
    <cellStyle name="Millares 23 2" xfId="780" xr:uid="{00000000-0005-0000-0000-000062030000}"/>
    <cellStyle name="Millares 23 3" xfId="1556" xr:uid="{00000000-0005-0000-0000-000063030000}"/>
    <cellStyle name="Millares 24" xfId="781" xr:uid="{00000000-0005-0000-0000-000064030000}"/>
    <cellStyle name="Millares 24 2" xfId="782" xr:uid="{00000000-0005-0000-0000-000065030000}"/>
    <cellStyle name="Millares 24 3" xfId="1557" xr:uid="{00000000-0005-0000-0000-000066030000}"/>
    <cellStyle name="Millares 25" xfId="783" xr:uid="{00000000-0005-0000-0000-000067030000}"/>
    <cellStyle name="Millares 25 2" xfId="784" xr:uid="{00000000-0005-0000-0000-000068030000}"/>
    <cellStyle name="Millares 26" xfId="785" xr:uid="{00000000-0005-0000-0000-000069030000}"/>
    <cellStyle name="Millares 26 2" xfId="786" xr:uid="{00000000-0005-0000-0000-00006A030000}"/>
    <cellStyle name="Millares 26 2 2" xfId="1558" xr:uid="{00000000-0005-0000-0000-00006B030000}"/>
    <cellStyle name="Millares 27" xfId="787" xr:uid="{00000000-0005-0000-0000-00006C030000}"/>
    <cellStyle name="Millares 27 2" xfId="1559" xr:uid="{00000000-0005-0000-0000-00006D030000}"/>
    <cellStyle name="Millares 28" xfId="788" xr:uid="{00000000-0005-0000-0000-00006E030000}"/>
    <cellStyle name="Millares 29" xfId="789" xr:uid="{00000000-0005-0000-0000-00006F030000}"/>
    <cellStyle name="Millares 3" xfId="790" xr:uid="{00000000-0005-0000-0000-000070030000}"/>
    <cellStyle name="Millares 3 11" xfId="791" xr:uid="{00000000-0005-0000-0000-000071030000}"/>
    <cellStyle name="Millares 3 2" xfId="792" xr:uid="{00000000-0005-0000-0000-000072030000}"/>
    <cellStyle name="Millares 3 2 2" xfId="793" xr:uid="{00000000-0005-0000-0000-000073030000}"/>
    <cellStyle name="Millares 3 2 2 2" xfId="794" xr:uid="{00000000-0005-0000-0000-000074030000}"/>
    <cellStyle name="Millares 3 2 2 2 2" xfId="795" xr:uid="{00000000-0005-0000-0000-000075030000}"/>
    <cellStyle name="Millares 3 2 2 3" xfId="796" xr:uid="{00000000-0005-0000-0000-000076030000}"/>
    <cellStyle name="Millares 3 2 2 4" xfId="797" xr:uid="{00000000-0005-0000-0000-000077030000}"/>
    <cellStyle name="Millares 3 2 3" xfId="798" xr:uid="{00000000-0005-0000-0000-000078030000}"/>
    <cellStyle name="Millares 3 2 3 2" xfId="799" xr:uid="{00000000-0005-0000-0000-000079030000}"/>
    <cellStyle name="Millares 3 2 3 3" xfId="800" xr:uid="{00000000-0005-0000-0000-00007A030000}"/>
    <cellStyle name="Millares 3 2 4" xfId="801" xr:uid="{00000000-0005-0000-0000-00007B030000}"/>
    <cellStyle name="Millares 3 2 5" xfId="802" xr:uid="{00000000-0005-0000-0000-00007C030000}"/>
    <cellStyle name="Millares 3 2 6" xfId="803" xr:uid="{00000000-0005-0000-0000-00007D030000}"/>
    <cellStyle name="Millares 3 2 7" xfId="804" xr:uid="{00000000-0005-0000-0000-00007E030000}"/>
    <cellStyle name="Millares 3 2 8" xfId="1455" xr:uid="{00000000-0005-0000-0000-00007F030000}"/>
    <cellStyle name="Millares 3 3" xfId="805" xr:uid="{00000000-0005-0000-0000-000080030000}"/>
    <cellStyle name="Millares 3 3 2" xfId="806" xr:uid="{00000000-0005-0000-0000-000081030000}"/>
    <cellStyle name="Millares 3 3 2 2" xfId="807" xr:uid="{00000000-0005-0000-0000-000082030000}"/>
    <cellStyle name="Millares 3 3 2 3" xfId="808" xr:uid="{00000000-0005-0000-0000-000083030000}"/>
    <cellStyle name="Millares 3 3 3" xfId="809" xr:uid="{00000000-0005-0000-0000-000084030000}"/>
    <cellStyle name="Millares 3 3 3 2" xfId="810" xr:uid="{00000000-0005-0000-0000-000085030000}"/>
    <cellStyle name="Millares 3 3 4" xfId="811" xr:uid="{00000000-0005-0000-0000-000086030000}"/>
    <cellStyle name="Millares 3 3 5" xfId="812" xr:uid="{00000000-0005-0000-0000-000087030000}"/>
    <cellStyle name="Millares 3 3 6" xfId="813" xr:uid="{00000000-0005-0000-0000-000088030000}"/>
    <cellStyle name="Millares 3 4" xfId="814" xr:uid="{00000000-0005-0000-0000-000089030000}"/>
    <cellStyle name="Millares 3 4 2" xfId="815" xr:uid="{00000000-0005-0000-0000-00008A030000}"/>
    <cellStyle name="Millares 3 4 2 2" xfId="816" xr:uid="{00000000-0005-0000-0000-00008B030000}"/>
    <cellStyle name="Millares 3 4 2 3" xfId="1560" xr:uid="{00000000-0005-0000-0000-00008C030000}"/>
    <cellStyle name="Millares 3 4 3" xfId="817" xr:uid="{00000000-0005-0000-0000-00008D030000}"/>
    <cellStyle name="Millares 3 5" xfId="818" xr:uid="{00000000-0005-0000-0000-00008E030000}"/>
    <cellStyle name="Millares 3 5 2" xfId="819" xr:uid="{00000000-0005-0000-0000-00008F030000}"/>
    <cellStyle name="Millares 3 5 2 2" xfId="1561" xr:uid="{00000000-0005-0000-0000-000090030000}"/>
    <cellStyle name="Millares 3 5 3" xfId="820" xr:uid="{00000000-0005-0000-0000-000091030000}"/>
    <cellStyle name="Millares 3 5 3 2" xfId="1562" xr:uid="{00000000-0005-0000-0000-000092030000}"/>
    <cellStyle name="Millares 3 5 4" xfId="821" xr:uid="{00000000-0005-0000-0000-000093030000}"/>
    <cellStyle name="Millares 3 6" xfId="822" xr:uid="{00000000-0005-0000-0000-000094030000}"/>
    <cellStyle name="Millares 3 6 2" xfId="1563" xr:uid="{00000000-0005-0000-0000-000095030000}"/>
    <cellStyle name="Millares 3 7" xfId="823" xr:uid="{00000000-0005-0000-0000-000096030000}"/>
    <cellStyle name="Millares 3 7 2" xfId="824" xr:uid="{00000000-0005-0000-0000-000097030000}"/>
    <cellStyle name="Millares 3 7 3" xfId="1564" xr:uid="{00000000-0005-0000-0000-000098030000}"/>
    <cellStyle name="Millares 3 8" xfId="825" xr:uid="{00000000-0005-0000-0000-000099030000}"/>
    <cellStyle name="Millares 3 9" xfId="826" xr:uid="{00000000-0005-0000-0000-00009A030000}"/>
    <cellStyle name="Millares 3_111-12 ac neyba zona alta" xfId="827" xr:uid="{00000000-0005-0000-0000-00009B030000}"/>
    <cellStyle name="Millares 30" xfId="828" xr:uid="{00000000-0005-0000-0000-00009C030000}"/>
    <cellStyle name="Millares 31" xfId="829" xr:uid="{00000000-0005-0000-0000-00009D030000}"/>
    <cellStyle name="Millares 32" xfId="830" xr:uid="{00000000-0005-0000-0000-00009E030000}"/>
    <cellStyle name="Millares 33" xfId="831" xr:uid="{00000000-0005-0000-0000-00009F030000}"/>
    <cellStyle name="Millares 34" xfId="832" xr:uid="{00000000-0005-0000-0000-0000A0030000}"/>
    <cellStyle name="Millares 34 2" xfId="1565" xr:uid="{00000000-0005-0000-0000-0000A1030000}"/>
    <cellStyle name="Millares 35" xfId="833" xr:uid="{00000000-0005-0000-0000-0000A2030000}"/>
    <cellStyle name="Millares 36" xfId="834" xr:uid="{00000000-0005-0000-0000-0000A3030000}"/>
    <cellStyle name="Millares 37" xfId="835" xr:uid="{00000000-0005-0000-0000-0000A4030000}"/>
    <cellStyle name="Millares 38" xfId="836" xr:uid="{00000000-0005-0000-0000-0000A5030000}"/>
    <cellStyle name="Millares 39" xfId="837" xr:uid="{00000000-0005-0000-0000-0000A6030000}"/>
    <cellStyle name="Millares 4" xfId="838" xr:uid="{00000000-0005-0000-0000-0000A7030000}"/>
    <cellStyle name="Millares 4 2" xfId="839" xr:uid="{00000000-0005-0000-0000-0000A8030000}"/>
    <cellStyle name="Millares 4 2 2" xfId="840" xr:uid="{00000000-0005-0000-0000-0000A9030000}"/>
    <cellStyle name="Millares 4 2 2 2" xfId="841" xr:uid="{00000000-0005-0000-0000-0000AA030000}"/>
    <cellStyle name="Millares 4 2 2 3" xfId="842" xr:uid="{00000000-0005-0000-0000-0000AB030000}"/>
    <cellStyle name="Millares 4 2 3" xfId="843" xr:uid="{00000000-0005-0000-0000-0000AC030000}"/>
    <cellStyle name="Millares 4 2 4" xfId="844" xr:uid="{00000000-0005-0000-0000-0000AD030000}"/>
    <cellStyle name="Millares 4 2 5" xfId="845" xr:uid="{00000000-0005-0000-0000-0000AE030000}"/>
    <cellStyle name="Millares 4 3" xfId="846" xr:uid="{00000000-0005-0000-0000-0000AF030000}"/>
    <cellStyle name="Millares 4 3 2" xfId="847" xr:uid="{00000000-0005-0000-0000-0000B0030000}"/>
    <cellStyle name="Millares 4 3 2 2" xfId="848" xr:uid="{00000000-0005-0000-0000-0000B1030000}"/>
    <cellStyle name="Millares 4 3 3" xfId="849" xr:uid="{00000000-0005-0000-0000-0000B2030000}"/>
    <cellStyle name="Millares 4 3 4" xfId="850" xr:uid="{00000000-0005-0000-0000-0000B3030000}"/>
    <cellStyle name="Millares 4 4" xfId="851" xr:uid="{00000000-0005-0000-0000-0000B4030000}"/>
    <cellStyle name="Millares 4 4 2" xfId="852" xr:uid="{00000000-0005-0000-0000-0000B5030000}"/>
    <cellStyle name="Millares 4 5" xfId="853" xr:uid="{00000000-0005-0000-0000-0000B6030000}"/>
    <cellStyle name="Millares 4 6" xfId="854" xr:uid="{00000000-0005-0000-0000-0000B7030000}"/>
    <cellStyle name="Millares 4_Presupuesto Construccion edificio oficina gubernamentales de san juan" xfId="855" xr:uid="{00000000-0005-0000-0000-0000B8030000}"/>
    <cellStyle name="Millares 40" xfId="856" xr:uid="{00000000-0005-0000-0000-0000B9030000}"/>
    <cellStyle name="Millares 41" xfId="857" xr:uid="{00000000-0005-0000-0000-0000BA030000}"/>
    <cellStyle name="Millares 42" xfId="858" xr:uid="{00000000-0005-0000-0000-0000BB030000}"/>
    <cellStyle name="Millares 43" xfId="859" xr:uid="{00000000-0005-0000-0000-0000BC030000}"/>
    <cellStyle name="Millares 44" xfId="860" xr:uid="{00000000-0005-0000-0000-0000BD030000}"/>
    <cellStyle name="Millares 45" xfId="861" xr:uid="{00000000-0005-0000-0000-0000BE030000}"/>
    <cellStyle name="Millares 46" xfId="862" xr:uid="{00000000-0005-0000-0000-0000BF030000}"/>
    <cellStyle name="Millares 47" xfId="863" xr:uid="{00000000-0005-0000-0000-0000C0030000}"/>
    <cellStyle name="Millares 47 2" xfId="1566" xr:uid="{00000000-0005-0000-0000-0000C1030000}"/>
    <cellStyle name="Millares 48" xfId="864" xr:uid="{00000000-0005-0000-0000-0000C2030000}"/>
    <cellStyle name="Millares 48 2" xfId="1567" xr:uid="{00000000-0005-0000-0000-0000C3030000}"/>
    <cellStyle name="Millares 49" xfId="1451" xr:uid="{00000000-0005-0000-0000-0000C4030000}"/>
    <cellStyle name="Millares 5" xfId="865" xr:uid="{00000000-0005-0000-0000-0000C5030000}"/>
    <cellStyle name="Millares 5 2" xfId="866" xr:uid="{00000000-0005-0000-0000-0000C6030000}"/>
    <cellStyle name="Millares 5 2 2" xfId="867" xr:uid="{00000000-0005-0000-0000-0000C7030000}"/>
    <cellStyle name="Millares 5 2 2 2" xfId="1457" xr:uid="{00000000-0005-0000-0000-0000C8030000}"/>
    <cellStyle name="Millares 5 2 3" xfId="1456" xr:uid="{00000000-0005-0000-0000-0000C9030000}"/>
    <cellStyle name="Millares 5 2 4" xfId="1494" xr:uid="{00000000-0005-0000-0000-0000CA030000}"/>
    <cellStyle name="Millares 5 2 4 2" xfId="1736" xr:uid="{00000000-0005-0000-0000-0000CB030000}"/>
    <cellStyle name="Millares 5 2 4 2 2" xfId="2023" xr:uid="{00000000-0005-0000-0000-0000CC030000}"/>
    <cellStyle name="Millares 5 2 4 3" xfId="1901" xr:uid="{00000000-0005-0000-0000-0000CD030000}"/>
    <cellStyle name="Millares 5 3" xfId="868" xr:uid="{00000000-0005-0000-0000-0000CE030000}"/>
    <cellStyle name="Millares 5 3 2" xfId="869" xr:uid="{00000000-0005-0000-0000-0000CF030000}"/>
    <cellStyle name="Millares 5 3 3" xfId="870" xr:uid="{00000000-0005-0000-0000-0000D0030000}"/>
    <cellStyle name="Millares 5 3 4" xfId="871" xr:uid="{00000000-0005-0000-0000-0000D1030000}"/>
    <cellStyle name="Millares 5 3 5" xfId="1749" xr:uid="{00000000-0005-0000-0000-0000D2030000}"/>
    <cellStyle name="Millares 5 4" xfId="872" xr:uid="{00000000-0005-0000-0000-0000D3030000}"/>
    <cellStyle name="Millares 5 5" xfId="873" xr:uid="{00000000-0005-0000-0000-0000D4030000}"/>
    <cellStyle name="Millares 5 6" xfId="874" xr:uid="{00000000-0005-0000-0000-0000D5030000}"/>
    <cellStyle name="Millares 5 7" xfId="1493" xr:uid="{00000000-0005-0000-0000-0000D6030000}"/>
    <cellStyle name="Millares 5 7 2" xfId="1735" xr:uid="{00000000-0005-0000-0000-0000D7030000}"/>
    <cellStyle name="Millares 5 7 2 2" xfId="2022" xr:uid="{00000000-0005-0000-0000-0000D8030000}"/>
    <cellStyle name="Millares 5 7 3" xfId="1900" xr:uid="{00000000-0005-0000-0000-0000D9030000}"/>
    <cellStyle name="Millares 50" xfId="1453" xr:uid="{00000000-0005-0000-0000-0000DA030000}"/>
    <cellStyle name="Millares 51" xfId="1473" xr:uid="{00000000-0005-0000-0000-0000DB030000}"/>
    <cellStyle name="Millares 52" xfId="1780" xr:uid="{00000000-0005-0000-0000-0000DC030000}"/>
    <cellStyle name="Millares 6" xfId="875" xr:uid="{00000000-0005-0000-0000-0000DD030000}"/>
    <cellStyle name="Millares 6 2" xfId="876" xr:uid="{00000000-0005-0000-0000-0000DE030000}"/>
    <cellStyle name="Millares 6 2 2" xfId="877" xr:uid="{00000000-0005-0000-0000-0000DF030000}"/>
    <cellStyle name="Millares 6 2 3" xfId="878" xr:uid="{00000000-0005-0000-0000-0000E0030000}"/>
    <cellStyle name="Millares 6 2 4" xfId="1458" xr:uid="{00000000-0005-0000-0000-0000E1030000}"/>
    <cellStyle name="Millares 6 3" xfId="879" xr:uid="{00000000-0005-0000-0000-0000E2030000}"/>
    <cellStyle name="Millares 6 4" xfId="880" xr:uid="{00000000-0005-0000-0000-0000E3030000}"/>
    <cellStyle name="Millares 6 5" xfId="881" xr:uid="{00000000-0005-0000-0000-0000E4030000}"/>
    <cellStyle name="Millares 7" xfId="882" xr:uid="{00000000-0005-0000-0000-0000E5030000}"/>
    <cellStyle name="Millares 7 2" xfId="883" xr:uid="{00000000-0005-0000-0000-0000E6030000}"/>
    <cellStyle name="Millares 7 2 10" xfId="884" xr:uid="{00000000-0005-0000-0000-0000E7030000}"/>
    <cellStyle name="Millares 7 2 2" xfId="885" xr:uid="{00000000-0005-0000-0000-0000E8030000}"/>
    <cellStyle name="Millares 7 2 2 2" xfId="886" xr:uid="{00000000-0005-0000-0000-0000E9030000}"/>
    <cellStyle name="Millares 7 2 3" xfId="887" xr:uid="{00000000-0005-0000-0000-0000EA030000}"/>
    <cellStyle name="Millares 7 2 4" xfId="888" xr:uid="{00000000-0005-0000-0000-0000EB030000}"/>
    <cellStyle name="Millares 7 2 5" xfId="889" xr:uid="{00000000-0005-0000-0000-0000EC030000}"/>
    <cellStyle name="Millares 7 2 6" xfId="890" xr:uid="{00000000-0005-0000-0000-0000ED030000}"/>
    <cellStyle name="Millares 7 2 7" xfId="891" xr:uid="{00000000-0005-0000-0000-0000EE030000}"/>
    <cellStyle name="Millares 7 2 8" xfId="892" xr:uid="{00000000-0005-0000-0000-0000EF030000}"/>
    <cellStyle name="Millares 7 2 9" xfId="893" xr:uid="{00000000-0005-0000-0000-0000F0030000}"/>
    <cellStyle name="Millares 7 3" xfId="894" xr:uid="{00000000-0005-0000-0000-0000F1030000}"/>
    <cellStyle name="Millares 7 3 2" xfId="895" xr:uid="{00000000-0005-0000-0000-0000F2030000}"/>
    <cellStyle name="Millares 7 3 3" xfId="896" xr:uid="{00000000-0005-0000-0000-0000F3030000}"/>
    <cellStyle name="Millares 7 3 4" xfId="897" xr:uid="{00000000-0005-0000-0000-0000F4030000}"/>
    <cellStyle name="Millares 7 4" xfId="898" xr:uid="{00000000-0005-0000-0000-0000F5030000}"/>
    <cellStyle name="Millares 7 6" xfId="899" xr:uid="{00000000-0005-0000-0000-0000F6030000}"/>
    <cellStyle name="Millares 8" xfId="900" xr:uid="{00000000-0005-0000-0000-0000F7030000}"/>
    <cellStyle name="Millares 8 2" xfId="901" xr:uid="{00000000-0005-0000-0000-0000F8030000}"/>
    <cellStyle name="Millares 8 2 2" xfId="902" xr:uid="{00000000-0005-0000-0000-0000F9030000}"/>
    <cellStyle name="Millares 8 2 3" xfId="903" xr:uid="{00000000-0005-0000-0000-0000FA030000}"/>
    <cellStyle name="Millares 8 2 4" xfId="904" xr:uid="{00000000-0005-0000-0000-0000FB030000}"/>
    <cellStyle name="Millares 8 3" xfId="905" xr:uid="{00000000-0005-0000-0000-0000FC030000}"/>
    <cellStyle name="Millares 8 4" xfId="906" xr:uid="{00000000-0005-0000-0000-0000FD030000}"/>
    <cellStyle name="Millares 8 5" xfId="907" xr:uid="{00000000-0005-0000-0000-0000FE030000}"/>
    <cellStyle name="Millares 8 6" xfId="1459" xr:uid="{00000000-0005-0000-0000-0000FF030000}"/>
    <cellStyle name="Millares 9" xfId="908" xr:uid="{00000000-0005-0000-0000-000000040000}"/>
    <cellStyle name="Millares 9 2" xfId="909" xr:uid="{00000000-0005-0000-0000-000001040000}"/>
    <cellStyle name="Millares 9 2 2" xfId="910" xr:uid="{00000000-0005-0000-0000-000002040000}"/>
    <cellStyle name="Millares 9 2 2 2" xfId="1568" xr:uid="{00000000-0005-0000-0000-000003040000}"/>
    <cellStyle name="Millares 9 2 3" xfId="911" xr:uid="{00000000-0005-0000-0000-000004040000}"/>
    <cellStyle name="Millares 9 2 4" xfId="1503" xr:uid="{00000000-0005-0000-0000-000005040000}"/>
    <cellStyle name="Millares 9 3" xfId="912" xr:uid="{00000000-0005-0000-0000-000006040000}"/>
    <cellStyle name="Millares 9 4" xfId="913" xr:uid="{00000000-0005-0000-0000-000007040000}"/>
    <cellStyle name="Millares_114-08 PRESUP. ADICIONALES OBRA DE TOMA RIO SOCO SAN PEDRO 2" xfId="914" xr:uid="{00000000-0005-0000-0000-000008040000}"/>
    <cellStyle name="Millares_ALCANTARILLADO SANITARIO - LA DESCUBIERTA -EGB" xfId="915" xr:uid="{00000000-0005-0000-0000-000009040000}"/>
    <cellStyle name="Millares_ALCANTARILLADO SANITARIO DE GUAYMATE REV." xfId="916" xr:uid="{00000000-0005-0000-0000-00000A040000}"/>
    <cellStyle name="Millares_ANALISIS  ACUEDUCTO LA CUEVA DE CEVICOS" xfId="917" xr:uid="{00000000-0005-0000-0000-00000B040000}"/>
    <cellStyle name="Millares_analisis el pino junumucú" xfId="1481" xr:uid="{00000000-0005-0000-0000-00000C040000}"/>
    <cellStyle name="Millares_analisis el pino junumucú 3" xfId="1490" xr:uid="{00000000-0005-0000-0000-00000D040000}"/>
    <cellStyle name="Millares_ANALISIS SANTIAGO RODRIGUEZ I" xfId="918" xr:uid="{00000000-0005-0000-0000-00000E040000}"/>
    <cellStyle name="Millares_CUB04 F.N. AC.VILLA BAO" xfId="919" xr:uid="{00000000-0005-0000-0000-00000F040000}"/>
    <cellStyle name="Millares_ESTACION BOMBEO" xfId="920" xr:uid="{00000000-0005-0000-0000-000010040000}"/>
    <cellStyle name="Millares_mejoramiento instalaciones fisicas ac. guanito, sabana alta. (version 1)" xfId="921" xr:uid="{00000000-0005-0000-0000-000011040000}"/>
    <cellStyle name="Millares_planta cayetano germosen" xfId="1482" xr:uid="{00000000-0005-0000-0000-000012040000}"/>
    <cellStyle name="Millares_PLANTA TRATAMIENTO DE TIREO CONSTANZA" xfId="1487" xr:uid="{00000000-0005-0000-0000-000013040000}"/>
    <cellStyle name="Millares_PRES 059-09 REHABIL. PLANTA DE TRATAMIENTO DE 80 LPS RAPIDA, AC. HATO DEL YAQUE" xfId="1500" xr:uid="{00000000-0005-0000-0000-000014040000}"/>
    <cellStyle name="Millares_pres. elab. 232-09 Desvio de la linea matriz del Acueducto  San Juan de la Maguana" xfId="1486" xr:uid="{00000000-0005-0000-0000-000015040000}"/>
    <cellStyle name="Millares_PRES. PTA. TRAT. COSTA SUR DOM., S.A. maria para ana 2" xfId="1483" xr:uid="{00000000-0005-0000-0000-000016040000}"/>
    <cellStyle name="Millares_PRESUPUESTO" xfId="922" xr:uid="{00000000-0005-0000-0000-000017040000}"/>
    <cellStyle name="Millares_rec 1#57-06  al 160-05 2da. terminacion ac. carenero, villa clara, juana vicenta y los cocos" xfId="1485" xr:uid="{00000000-0005-0000-0000-000018040000}"/>
    <cellStyle name="Millares_rec. 1 al 314-04 ac. mult. sabana larga-hato viejo-potroso" xfId="923" xr:uid="{00000000-0005-0000-0000-000019040000}"/>
    <cellStyle name="Millares_rec. 1 al 314-04 ac. mult. sabana larga-hato viejo-potroso 2" xfId="924" xr:uid="{00000000-0005-0000-0000-00001A040000}"/>
    <cellStyle name="Millares_rec. 77-05  #1  53-05Terminacionl  acueducto de Corral Grande, Partido y Mariano Cestero" xfId="1480" xr:uid="{00000000-0005-0000-0000-00001B040000}"/>
    <cellStyle name="Millares_rec.No.57-03 481-01 alc.sanitario del seibo red colectora y pta. trat. #2" xfId="925" xr:uid="{00000000-0005-0000-0000-00001C040000}"/>
    <cellStyle name="Moneda [0] 2" xfId="926" xr:uid="{00000000-0005-0000-0000-00001D040000}"/>
    <cellStyle name="Moneda 18" xfId="927" xr:uid="{00000000-0005-0000-0000-00001E040000}"/>
    <cellStyle name="Moneda 2" xfId="928" xr:uid="{00000000-0005-0000-0000-00001F040000}"/>
    <cellStyle name="Moneda 2 2" xfId="929" xr:uid="{00000000-0005-0000-0000-000020040000}"/>
    <cellStyle name="Moneda 2 2 2" xfId="930" xr:uid="{00000000-0005-0000-0000-000021040000}"/>
    <cellStyle name="Moneda 2 2 2 2" xfId="931" xr:uid="{00000000-0005-0000-0000-000022040000}"/>
    <cellStyle name="Moneda 2 2 3" xfId="932" xr:uid="{00000000-0005-0000-0000-000023040000}"/>
    <cellStyle name="Moneda 2 2 4" xfId="933" xr:uid="{00000000-0005-0000-0000-000024040000}"/>
    <cellStyle name="Moneda 2 2 5" xfId="934" xr:uid="{00000000-0005-0000-0000-000025040000}"/>
    <cellStyle name="Moneda 2 3" xfId="935" xr:uid="{00000000-0005-0000-0000-000026040000}"/>
    <cellStyle name="Moneda 2 3 2" xfId="936" xr:uid="{00000000-0005-0000-0000-000027040000}"/>
    <cellStyle name="Moneda 2 4" xfId="937" xr:uid="{00000000-0005-0000-0000-000028040000}"/>
    <cellStyle name="Moneda 2 4 2" xfId="938" xr:uid="{00000000-0005-0000-0000-000029040000}"/>
    <cellStyle name="Moneda 2 5" xfId="939" xr:uid="{00000000-0005-0000-0000-00002A040000}"/>
    <cellStyle name="Moneda 2 5 2" xfId="1569" xr:uid="{00000000-0005-0000-0000-00002B040000}"/>
    <cellStyle name="Moneda 2 6" xfId="940" xr:uid="{00000000-0005-0000-0000-00002C040000}"/>
    <cellStyle name="Moneda 2 6 2" xfId="1570" xr:uid="{00000000-0005-0000-0000-00002D040000}"/>
    <cellStyle name="Moneda 2 7" xfId="941" xr:uid="{00000000-0005-0000-0000-00002E040000}"/>
    <cellStyle name="Moneda 2 7 2" xfId="1571" xr:uid="{00000000-0005-0000-0000-00002F040000}"/>
    <cellStyle name="Moneda 2 8" xfId="942" xr:uid="{00000000-0005-0000-0000-000030040000}"/>
    <cellStyle name="Moneda 2_ANALISIS COSTOS PORTICOS GRAN TECHO" xfId="943" xr:uid="{00000000-0005-0000-0000-000031040000}"/>
    <cellStyle name="Moneda 3" xfId="944" xr:uid="{00000000-0005-0000-0000-000032040000}"/>
    <cellStyle name="Moneda 3 2" xfId="945" xr:uid="{00000000-0005-0000-0000-000033040000}"/>
    <cellStyle name="Moneda 3 3" xfId="946" xr:uid="{00000000-0005-0000-0000-000034040000}"/>
    <cellStyle name="Moneda 3 4" xfId="947" xr:uid="{00000000-0005-0000-0000-000035040000}"/>
    <cellStyle name="Moneda 3 5" xfId="1460" xr:uid="{00000000-0005-0000-0000-000036040000}"/>
    <cellStyle name="Moneda 4" xfId="948" xr:uid="{00000000-0005-0000-0000-000037040000}"/>
    <cellStyle name="Moneda 4 2" xfId="949" xr:uid="{00000000-0005-0000-0000-000038040000}"/>
    <cellStyle name="Moneda 4 3" xfId="950" xr:uid="{00000000-0005-0000-0000-000039040000}"/>
    <cellStyle name="Moneda 5" xfId="951" xr:uid="{00000000-0005-0000-0000-00003A040000}"/>
    <cellStyle name="Moneda 5 2" xfId="952" xr:uid="{00000000-0005-0000-0000-00003B040000}"/>
    <cellStyle name="Moneda 5 3" xfId="953" xr:uid="{00000000-0005-0000-0000-00003C040000}"/>
    <cellStyle name="Moneda 6" xfId="954" xr:uid="{00000000-0005-0000-0000-00003D040000}"/>
    <cellStyle name="Moneda 6 2" xfId="955" xr:uid="{00000000-0005-0000-0000-00003E040000}"/>
    <cellStyle name="Moneda 6 3" xfId="956" xr:uid="{00000000-0005-0000-0000-00003F040000}"/>
    <cellStyle name="Moneda 7" xfId="957" xr:uid="{00000000-0005-0000-0000-000040040000}"/>
    <cellStyle name="Moneda 7 2" xfId="958" xr:uid="{00000000-0005-0000-0000-000041040000}"/>
    <cellStyle name="Moneda 8" xfId="959" xr:uid="{00000000-0005-0000-0000-000042040000}"/>
    <cellStyle name="Moneda 8 2" xfId="1572" xr:uid="{00000000-0005-0000-0000-000043040000}"/>
    <cellStyle name="Neutral 2" xfId="960" xr:uid="{00000000-0005-0000-0000-000044040000}"/>
    <cellStyle name="Neutral 2 2" xfId="961" xr:uid="{00000000-0005-0000-0000-000045040000}"/>
    <cellStyle name="Neutral 2 3" xfId="962" xr:uid="{00000000-0005-0000-0000-000046040000}"/>
    <cellStyle name="Neutral 3" xfId="963" xr:uid="{00000000-0005-0000-0000-000047040000}"/>
    <cellStyle name="Neutral 3 2" xfId="964" xr:uid="{00000000-0005-0000-0000-000048040000}"/>
    <cellStyle name="Neutral 4" xfId="965" xr:uid="{00000000-0005-0000-0000-000049040000}"/>
    <cellStyle name="Neutral 4 2" xfId="966" xr:uid="{00000000-0005-0000-0000-00004A040000}"/>
    <cellStyle name="No-definido" xfId="967" xr:uid="{00000000-0005-0000-0000-00004B040000}"/>
    <cellStyle name="No-definido 2" xfId="968" xr:uid="{00000000-0005-0000-0000-00004C040000}"/>
    <cellStyle name="Normal" xfId="0" builtinId="0"/>
    <cellStyle name="Normal - Style1" xfId="969" xr:uid="{00000000-0005-0000-0000-00004E040000}"/>
    <cellStyle name="Normal 10" xfId="970" xr:uid="{00000000-0005-0000-0000-00004F040000}"/>
    <cellStyle name="Normal 10 2" xfId="971" xr:uid="{00000000-0005-0000-0000-000050040000}"/>
    <cellStyle name="Normal 10 2 2" xfId="972" xr:uid="{00000000-0005-0000-0000-000051040000}"/>
    <cellStyle name="Normal 10 2 3" xfId="973" xr:uid="{00000000-0005-0000-0000-000052040000}"/>
    <cellStyle name="Normal 10 2 4" xfId="1751" xr:uid="{00000000-0005-0000-0000-000053040000}"/>
    <cellStyle name="Normal 10 3" xfId="974" xr:uid="{00000000-0005-0000-0000-000054040000}"/>
    <cellStyle name="Normal 10 4" xfId="975" xr:uid="{00000000-0005-0000-0000-000055040000}"/>
    <cellStyle name="Normal 10 5" xfId="976" xr:uid="{00000000-0005-0000-0000-000056040000}"/>
    <cellStyle name="Normal 10 6" xfId="977" xr:uid="{00000000-0005-0000-0000-000057040000}"/>
    <cellStyle name="Normal 10 7" xfId="1461" xr:uid="{00000000-0005-0000-0000-000058040000}"/>
    <cellStyle name="Normal 10 7 2" xfId="1734" xr:uid="{00000000-0005-0000-0000-000059040000}"/>
    <cellStyle name="Normal 10 7 2 2" xfId="2021" xr:uid="{00000000-0005-0000-0000-00005A040000}"/>
    <cellStyle name="Normal 10 7 3" xfId="1899" xr:uid="{00000000-0005-0000-0000-00005B040000}"/>
    <cellStyle name="Normal 11" xfId="978" xr:uid="{00000000-0005-0000-0000-00005C040000}"/>
    <cellStyle name="Normal 11 2" xfId="979" xr:uid="{00000000-0005-0000-0000-00005D040000}"/>
    <cellStyle name="Normal 11 3" xfId="980" xr:uid="{00000000-0005-0000-0000-00005E040000}"/>
    <cellStyle name="Normal 12" xfId="981" xr:uid="{00000000-0005-0000-0000-00005F040000}"/>
    <cellStyle name="Normal 12 2" xfId="982" xr:uid="{00000000-0005-0000-0000-000060040000}"/>
    <cellStyle name="Normal 12 2 2" xfId="983" xr:uid="{00000000-0005-0000-0000-000061040000}"/>
    <cellStyle name="Normal 12 2 2 2" xfId="1573" xr:uid="{00000000-0005-0000-0000-000062040000}"/>
    <cellStyle name="Normal 12 2 2 2 2" xfId="1904" xr:uid="{00000000-0005-0000-0000-000063040000}"/>
    <cellStyle name="Normal 12 2 2 3" xfId="1781" xr:uid="{00000000-0005-0000-0000-000064040000}"/>
    <cellStyle name="Normal 12 2 3" xfId="984" xr:uid="{00000000-0005-0000-0000-000065040000}"/>
    <cellStyle name="Normal 12 2 3 2" xfId="1574" xr:uid="{00000000-0005-0000-0000-000066040000}"/>
    <cellStyle name="Normal 12 2 3 2 2" xfId="1905" xr:uid="{00000000-0005-0000-0000-000067040000}"/>
    <cellStyle name="Normal 12 2 3 3" xfId="1782" xr:uid="{00000000-0005-0000-0000-000068040000}"/>
    <cellStyle name="Normal 12 2 4" xfId="985" xr:uid="{00000000-0005-0000-0000-000069040000}"/>
    <cellStyle name="Normal 12 3" xfId="986" xr:uid="{00000000-0005-0000-0000-00006A040000}"/>
    <cellStyle name="Normal 12 3 2" xfId="987" xr:uid="{00000000-0005-0000-0000-00006B040000}"/>
    <cellStyle name="Normal 12 3 2 2" xfId="1575" xr:uid="{00000000-0005-0000-0000-00006C040000}"/>
    <cellStyle name="Normal 12 3 2 2 2" xfId="1906" xr:uid="{00000000-0005-0000-0000-00006D040000}"/>
    <cellStyle name="Normal 12 3 2 3" xfId="1783" xr:uid="{00000000-0005-0000-0000-00006E040000}"/>
    <cellStyle name="Normal 12 4" xfId="988" xr:uid="{00000000-0005-0000-0000-00006F040000}"/>
    <cellStyle name="Normal 12 5" xfId="989" xr:uid="{00000000-0005-0000-0000-000070040000}"/>
    <cellStyle name="Normal 12 6" xfId="990" xr:uid="{00000000-0005-0000-0000-000071040000}"/>
    <cellStyle name="Normal 12 6 2" xfId="1576" xr:uid="{00000000-0005-0000-0000-000072040000}"/>
    <cellStyle name="Normal 12 6 2 2" xfId="1907" xr:uid="{00000000-0005-0000-0000-000073040000}"/>
    <cellStyle name="Normal 12 6 3" xfId="1784" xr:uid="{00000000-0005-0000-0000-000074040000}"/>
    <cellStyle name="Normal 13" xfId="991" xr:uid="{00000000-0005-0000-0000-000075040000}"/>
    <cellStyle name="Normal 13 2" xfId="992" xr:uid="{00000000-0005-0000-0000-000076040000}"/>
    <cellStyle name="Normal 13 2 2" xfId="993" xr:uid="{00000000-0005-0000-0000-000077040000}"/>
    <cellStyle name="Normal 13 2 2 2" xfId="994" xr:uid="{00000000-0005-0000-0000-000078040000}"/>
    <cellStyle name="Normal 13 2 2 2 2" xfId="1577" xr:uid="{00000000-0005-0000-0000-000079040000}"/>
    <cellStyle name="Normal 13 2 2 2 2 2" xfId="1908" xr:uid="{00000000-0005-0000-0000-00007A040000}"/>
    <cellStyle name="Normal 13 2 2 2 3" xfId="1785" xr:uid="{00000000-0005-0000-0000-00007B040000}"/>
    <cellStyle name="Normal 13 2 3" xfId="995" xr:uid="{00000000-0005-0000-0000-00007C040000}"/>
    <cellStyle name="Normal 13 2 3 2" xfId="1578" xr:uid="{00000000-0005-0000-0000-00007D040000}"/>
    <cellStyle name="Normal 13 2 3 2 2" xfId="1909" xr:uid="{00000000-0005-0000-0000-00007E040000}"/>
    <cellStyle name="Normal 13 2 3 3" xfId="1786" xr:uid="{00000000-0005-0000-0000-00007F040000}"/>
    <cellStyle name="Normal 13 2 4" xfId="1752" xr:uid="{00000000-0005-0000-0000-000080040000}"/>
    <cellStyle name="Normal 13 3" xfId="996" xr:uid="{00000000-0005-0000-0000-000081040000}"/>
    <cellStyle name="Normal 13 3 2" xfId="997" xr:uid="{00000000-0005-0000-0000-000082040000}"/>
    <cellStyle name="Normal 13 3 2 2" xfId="1580" xr:uid="{00000000-0005-0000-0000-000083040000}"/>
    <cellStyle name="Normal 13 3 2 2 2" xfId="1911" xr:uid="{00000000-0005-0000-0000-000084040000}"/>
    <cellStyle name="Normal 13 3 2 3" xfId="1788" xr:uid="{00000000-0005-0000-0000-000085040000}"/>
    <cellStyle name="Normal 13 3 3" xfId="1579" xr:uid="{00000000-0005-0000-0000-000086040000}"/>
    <cellStyle name="Normal 13 3 3 2" xfId="1910" xr:uid="{00000000-0005-0000-0000-000087040000}"/>
    <cellStyle name="Normal 13 3 4" xfId="1787" xr:uid="{00000000-0005-0000-0000-000088040000}"/>
    <cellStyle name="Normal 13 4" xfId="998" xr:uid="{00000000-0005-0000-0000-000089040000}"/>
    <cellStyle name="Normal 13 4 2" xfId="1581" xr:uid="{00000000-0005-0000-0000-00008A040000}"/>
    <cellStyle name="Normal 13 4 2 2" xfId="1912" xr:uid="{00000000-0005-0000-0000-00008B040000}"/>
    <cellStyle name="Normal 13 4 3" xfId="1789" xr:uid="{00000000-0005-0000-0000-00008C040000}"/>
    <cellStyle name="Normal 13 5" xfId="999" xr:uid="{00000000-0005-0000-0000-00008D040000}"/>
    <cellStyle name="Normal 13 5 2" xfId="1582" xr:uid="{00000000-0005-0000-0000-00008E040000}"/>
    <cellStyle name="Normal 13 5 2 2" xfId="1913" xr:uid="{00000000-0005-0000-0000-00008F040000}"/>
    <cellStyle name="Normal 13 5 3" xfId="1790" xr:uid="{00000000-0005-0000-0000-000090040000}"/>
    <cellStyle name="Normal 13 6" xfId="1000" xr:uid="{00000000-0005-0000-0000-000091040000}"/>
    <cellStyle name="Normal 13 6 2" xfId="1583" xr:uid="{00000000-0005-0000-0000-000092040000}"/>
    <cellStyle name="Normal 13 6 2 2" xfId="1914" xr:uid="{00000000-0005-0000-0000-000093040000}"/>
    <cellStyle name="Normal 13 6 3" xfId="1791" xr:uid="{00000000-0005-0000-0000-000094040000}"/>
    <cellStyle name="Normal 13 7" xfId="1001" xr:uid="{00000000-0005-0000-0000-000095040000}"/>
    <cellStyle name="Normal 13 7 2" xfId="1584" xr:uid="{00000000-0005-0000-0000-000096040000}"/>
    <cellStyle name="Normal 13 7 2 2" xfId="1915" xr:uid="{00000000-0005-0000-0000-000097040000}"/>
    <cellStyle name="Normal 13 7 3" xfId="1792" xr:uid="{00000000-0005-0000-0000-000098040000}"/>
    <cellStyle name="Normal 13 8" xfId="1002" xr:uid="{00000000-0005-0000-0000-000099040000}"/>
    <cellStyle name="Normal 13 9" xfId="1003" xr:uid="{00000000-0005-0000-0000-00009A040000}"/>
    <cellStyle name="Normal 13 9 2" xfId="1585" xr:uid="{00000000-0005-0000-0000-00009B040000}"/>
    <cellStyle name="Normal 13 9 2 2" xfId="1916" xr:uid="{00000000-0005-0000-0000-00009C040000}"/>
    <cellStyle name="Normal 13 9 3" xfId="1793" xr:uid="{00000000-0005-0000-0000-00009D040000}"/>
    <cellStyle name="Normal 14" xfId="1004" xr:uid="{00000000-0005-0000-0000-00009E040000}"/>
    <cellStyle name="Normal 14 2" xfId="1005" xr:uid="{00000000-0005-0000-0000-00009F040000}"/>
    <cellStyle name="Normal 14 2 2" xfId="1006" xr:uid="{00000000-0005-0000-0000-0000A0040000}"/>
    <cellStyle name="Normal 14 2 2 2" xfId="1007" xr:uid="{00000000-0005-0000-0000-0000A1040000}"/>
    <cellStyle name="Normal 14 2 2 2 2" xfId="1586" xr:uid="{00000000-0005-0000-0000-0000A2040000}"/>
    <cellStyle name="Normal 14 2 2 2 2 2" xfId="1917" xr:uid="{00000000-0005-0000-0000-0000A3040000}"/>
    <cellStyle name="Normal 14 2 2 2 3" xfId="1794" xr:uid="{00000000-0005-0000-0000-0000A4040000}"/>
    <cellStyle name="Normal 14 2 3" xfId="1008" xr:uid="{00000000-0005-0000-0000-0000A5040000}"/>
    <cellStyle name="Normal 14 2 3 2" xfId="1587" xr:uid="{00000000-0005-0000-0000-0000A6040000}"/>
    <cellStyle name="Normal 14 2 3 2 2" xfId="1918" xr:uid="{00000000-0005-0000-0000-0000A7040000}"/>
    <cellStyle name="Normal 14 2 3 3" xfId="1795" xr:uid="{00000000-0005-0000-0000-0000A8040000}"/>
    <cellStyle name="Normal 14 3" xfId="1009" xr:uid="{00000000-0005-0000-0000-0000A9040000}"/>
    <cellStyle name="Normal 14 3 2" xfId="1010" xr:uid="{00000000-0005-0000-0000-0000AA040000}"/>
    <cellStyle name="Normal 14 3 2 2" xfId="1589" xr:uid="{00000000-0005-0000-0000-0000AB040000}"/>
    <cellStyle name="Normal 14 3 2 2 2" xfId="1920" xr:uid="{00000000-0005-0000-0000-0000AC040000}"/>
    <cellStyle name="Normal 14 3 2 3" xfId="1797" xr:uid="{00000000-0005-0000-0000-0000AD040000}"/>
    <cellStyle name="Normal 14 3 3" xfId="1588" xr:uid="{00000000-0005-0000-0000-0000AE040000}"/>
    <cellStyle name="Normal 14 3 3 2" xfId="1919" xr:uid="{00000000-0005-0000-0000-0000AF040000}"/>
    <cellStyle name="Normal 14 3 4" xfId="1796" xr:uid="{00000000-0005-0000-0000-0000B0040000}"/>
    <cellStyle name="Normal 14 4" xfId="1011" xr:uid="{00000000-0005-0000-0000-0000B1040000}"/>
    <cellStyle name="Normal 14 4 2" xfId="1590" xr:uid="{00000000-0005-0000-0000-0000B2040000}"/>
    <cellStyle name="Normal 14 4 2 2" xfId="1921" xr:uid="{00000000-0005-0000-0000-0000B3040000}"/>
    <cellStyle name="Normal 14 4 3" xfId="1798" xr:uid="{00000000-0005-0000-0000-0000B4040000}"/>
    <cellStyle name="Normal 14 5" xfId="1012" xr:uid="{00000000-0005-0000-0000-0000B5040000}"/>
    <cellStyle name="Normal 14 5 2" xfId="1591" xr:uid="{00000000-0005-0000-0000-0000B6040000}"/>
    <cellStyle name="Normal 14 5 2 2" xfId="1922" xr:uid="{00000000-0005-0000-0000-0000B7040000}"/>
    <cellStyle name="Normal 14 5 3" xfId="1799" xr:uid="{00000000-0005-0000-0000-0000B8040000}"/>
    <cellStyle name="Normal 14 6" xfId="1013" xr:uid="{00000000-0005-0000-0000-0000B9040000}"/>
    <cellStyle name="Normal 14 6 2" xfId="1592" xr:uid="{00000000-0005-0000-0000-0000BA040000}"/>
    <cellStyle name="Normal 14 6 2 2" xfId="1923" xr:uid="{00000000-0005-0000-0000-0000BB040000}"/>
    <cellStyle name="Normal 14 6 3" xfId="1800" xr:uid="{00000000-0005-0000-0000-0000BC040000}"/>
    <cellStyle name="Normal 14 7" xfId="1014" xr:uid="{00000000-0005-0000-0000-0000BD040000}"/>
    <cellStyle name="Normal 14 8" xfId="1015" xr:uid="{00000000-0005-0000-0000-0000BE040000}"/>
    <cellStyle name="Normal 14 8 2" xfId="1593" xr:uid="{00000000-0005-0000-0000-0000BF040000}"/>
    <cellStyle name="Normal 14 8 2 2" xfId="1924" xr:uid="{00000000-0005-0000-0000-0000C0040000}"/>
    <cellStyle name="Normal 14 8 3" xfId="1801" xr:uid="{00000000-0005-0000-0000-0000C1040000}"/>
    <cellStyle name="Normal 15" xfId="1016" xr:uid="{00000000-0005-0000-0000-0000C2040000}"/>
    <cellStyle name="Normal 15 2" xfId="1017" xr:uid="{00000000-0005-0000-0000-0000C3040000}"/>
    <cellStyle name="Normal 15 2 2" xfId="1018" xr:uid="{00000000-0005-0000-0000-0000C4040000}"/>
    <cellStyle name="Normal 15 2 2 2" xfId="1595" xr:uid="{00000000-0005-0000-0000-0000C5040000}"/>
    <cellStyle name="Normal 15 2 2 2 2" xfId="1926" xr:uid="{00000000-0005-0000-0000-0000C6040000}"/>
    <cellStyle name="Normal 15 2 2 3" xfId="1803" xr:uid="{00000000-0005-0000-0000-0000C7040000}"/>
    <cellStyle name="Normal 15 2 3" xfId="1019" xr:uid="{00000000-0005-0000-0000-0000C8040000}"/>
    <cellStyle name="Normal 15 2 3 2" xfId="1596" xr:uid="{00000000-0005-0000-0000-0000C9040000}"/>
    <cellStyle name="Normal 15 2 3 2 2" xfId="1927" xr:uid="{00000000-0005-0000-0000-0000CA040000}"/>
    <cellStyle name="Normal 15 2 3 3" xfId="1804" xr:uid="{00000000-0005-0000-0000-0000CB040000}"/>
    <cellStyle name="Normal 15 2 4" xfId="1501" xr:uid="{00000000-0005-0000-0000-0000CC040000}"/>
    <cellStyle name="Normal 15 3" xfId="1020" xr:uid="{00000000-0005-0000-0000-0000CD040000}"/>
    <cellStyle name="Normal 15 3 2" xfId="1597" xr:uid="{00000000-0005-0000-0000-0000CE040000}"/>
    <cellStyle name="Normal 15 3 2 2" xfId="1928" xr:uid="{00000000-0005-0000-0000-0000CF040000}"/>
    <cellStyle name="Normal 15 3 3" xfId="1805" xr:uid="{00000000-0005-0000-0000-0000D0040000}"/>
    <cellStyle name="Normal 15 4" xfId="1021" xr:uid="{00000000-0005-0000-0000-0000D1040000}"/>
    <cellStyle name="Normal 15 4 2" xfId="1598" xr:uid="{00000000-0005-0000-0000-0000D2040000}"/>
    <cellStyle name="Normal 15 4 2 2" xfId="1929" xr:uid="{00000000-0005-0000-0000-0000D3040000}"/>
    <cellStyle name="Normal 15 4 3" xfId="1806" xr:uid="{00000000-0005-0000-0000-0000D4040000}"/>
    <cellStyle name="Normal 15 5" xfId="1022" xr:uid="{00000000-0005-0000-0000-0000D5040000}"/>
    <cellStyle name="Normal 15 6" xfId="1594" xr:uid="{00000000-0005-0000-0000-0000D6040000}"/>
    <cellStyle name="Normal 15 6 2" xfId="1925" xr:uid="{00000000-0005-0000-0000-0000D7040000}"/>
    <cellStyle name="Normal 15 7" xfId="1802" xr:uid="{00000000-0005-0000-0000-0000D8040000}"/>
    <cellStyle name="Normal 16" xfId="1023" xr:uid="{00000000-0005-0000-0000-0000D9040000}"/>
    <cellStyle name="Normal 16 2" xfId="1024" xr:uid="{00000000-0005-0000-0000-0000DA040000}"/>
    <cellStyle name="Normal 16 2 2" xfId="1025" xr:uid="{00000000-0005-0000-0000-0000DB040000}"/>
    <cellStyle name="Normal 16 2 2 2" xfId="1599" xr:uid="{00000000-0005-0000-0000-0000DC040000}"/>
    <cellStyle name="Normal 16 2 2 2 2" xfId="1930" xr:uid="{00000000-0005-0000-0000-0000DD040000}"/>
    <cellStyle name="Normal 16 2 2 3" xfId="1807" xr:uid="{00000000-0005-0000-0000-0000DE040000}"/>
    <cellStyle name="Normal 16 2 3" xfId="1026" xr:uid="{00000000-0005-0000-0000-0000DF040000}"/>
    <cellStyle name="Normal 16 2 3 2" xfId="1600" xr:uid="{00000000-0005-0000-0000-0000E0040000}"/>
    <cellStyle name="Normal 16 2 3 2 2" xfId="1931" xr:uid="{00000000-0005-0000-0000-0000E1040000}"/>
    <cellStyle name="Normal 16 2 3 3" xfId="1808" xr:uid="{00000000-0005-0000-0000-0000E2040000}"/>
    <cellStyle name="Normal 16 3" xfId="1027" xr:uid="{00000000-0005-0000-0000-0000E3040000}"/>
    <cellStyle name="Normal 16 3 2" xfId="1028" xr:uid="{00000000-0005-0000-0000-0000E4040000}"/>
    <cellStyle name="Normal 16 3 2 2" xfId="1601" xr:uid="{00000000-0005-0000-0000-0000E5040000}"/>
    <cellStyle name="Normal 16 3 2 2 2" xfId="1932" xr:uid="{00000000-0005-0000-0000-0000E6040000}"/>
    <cellStyle name="Normal 16 3 2 3" xfId="1809" xr:uid="{00000000-0005-0000-0000-0000E7040000}"/>
    <cellStyle name="Normal 16 4" xfId="1029" xr:uid="{00000000-0005-0000-0000-0000E8040000}"/>
    <cellStyle name="Normal 16 4 2" xfId="1602" xr:uid="{00000000-0005-0000-0000-0000E9040000}"/>
    <cellStyle name="Normal 16 4 2 2" xfId="1933" xr:uid="{00000000-0005-0000-0000-0000EA040000}"/>
    <cellStyle name="Normal 16 4 3" xfId="1810" xr:uid="{00000000-0005-0000-0000-0000EB040000}"/>
    <cellStyle name="Normal 17" xfId="1030" xr:uid="{00000000-0005-0000-0000-0000EC040000}"/>
    <cellStyle name="Normal 17 2" xfId="1031" xr:uid="{00000000-0005-0000-0000-0000ED040000}"/>
    <cellStyle name="Normal 17 2 2" xfId="1032" xr:uid="{00000000-0005-0000-0000-0000EE040000}"/>
    <cellStyle name="Normal 17 2 2 2" xfId="1603" xr:uid="{00000000-0005-0000-0000-0000EF040000}"/>
    <cellStyle name="Normal 17 2 2 2 2" xfId="1934" xr:uid="{00000000-0005-0000-0000-0000F0040000}"/>
    <cellStyle name="Normal 17 2 2 3" xfId="1811" xr:uid="{00000000-0005-0000-0000-0000F1040000}"/>
    <cellStyle name="Normal 17 2 3" xfId="1033" xr:uid="{00000000-0005-0000-0000-0000F2040000}"/>
    <cellStyle name="Normal 17 2 3 2" xfId="1604" xr:uid="{00000000-0005-0000-0000-0000F3040000}"/>
    <cellStyle name="Normal 17 2 3 2 2" xfId="1935" xr:uid="{00000000-0005-0000-0000-0000F4040000}"/>
    <cellStyle name="Normal 17 2 3 3" xfId="1812" xr:uid="{00000000-0005-0000-0000-0000F5040000}"/>
    <cellStyle name="Normal 17 3" xfId="1034" xr:uid="{00000000-0005-0000-0000-0000F6040000}"/>
    <cellStyle name="Normal 17 3 2" xfId="1035" xr:uid="{00000000-0005-0000-0000-0000F7040000}"/>
    <cellStyle name="Normal 17 3 2 2" xfId="1605" xr:uid="{00000000-0005-0000-0000-0000F8040000}"/>
    <cellStyle name="Normal 17 3 2 2 2" xfId="1936" xr:uid="{00000000-0005-0000-0000-0000F9040000}"/>
    <cellStyle name="Normal 17 3 2 3" xfId="1813" xr:uid="{00000000-0005-0000-0000-0000FA040000}"/>
    <cellStyle name="Normal 17 4" xfId="1036" xr:uid="{00000000-0005-0000-0000-0000FB040000}"/>
    <cellStyle name="Normal 17 4 2" xfId="1606" xr:uid="{00000000-0005-0000-0000-0000FC040000}"/>
    <cellStyle name="Normal 17 4 2 2" xfId="1937" xr:uid="{00000000-0005-0000-0000-0000FD040000}"/>
    <cellStyle name="Normal 17 4 3" xfId="1814" xr:uid="{00000000-0005-0000-0000-0000FE040000}"/>
    <cellStyle name="Normal 18" xfId="1037" xr:uid="{00000000-0005-0000-0000-0000FF040000}"/>
    <cellStyle name="Normal 18 2" xfId="1038" xr:uid="{00000000-0005-0000-0000-000000050000}"/>
    <cellStyle name="Normal 18 2 2" xfId="1039" xr:uid="{00000000-0005-0000-0000-000001050000}"/>
    <cellStyle name="Normal 18 3" xfId="1040" xr:uid="{00000000-0005-0000-0000-000002050000}"/>
    <cellStyle name="Normal 18 4" xfId="1041" xr:uid="{00000000-0005-0000-0000-000003050000}"/>
    <cellStyle name="Normal 19" xfId="1042" xr:uid="{00000000-0005-0000-0000-000004050000}"/>
    <cellStyle name="Normal 19 2" xfId="1043" xr:uid="{00000000-0005-0000-0000-000005050000}"/>
    <cellStyle name="Normal 19 2 2" xfId="1044" xr:uid="{00000000-0005-0000-0000-000006050000}"/>
    <cellStyle name="Normal 19 3" xfId="1045" xr:uid="{00000000-0005-0000-0000-000007050000}"/>
    <cellStyle name="Normal 19 3 2" xfId="1608" xr:uid="{00000000-0005-0000-0000-000008050000}"/>
    <cellStyle name="Normal 19 3 2 2" xfId="1939" xr:uid="{00000000-0005-0000-0000-000009050000}"/>
    <cellStyle name="Normal 19 3 3" xfId="1816" xr:uid="{00000000-0005-0000-0000-00000A050000}"/>
    <cellStyle name="Normal 19 4" xfId="1046" xr:uid="{00000000-0005-0000-0000-00000B050000}"/>
    <cellStyle name="Normal 19 5" xfId="1607" xr:uid="{00000000-0005-0000-0000-00000C050000}"/>
    <cellStyle name="Normal 19 5 2" xfId="1938" xr:uid="{00000000-0005-0000-0000-00000D050000}"/>
    <cellStyle name="Normal 19 6" xfId="1815" xr:uid="{00000000-0005-0000-0000-00000E050000}"/>
    <cellStyle name="Normal 2" xfId="1047" xr:uid="{00000000-0005-0000-0000-00000F050000}"/>
    <cellStyle name="Normal 2 10" xfId="1048" xr:uid="{00000000-0005-0000-0000-000010050000}"/>
    <cellStyle name="Normal 2 11" xfId="1049" xr:uid="{00000000-0005-0000-0000-000011050000}"/>
    <cellStyle name="Normal 2 12" xfId="1462" xr:uid="{00000000-0005-0000-0000-000012050000}"/>
    <cellStyle name="Normal 2 2" xfId="1050" xr:uid="{00000000-0005-0000-0000-000013050000}"/>
    <cellStyle name="Normal 2 2 2" xfId="1051" xr:uid="{00000000-0005-0000-0000-000014050000}"/>
    <cellStyle name="Normal 2 2 2 2" xfId="1052" xr:uid="{00000000-0005-0000-0000-000015050000}"/>
    <cellStyle name="Normal 2 2 2 2 2" xfId="1609" xr:uid="{00000000-0005-0000-0000-000016050000}"/>
    <cellStyle name="Normal 2 2 2 2 2 2" xfId="1940" xr:uid="{00000000-0005-0000-0000-000017050000}"/>
    <cellStyle name="Normal 2 2 2 2 3" xfId="1817" xr:uid="{00000000-0005-0000-0000-000018050000}"/>
    <cellStyle name="Normal 2 2 3" xfId="1053" xr:uid="{00000000-0005-0000-0000-000019050000}"/>
    <cellStyle name="Normal 2 2 3 2" xfId="1054" xr:uid="{00000000-0005-0000-0000-00001A050000}"/>
    <cellStyle name="Normal 2 2 4" xfId="1055" xr:uid="{00000000-0005-0000-0000-00001B050000}"/>
    <cellStyle name="Normal 2 2 4 2" xfId="1056" xr:uid="{00000000-0005-0000-0000-00001C050000}"/>
    <cellStyle name="Normal 2 2 4 2 2" xfId="1611" xr:uid="{00000000-0005-0000-0000-00001D050000}"/>
    <cellStyle name="Normal 2 2 4 2 2 2" xfId="1942" xr:uid="{00000000-0005-0000-0000-00001E050000}"/>
    <cellStyle name="Normal 2 2 4 2 3" xfId="1819" xr:uid="{00000000-0005-0000-0000-00001F050000}"/>
    <cellStyle name="Normal 2 2 4 3" xfId="1610" xr:uid="{00000000-0005-0000-0000-000020050000}"/>
    <cellStyle name="Normal 2 2 4 3 2" xfId="1941" xr:uid="{00000000-0005-0000-0000-000021050000}"/>
    <cellStyle name="Normal 2 2 4 4" xfId="1818" xr:uid="{00000000-0005-0000-0000-000022050000}"/>
    <cellStyle name="Normal 2 2 5" xfId="1057" xr:uid="{00000000-0005-0000-0000-000023050000}"/>
    <cellStyle name="Normal 2 2 6" xfId="1058" xr:uid="{00000000-0005-0000-0000-000024050000}"/>
    <cellStyle name="Normal 2 2_Copia de AC. LINEA NOROESTE trabajo de inocencio" xfId="1059" xr:uid="{00000000-0005-0000-0000-000025050000}"/>
    <cellStyle name="Normal 2 3" xfId="1060" xr:uid="{00000000-0005-0000-0000-000026050000}"/>
    <cellStyle name="Normal 2 3 2" xfId="1061" xr:uid="{00000000-0005-0000-0000-000027050000}"/>
    <cellStyle name="Normal 2 3 3" xfId="1062" xr:uid="{00000000-0005-0000-0000-000028050000}"/>
    <cellStyle name="Normal 2 3 4" xfId="1063" xr:uid="{00000000-0005-0000-0000-000029050000}"/>
    <cellStyle name="Normal 2 3 5" xfId="1064" xr:uid="{00000000-0005-0000-0000-00002A050000}"/>
    <cellStyle name="Normal 2 4" xfId="1065" xr:uid="{00000000-0005-0000-0000-00002B050000}"/>
    <cellStyle name="Normal 2 4 2" xfId="1066" xr:uid="{00000000-0005-0000-0000-00002C050000}"/>
    <cellStyle name="Normal 2 4 2 2" xfId="1067" xr:uid="{00000000-0005-0000-0000-00002D050000}"/>
    <cellStyle name="Normal 2 4 2 3" xfId="1612" xr:uid="{00000000-0005-0000-0000-00002E050000}"/>
    <cellStyle name="Normal 2 4 2 3 2" xfId="1943" xr:uid="{00000000-0005-0000-0000-00002F050000}"/>
    <cellStyle name="Normal 2 4 2 4" xfId="1820" xr:uid="{00000000-0005-0000-0000-000030050000}"/>
    <cellStyle name="Normal 2 4 3" xfId="1068" xr:uid="{00000000-0005-0000-0000-000031050000}"/>
    <cellStyle name="Normal 2 4 3 2" xfId="1069" xr:uid="{00000000-0005-0000-0000-000032050000}"/>
    <cellStyle name="Normal 2 4 3 2 2" xfId="1614" xr:uid="{00000000-0005-0000-0000-000033050000}"/>
    <cellStyle name="Normal 2 4 3 3" xfId="1613" xr:uid="{00000000-0005-0000-0000-000034050000}"/>
    <cellStyle name="Normal 2 4 3 3 2" xfId="1944" xr:uid="{00000000-0005-0000-0000-000035050000}"/>
    <cellStyle name="Normal 2 4 3 4" xfId="1821" xr:uid="{00000000-0005-0000-0000-000036050000}"/>
    <cellStyle name="Normal 2 4 4" xfId="1070" xr:uid="{00000000-0005-0000-0000-000037050000}"/>
    <cellStyle name="Normal 2 4 4 2" xfId="1615" xr:uid="{00000000-0005-0000-0000-000038050000}"/>
    <cellStyle name="Normal 2 4 5" xfId="1071" xr:uid="{00000000-0005-0000-0000-000039050000}"/>
    <cellStyle name="Normal 2 5" xfId="1072" xr:uid="{00000000-0005-0000-0000-00003A050000}"/>
    <cellStyle name="Normal 2 5 2" xfId="1073" xr:uid="{00000000-0005-0000-0000-00003B050000}"/>
    <cellStyle name="Normal 2 5 2 2" xfId="1616" xr:uid="{00000000-0005-0000-0000-00003C050000}"/>
    <cellStyle name="Normal 2 5 2 2 2" xfId="1945" xr:uid="{00000000-0005-0000-0000-00003D050000}"/>
    <cellStyle name="Normal 2 5 2 3" xfId="1822" xr:uid="{00000000-0005-0000-0000-00003E050000}"/>
    <cellStyle name="Normal 2 6" xfId="1074" xr:uid="{00000000-0005-0000-0000-00003F050000}"/>
    <cellStyle name="Normal 2 6 2" xfId="1617" xr:uid="{00000000-0005-0000-0000-000040050000}"/>
    <cellStyle name="Normal 2 6 2 2" xfId="1946" xr:uid="{00000000-0005-0000-0000-000041050000}"/>
    <cellStyle name="Normal 2 6 3" xfId="1823" xr:uid="{00000000-0005-0000-0000-000042050000}"/>
    <cellStyle name="Normal 2 7" xfId="1075" xr:uid="{00000000-0005-0000-0000-000043050000}"/>
    <cellStyle name="Normal 2 7 2" xfId="1618" xr:uid="{00000000-0005-0000-0000-000044050000}"/>
    <cellStyle name="Normal 2 7 2 2" xfId="1947" xr:uid="{00000000-0005-0000-0000-000045050000}"/>
    <cellStyle name="Normal 2 7 3" xfId="1824" xr:uid="{00000000-0005-0000-0000-000046050000}"/>
    <cellStyle name="Normal 2 8" xfId="1076" xr:uid="{00000000-0005-0000-0000-000047050000}"/>
    <cellStyle name="Normal 2 8 2" xfId="1619" xr:uid="{00000000-0005-0000-0000-000048050000}"/>
    <cellStyle name="Normal 2 8 2 2" xfId="1948" xr:uid="{00000000-0005-0000-0000-000049050000}"/>
    <cellStyle name="Normal 2 8 3" xfId="1825" xr:uid="{00000000-0005-0000-0000-00004A050000}"/>
    <cellStyle name="Normal 2 9" xfId="1077" xr:uid="{00000000-0005-0000-0000-00004B050000}"/>
    <cellStyle name="Normal 2 9 2" xfId="1620" xr:uid="{00000000-0005-0000-0000-00004C050000}"/>
    <cellStyle name="Normal 2 9 2 2" xfId="1949" xr:uid="{00000000-0005-0000-0000-00004D050000}"/>
    <cellStyle name="Normal 2 9 3" xfId="1826" xr:uid="{00000000-0005-0000-0000-00004E050000}"/>
    <cellStyle name="Normal 2_07-09 presupu..." xfId="1078" xr:uid="{00000000-0005-0000-0000-00004F050000}"/>
    <cellStyle name="Normal 20" xfId="1079" xr:uid="{00000000-0005-0000-0000-000050050000}"/>
    <cellStyle name="Normal 20 2" xfId="1080" xr:uid="{00000000-0005-0000-0000-000051050000}"/>
    <cellStyle name="Normal 20 2 2" xfId="1491" xr:uid="{00000000-0005-0000-0000-000052050000}"/>
    <cellStyle name="Normal 20 2 3" xfId="1622" xr:uid="{00000000-0005-0000-0000-000053050000}"/>
    <cellStyle name="Normal 20 2 3 2" xfId="1951" xr:uid="{00000000-0005-0000-0000-000054050000}"/>
    <cellStyle name="Normal 20 2 4" xfId="1828" xr:uid="{00000000-0005-0000-0000-000055050000}"/>
    <cellStyle name="Normal 20 3" xfId="1081" xr:uid="{00000000-0005-0000-0000-000056050000}"/>
    <cellStyle name="Normal 20 4" xfId="1082" xr:uid="{00000000-0005-0000-0000-000057050000}"/>
    <cellStyle name="Normal 20 4 2" xfId="1623" xr:uid="{00000000-0005-0000-0000-000058050000}"/>
    <cellStyle name="Normal 20 4 2 2" xfId="1952" xr:uid="{00000000-0005-0000-0000-000059050000}"/>
    <cellStyle name="Normal 20 4 3" xfId="1829" xr:uid="{00000000-0005-0000-0000-00005A050000}"/>
    <cellStyle name="Normal 20 5" xfId="1083" xr:uid="{00000000-0005-0000-0000-00005B050000}"/>
    <cellStyle name="Normal 20 6" xfId="1621" xr:uid="{00000000-0005-0000-0000-00005C050000}"/>
    <cellStyle name="Normal 20 6 2" xfId="1950" xr:uid="{00000000-0005-0000-0000-00005D050000}"/>
    <cellStyle name="Normal 20 7" xfId="1827" xr:uid="{00000000-0005-0000-0000-00005E050000}"/>
    <cellStyle name="Normal 21" xfId="1084" xr:uid="{00000000-0005-0000-0000-00005F050000}"/>
    <cellStyle name="Normal 21 2" xfId="1085" xr:uid="{00000000-0005-0000-0000-000060050000}"/>
    <cellStyle name="Normal 21 3" xfId="1086" xr:uid="{00000000-0005-0000-0000-000061050000}"/>
    <cellStyle name="Normal 21 4" xfId="1087" xr:uid="{00000000-0005-0000-0000-000062050000}"/>
    <cellStyle name="Normal 22" xfId="1088" xr:uid="{00000000-0005-0000-0000-000063050000}"/>
    <cellStyle name="Normal 22 2" xfId="1089" xr:uid="{00000000-0005-0000-0000-000064050000}"/>
    <cellStyle name="Normal 22 2 2" xfId="1624" xr:uid="{00000000-0005-0000-0000-000065050000}"/>
    <cellStyle name="Normal 22 2 2 2" xfId="1953" xr:uid="{00000000-0005-0000-0000-000066050000}"/>
    <cellStyle name="Normal 22 2 3" xfId="1830" xr:uid="{00000000-0005-0000-0000-000067050000}"/>
    <cellStyle name="Normal 22 3" xfId="1090" xr:uid="{00000000-0005-0000-0000-000068050000}"/>
    <cellStyle name="Normal 23" xfId="1091" xr:uid="{00000000-0005-0000-0000-000069050000}"/>
    <cellStyle name="Normal 24" xfId="1092" xr:uid="{00000000-0005-0000-0000-00006A050000}"/>
    <cellStyle name="Normal 24 2" xfId="1093" xr:uid="{00000000-0005-0000-0000-00006B050000}"/>
    <cellStyle name="Normal 24 2 2" xfId="1625" xr:uid="{00000000-0005-0000-0000-00006C050000}"/>
    <cellStyle name="Normal 24 2 2 2" xfId="1954" xr:uid="{00000000-0005-0000-0000-00006D050000}"/>
    <cellStyle name="Normal 24 2 3" xfId="1831" xr:uid="{00000000-0005-0000-0000-00006E050000}"/>
    <cellStyle name="Normal 24 3" xfId="1094" xr:uid="{00000000-0005-0000-0000-00006F050000}"/>
    <cellStyle name="Normal 24 3 2" xfId="1626" xr:uid="{00000000-0005-0000-0000-000070050000}"/>
    <cellStyle name="Normal 24 3 2 2" xfId="1955" xr:uid="{00000000-0005-0000-0000-000071050000}"/>
    <cellStyle name="Normal 24 3 3" xfId="1832" xr:uid="{00000000-0005-0000-0000-000072050000}"/>
    <cellStyle name="Normal 24 4" xfId="1095" xr:uid="{00000000-0005-0000-0000-000073050000}"/>
    <cellStyle name="Normal 25" xfId="1096" xr:uid="{00000000-0005-0000-0000-000074050000}"/>
    <cellStyle name="Normal 25 2" xfId="1097" xr:uid="{00000000-0005-0000-0000-000075050000}"/>
    <cellStyle name="Normal 25 3" xfId="1627" xr:uid="{00000000-0005-0000-0000-000076050000}"/>
    <cellStyle name="Normal 25 3 2" xfId="1956" xr:uid="{00000000-0005-0000-0000-000077050000}"/>
    <cellStyle name="Normal 25 4" xfId="1833" xr:uid="{00000000-0005-0000-0000-000078050000}"/>
    <cellStyle name="Normal 26" xfId="1098" xr:uid="{00000000-0005-0000-0000-000079050000}"/>
    <cellStyle name="Normal 26 2" xfId="1099" xr:uid="{00000000-0005-0000-0000-00007A050000}"/>
    <cellStyle name="Normal 26 3" xfId="1100" xr:uid="{00000000-0005-0000-0000-00007B050000}"/>
    <cellStyle name="Normal 26 4" xfId="1101" xr:uid="{00000000-0005-0000-0000-00007C050000}"/>
    <cellStyle name="Normal 26 4 2" xfId="1629" xr:uid="{00000000-0005-0000-0000-00007D050000}"/>
    <cellStyle name="Normal 26 4 2 2" xfId="1958" xr:uid="{00000000-0005-0000-0000-00007E050000}"/>
    <cellStyle name="Normal 26 4 3" xfId="1835" xr:uid="{00000000-0005-0000-0000-00007F050000}"/>
    <cellStyle name="Normal 26 5" xfId="1628" xr:uid="{00000000-0005-0000-0000-000080050000}"/>
    <cellStyle name="Normal 26 5 2" xfId="1957" xr:uid="{00000000-0005-0000-0000-000081050000}"/>
    <cellStyle name="Normal 26 6" xfId="1834" xr:uid="{00000000-0005-0000-0000-000082050000}"/>
    <cellStyle name="Normal 27" xfId="1102" xr:uid="{00000000-0005-0000-0000-000083050000}"/>
    <cellStyle name="Normal 27 2" xfId="1103" xr:uid="{00000000-0005-0000-0000-000084050000}"/>
    <cellStyle name="Normal 27 3" xfId="1104" xr:uid="{00000000-0005-0000-0000-000085050000}"/>
    <cellStyle name="Normal 28" xfId="1105" xr:uid="{00000000-0005-0000-0000-000086050000}"/>
    <cellStyle name="Normal 28 2" xfId="1106" xr:uid="{00000000-0005-0000-0000-000087050000}"/>
    <cellStyle name="Normal 29" xfId="1107" xr:uid="{00000000-0005-0000-0000-000088050000}"/>
    <cellStyle name="Normal 29 2" xfId="1108" xr:uid="{00000000-0005-0000-0000-000089050000}"/>
    <cellStyle name="Normal 29 2 2" xfId="1630" xr:uid="{00000000-0005-0000-0000-00008A050000}"/>
    <cellStyle name="Normal 29 2 2 2" xfId="1959" xr:uid="{00000000-0005-0000-0000-00008B050000}"/>
    <cellStyle name="Normal 29 2 3" xfId="1836" xr:uid="{00000000-0005-0000-0000-00008C050000}"/>
    <cellStyle name="Normal 3" xfId="1109" xr:uid="{00000000-0005-0000-0000-00008D050000}"/>
    <cellStyle name="Normal 3 10" xfId="1110" xr:uid="{00000000-0005-0000-0000-00008E050000}"/>
    <cellStyle name="Normal 3 11" xfId="1111" xr:uid="{00000000-0005-0000-0000-00008F050000}"/>
    <cellStyle name="Normal 3 12" xfId="1464" xr:uid="{00000000-0005-0000-0000-000090050000}"/>
    <cellStyle name="Normal 3 12 2" xfId="1499" xr:uid="{00000000-0005-0000-0000-000091050000}"/>
    <cellStyle name="Normal 3 13" xfId="1747" xr:uid="{00000000-0005-0000-0000-000092050000}"/>
    <cellStyle name="Normal 3 2" xfId="1112" xr:uid="{00000000-0005-0000-0000-000093050000}"/>
    <cellStyle name="Normal 3 2 2" xfId="1113" xr:uid="{00000000-0005-0000-0000-000094050000}"/>
    <cellStyle name="Normal 3 2 2 2" xfId="1114" xr:uid="{00000000-0005-0000-0000-000095050000}"/>
    <cellStyle name="Normal 3 2 2 2 2" xfId="1631" xr:uid="{00000000-0005-0000-0000-000096050000}"/>
    <cellStyle name="Normal 3 2 2 2 2 2" xfId="1960" xr:uid="{00000000-0005-0000-0000-000097050000}"/>
    <cellStyle name="Normal 3 2 2 2 3" xfId="1837" xr:uid="{00000000-0005-0000-0000-000098050000}"/>
    <cellStyle name="Normal 3 2 2 3" xfId="1115" xr:uid="{00000000-0005-0000-0000-000099050000}"/>
    <cellStyle name="Normal 3 2 2 3 2" xfId="1632" xr:uid="{00000000-0005-0000-0000-00009A050000}"/>
    <cellStyle name="Normal 3 2 2 3 2 2" xfId="1961" xr:uid="{00000000-0005-0000-0000-00009B050000}"/>
    <cellStyle name="Normal 3 2 2 3 3" xfId="1838" xr:uid="{00000000-0005-0000-0000-00009C050000}"/>
    <cellStyle name="Normal 3 2 2 4" xfId="1116" xr:uid="{00000000-0005-0000-0000-00009D050000}"/>
    <cellStyle name="Normal 3 2 2 4 2" xfId="1633" xr:uid="{00000000-0005-0000-0000-00009E050000}"/>
    <cellStyle name="Normal 3 2 2 4 2 2" xfId="1962" xr:uid="{00000000-0005-0000-0000-00009F050000}"/>
    <cellStyle name="Normal 3 2 2 4 3" xfId="1839" xr:uid="{00000000-0005-0000-0000-0000A0050000}"/>
    <cellStyle name="Normal 3 2 2 5" xfId="1117" xr:uid="{00000000-0005-0000-0000-0000A1050000}"/>
    <cellStyle name="Normal 3 2 2 5 2" xfId="1634" xr:uid="{00000000-0005-0000-0000-0000A2050000}"/>
    <cellStyle name="Normal 3 2 2 5 2 2" xfId="1963" xr:uid="{00000000-0005-0000-0000-0000A3050000}"/>
    <cellStyle name="Normal 3 2 2 5 3" xfId="1840" xr:uid="{00000000-0005-0000-0000-0000A4050000}"/>
    <cellStyle name="Normal 3 2 2 6" xfId="1118" xr:uid="{00000000-0005-0000-0000-0000A5050000}"/>
    <cellStyle name="Normal 3 2 3" xfId="1119" xr:uid="{00000000-0005-0000-0000-0000A6050000}"/>
    <cellStyle name="Normal 3 2 4" xfId="1120" xr:uid="{00000000-0005-0000-0000-0000A7050000}"/>
    <cellStyle name="Normal 3 2 4 2" xfId="1121" xr:uid="{00000000-0005-0000-0000-0000A8050000}"/>
    <cellStyle name="Normal 3 2 4 3" xfId="1635" xr:uid="{00000000-0005-0000-0000-0000A9050000}"/>
    <cellStyle name="Normal 3 2 4 3 2" xfId="1964" xr:uid="{00000000-0005-0000-0000-0000AA050000}"/>
    <cellStyle name="Normal 3 2 4 4" xfId="1841" xr:uid="{00000000-0005-0000-0000-0000AB050000}"/>
    <cellStyle name="Normal 3 2 5" xfId="1122" xr:uid="{00000000-0005-0000-0000-0000AC050000}"/>
    <cellStyle name="Normal 3 2 6" xfId="1123" xr:uid="{00000000-0005-0000-0000-0000AD050000}"/>
    <cellStyle name="Normal 3 2 7" xfId="1124" xr:uid="{00000000-0005-0000-0000-0000AE050000}"/>
    <cellStyle name="Normal 3 2 8" xfId="1465" xr:uid="{00000000-0005-0000-0000-0000AF050000}"/>
    <cellStyle name="Normal 3 3" xfId="1125" xr:uid="{00000000-0005-0000-0000-0000B0050000}"/>
    <cellStyle name="Normal 3 3 2" xfId="1126" xr:uid="{00000000-0005-0000-0000-0000B1050000}"/>
    <cellStyle name="Normal 3 3 2 2" xfId="1636" xr:uid="{00000000-0005-0000-0000-0000B2050000}"/>
    <cellStyle name="Normal 3 3 2 2 2" xfId="1965" xr:uid="{00000000-0005-0000-0000-0000B3050000}"/>
    <cellStyle name="Normal 3 3 2 3" xfId="1842" xr:uid="{00000000-0005-0000-0000-0000B4050000}"/>
    <cellStyle name="Normal 3 3 3" xfId="1127" xr:uid="{00000000-0005-0000-0000-0000B5050000}"/>
    <cellStyle name="Normal 3 3 4" xfId="1128" xr:uid="{00000000-0005-0000-0000-0000B6050000}"/>
    <cellStyle name="Normal 3 4" xfId="1129" xr:uid="{00000000-0005-0000-0000-0000B7050000}"/>
    <cellStyle name="Normal 3 4 2" xfId="1130" xr:uid="{00000000-0005-0000-0000-0000B8050000}"/>
    <cellStyle name="Normal 3 4 2 2" xfId="1638" xr:uid="{00000000-0005-0000-0000-0000B9050000}"/>
    <cellStyle name="Normal 3 4 2 2 2" xfId="1967" xr:uid="{00000000-0005-0000-0000-0000BA050000}"/>
    <cellStyle name="Normal 3 4 2 3" xfId="1844" xr:uid="{00000000-0005-0000-0000-0000BB050000}"/>
    <cellStyle name="Normal 3 4 3" xfId="1131" xr:uid="{00000000-0005-0000-0000-0000BC050000}"/>
    <cellStyle name="Normal 3 4 4" xfId="1637" xr:uid="{00000000-0005-0000-0000-0000BD050000}"/>
    <cellStyle name="Normal 3 4 4 2" xfId="1966" xr:uid="{00000000-0005-0000-0000-0000BE050000}"/>
    <cellStyle name="Normal 3 4 5" xfId="1843" xr:uid="{00000000-0005-0000-0000-0000BF050000}"/>
    <cellStyle name="Normal 3 5" xfId="1132" xr:uid="{00000000-0005-0000-0000-0000C0050000}"/>
    <cellStyle name="Normal 3 5 2" xfId="1639" xr:uid="{00000000-0005-0000-0000-0000C1050000}"/>
    <cellStyle name="Normal 3 5 2 2" xfId="1968" xr:uid="{00000000-0005-0000-0000-0000C2050000}"/>
    <cellStyle name="Normal 3 5 3" xfId="1845" xr:uid="{00000000-0005-0000-0000-0000C3050000}"/>
    <cellStyle name="Normal 3 6" xfId="1133" xr:uid="{00000000-0005-0000-0000-0000C4050000}"/>
    <cellStyle name="Normal 3 6 2" xfId="1640" xr:uid="{00000000-0005-0000-0000-0000C5050000}"/>
    <cellStyle name="Normal 3 6 2 2" xfId="1969" xr:uid="{00000000-0005-0000-0000-0000C6050000}"/>
    <cellStyle name="Normal 3 6 3" xfId="1846" xr:uid="{00000000-0005-0000-0000-0000C7050000}"/>
    <cellStyle name="Normal 3 7" xfId="1134" xr:uid="{00000000-0005-0000-0000-0000C8050000}"/>
    <cellStyle name="Normal 3 7 2" xfId="1641" xr:uid="{00000000-0005-0000-0000-0000C9050000}"/>
    <cellStyle name="Normal 3 7 2 2" xfId="1970" xr:uid="{00000000-0005-0000-0000-0000CA050000}"/>
    <cellStyle name="Normal 3 7 3" xfId="1847" xr:uid="{00000000-0005-0000-0000-0000CB050000}"/>
    <cellStyle name="Normal 3 8" xfId="1135" xr:uid="{00000000-0005-0000-0000-0000CC050000}"/>
    <cellStyle name="Normal 3 8 2" xfId="1642" xr:uid="{00000000-0005-0000-0000-0000CD050000}"/>
    <cellStyle name="Normal 3 8 2 2" xfId="1971" xr:uid="{00000000-0005-0000-0000-0000CE050000}"/>
    <cellStyle name="Normal 3 8 3" xfId="1848" xr:uid="{00000000-0005-0000-0000-0000CF050000}"/>
    <cellStyle name="Normal 3 9" xfId="1136" xr:uid="{00000000-0005-0000-0000-0000D0050000}"/>
    <cellStyle name="Normal 3 9 2" xfId="1643" xr:uid="{00000000-0005-0000-0000-0000D1050000}"/>
    <cellStyle name="Normal 3 9 2 2" xfId="1972" xr:uid="{00000000-0005-0000-0000-0000D2050000}"/>
    <cellStyle name="Normal 3 9 3" xfId="1849" xr:uid="{00000000-0005-0000-0000-0000D3050000}"/>
    <cellStyle name="Normal 3_PRESUPTO CALLES DEL MUNIC. DE GUERRA" xfId="1137" xr:uid="{00000000-0005-0000-0000-0000D4050000}"/>
    <cellStyle name="Normal 30" xfId="1138" xr:uid="{00000000-0005-0000-0000-0000D5050000}"/>
    <cellStyle name="Normal 30 2" xfId="1492" xr:uid="{00000000-0005-0000-0000-0000D6050000}"/>
    <cellStyle name="Normal 30 3" xfId="1644" xr:uid="{00000000-0005-0000-0000-0000D7050000}"/>
    <cellStyle name="Normal 30 3 2" xfId="1973" xr:uid="{00000000-0005-0000-0000-0000D8050000}"/>
    <cellStyle name="Normal 30 4" xfId="1850" xr:uid="{00000000-0005-0000-0000-0000D9050000}"/>
    <cellStyle name="Normal 31" xfId="1139" xr:uid="{00000000-0005-0000-0000-0000DA050000}"/>
    <cellStyle name="Normal 31 2" xfId="1140" xr:uid="{00000000-0005-0000-0000-0000DB050000}"/>
    <cellStyle name="Normal 31_correccion de averia ac.hatillo prov.hato mayor oct.2011 2" xfId="1141" xr:uid="{00000000-0005-0000-0000-0000DC050000}"/>
    <cellStyle name="Normal 31_correccion de averia ac.hatillo prov.hato mayor oct.2011 2 2" xfId="1764" xr:uid="{00000000-0005-0000-0000-0000DD050000}"/>
    <cellStyle name="Normal 32" xfId="1142" xr:uid="{00000000-0005-0000-0000-0000DE050000}"/>
    <cellStyle name="Normal 33" xfId="1143" xr:uid="{00000000-0005-0000-0000-0000DF050000}"/>
    <cellStyle name="Normal 34" xfId="1144" xr:uid="{00000000-0005-0000-0000-0000E0050000}"/>
    <cellStyle name="Normal 35" xfId="1145" xr:uid="{00000000-0005-0000-0000-0000E1050000}"/>
    <cellStyle name="Normal 36" xfId="1146" xr:uid="{00000000-0005-0000-0000-0000E2050000}"/>
    <cellStyle name="Normal 37" xfId="1147" xr:uid="{00000000-0005-0000-0000-0000E3050000}"/>
    <cellStyle name="Normal 38" xfId="1148" xr:uid="{00000000-0005-0000-0000-0000E4050000}"/>
    <cellStyle name="Normal 38 2" xfId="1645" xr:uid="{00000000-0005-0000-0000-0000E5050000}"/>
    <cellStyle name="Normal 38 2 2" xfId="1974" xr:uid="{00000000-0005-0000-0000-0000E6050000}"/>
    <cellStyle name="Normal 38 3" xfId="1851" xr:uid="{00000000-0005-0000-0000-0000E7050000}"/>
    <cellStyle name="Normal 39" xfId="1149" xr:uid="{00000000-0005-0000-0000-0000E8050000}"/>
    <cellStyle name="Normal 39 2" xfId="1646" xr:uid="{00000000-0005-0000-0000-0000E9050000}"/>
    <cellStyle name="Normal 39 2 2" xfId="1975" xr:uid="{00000000-0005-0000-0000-0000EA050000}"/>
    <cellStyle name="Normal 39 3" xfId="1852" xr:uid="{00000000-0005-0000-0000-0000EB050000}"/>
    <cellStyle name="Normal 4" xfId="1150" xr:uid="{00000000-0005-0000-0000-0000EC050000}"/>
    <cellStyle name="Normal 4 10" xfId="1151" xr:uid="{00000000-0005-0000-0000-0000ED050000}"/>
    <cellStyle name="Normal 4 10 2" xfId="1152" xr:uid="{00000000-0005-0000-0000-0000EE050000}"/>
    <cellStyle name="Normal 4 11" xfId="1153" xr:uid="{00000000-0005-0000-0000-0000EF050000}"/>
    <cellStyle name="Normal 4 12" xfId="1154" xr:uid="{00000000-0005-0000-0000-0000F0050000}"/>
    <cellStyle name="Normal 4 13" xfId="1155" xr:uid="{00000000-0005-0000-0000-0000F1050000}"/>
    <cellStyle name="Normal 4 14" xfId="1156" xr:uid="{00000000-0005-0000-0000-0000F2050000}"/>
    <cellStyle name="Normal 4 2" xfId="1157" xr:uid="{00000000-0005-0000-0000-0000F3050000}"/>
    <cellStyle name="Normal 4 2 2" xfId="1158" xr:uid="{00000000-0005-0000-0000-0000F4050000}"/>
    <cellStyle name="Normal 4 2 2 10" xfId="1647" xr:uid="{00000000-0005-0000-0000-0000F5050000}"/>
    <cellStyle name="Normal 4 2 2 10 2" xfId="1976" xr:uid="{00000000-0005-0000-0000-0000F6050000}"/>
    <cellStyle name="Normal 4 2 2 11" xfId="1853" xr:uid="{00000000-0005-0000-0000-0000F7050000}"/>
    <cellStyle name="Normal 4 2 2 2" xfId="1159" xr:uid="{00000000-0005-0000-0000-0000F8050000}"/>
    <cellStyle name="Normal 4 2 2 2 2" xfId="1160" xr:uid="{00000000-0005-0000-0000-0000F9050000}"/>
    <cellStyle name="Normal 4 2 2 2 2 2" xfId="1649" xr:uid="{00000000-0005-0000-0000-0000FA050000}"/>
    <cellStyle name="Normal 4 2 2 2 2 2 2" xfId="1978" xr:uid="{00000000-0005-0000-0000-0000FB050000}"/>
    <cellStyle name="Normal 4 2 2 2 2 3" xfId="1855" xr:uid="{00000000-0005-0000-0000-0000FC050000}"/>
    <cellStyle name="Normal 4 2 2 2 3" xfId="1161" xr:uid="{00000000-0005-0000-0000-0000FD050000}"/>
    <cellStyle name="Normal 4 2 2 2 3 2" xfId="1650" xr:uid="{00000000-0005-0000-0000-0000FE050000}"/>
    <cellStyle name="Normal 4 2 2 2 3 2 2" xfId="1979" xr:uid="{00000000-0005-0000-0000-0000FF050000}"/>
    <cellStyle name="Normal 4 2 2 2 3 3" xfId="1856" xr:uid="{00000000-0005-0000-0000-000000060000}"/>
    <cellStyle name="Normal 4 2 2 2 4" xfId="1162" xr:uid="{00000000-0005-0000-0000-000001060000}"/>
    <cellStyle name="Normal 4 2 2 2 4 2" xfId="1651" xr:uid="{00000000-0005-0000-0000-000002060000}"/>
    <cellStyle name="Normal 4 2 2 2 4 2 2" xfId="1980" xr:uid="{00000000-0005-0000-0000-000003060000}"/>
    <cellStyle name="Normal 4 2 2 2 4 3" xfId="1857" xr:uid="{00000000-0005-0000-0000-000004060000}"/>
    <cellStyle name="Normal 4 2 2 2 5" xfId="1163" xr:uid="{00000000-0005-0000-0000-000005060000}"/>
    <cellStyle name="Normal 4 2 2 2 5 2" xfId="1652" xr:uid="{00000000-0005-0000-0000-000006060000}"/>
    <cellStyle name="Normal 4 2 2 2 5 2 2" xfId="1981" xr:uid="{00000000-0005-0000-0000-000007060000}"/>
    <cellStyle name="Normal 4 2 2 2 5 3" xfId="1858" xr:uid="{00000000-0005-0000-0000-000008060000}"/>
    <cellStyle name="Normal 4 2 2 2 6" xfId="1164" xr:uid="{00000000-0005-0000-0000-000009060000}"/>
    <cellStyle name="Normal 4 2 2 2 6 2" xfId="1653" xr:uid="{00000000-0005-0000-0000-00000A060000}"/>
    <cellStyle name="Normal 4 2 2 2 6 2 2" xfId="1982" xr:uid="{00000000-0005-0000-0000-00000B060000}"/>
    <cellStyle name="Normal 4 2 2 2 6 3" xfId="1859" xr:uid="{00000000-0005-0000-0000-00000C060000}"/>
    <cellStyle name="Normal 4 2 2 2 7" xfId="1165" xr:uid="{00000000-0005-0000-0000-00000D060000}"/>
    <cellStyle name="Normal 4 2 2 2 7 2" xfId="1654" xr:uid="{00000000-0005-0000-0000-00000E060000}"/>
    <cellStyle name="Normal 4 2 2 2 7 2 2" xfId="1983" xr:uid="{00000000-0005-0000-0000-00000F060000}"/>
    <cellStyle name="Normal 4 2 2 2 7 3" xfId="1860" xr:uid="{00000000-0005-0000-0000-000010060000}"/>
    <cellStyle name="Normal 4 2 2 2 8" xfId="1648" xr:uid="{00000000-0005-0000-0000-000011060000}"/>
    <cellStyle name="Normal 4 2 2 2 8 2" xfId="1977" xr:uid="{00000000-0005-0000-0000-000012060000}"/>
    <cellStyle name="Normal 4 2 2 2 9" xfId="1854" xr:uid="{00000000-0005-0000-0000-000013060000}"/>
    <cellStyle name="Normal 4 2 2 3" xfId="1166" xr:uid="{00000000-0005-0000-0000-000014060000}"/>
    <cellStyle name="Normal 4 2 2 4" xfId="1167" xr:uid="{00000000-0005-0000-0000-000015060000}"/>
    <cellStyle name="Normal 4 2 2 4 2" xfId="1655" xr:uid="{00000000-0005-0000-0000-000016060000}"/>
    <cellStyle name="Normal 4 2 2 4 2 2" xfId="1984" xr:uid="{00000000-0005-0000-0000-000017060000}"/>
    <cellStyle name="Normal 4 2 2 4 3" xfId="1861" xr:uid="{00000000-0005-0000-0000-000018060000}"/>
    <cellStyle name="Normal 4 2 2 5" xfId="1168" xr:uid="{00000000-0005-0000-0000-000019060000}"/>
    <cellStyle name="Normal 4 2 2 5 2" xfId="1656" xr:uid="{00000000-0005-0000-0000-00001A060000}"/>
    <cellStyle name="Normal 4 2 2 5 2 2" xfId="1985" xr:uid="{00000000-0005-0000-0000-00001B060000}"/>
    <cellStyle name="Normal 4 2 2 5 3" xfId="1862" xr:uid="{00000000-0005-0000-0000-00001C060000}"/>
    <cellStyle name="Normal 4 2 2 6" xfId="1169" xr:uid="{00000000-0005-0000-0000-00001D060000}"/>
    <cellStyle name="Normal 4 2 2 6 2" xfId="1657" xr:uid="{00000000-0005-0000-0000-00001E060000}"/>
    <cellStyle name="Normal 4 2 2 6 2 2" xfId="1986" xr:uid="{00000000-0005-0000-0000-00001F060000}"/>
    <cellStyle name="Normal 4 2 2 6 3" xfId="1863" xr:uid="{00000000-0005-0000-0000-000020060000}"/>
    <cellStyle name="Normal 4 2 2 7" xfId="1170" xr:uid="{00000000-0005-0000-0000-000021060000}"/>
    <cellStyle name="Normal 4 2 2 7 2" xfId="1658" xr:uid="{00000000-0005-0000-0000-000022060000}"/>
    <cellStyle name="Normal 4 2 2 7 2 2" xfId="1987" xr:uid="{00000000-0005-0000-0000-000023060000}"/>
    <cellStyle name="Normal 4 2 2 7 3" xfId="1864" xr:uid="{00000000-0005-0000-0000-000024060000}"/>
    <cellStyle name="Normal 4 2 2 8" xfId="1171" xr:uid="{00000000-0005-0000-0000-000025060000}"/>
    <cellStyle name="Normal 4 2 2 8 2" xfId="1659" xr:uid="{00000000-0005-0000-0000-000026060000}"/>
    <cellStyle name="Normal 4 2 2 8 2 2" xfId="1988" xr:uid="{00000000-0005-0000-0000-000027060000}"/>
    <cellStyle name="Normal 4 2 2 8 3" xfId="1865" xr:uid="{00000000-0005-0000-0000-000028060000}"/>
    <cellStyle name="Normal 4 2 2 9" xfId="1172" xr:uid="{00000000-0005-0000-0000-000029060000}"/>
    <cellStyle name="Normal 4 2 2 9 2" xfId="1660" xr:uid="{00000000-0005-0000-0000-00002A060000}"/>
    <cellStyle name="Normal 4 2 2 9 2 2" xfId="1989" xr:uid="{00000000-0005-0000-0000-00002B060000}"/>
    <cellStyle name="Normal 4 2 2 9 3" xfId="1866" xr:uid="{00000000-0005-0000-0000-00002C060000}"/>
    <cellStyle name="Normal 4 2 3" xfId="1173" xr:uid="{00000000-0005-0000-0000-00002D060000}"/>
    <cellStyle name="Normal 4 2 3 2" xfId="1174" xr:uid="{00000000-0005-0000-0000-00002E060000}"/>
    <cellStyle name="Normal 4 2 3 2 2" xfId="1661" xr:uid="{00000000-0005-0000-0000-00002F060000}"/>
    <cellStyle name="Normal 4 2 3 2 2 2" xfId="1990" xr:uid="{00000000-0005-0000-0000-000030060000}"/>
    <cellStyle name="Normal 4 2 3 2 3" xfId="1867" xr:uid="{00000000-0005-0000-0000-000031060000}"/>
    <cellStyle name="Normal 4 2 4" xfId="1175" xr:uid="{00000000-0005-0000-0000-000032060000}"/>
    <cellStyle name="Normal 4 2 4 2" xfId="1662" xr:uid="{00000000-0005-0000-0000-000033060000}"/>
    <cellStyle name="Normal 4 2 4 2 2" xfId="1991" xr:uid="{00000000-0005-0000-0000-000034060000}"/>
    <cellStyle name="Normal 4 2 4 3" xfId="1868" xr:uid="{00000000-0005-0000-0000-000035060000}"/>
    <cellStyle name="Normal 4 3" xfId="1176" xr:uid="{00000000-0005-0000-0000-000036060000}"/>
    <cellStyle name="Normal 4 3 2" xfId="1177" xr:uid="{00000000-0005-0000-0000-000037060000}"/>
    <cellStyle name="Normal 4 3 2 2" xfId="1178" xr:uid="{00000000-0005-0000-0000-000038060000}"/>
    <cellStyle name="Normal 4 3 2 2 2" xfId="1179" xr:uid="{00000000-0005-0000-0000-000039060000}"/>
    <cellStyle name="Normal 4 3 2 2 2 2" xfId="1665" xr:uid="{00000000-0005-0000-0000-00003A060000}"/>
    <cellStyle name="Normal 4 3 2 2 2 2 2" xfId="1994" xr:uid="{00000000-0005-0000-0000-00003B060000}"/>
    <cellStyle name="Normal 4 3 2 2 2 3" xfId="1871" xr:uid="{00000000-0005-0000-0000-00003C060000}"/>
    <cellStyle name="Normal 4 3 2 2 3" xfId="1664" xr:uid="{00000000-0005-0000-0000-00003D060000}"/>
    <cellStyle name="Normal 4 3 2 2 3 2" xfId="1993" xr:uid="{00000000-0005-0000-0000-00003E060000}"/>
    <cellStyle name="Normal 4 3 2 2 4" xfId="1870" xr:uid="{00000000-0005-0000-0000-00003F060000}"/>
    <cellStyle name="Normal 4 3 2 3" xfId="1180" xr:uid="{00000000-0005-0000-0000-000040060000}"/>
    <cellStyle name="Normal 4 3 2 3 2" xfId="1666" xr:uid="{00000000-0005-0000-0000-000041060000}"/>
    <cellStyle name="Normal 4 3 2 3 2 2" xfId="1995" xr:uid="{00000000-0005-0000-0000-000042060000}"/>
    <cellStyle name="Normal 4 3 2 3 3" xfId="1872" xr:uid="{00000000-0005-0000-0000-000043060000}"/>
    <cellStyle name="Normal 4 3 2 4" xfId="1181" xr:uid="{00000000-0005-0000-0000-000044060000}"/>
    <cellStyle name="Normal 4 3 2 4 2" xfId="1667" xr:uid="{00000000-0005-0000-0000-000045060000}"/>
    <cellStyle name="Normal 4 3 2 4 2 2" xfId="1996" xr:uid="{00000000-0005-0000-0000-000046060000}"/>
    <cellStyle name="Normal 4 3 2 4 3" xfId="1873" xr:uid="{00000000-0005-0000-0000-000047060000}"/>
    <cellStyle name="Normal 4 3 2 5" xfId="1663" xr:uid="{00000000-0005-0000-0000-000048060000}"/>
    <cellStyle name="Normal 4 3 2 5 2" xfId="1992" xr:uid="{00000000-0005-0000-0000-000049060000}"/>
    <cellStyle name="Normal 4 3 2 6" xfId="1869" xr:uid="{00000000-0005-0000-0000-00004A060000}"/>
    <cellStyle name="Normal 4 3 3" xfId="1182" xr:uid="{00000000-0005-0000-0000-00004B060000}"/>
    <cellStyle name="Normal 4 3 3 2" xfId="1183" xr:uid="{00000000-0005-0000-0000-00004C060000}"/>
    <cellStyle name="Normal 4 3 3 2 2" xfId="1668" xr:uid="{00000000-0005-0000-0000-00004D060000}"/>
    <cellStyle name="Normal 4 3 3 2 2 2" xfId="1997" xr:uid="{00000000-0005-0000-0000-00004E060000}"/>
    <cellStyle name="Normal 4 3 3 2 3" xfId="1874" xr:uid="{00000000-0005-0000-0000-00004F060000}"/>
    <cellStyle name="Normal 4 3 4" xfId="1184" xr:uid="{00000000-0005-0000-0000-000050060000}"/>
    <cellStyle name="Normal 4 3 5" xfId="1185" xr:uid="{00000000-0005-0000-0000-000051060000}"/>
    <cellStyle name="Normal 4 3 5 2" xfId="1669" xr:uid="{00000000-0005-0000-0000-000052060000}"/>
    <cellStyle name="Normal 4 3 5 2 2" xfId="1998" xr:uid="{00000000-0005-0000-0000-000053060000}"/>
    <cellStyle name="Normal 4 3 5 3" xfId="1875" xr:uid="{00000000-0005-0000-0000-000054060000}"/>
    <cellStyle name="Normal 4 4" xfId="1186" xr:uid="{00000000-0005-0000-0000-000055060000}"/>
    <cellStyle name="Normal 4 4 2" xfId="1187" xr:uid="{00000000-0005-0000-0000-000056060000}"/>
    <cellStyle name="Normal 4 4 3" xfId="1188" xr:uid="{00000000-0005-0000-0000-000057060000}"/>
    <cellStyle name="Normal 4 5" xfId="1189" xr:uid="{00000000-0005-0000-0000-000058060000}"/>
    <cellStyle name="Normal 4 5 2" xfId="1190" xr:uid="{00000000-0005-0000-0000-000059060000}"/>
    <cellStyle name="Normal 4 6" xfId="1191" xr:uid="{00000000-0005-0000-0000-00005A060000}"/>
    <cellStyle name="Normal 4 6 2" xfId="1192" xr:uid="{00000000-0005-0000-0000-00005B060000}"/>
    <cellStyle name="Normal 4 7" xfId="1193" xr:uid="{00000000-0005-0000-0000-00005C060000}"/>
    <cellStyle name="Normal 4 7 2" xfId="1194" xr:uid="{00000000-0005-0000-0000-00005D060000}"/>
    <cellStyle name="Normal 4 8" xfId="1195" xr:uid="{00000000-0005-0000-0000-00005E060000}"/>
    <cellStyle name="Normal 4 8 2" xfId="1196" xr:uid="{00000000-0005-0000-0000-00005F060000}"/>
    <cellStyle name="Normal 4 9" xfId="1197" xr:uid="{00000000-0005-0000-0000-000060060000}"/>
    <cellStyle name="Normal 4 9 2" xfId="1198" xr:uid="{00000000-0005-0000-0000-000061060000}"/>
    <cellStyle name="Normal 4_Administration_Building_-_Lista_de_Partidas_y_Cantidades_-_(PVDC-004)_REVC mod" xfId="1199" xr:uid="{00000000-0005-0000-0000-000062060000}"/>
    <cellStyle name="Normal 40" xfId="1200" xr:uid="{00000000-0005-0000-0000-000063060000}"/>
    <cellStyle name="Normal 41" xfId="1201" xr:uid="{00000000-0005-0000-0000-000064060000}"/>
    <cellStyle name="Normal 42" xfId="1202" xr:uid="{00000000-0005-0000-0000-000065060000}"/>
    <cellStyle name="Normal 43" xfId="1203" xr:uid="{00000000-0005-0000-0000-000066060000}"/>
    <cellStyle name="Normal 44" xfId="1204" xr:uid="{00000000-0005-0000-0000-000067060000}"/>
    <cellStyle name="Normal 45" xfId="1205" xr:uid="{00000000-0005-0000-0000-000068060000}"/>
    <cellStyle name="Normal 46" xfId="1206" xr:uid="{00000000-0005-0000-0000-000069060000}"/>
    <cellStyle name="Normal 47" xfId="1207" xr:uid="{00000000-0005-0000-0000-00006A060000}"/>
    <cellStyle name="Normal 48" xfId="1208" xr:uid="{00000000-0005-0000-0000-00006B060000}"/>
    <cellStyle name="Normal 49" xfId="1209" xr:uid="{00000000-0005-0000-0000-00006C060000}"/>
    <cellStyle name="Normal 5" xfId="1210" xr:uid="{00000000-0005-0000-0000-00006D060000}"/>
    <cellStyle name="Normal 5 10" xfId="1211" xr:uid="{00000000-0005-0000-0000-00006E060000}"/>
    <cellStyle name="Normal 5 11" xfId="1212" xr:uid="{00000000-0005-0000-0000-00006F060000}"/>
    <cellStyle name="Normal 5 12" xfId="1213" xr:uid="{00000000-0005-0000-0000-000070060000}"/>
    <cellStyle name="Normal 5 13" xfId="1214" xr:uid="{00000000-0005-0000-0000-000071060000}"/>
    <cellStyle name="Normal 5 14" xfId="1215" xr:uid="{00000000-0005-0000-0000-000072060000}"/>
    <cellStyle name="Normal 5 15" xfId="1216" xr:uid="{00000000-0005-0000-0000-000073060000}"/>
    <cellStyle name="Normal 5 16" xfId="1217" xr:uid="{00000000-0005-0000-0000-000074060000}"/>
    <cellStyle name="Normal 5 2" xfId="1218" xr:uid="{00000000-0005-0000-0000-000075060000}"/>
    <cellStyle name="Normal 5 2 2" xfId="1219" xr:uid="{00000000-0005-0000-0000-000076060000}"/>
    <cellStyle name="Normal 5 2 3" xfId="1220" xr:uid="{00000000-0005-0000-0000-000077060000}"/>
    <cellStyle name="Normal 5 2 3 2" xfId="1670" xr:uid="{00000000-0005-0000-0000-000078060000}"/>
    <cellStyle name="Normal 5 2 3 2 2" xfId="1999" xr:uid="{00000000-0005-0000-0000-000079060000}"/>
    <cellStyle name="Normal 5 2 3 3" xfId="1876" xr:uid="{00000000-0005-0000-0000-00007A060000}"/>
    <cellStyle name="Normal 5 3" xfId="1221" xr:uid="{00000000-0005-0000-0000-00007B060000}"/>
    <cellStyle name="Normal 5 3 2" xfId="1222" xr:uid="{00000000-0005-0000-0000-00007C060000}"/>
    <cellStyle name="Normal 5 3 2 2" xfId="1223" xr:uid="{00000000-0005-0000-0000-00007D060000}"/>
    <cellStyle name="Normal 5 3 2 2 2" xfId="1671" xr:uid="{00000000-0005-0000-0000-00007E060000}"/>
    <cellStyle name="Normal 5 3 2 2 2 2" xfId="2000" xr:uid="{00000000-0005-0000-0000-00007F060000}"/>
    <cellStyle name="Normal 5 3 2 2 3" xfId="1877" xr:uid="{00000000-0005-0000-0000-000080060000}"/>
    <cellStyle name="Normal 5 3 2 3" xfId="1224" xr:uid="{00000000-0005-0000-0000-000081060000}"/>
    <cellStyle name="Normal 5 3 2 3 2" xfId="1672" xr:uid="{00000000-0005-0000-0000-000082060000}"/>
    <cellStyle name="Normal 5 3 2 3 2 2" xfId="2001" xr:uid="{00000000-0005-0000-0000-000083060000}"/>
    <cellStyle name="Normal 5 3 2 3 3" xfId="1878" xr:uid="{00000000-0005-0000-0000-000084060000}"/>
    <cellStyle name="Normal 5 3 3" xfId="1225" xr:uid="{00000000-0005-0000-0000-000085060000}"/>
    <cellStyle name="Normal 5 3 3 2" xfId="1226" xr:uid="{00000000-0005-0000-0000-000086060000}"/>
    <cellStyle name="Normal 5 3 3 2 2" xfId="1673" xr:uid="{00000000-0005-0000-0000-000087060000}"/>
    <cellStyle name="Normal 5 3 3 2 2 2" xfId="2002" xr:uid="{00000000-0005-0000-0000-000088060000}"/>
    <cellStyle name="Normal 5 3 3 2 3" xfId="1879" xr:uid="{00000000-0005-0000-0000-000089060000}"/>
    <cellStyle name="Normal 5 3 4" xfId="1227" xr:uid="{00000000-0005-0000-0000-00008A060000}"/>
    <cellStyle name="Normal 5 3 4 2" xfId="1674" xr:uid="{00000000-0005-0000-0000-00008B060000}"/>
    <cellStyle name="Normal 5 3 4 2 2" xfId="2003" xr:uid="{00000000-0005-0000-0000-00008C060000}"/>
    <cellStyle name="Normal 5 3 4 3" xfId="1880" xr:uid="{00000000-0005-0000-0000-00008D060000}"/>
    <cellStyle name="Normal 5 4" xfId="1228" xr:uid="{00000000-0005-0000-0000-00008E060000}"/>
    <cellStyle name="Normal 5 4 2" xfId="1229" xr:uid="{00000000-0005-0000-0000-00008F060000}"/>
    <cellStyle name="Normal 5 4 2 2" xfId="1675" xr:uid="{00000000-0005-0000-0000-000090060000}"/>
    <cellStyle name="Normal 5 4 2 2 2" xfId="2004" xr:uid="{00000000-0005-0000-0000-000091060000}"/>
    <cellStyle name="Normal 5 4 2 3" xfId="1881" xr:uid="{00000000-0005-0000-0000-000092060000}"/>
    <cellStyle name="Normal 5 4 3" xfId="1230" xr:uid="{00000000-0005-0000-0000-000093060000}"/>
    <cellStyle name="Normal 5 5" xfId="1231" xr:uid="{00000000-0005-0000-0000-000094060000}"/>
    <cellStyle name="Normal 5 6" xfId="1232" xr:uid="{00000000-0005-0000-0000-000095060000}"/>
    <cellStyle name="Normal 5 7" xfId="1233" xr:uid="{00000000-0005-0000-0000-000096060000}"/>
    <cellStyle name="Normal 5 8" xfId="1234" xr:uid="{00000000-0005-0000-0000-000097060000}"/>
    <cellStyle name="Normal 5 9" xfId="1235" xr:uid="{00000000-0005-0000-0000-000098060000}"/>
    <cellStyle name="Normal 5_Act.1 103-2011, Rehabilitacion y acondicionamiento de 2 depositos Nigua y el AC.MULT. EL CARRIL LA PARED, san cristobal" xfId="1236" xr:uid="{00000000-0005-0000-0000-000099060000}"/>
    <cellStyle name="Normal 50" xfId="1237" xr:uid="{00000000-0005-0000-0000-00009A060000}"/>
    <cellStyle name="Normal 51" xfId="1238" xr:uid="{00000000-0005-0000-0000-00009B060000}"/>
    <cellStyle name="Normal 52" xfId="1239" xr:uid="{00000000-0005-0000-0000-00009C060000}"/>
    <cellStyle name="Normal 53" xfId="1240" xr:uid="{00000000-0005-0000-0000-00009D060000}"/>
    <cellStyle name="Normal 54" xfId="1241" xr:uid="{00000000-0005-0000-0000-00009E060000}"/>
    <cellStyle name="Normal 54 2" xfId="1676" xr:uid="{00000000-0005-0000-0000-00009F060000}"/>
    <cellStyle name="Normal 54 2 2" xfId="2005" xr:uid="{00000000-0005-0000-0000-0000A0060000}"/>
    <cellStyle name="Normal 54 3" xfId="1882" xr:uid="{00000000-0005-0000-0000-0000A1060000}"/>
    <cellStyle name="Normal 55" xfId="1442" xr:uid="{00000000-0005-0000-0000-0000A2060000}"/>
    <cellStyle name="Normal 56" xfId="1444" xr:uid="{00000000-0005-0000-0000-0000A3060000}"/>
    <cellStyle name="Normal 57" xfId="1472" xr:uid="{00000000-0005-0000-0000-0000A4060000}"/>
    <cellStyle name="Normal 58" xfId="1479" xr:uid="{00000000-0005-0000-0000-0000A5060000}"/>
    <cellStyle name="Normal 59" xfId="1496" xr:uid="{00000000-0005-0000-0000-0000A6060000}"/>
    <cellStyle name="Normal 59 2" xfId="1737" xr:uid="{00000000-0005-0000-0000-0000A7060000}"/>
    <cellStyle name="Normal 59 2 2" xfId="2024" xr:uid="{00000000-0005-0000-0000-0000A8060000}"/>
    <cellStyle name="Normal 59 3" xfId="1902" xr:uid="{00000000-0005-0000-0000-0000A9060000}"/>
    <cellStyle name="Normal 6" xfId="1242" xr:uid="{00000000-0005-0000-0000-0000AA060000}"/>
    <cellStyle name="Normal 6 2" xfId="1243" xr:uid="{00000000-0005-0000-0000-0000AB060000}"/>
    <cellStyle name="Normal 6 2 2" xfId="1244" xr:uid="{00000000-0005-0000-0000-0000AC060000}"/>
    <cellStyle name="Normal 6 2 2 2" xfId="1245" xr:uid="{00000000-0005-0000-0000-0000AD060000}"/>
    <cellStyle name="Normal 6 2 2 3" xfId="1678" xr:uid="{00000000-0005-0000-0000-0000AE060000}"/>
    <cellStyle name="Normal 6 2 2 3 2" xfId="2007" xr:uid="{00000000-0005-0000-0000-0000AF060000}"/>
    <cellStyle name="Normal 6 2 2 4" xfId="1884" xr:uid="{00000000-0005-0000-0000-0000B0060000}"/>
    <cellStyle name="Normal 6 2 3" xfId="1246" xr:uid="{00000000-0005-0000-0000-0000B1060000}"/>
    <cellStyle name="Normal 6 2 4" xfId="1677" xr:uid="{00000000-0005-0000-0000-0000B2060000}"/>
    <cellStyle name="Normal 6 2 4 2" xfId="2006" xr:uid="{00000000-0005-0000-0000-0000B3060000}"/>
    <cellStyle name="Normal 6 2 5" xfId="1748" xr:uid="{00000000-0005-0000-0000-0000B4060000}"/>
    <cellStyle name="Normal 6 2 6" xfId="1883" xr:uid="{00000000-0005-0000-0000-0000B5060000}"/>
    <cellStyle name="Normal 6 3" xfId="1247" xr:uid="{00000000-0005-0000-0000-0000B6060000}"/>
    <cellStyle name="Normal 6 3 2" xfId="1248" xr:uid="{00000000-0005-0000-0000-0000B7060000}"/>
    <cellStyle name="Normal 6 3 2 2" xfId="1249" xr:uid="{00000000-0005-0000-0000-0000B8060000}"/>
    <cellStyle name="Normal 6 3 2 2 2" xfId="1680" xr:uid="{00000000-0005-0000-0000-0000B9060000}"/>
    <cellStyle name="Normal 6 3 2 2 2 2" xfId="2009" xr:uid="{00000000-0005-0000-0000-0000BA060000}"/>
    <cellStyle name="Normal 6 3 2 2 3" xfId="1886" xr:uid="{00000000-0005-0000-0000-0000BB060000}"/>
    <cellStyle name="Normal 6 3 2 3" xfId="1679" xr:uid="{00000000-0005-0000-0000-0000BC060000}"/>
    <cellStyle name="Normal 6 3 2 3 2" xfId="2008" xr:uid="{00000000-0005-0000-0000-0000BD060000}"/>
    <cellStyle name="Normal 6 3 2 4" xfId="1885" xr:uid="{00000000-0005-0000-0000-0000BE060000}"/>
    <cellStyle name="Normal 6 3 3" xfId="1250" xr:uid="{00000000-0005-0000-0000-0000BF060000}"/>
    <cellStyle name="Normal 6 3 3 2" xfId="1681" xr:uid="{00000000-0005-0000-0000-0000C0060000}"/>
    <cellStyle name="Normal 6 3 3 2 2" xfId="2010" xr:uid="{00000000-0005-0000-0000-0000C1060000}"/>
    <cellStyle name="Normal 6 3 3 3" xfId="1887" xr:uid="{00000000-0005-0000-0000-0000C2060000}"/>
    <cellStyle name="Normal 6 4" xfId="1251" xr:uid="{00000000-0005-0000-0000-0000C3060000}"/>
    <cellStyle name="Normal 6 4 2" xfId="1682" xr:uid="{00000000-0005-0000-0000-0000C4060000}"/>
    <cellStyle name="Normal 6 4 2 2" xfId="2011" xr:uid="{00000000-0005-0000-0000-0000C5060000}"/>
    <cellStyle name="Normal 6 4 3" xfId="1888" xr:uid="{00000000-0005-0000-0000-0000C6060000}"/>
    <cellStyle name="Normal 6 5" xfId="1252" xr:uid="{00000000-0005-0000-0000-0000C7060000}"/>
    <cellStyle name="Normal 6 5 2" xfId="1683" xr:uid="{00000000-0005-0000-0000-0000C8060000}"/>
    <cellStyle name="Normal 6 5 2 2" xfId="2012" xr:uid="{00000000-0005-0000-0000-0000C9060000}"/>
    <cellStyle name="Normal 6 5 3" xfId="1889" xr:uid="{00000000-0005-0000-0000-0000CA060000}"/>
    <cellStyle name="Normal 60" xfId="1497" xr:uid="{00000000-0005-0000-0000-0000CB060000}"/>
    <cellStyle name="Normal 60 2" xfId="1738" xr:uid="{00000000-0005-0000-0000-0000CC060000}"/>
    <cellStyle name="Normal 60 2 2" xfId="2025" xr:uid="{00000000-0005-0000-0000-0000CD060000}"/>
    <cellStyle name="Normal 60 3" xfId="1903" xr:uid="{00000000-0005-0000-0000-0000CE060000}"/>
    <cellStyle name="Normal 61" xfId="1504" xr:uid="{00000000-0005-0000-0000-0000CF060000}"/>
    <cellStyle name="Normal 62" xfId="1732" xr:uid="{00000000-0005-0000-0000-0000D0060000}"/>
    <cellStyle name="Normal 63" xfId="1740" xr:uid="{00000000-0005-0000-0000-0000D1060000}"/>
    <cellStyle name="Normal 64" xfId="1719" xr:uid="{00000000-0005-0000-0000-0000D2060000}"/>
    <cellStyle name="Normal 65" xfId="1739" xr:uid="{00000000-0005-0000-0000-0000D3060000}"/>
    <cellStyle name="Normal 66" xfId="1741" xr:uid="{00000000-0005-0000-0000-0000D4060000}"/>
    <cellStyle name="Normal 67" xfId="1745" xr:uid="{00000000-0005-0000-0000-0000D5060000}"/>
    <cellStyle name="Normal 68" xfId="1758" xr:uid="{00000000-0005-0000-0000-0000D6060000}"/>
    <cellStyle name="Normal 69" xfId="1746" xr:uid="{00000000-0005-0000-0000-0000D7060000}"/>
    <cellStyle name="Normal 7" xfId="1253" xr:uid="{00000000-0005-0000-0000-0000D8060000}"/>
    <cellStyle name="Normal 7 2" xfId="1254" xr:uid="{00000000-0005-0000-0000-0000D9060000}"/>
    <cellStyle name="Normal 7 2 2" xfId="1255" xr:uid="{00000000-0005-0000-0000-0000DA060000}"/>
    <cellStyle name="Normal 7 2 3" xfId="1256" xr:uid="{00000000-0005-0000-0000-0000DB060000}"/>
    <cellStyle name="Normal 7 2 4" xfId="1685" xr:uid="{00000000-0005-0000-0000-0000DC060000}"/>
    <cellStyle name="Normal 7 2 4 2" xfId="2014" xr:uid="{00000000-0005-0000-0000-0000DD060000}"/>
    <cellStyle name="Normal 7 2 5" xfId="1891" xr:uid="{00000000-0005-0000-0000-0000DE060000}"/>
    <cellStyle name="Normal 7 3" xfId="1257" xr:uid="{00000000-0005-0000-0000-0000DF060000}"/>
    <cellStyle name="Normal 7 4" xfId="1684" xr:uid="{00000000-0005-0000-0000-0000E0060000}"/>
    <cellStyle name="Normal 7 4 2" xfId="2013" xr:uid="{00000000-0005-0000-0000-0000E1060000}"/>
    <cellStyle name="Normal 7 5" xfId="1754" xr:uid="{00000000-0005-0000-0000-0000E2060000}"/>
    <cellStyle name="Normal 7 6" xfId="1890" xr:uid="{00000000-0005-0000-0000-0000E3060000}"/>
    <cellStyle name="Normal 70" xfId="1759" xr:uid="{00000000-0005-0000-0000-0000E4060000}"/>
    <cellStyle name="Normal 71" xfId="1744" xr:uid="{00000000-0005-0000-0000-0000E5060000}"/>
    <cellStyle name="Normal 72" xfId="1743" xr:uid="{00000000-0005-0000-0000-0000E6060000}"/>
    <cellStyle name="Normal 73" xfId="1760" xr:uid="{00000000-0005-0000-0000-0000E7060000}"/>
    <cellStyle name="Normal 74" xfId="1762" xr:uid="{00000000-0005-0000-0000-0000E8060000}"/>
    <cellStyle name="Normal 75" xfId="1761" xr:uid="{00000000-0005-0000-0000-0000E9060000}"/>
    <cellStyle name="Normal 76" xfId="1769" xr:uid="{00000000-0005-0000-0000-0000EA060000}"/>
    <cellStyle name="Normal 77" xfId="1768" xr:uid="{00000000-0005-0000-0000-0000EB060000}"/>
    <cellStyle name="Normal 8" xfId="1258" xr:uid="{00000000-0005-0000-0000-0000EC060000}"/>
    <cellStyle name="Normal 8 2" xfId="1259" xr:uid="{00000000-0005-0000-0000-0000ED060000}"/>
    <cellStyle name="Normal 8 2 2" xfId="1260" xr:uid="{00000000-0005-0000-0000-0000EE060000}"/>
    <cellStyle name="Normal 8 2 3" xfId="1261" xr:uid="{00000000-0005-0000-0000-0000EF060000}"/>
    <cellStyle name="Normal 8 2 4" xfId="1686" xr:uid="{00000000-0005-0000-0000-0000F0060000}"/>
    <cellStyle name="Normal 8 2 4 2" xfId="2015" xr:uid="{00000000-0005-0000-0000-0000F1060000}"/>
    <cellStyle name="Normal 8 2 5" xfId="1892" xr:uid="{00000000-0005-0000-0000-0000F2060000}"/>
    <cellStyle name="Normal 8 3" xfId="1262" xr:uid="{00000000-0005-0000-0000-0000F3060000}"/>
    <cellStyle name="Normal 8 3 2" xfId="1263" xr:uid="{00000000-0005-0000-0000-0000F4060000}"/>
    <cellStyle name="Normal 8 4" xfId="1264" xr:uid="{00000000-0005-0000-0000-0000F5060000}"/>
    <cellStyle name="Normal 8 5" xfId="1265" xr:uid="{00000000-0005-0000-0000-0000F6060000}"/>
    <cellStyle name="Normal 8 6" xfId="1266" xr:uid="{00000000-0005-0000-0000-0000F7060000}"/>
    <cellStyle name="Normal 8 7" xfId="1470" xr:uid="{00000000-0005-0000-0000-0000F8060000}"/>
    <cellStyle name="Normal 85" xfId="1267" xr:uid="{00000000-0005-0000-0000-0000F9060000}"/>
    <cellStyle name="Normal 85 2" xfId="1687" xr:uid="{00000000-0005-0000-0000-0000FA060000}"/>
    <cellStyle name="Normal 85 2 2" xfId="2016" xr:uid="{00000000-0005-0000-0000-0000FB060000}"/>
    <cellStyle name="Normal 85 3" xfId="1757" xr:uid="{00000000-0005-0000-0000-0000FC060000}"/>
    <cellStyle name="Normal 85 3 2" xfId="2026" xr:uid="{00000000-0005-0000-0000-0000FD060000}"/>
    <cellStyle name="Normal 85 4" xfId="1893" xr:uid="{00000000-0005-0000-0000-0000FE060000}"/>
    <cellStyle name="Normal 9" xfId="1268" xr:uid="{00000000-0005-0000-0000-0000FF060000}"/>
    <cellStyle name="Normal 9 2" xfId="1269" xr:uid="{00000000-0005-0000-0000-000000070000}"/>
    <cellStyle name="Normal 9 2 2" xfId="1270" xr:uid="{00000000-0005-0000-0000-000001070000}"/>
    <cellStyle name="Normal 9 2 3" xfId="1495" xr:uid="{00000000-0005-0000-0000-000002070000}"/>
    <cellStyle name="Normal 9 2 4" xfId="1688" xr:uid="{00000000-0005-0000-0000-000003070000}"/>
    <cellStyle name="Normal 9 2 4 2" xfId="2017" xr:uid="{00000000-0005-0000-0000-000004070000}"/>
    <cellStyle name="Normal 9 2 5" xfId="1894" xr:uid="{00000000-0005-0000-0000-000005070000}"/>
    <cellStyle name="Normal 9 3" xfId="1271" xr:uid="{00000000-0005-0000-0000-000006070000}"/>
    <cellStyle name="Normal 9 4" xfId="1272" xr:uid="{00000000-0005-0000-0000-000007070000}"/>
    <cellStyle name="Normal 9 4 2" xfId="1689" xr:uid="{00000000-0005-0000-0000-000008070000}"/>
    <cellStyle name="Normal 9 4 2 2" xfId="2018" xr:uid="{00000000-0005-0000-0000-000009070000}"/>
    <cellStyle name="Normal 9 4 3" xfId="1895" xr:uid="{00000000-0005-0000-0000-00000A070000}"/>
    <cellStyle name="Normal 9 5" xfId="1273" xr:uid="{00000000-0005-0000-0000-00000B070000}"/>
    <cellStyle name="Normal 9 6" xfId="1274" xr:uid="{00000000-0005-0000-0000-00000C070000}"/>
    <cellStyle name="Normal 9 7" xfId="1275" xr:uid="{00000000-0005-0000-0000-00000D070000}"/>
    <cellStyle name="Normal 9 7 2" xfId="1690" xr:uid="{00000000-0005-0000-0000-00000E070000}"/>
    <cellStyle name="Normal 9 7 2 2" xfId="2019" xr:uid="{00000000-0005-0000-0000-00000F070000}"/>
    <cellStyle name="Normal 9 7 3" xfId="1896" xr:uid="{00000000-0005-0000-0000-000010070000}"/>
    <cellStyle name="Normal_102-09 const. dique y reh. toma lateral exist. AC. EL CACIQUE 2" xfId="1276" xr:uid="{00000000-0005-0000-0000-000011070000}"/>
    <cellStyle name="Normal_112-09 sustitucion tramo linea impulsion 20 pvc (sdr-26)" xfId="1277" xr:uid="{00000000-0005-0000-0000-000012070000}"/>
    <cellStyle name="Normal_126-05 terminacion alc. sant. juan dolio y guayacanes parte b 2" xfId="1278" xr:uid="{00000000-0005-0000-0000-000013070000}"/>
    <cellStyle name="Normal_126-05 terminacion alc. sant. juan dolio y guayacanes parte b_REC. No.143-06 al 06-06 Ac. Las Yayas" xfId="1279" xr:uid="{00000000-0005-0000-0000-000014070000}"/>
    <cellStyle name="Normal_126-05 terminacion alc. sant. juan dolio y guayacanes parte b_REC. No.143-06 al 06-06 Ac. Las Yayas_ANALISIS VERJAS PERIMETRALES" xfId="1280" xr:uid="{00000000-0005-0000-0000-000015070000}"/>
    <cellStyle name="Normal_158-09 TERMINACION AC. LA GINA" xfId="1281" xr:uid="{00000000-0005-0000-0000-000016070000}"/>
    <cellStyle name="Normal_28-09 AC. PEDERNALES" xfId="1282" xr:uid="{00000000-0005-0000-0000-000017070000}"/>
    <cellStyle name="Normal_50-09 EXTENSION LINEA LA CUARENTA Y CABUYA" xfId="1283" xr:uid="{00000000-0005-0000-0000-000018070000}"/>
    <cellStyle name="Normal_502-01 alcantarillado sanitario academia de entrenamiento policial de hatilloparte b" xfId="1284" xr:uid="{00000000-0005-0000-0000-000019070000}"/>
    <cellStyle name="Normal_502-01 alcantarillado sanitario academia de entrenamiento policial de hatilloparte b_Copia de rec.80-10 No.2 al 148-06 Acueducto Multiple RAMONAL REVISADO-final" xfId="1285" xr:uid="{00000000-0005-0000-0000-00001A070000}"/>
    <cellStyle name="Normal_ACUEDUCTO DE GUANITO PARTE A" xfId="1286" xr:uid="{00000000-0005-0000-0000-00001B070000}"/>
    <cellStyle name="Normal_ACUEDUCTO DE VIAJAMA" xfId="1287" xr:uid="{00000000-0005-0000-0000-00001C070000}"/>
    <cellStyle name="Normal_ACUEDUCTO HATO VIEJO-LOS AMACEYES PARTE A 2" xfId="1288" xr:uid="{00000000-0005-0000-0000-00001D070000}"/>
    <cellStyle name="Normal_ACUEDUCTO HATO VIEJO-LOS AMACEYES PARTE A_ANALISIS VERJAS PERIMETRALES" xfId="1289" xr:uid="{00000000-0005-0000-0000-00001E070000}"/>
    <cellStyle name="Normal_ACUEDUCTO LAS GUAZUMAS PARTE A" xfId="1290" xr:uid="{00000000-0005-0000-0000-00001F070000}"/>
    <cellStyle name="Normal_ALCANTARILLADO SANITARIO DE GUAYMATE REV." xfId="1291" xr:uid="{00000000-0005-0000-0000-000020070000}"/>
    <cellStyle name="Normal_ANALISIS APLICACION DE ASFALTO Y VERJA COMBINADA PLANTA DE TRAT. (PARA PROYECTO VICTOR)" xfId="1489" xr:uid="{00000000-0005-0000-0000-000021070000}"/>
    <cellStyle name="Normal_ANALISIS EL POZO LOS LIMONES-maria" xfId="1292" xr:uid="{00000000-0005-0000-0000-000022070000}"/>
    <cellStyle name="Normal_ANALISIS EL PUERTO" xfId="1742" xr:uid="{00000000-0005-0000-0000-000023070000}"/>
    <cellStyle name="Normal_ANALISIS EL PUERTO 2" xfId="1293" xr:uid="{00000000-0005-0000-0000-000024070000}"/>
    <cellStyle name="Normal_ANALISIS EL PUERTO 2 2" xfId="1294" xr:uid="{00000000-0005-0000-0000-000025070000}"/>
    <cellStyle name="Normal_ANALISIS EL PUERTO 3" xfId="1295" xr:uid="{00000000-0005-0000-0000-000026070000}"/>
    <cellStyle name="Normal_ANALISIS EL PUERTO 3 2" xfId="1765" xr:uid="{00000000-0005-0000-0000-000027070000}"/>
    <cellStyle name="Normal_ANALISIS EL PUERTO_REC. No.143-06 al 06-06 Ac. Las Yayas" xfId="1296" xr:uid="{00000000-0005-0000-0000-000028070000}"/>
    <cellStyle name="Normal_CARCAMO SAN PEDRO" xfId="2028" xr:uid="{00000000-0005-0000-0000-000029070000}"/>
    <cellStyle name="Normal_Copia de Analisis PARA PRESUPUESTO OBRAS PUBLICA df enero 2004" xfId="1297" xr:uid="{00000000-0005-0000-0000-00002A070000}"/>
    <cellStyle name="Normal_Copia de Analisis PARA PRESUPUESTO OBRAS PUBLICA df enero 2004 2" xfId="1766" xr:uid="{00000000-0005-0000-0000-00002B070000}"/>
    <cellStyle name="Normal_Copia de Copia de Copia de Copia de 153-09 ELECTRIFICACION..." xfId="1298" xr:uid="{00000000-0005-0000-0000-00002C070000}"/>
    <cellStyle name="Normal_Copia de Rec. no.2 294-04 (del pres. modificado)   Ac. santana catalina parte A" xfId="1299" xr:uid="{00000000-0005-0000-0000-00002D070000}"/>
    <cellStyle name="Normal_Copia de Rec. no.2 294-04 (del pres. modificado)   Ac. santana catalina parte A_ESTACION BOMBEO" xfId="1300" xr:uid="{00000000-0005-0000-0000-00002E070000}"/>
    <cellStyle name="Normal_CUB04 F.N. AC.VILLA BAO" xfId="1301" xr:uid="{00000000-0005-0000-0000-00002F070000}"/>
    <cellStyle name="Normal_Hoja1" xfId="1302" xr:uid="{00000000-0005-0000-0000-000030070000}"/>
    <cellStyle name="Normal_PRES 059-09 REHABIL. PLANTA DE TRATAMIENTO DE 80 LPS RAPIDA, AC. HATO DEL YAQUE" xfId="1767" xr:uid="{00000000-0005-0000-0000-000031070000}"/>
    <cellStyle name="Normal_PRES030-2008" xfId="1303" xr:uid="{00000000-0005-0000-0000-000032070000}"/>
    <cellStyle name="Normal_Presupuesto" xfId="1304" xr:uid="{00000000-0005-0000-0000-000033070000}"/>
    <cellStyle name="Normal_Presupuesto Terminaciones Edificio Mantenimiento Nave I " xfId="2027" xr:uid="{00000000-0005-0000-0000-000034070000}"/>
    <cellStyle name="Normal_rec 2 al 98-05 terminacion ac. la cueva de cevicos 2da. etapa ac. mult. guanabano- cruce de maguaca parte b y guanabano como ext. al ac. la cueva de cevico 1" xfId="1305" xr:uid="{00000000-0005-0000-0000-000035070000}"/>
    <cellStyle name="Normal_rec. 1 al 314-04 ac. mult. sabana larga-hato viejo-potroso" xfId="1484" xr:uid="{00000000-0005-0000-0000-000036070000}"/>
    <cellStyle name="Normal_Rec. No.3 118-03   Pta. de trat.A.Negras san juan de la maguana" xfId="1763" xr:uid="{00000000-0005-0000-0000-000037070000}"/>
    <cellStyle name="Normal_VOLUMETRIA EXTENSION 3 AC. SALCEDO" xfId="1306" xr:uid="{00000000-0005-0000-0000-000038070000}"/>
    <cellStyle name="Notas 2" xfId="1307" xr:uid="{00000000-0005-0000-0000-000039070000}"/>
    <cellStyle name="Notas 2 2" xfId="1308" xr:uid="{00000000-0005-0000-0000-00003A070000}"/>
    <cellStyle name="Notas 2 2 2" xfId="1692" xr:uid="{00000000-0005-0000-0000-00003B070000}"/>
    <cellStyle name="Notas 2 3" xfId="1691" xr:uid="{00000000-0005-0000-0000-00003C070000}"/>
    <cellStyle name="Notas 3" xfId="1309" xr:uid="{00000000-0005-0000-0000-00003D070000}"/>
    <cellStyle name="Notas 3 2" xfId="1310" xr:uid="{00000000-0005-0000-0000-00003E070000}"/>
    <cellStyle name="Notas 3 2 2" xfId="1694" xr:uid="{00000000-0005-0000-0000-00003F070000}"/>
    <cellStyle name="Notas 3 3" xfId="1693" xr:uid="{00000000-0005-0000-0000-000040070000}"/>
    <cellStyle name="Notas 4" xfId="1311" xr:uid="{00000000-0005-0000-0000-000041070000}"/>
    <cellStyle name="Notas 4 2" xfId="1312" xr:uid="{00000000-0005-0000-0000-000042070000}"/>
    <cellStyle name="Notas 4 2 2" xfId="1696" xr:uid="{00000000-0005-0000-0000-000043070000}"/>
    <cellStyle name="Notas 4 3" xfId="1695" xr:uid="{00000000-0005-0000-0000-000044070000}"/>
    <cellStyle name="Note" xfId="1313" xr:uid="{00000000-0005-0000-0000-000045070000}"/>
    <cellStyle name="Note 2" xfId="1314" xr:uid="{00000000-0005-0000-0000-000046070000}"/>
    <cellStyle name="Note 2 2" xfId="1315" xr:uid="{00000000-0005-0000-0000-000047070000}"/>
    <cellStyle name="Note 2 2 2" xfId="1699" xr:uid="{00000000-0005-0000-0000-000048070000}"/>
    <cellStyle name="Note 2 3" xfId="1698" xr:uid="{00000000-0005-0000-0000-000049070000}"/>
    <cellStyle name="Note 3" xfId="1316" xr:uid="{00000000-0005-0000-0000-00004A070000}"/>
    <cellStyle name="Note 3 2" xfId="1317" xr:uid="{00000000-0005-0000-0000-00004B070000}"/>
    <cellStyle name="Note 3 2 2" xfId="1701" xr:uid="{00000000-0005-0000-0000-00004C070000}"/>
    <cellStyle name="Note 3 3" xfId="1700" xr:uid="{00000000-0005-0000-0000-00004D070000}"/>
    <cellStyle name="Note 4" xfId="1318" xr:uid="{00000000-0005-0000-0000-00004E070000}"/>
    <cellStyle name="Note 4 2" xfId="1702" xr:uid="{00000000-0005-0000-0000-00004F070000}"/>
    <cellStyle name="Note 5" xfId="1697" xr:uid="{00000000-0005-0000-0000-000050070000}"/>
    <cellStyle name="Output" xfId="1319" xr:uid="{00000000-0005-0000-0000-000051070000}"/>
    <cellStyle name="Output 2" xfId="1320" xr:uid="{00000000-0005-0000-0000-000052070000}"/>
    <cellStyle name="Output 2 2" xfId="1321" xr:uid="{00000000-0005-0000-0000-000053070000}"/>
    <cellStyle name="Output 2 2 2" xfId="1705" xr:uid="{00000000-0005-0000-0000-000054070000}"/>
    <cellStyle name="Output 2 3" xfId="1704" xr:uid="{00000000-0005-0000-0000-000055070000}"/>
    <cellStyle name="Output 3" xfId="1322" xr:uid="{00000000-0005-0000-0000-000056070000}"/>
    <cellStyle name="Output 3 2" xfId="1706" xr:uid="{00000000-0005-0000-0000-000057070000}"/>
    <cellStyle name="Output 4" xfId="1323" xr:uid="{00000000-0005-0000-0000-000058070000}"/>
    <cellStyle name="Output 4 2" xfId="1707" xr:uid="{00000000-0005-0000-0000-000059070000}"/>
    <cellStyle name="Output 5" xfId="1324" xr:uid="{00000000-0005-0000-0000-00005A070000}"/>
    <cellStyle name="Output 5 2" xfId="1708" xr:uid="{00000000-0005-0000-0000-00005B070000}"/>
    <cellStyle name="Output 6" xfId="1703" xr:uid="{00000000-0005-0000-0000-00005C070000}"/>
    <cellStyle name="Percent 2" xfId="1325" xr:uid="{00000000-0005-0000-0000-00005D070000}"/>
    <cellStyle name="Percent 2 2" xfId="1326" xr:uid="{00000000-0005-0000-0000-00005E070000}"/>
    <cellStyle name="Percent 2 3" xfId="1327" xr:uid="{00000000-0005-0000-0000-00005F070000}"/>
    <cellStyle name="Percent 3" xfId="1328" xr:uid="{00000000-0005-0000-0000-000060070000}"/>
    <cellStyle name="Percent 3 2" xfId="1329" xr:uid="{00000000-0005-0000-0000-000061070000}"/>
    <cellStyle name="Percent 3 2 2" xfId="1330" xr:uid="{00000000-0005-0000-0000-000062070000}"/>
    <cellStyle name="Percent 3 3" xfId="1331" xr:uid="{00000000-0005-0000-0000-000063070000}"/>
    <cellStyle name="Percent 3 3 2" xfId="1710" xr:uid="{00000000-0005-0000-0000-000064070000}"/>
    <cellStyle name="Percent 3 4" xfId="1332" xr:uid="{00000000-0005-0000-0000-000065070000}"/>
    <cellStyle name="Percent 3 5" xfId="1709" xr:uid="{00000000-0005-0000-0000-000066070000}"/>
    <cellStyle name="Percent 4" xfId="1333" xr:uid="{00000000-0005-0000-0000-000067070000}"/>
    <cellStyle name="Porcentaje" xfId="1334" builtinId="5"/>
    <cellStyle name="Porcentaje 2" xfId="1335" xr:uid="{00000000-0005-0000-0000-000069070000}"/>
    <cellStyle name="Porcentaje 2 2" xfId="1336" xr:uid="{00000000-0005-0000-0000-00006A070000}"/>
    <cellStyle name="Porcentaje 2 2 2" xfId="1711" xr:uid="{00000000-0005-0000-0000-00006B070000}"/>
    <cellStyle name="Porcentaje 2 3" xfId="1337" xr:uid="{00000000-0005-0000-0000-00006C070000}"/>
    <cellStyle name="Porcentaje 2 3 2" xfId="1712" xr:uid="{00000000-0005-0000-0000-00006D070000}"/>
    <cellStyle name="Porcentaje 2 4" xfId="1338" xr:uid="{00000000-0005-0000-0000-00006E070000}"/>
    <cellStyle name="Porcentaje 2 4 2" xfId="1339" xr:uid="{00000000-0005-0000-0000-00006F070000}"/>
    <cellStyle name="Porcentaje 2 4 3" xfId="1713" xr:uid="{00000000-0005-0000-0000-000070070000}"/>
    <cellStyle name="Porcentaje 2 5" xfId="1340" xr:uid="{00000000-0005-0000-0000-000071070000}"/>
    <cellStyle name="Porcentaje 2 5 2" xfId="1714" xr:uid="{00000000-0005-0000-0000-000072070000}"/>
    <cellStyle name="Porcentaje 2 6" xfId="1341" xr:uid="{00000000-0005-0000-0000-000073070000}"/>
    <cellStyle name="Porcentaje 3" xfId="1342" xr:uid="{00000000-0005-0000-0000-000074070000}"/>
    <cellStyle name="Porcentaje 4" xfId="1343" xr:uid="{00000000-0005-0000-0000-000075070000}"/>
    <cellStyle name="Porcentaje 4 2" xfId="1715" xr:uid="{00000000-0005-0000-0000-000076070000}"/>
    <cellStyle name="Porcentaje 5" xfId="1344" xr:uid="{00000000-0005-0000-0000-000077070000}"/>
    <cellStyle name="Porcentaje 5 2" xfId="1716" xr:uid="{00000000-0005-0000-0000-000078070000}"/>
    <cellStyle name="Porcentaje 6" xfId="1345" xr:uid="{00000000-0005-0000-0000-000079070000}"/>
    <cellStyle name="Porcentaje 7" xfId="1897" xr:uid="{00000000-0005-0000-0000-00007A070000}"/>
    <cellStyle name="Porcentual 10" xfId="1346" xr:uid="{00000000-0005-0000-0000-00007B070000}"/>
    <cellStyle name="Porcentual 2" xfId="1347" xr:uid="{00000000-0005-0000-0000-00007C070000}"/>
    <cellStyle name="Porcentual 2 2" xfId="1348" xr:uid="{00000000-0005-0000-0000-00007D070000}"/>
    <cellStyle name="Porcentual 2 2 2" xfId="1349" xr:uid="{00000000-0005-0000-0000-00007E070000}"/>
    <cellStyle name="Porcentual 2 3" xfId="1350" xr:uid="{00000000-0005-0000-0000-00007F070000}"/>
    <cellStyle name="Porcentual 2 3 2" xfId="1351" xr:uid="{00000000-0005-0000-0000-000080070000}"/>
    <cellStyle name="Porcentual 2 3 2 2" xfId="1717" xr:uid="{00000000-0005-0000-0000-000081070000}"/>
    <cellStyle name="Porcentual 2 3 3" xfId="1352" xr:uid="{00000000-0005-0000-0000-000082070000}"/>
    <cellStyle name="Porcentual 2 3 3 2" xfId="1718" xr:uid="{00000000-0005-0000-0000-000083070000}"/>
    <cellStyle name="Porcentual 2 3 4" xfId="1353" xr:uid="{00000000-0005-0000-0000-000084070000}"/>
    <cellStyle name="Porcentual 2 4" xfId="1354" xr:uid="{00000000-0005-0000-0000-000085070000}"/>
    <cellStyle name="Porcentual 2 4 2" xfId="1355" xr:uid="{00000000-0005-0000-0000-000086070000}"/>
    <cellStyle name="Porcentual 2 5" xfId="1471" xr:uid="{00000000-0005-0000-0000-000087070000}"/>
    <cellStyle name="Porcentual 2_ANALISIS COSTOS PORTICOS GRAN TECHO" xfId="1356" xr:uid="{00000000-0005-0000-0000-000088070000}"/>
    <cellStyle name="Porcentual 3" xfId="1357" xr:uid="{00000000-0005-0000-0000-000089070000}"/>
    <cellStyle name="Porcentual 3 10" xfId="1358" xr:uid="{00000000-0005-0000-0000-00008A070000}"/>
    <cellStyle name="Porcentual 3 11" xfId="1359" xr:uid="{00000000-0005-0000-0000-00008B070000}"/>
    <cellStyle name="Porcentual 3 12" xfId="1360" xr:uid="{00000000-0005-0000-0000-00008C070000}"/>
    <cellStyle name="Porcentual 3 13" xfId="1361" xr:uid="{00000000-0005-0000-0000-00008D070000}"/>
    <cellStyle name="Porcentual 3 14" xfId="1362" xr:uid="{00000000-0005-0000-0000-00008E070000}"/>
    <cellStyle name="Porcentual 3 15" xfId="1363" xr:uid="{00000000-0005-0000-0000-00008F070000}"/>
    <cellStyle name="Porcentual 3 16" xfId="1364" xr:uid="{00000000-0005-0000-0000-000090070000}"/>
    <cellStyle name="Porcentual 3 2" xfId="1365" xr:uid="{00000000-0005-0000-0000-000091070000}"/>
    <cellStyle name="Porcentual 3 2 2" xfId="1366" xr:uid="{00000000-0005-0000-0000-000092070000}"/>
    <cellStyle name="Porcentual 3 3" xfId="1367" xr:uid="{00000000-0005-0000-0000-000093070000}"/>
    <cellStyle name="Porcentual 3 3 2" xfId="1368" xr:uid="{00000000-0005-0000-0000-000094070000}"/>
    <cellStyle name="Porcentual 3 4" xfId="1369" xr:uid="{00000000-0005-0000-0000-000095070000}"/>
    <cellStyle name="Porcentual 3 4 2" xfId="1370" xr:uid="{00000000-0005-0000-0000-000096070000}"/>
    <cellStyle name="Porcentual 3 5" xfId="1371" xr:uid="{00000000-0005-0000-0000-000097070000}"/>
    <cellStyle name="Porcentual 3 5 2" xfId="1372" xr:uid="{00000000-0005-0000-0000-000098070000}"/>
    <cellStyle name="Porcentual 3 6" xfId="1373" xr:uid="{00000000-0005-0000-0000-000099070000}"/>
    <cellStyle name="Porcentual 3 6 2" xfId="1374" xr:uid="{00000000-0005-0000-0000-00009A070000}"/>
    <cellStyle name="Porcentual 3 7" xfId="1375" xr:uid="{00000000-0005-0000-0000-00009B070000}"/>
    <cellStyle name="Porcentual 3 7 2" xfId="1376" xr:uid="{00000000-0005-0000-0000-00009C070000}"/>
    <cellStyle name="Porcentual 3 8" xfId="1377" xr:uid="{00000000-0005-0000-0000-00009D070000}"/>
    <cellStyle name="Porcentual 3 9" xfId="1378" xr:uid="{00000000-0005-0000-0000-00009E070000}"/>
    <cellStyle name="Porcentual 4" xfId="1379" xr:uid="{00000000-0005-0000-0000-00009F070000}"/>
    <cellStyle name="Porcentual 4 2" xfId="1380" xr:uid="{00000000-0005-0000-0000-0000A0070000}"/>
    <cellStyle name="Porcentual 5" xfId="1381" xr:uid="{00000000-0005-0000-0000-0000A1070000}"/>
    <cellStyle name="Porcentual 5 2" xfId="1382" xr:uid="{00000000-0005-0000-0000-0000A2070000}"/>
    <cellStyle name="Porcentual 5 2 2" xfId="1383" xr:uid="{00000000-0005-0000-0000-0000A3070000}"/>
    <cellStyle name="Porcentual 6" xfId="1384" xr:uid="{00000000-0005-0000-0000-0000A4070000}"/>
    <cellStyle name="Porcentual 7" xfId="1385" xr:uid="{00000000-0005-0000-0000-0000A5070000}"/>
    <cellStyle name="Porcentual 8" xfId="1386" xr:uid="{00000000-0005-0000-0000-0000A6070000}"/>
    <cellStyle name="Porcentual 9" xfId="1387" xr:uid="{00000000-0005-0000-0000-0000A7070000}"/>
    <cellStyle name="Salida 2" xfId="1388" xr:uid="{00000000-0005-0000-0000-0000A8070000}"/>
    <cellStyle name="Salida 2 2" xfId="1389" xr:uid="{00000000-0005-0000-0000-0000A9070000}"/>
    <cellStyle name="Salida 2 2 2" xfId="1721" xr:uid="{00000000-0005-0000-0000-0000AA070000}"/>
    <cellStyle name="Salida 2 3" xfId="1720" xr:uid="{00000000-0005-0000-0000-0000AB070000}"/>
    <cellStyle name="Salida 3" xfId="1390" xr:uid="{00000000-0005-0000-0000-0000AC070000}"/>
    <cellStyle name="Salida 3 2" xfId="1391" xr:uid="{00000000-0005-0000-0000-0000AD070000}"/>
    <cellStyle name="Salida 3 2 2" xfId="1723" xr:uid="{00000000-0005-0000-0000-0000AE070000}"/>
    <cellStyle name="Salida 3 3" xfId="1722" xr:uid="{00000000-0005-0000-0000-0000AF070000}"/>
    <cellStyle name="Salida 4" xfId="1392" xr:uid="{00000000-0005-0000-0000-0000B0070000}"/>
    <cellStyle name="Salida 4 2" xfId="1724" xr:uid="{00000000-0005-0000-0000-0000B1070000}"/>
    <cellStyle name="Sheet Title" xfId="1393" xr:uid="{00000000-0005-0000-0000-0000B2070000}"/>
    <cellStyle name="Texto de advertencia 2" xfId="1394" xr:uid="{00000000-0005-0000-0000-0000B3070000}"/>
    <cellStyle name="Texto de advertencia 2 2" xfId="1395" xr:uid="{00000000-0005-0000-0000-0000B4070000}"/>
    <cellStyle name="Texto de advertencia 3" xfId="1396" xr:uid="{00000000-0005-0000-0000-0000B5070000}"/>
    <cellStyle name="Texto de advertencia 3 2" xfId="1397" xr:uid="{00000000-0005-0000-0000-0000B6070000}"/>
    <cellStyle name="Texto de advertencia 4" xfId="1398" xr:uid="{00000000-0005-0000-0000-0000B7070000}"/>
    <cellStyle name="Texto explicativo 2" xfId="1399" xr:uid="{00000000-0005-0000-0000-0000B8070000}"/>
    <cellStyle name="Texto explicativo 2 2" xfId="1400" xr:uid="{00000000-0005-0000-0000-0000B9070000}"/>
    <cellStyle name="Texto explicativo 3" xfId="1401" xr:uid="{00000000-0005-0000-0000-0000BA070000}"/>
    <cellStyle name="Texto explicativo 3 2" xfId="1402" xr:uid="{00000000-0005-0000-0000-0000BB070000}"/>
    <cellStyle name="Texto explicativo 4" xfId="1403" xr:uid="{00000000-0005-0000-0000-0000BC070000}"/>
    <cellStyle name="Title" xfId="1404" xr:uid="{00000000-0005-0000-0000-0000BD070000}"/>
    <cellStyle name="Title 2" xfId="1405" xr:uid="{00000000-0005-0000-0000-0000BE070000}"/>
    <cellStyle name="Title 2 2" xfId="1406" xr:uid="{00000000-0005-0000-0000-0000BF070000}"/>
    <cellStyle name="Title 3" xfId="1407" xr:uid="{00000000-0005-0000-0000-0000C0070000}"/>
    <cellStyle name="Title 4" xfId="1408" xr:uid="{00000000-0005-0000-0000-0000C1070000}"/>
    <cellStyle name="Title 5" xfId="1409" xr:uid="{00000000-0005-0000-0000-0000C2070000}"/>
    <cellStyle name="Título 1 2" xfId="1410" xr:uid="{00000000-0005-0000-0000-0000C3070000}"/>
    <cellStyle name="Título 1 2 2" xfId="1411" xr:uid="{00000000-0005-0000-0000-0000C4070000}"/>
    <cellStyle name="Título 1 3" xfId="1412" xr:uid="{00000000-0005-0000-0000-0000C5070000}"/>
    <cellStyle name="Título 1 3 2" xfId="1413" xr:uid="{00000000-0005-0000-0000-0000C6070000}"/>
    <cellStyle name="Título 1 4" xfId="1414" xr:uid="{00000000-0005-0000-0000-0000C7070000}"/>
    <cellStyle name="Título 2 2" xfId="1415" xr:uid="{00000000-0005-0000-0000-0000C8070000}"/>
    <cellStyle name="Título 2 2 2" xfId="1416" xr:uid="{00000000-0005-0000-0000-0000C9070000}"/>
    <cellStyle name="Título 2 3" xfId="1417" xr:uid="{00000000-0005-0000-0000-0000CA070000}"/>
    <cellStyle name="Título 2 3 2" xfId="1418" xr:uid="{00000000-0005-0000-0000-0000CB070000}"/>
    <cellStyle name="Título 2 4" xfId="1419" xr:uid="{00000000-0005-0000-0000-0000CC070000}"/>
    <cellStyle name="Título 3 2" xfId="1420" xr:uid="{00000000-0005-0000-0000-0000CD070000}"/>
    <cellStyle name="Título 3 2 2" xfId="1421" xr:uid="{00000000-0005-0000-0000-0000CE070000}"/>
    <cellStyle name="Título 3 3" xfId="1422" xr:uid="{00000000-0005-0000-0000-0000CF070000}"/>
    <cellStyle name="Título 3 3 2" xfId="1423" xr:uid="{00000000-0005-0000-0000-0000D0070000}"/>
    <cellStyle name="Título 3 4" xfId="1424" xr:uid="{00000000-0005-0000-0000-0000D1070000}"/>
    <cellStyle name="Título 4" xfId="1425" xr:uid="{00000000-0005-0000-0000-0000D2070000}"/>
    <cellStyle name="Título 4 2" xfId="1426" xr:uid="{00000000-0005-0000-0000-0000D3070000}"/>
    <cellStyle name="Título 5" xfId="1427" xr:uid="{00000000-0005-0000-0000-0000D4070000}"/>
    <cellStyle name="Título 5 2" xfId="1428" xr:uid="{00000000-0005-0000-0000-0000D5070000}"/>
    <cellStyle name="Título 6" xfId="1429" xr:uid="{00000000-0005-0000-0000-0000D6070000}"/>
    <cellStyle name="Título de hoja" xfId="1430" xr:uid="{00000000-0005-0000-0000-0000D7070000}"/>
    <cellStyle name="Total 2" xfId="1431" xr:uid="{00000000-0005-0000-0000-0000D8070000}"/>
    <cellStyle name="Total 2 2" xfId="1432" xr:uid="{00000000-0005-0000-0000-0000D9070000}"/>
    <cellStyle name="Total 2 2 2" xfId="1726" xr:uid="{00000000-0005-0000-0000-0000DA070000}"/>
    <cellStyle name="Total 2 3" xfId="1433" xr:uid="{00000000-0005-0000-0000-0000DB070000}"/>
    <cellStyle name="Total 2 3 2" xfId="1727" xr:uid="{00000000-0005-0000-0000-0000DC070000}"/>
    <cellStyle name="Total 2 4" xfId="1725" xr:uid="{00000000-0005-0000-0000-0000DD070000}"/>
    <cellStyle name="Total 3" xfId="1434" xr:uid="{00000000-0005-0000-0000-0000DE070000}"/>
    <cellStyle name="Total 3 2" xfId="1435" xr:uid="{00000000-0005-0000-0000-0000DF070000}"/>
    <cellStyle name="Total 3 2 2" xfId="1729" xr:uid="{00000000-0005-0000-0000-0000E0070000}"/>
    <cellStyle name="Total 3 3" xfId="1728" xr:uid="{00000000-0005-0000-0000-0000E1070000}"/>
    <cellStyle name="Total 4" xfId="1436" xr:uid="{00000000-0005-0000-0000-0000E2070000}"/>
    <cellStyle name="Total 4 2" xfId="1437" xr:uid="{00000000-0005-0000-0000-0000E3070000}"/>
    <cellStyle name="Total 4 2 2" xfId="1731" xr:uid="{00000000-0005-0000-0000-0000E4070000}"/>
    <cellStyle name="Total 4 3" xfId="1730" xr:uid="{00000000-0005-0000-0000-0000E5070000}"/>
    <cellStyle name="Währung" xfId="1438" xr:uid="{00000000-0005-0000-0000-0000E6070000}"/>
    <cellStyle name="Warning Text" xfId="1439" xr:uid="{00000000-0005-0000-0000-0000E7070000}"/>
    <cellStyle name="Warning Text 2" xfId="1440" xr:uid="{00000000-0005-0000-0000-0000E8070000}"/>
    <cellStyle name="常规 2" xfId="1441" xr:uid="{00000000-0005-0000-0000-0000E9070000}"/>
    <cellStyle name="常规 2 2" xfId="1733" xr:uid="{00000000-0005-0000-0000-0000EA070000}"/>
    <cellStyle name="常规 2 2 2" xfId="2020" xr:uid="{00000000-0005-0000-0000-0000EB070000}"/>
    <cellStyle name="常规 2 3" xfId="1898" xr:uid="{00000000-0005-0000-0000-0000EC07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99"/>
      <color rgb="FF0033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2.xml"/><Relationship Id="rId63" Type="http://schemas.openxmlformats.org/officeDocument/2006/relationships/externalLink" Target="externalLinks/externalLink18.xml"/><Relationship Id="rId68" Type="http://schemas.openxmlformats.org/officeDocument/2006/relationships/externalLink" Target="externalLinks/externalLink23.xml"/><Relationship Id="rId84" Type="http://schemas.openxmlformats.org/officeDocument/2006/relationships/externalLink" Target="externalLinks/externalLink39.xml"/><Relationship Id="rId89" Type="http://schemas.openxmlformats.org/officeDocument/2006/relationships/externalLink" Target="externalLinks/externalLink44.xml"/><Relationship Id="rId112" Type="http://schemas.openxmlformats.org/officeDocument/2006/relationships/externalLink" Target="externalLinks/externalLink67.xml"/><Relationship Id="rId16" Type="http://schemas.openxmlformats.org/officeDocument/2006/relationships/worksheet" Target="worksheets/sheet16.xml"/><Relationship Id="rId107" Type="http://schemas.openxmlformats.org/officeDocument/2006/relationships/externalLink" Target="externalLinks/externalLink6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113" Type="http://schemas.openxmlformats.org/officeDocument/2006/relationships/externalLink" Target="externalLinks/externalLink68.xml"/><Relationship Id="rId118" Type="http://schemas.openxmlformats.org/officeDocument/2006/relationships/styles" Target="styles.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externalLink" Target="externalLinks/externalLink63.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4.xml"/><Relationship Id="rId114" Type="http://schemas.openxmlformats.org/officeDocument/2006/relationships/externalLink" Target="externalLinks/externalLink69.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4.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externalLink" Target="externalLinks/externalLink65.xml"/><Relationship Id="rId115" Type="http://schemas.openxmlformats.org/officeDocument/2006/relationships/externalLink" Target="externalLinks/externalLink70.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116"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 Id="rId111" Type="http://schemas.openxmlformats.org/officeDocument/2006/relationships/externalLink" Target="externalLinks/externalLink6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7.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122"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70F7C.0879CB8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1285875</xdr:colOff>
      <xdr:row>1001</xdr:row>
      <xdr:rowOff>0</xdr:rowOff>
    </xdr:from>
    <xdr:to>
      <xdr:col>2</xdr:col>
      <xdr:colOff>95250</xdr:colOff>
      <xdr:row>1003</xdr:row>
      <xdr:rowOff>47625</xdr:rowOff>
    </xdr:to>
    <xdr:sp macro="" textlink="">
      <xdr:nvSpPr>
        <xdr:cNvPr id="216540" name="Text Box 15">
          <a:extLst>
            <a:ext uri="{FF2B5EF4-FFF2-40B4-BE49-F238E27FC236}">
              <a16:creationId xmlns:a16="http://schemas.microsoft.com/office/drawing/2014/main" id="{00000000-0008-0000-0000-0000DC4D0300}"/>
            </a:ext>
          </a:extLst>
        </xdr:cNvPr>
        <xdr:cNvSpPr txBox="1">
          <a:spLocks noChangeArrowheads="1"/>
        </xdr:cNvSpPr>
      </xdr:nvSpPr>
      <xdr:spPr bwMode="auto">
        <a:xfrm>
          <a:off x="1790700" y="186651900"/>
          <a:ext cx="2533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1001</xdr:row>
      <xdr:rowOff>0</xdr:rowOff>
    </xdr:from>
    <xdr:to>
      <xdr:col>2</xdr:col>
      <xdr:colOff>95250</xdr:colOff>
      <xdr:row>1003</xdr:row>
      <xdr:rowOff>9525</xdr:rowOff>
    </xdr:to>
    <xdr:sp macro="" textlink="">
      <xdr:nvSpPr>
        <xdr:cNvPr id="216541" name="Text Box 15">
          <a:extLst>
            <a:ext uri="{FF2B5EF4-FFF2-40B4-BE49-F238E27FC236}">
              <a16:creationId xmlns:a16="http://schemas.microsoft.com/office/drawing/2014/main" id="{00000000-0008-0000-0000-0000DD4D0300}"/>
            </a:ext>
          </a:extLst>
        </xdr:cNvPr>
        <xdr:cNvSpPr txBox="1">
          <a:spLocks noChangeArrowheads="1"/>
        </xdr:cNvSpPr>
      </xdr:nvSpPr>
      <xdr:spPr bwMode="auto">
        <a:xfrm>
          <a:off x="1790700" y="186651900"/>
          <a:ext cx="25336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1002</xdr:row>
      <xdr:rowOff>152400</xdr:rowOff>
    </xdr:from>
    <xdr:to>
      <xdr:col>1</xdr:col>
      <xdr:colOff>2543175</xdr:colOff>
      <xdr:row>1002</xdr:row>
      <xdr:rowOff>152400</xdr:rowOff>
    </xdr:to>
    <xdr:sp macro="" textlink="">
      <xdr:nvSpPr>
        <xdr:cNvPr id="216542" name="Line 4">
          <a:extLst>
            <a:ext uri="{FF2B5EF4-FFF2-40B4-BE49-F238E27FC236}">
              <a16:creationId xmlns:a16="http://schemas.microsoft.com/office/drawing/2014/main" id="{00000000-0008-0000-0000-0000DE4D0300}"/>
            </a:ext>
          </a:extLst>
        </xdr:cNvPr>
        <xdr:cNvSpPr>
          <a:spLocks noChangeShapeType="1"/>
        </xdr:cNvSpPr>
      </xdr:nvSpPr>
      <xdr:spPr bwMode="auto">
        <a:xfrm>
          <a:off x="314325" y="18696622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1002</xdr:row>
      <xdr:rowOff>152400</xdr:rowOff>
    </xdr:from>
    <xdr:to>
      <xdr:col>5</xdr:col>
      <xdr:colOff>914400</xdr:colOff>
      <xdr:row>1002</xdr:row>
      <xdr:rowOff>152400</xdr:rowOff>
    </xdr:to>
    <xdr:sp macro="" textlink="">
      <xdr:nvSpPr>
        <xdr:cNvPr id="216543" name="Line 4">
          <a:extLst>
            <a:ext uri="{FF2B5EF4-FFF2-40B4-BE49-F238E27FC236}">
              <a16:creationId xmlns:a16="http://schemas.microsoft.com/office/drawing/2014/main" id="{00000000-0008-0000-0000-0000DF4D0300}"/>
            </a:ext>
          </a:extLst>
        </xdr:cNvPr>
        <xdr:cNvSpPr>
          <a:spLocks noChangeShapeType="1"/>
        </xdr:cNvSpPr>
      </xdr:nvSpPr>
      <xdr:spPr bwMode="auto">
        <a:xfrm>
          <a:off x="4210050" y="186966225"/>
          <a:ext cx="2943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1013</xdr:row>
      <xdr:rowOff>66675</xdr:rowOff>
    </xdr:from>
    <xdr:to>
      <xdr:col>1</xdr:col>
      <xdr:colOff>2552700</xdr:colOff>
      <xdr:row>1013</xdr:row>
      <xdr:rowOff>66675</xdr:rowOff>
    </xdr:to>
    <xdr:sp macro="" textlink="">
      <xdr:nvSpPr>
        <xdr:cNvPr id="216544" name="Line 4">
          <a:extLst>
            <a:ext uri="{FF2B5EF4-FFF2-40B4-BE49-F238E27FC236}">
              <a16:creationId xmlns:a16="http://schemas.microsoft.com/office/drawing/2014/main" id="{00000000-0008-0000-0000-0000E04D0300}"/>
            </a:ext>
          </a:extLst>
        </xdr:cNvPr>
        <xdr:cNvSpPr>
          <a:spLocks noChangeShapeType="1"/>
        </xdr:cNvSpPr>
      </xdr:nvSpPr>
      <xdr:spPr bwMode="auto">
        <a:xfrm>
          <a:off x="323850" y="1886616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1013</xdr:row>
      <xdr:rowOff>85725</xdr:rowOff>
    </xdr:from>
    <xdr:to>
      <xdr:col>5</xdr:col>
      <xdr:colOff>885825</xdr:colOff>
      <xdr:row>1013</xdr:row>
      <xdr:rowOff>85725</xdr:rowOff>
    </xdr:to>
    <xdr:sp macro="" textlink="">
      <xdr:nvSpPr>
        <xdr:cNvPr id="216545" name="Line 4">
          <a:extLst>
            <a:ext uri="{FF2B5EF4-FFF2-40B4-BE49-F238E27FC236}">
              <a16:creationId xmlns:a16="http://schemas.microsoft.com/office/drawing/2014/main" id="{00000000-0008-0000-0000-0000E14D0300}"/>
            </a:ext>
          </a:extLst>
        </xdr:cNvPr>
        <xdr:cNvSpPr>
          <a:spLocks noChangeShapeType="1"/>
        </xdr:cNvSpPr>
      </xdr:nvSpPr>
      <xdr:spPr bwMode="auto">
        <a:xfrm>
          <a:off x="4181475" y="18868072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1115</xdr:row>
      <xdr:rowOff>0</xdr:rowOff>
    </xdr:from>
    <xdr:to>
      <xdr:col>1</xdr:col>
      <xdr:colOff>1381125</xdr:colOff>
      <xdr:row>1117</xdr:row>
      <xdr:rowOff>47625</xdr:rowOff>
    </xdr:to>
    <xdr:sp macro="" textlink="">
      <xdr:nvSpPr>
        <xdr:cNvPr id="343000" name="Text Box 15">
          <a:extLst>
            <a:ext uri="{FF2B5EF4-FFF2-40B4-BE49-F238E27FC236}">
              <a16:creationId xmlns:a16="http://schemas.microsoft.com/office/drawing/2014/main" id="{00000000-0008-0000-0100-0000D83B0500}"/>
            </a:ext>
          </a:extLst>
        </xdr:cNvPr>
        <xdr:cNvSpPr txBox="1">
          <a:spLocks noChangeArrowheads="1"/>
        </xdr:cNvSpPr>
      </xdr:nvSpPr>
      <xdr:spPr bwMode="auto">
        <a:xfrm>
          <a:off x="1819275" y="239801400"/>
          <a:ext cx="952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1115</xdr:row>
      <xdr:rowOff>0</xdr:rowOff>
    </xdr:from>
    <xdr:to>
      <xdr:col>1</xdr:col>
      <xdr:colOff>1381125</xdr:colOff>
      <xdr:row>1117</xdr:row>
      <xdr:rowOff>9525</xdr:rowOff>
    </xdr:to>
    <xdr:sp macro="" textlink="">
      <xdr:nvSpPr>
        <xdr:cNvPr id="343001" name="Text Box 15">
          <a:extLst>
            <a:ext uri="{FF2B5EF4-FFF2-40B4-BE49-F238E27FC236}">
              <a16:creationId xmlns:a16="http://schemas.microsoft.com/office/drawing/2014/main" id="{00000000-0008-0000-0100-0000D93B0500}"/>
            </a:ext>
          </a:extLst>
        </xdr:cNvPr>
        <xdr:cNvSpPr txBox="1">
          <a:spLocks noChangeArrowheads="1"/>
        </xdr:cNvSpPr>
      </xdr:nvSpPr>
      <xdr:spPr bwMode="auto">
        <a:xfrm>
          <a:off x="1819275" y="23980140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1116</xdr:row>
      <xdr:rowOff>152400</xdr:rowOff>
    </xdr:from>
    <xdr:to>
      <xdr:col>1</xdr:col>
      <xdr:colOff>2543175</xdr:colOff>
      <xdr:row>1116</xdr:row>
      <xdr:rowOff>152400</xdr:rowOff>
    </xdr:to>
    <xdr:sp macro="" textlink="">
      <xdr:nvSpPr>
        <xdr:cNvPr id="343002" name="Line 4">
          <a:extLst>
            <a:ext uri="{FF2B5EF4-FFF2-40B4-BE49-F238E27FC236}">
              <a16:creationId xmlns:a16="http://schemas.microsoft.com/office/drawing/2014/main" id="{00000000-0008-0000-0100-0000DA3B0500}"/>
            </a:ext>
          </a:extLst>
        </xdr:cNvPr>
        <xdr:cNvSpPr>
          <a:spLocks noChangeShapeType="1"/>
        </xdr:cNvSpPr>
      </xdr:nvSpPr>
      <xdr:spPr bwMode="auto">
        <a:xfrm>
          <a:off x="314325" y="240115725"/>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1116</xdr:row>
      <xdr:rowOff>152400</xdr:rowOff>
    </xdr:from>
    <xdr:to>
      <xdr:col>5</xdr:col>
      <xdr:colOff>914400</xdr:colOff>
      <xdr:row>1116</xdr:row>
      <xdr:rowOff>152400</xdr:rowOff>
    </xdr:to>
    <xdr:sp macro="" textlink="">
      <xdr:nvSpPr>
        <xdr:cNvPr id="343003" name="Line 4">
          <a:extLst>
            <a:ext uri="{FF2B5EF4-FFF2-40B4-BE49-F238E27FC236}">
              <a16:creationId xmlns:a16="http://schemas.microsoft.com/office/drawing/2014/main" id="{00000000-0008-0000-0100-0000DB3B0500}"/>
            </a:ext>
          </a:extLst>
        </xdr:cNvPr>
        <xdr:cNvSpPr>
          <a:spLocks noChangeShapeType="1"/>
        </xdr:cNvSpPr>
      </xdr:nvSpPr>
      <xdr:spPr bwMode="auto">
        <a:xfrm>
          <a:off x="4095750" y="240115725"/>
          <a:ext cx="2695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1127</xdr:row>
      <xdr:rowOff>95250</xdr:rowOff>
    </xdr:from>
    <xdr:to>
      <xdr:col>1</xdr:col>
      <xdr:colOff>2619375</xdr:colOff>
      <xdr:row>1127</xdr:row>
      <xdr:rowOff>95250</xdr:rowOff>
    </xdr:to>
    <xdr:sp macro="" textlink="">
      <xdr:nvSpPr>
        <xdr:cNvPr id="343004" name="Line 4">
          <a:extLst>
            <a:ext uri="{FF2B5EF4-FFF2-40B4-BE49-F238E27FC236}">
              <a16:creationId xmlns:a16="http://schemas.microsoft.com/office/drawing/2014/main" id="{00000000-0008-0000-0100-0000DC3B0500}"/>
            </a:ext>
          </a:extLst>
        </xdr:cNvPr>
        <xdr:cNvSpPr>
          <a:spLocks noChangeShapeType="1"/>
        </xdr:cNvSpPr>
      </xdr:nvSpPr>
      <xdr:spPr bwMode="auto">
        <a:xfrm>
          <a:off x="390525" y="241839750"/>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1127</xdr:row>
      <xdr:rowOff>95250</xdr:rowOff>
    </xdr:from>
    <xdr:to>
      <xdr:col>6</xdr:col>
      <xdr:colOff>0</xdr:colOff>
      <xdr:row>1127</xdr:row>
      <xdr:rowOff>95250</xdr:rowOff>
    </xdr:to>
    <xdr:sp macro="" textlink="">
      <xdr:nvSpPr>
        <xdr:cNvPr id="343005" name="Line 4">
          <a:extLst>
            <a:ext uri="{FF2B5EF4-FFF2-40B4-BE49-F238E27FC236}">
              <a16:creationId xmlns:a16="http://schemas.microsoft.com/office/drawing/2014/main" id="{00000000-0008-0000-0100-0000DD3B0500}"/>
            </a:ext>
          </a:extLst>
        </xdr:cNvPr>
        <xdr:cNvSpPr>
          <a:spLocks noChangeShapeType="1"/>
        </xdr:cNvSpPr>
      </xdr:nvSpPr>
      <xdr:spPr bwMode="auto">
        <a:xfrm>
          <a:off x="4095750" y="24183975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6" name="Text Box 15">
          <a:extLst>
            <a:ext uri="{FF2B5EF4-FFF2-40B4-BE49-F238E27FC236}">
              <a16:creationId xmlns:a16="http://schemas.microsoft.com/office/drawing/2014/main" id="{00000000-0008-0000-0100-0000D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7" name="Text Box 15">
          <a:extLst>
            <a:ext uri="{FF2B5EF4-FFF2-40B4-BE49-F238E27FC236}">
              <a16:creationId xmlns:a16="http://schemas.microsoft.com/office/drawing/2014/main" id="{00000000-0008-0000-0100-0000D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8" name="Text Box 15">
          <a:extLst>
            <a:ext uri="{FF2B5EF4-FFF2-40B4-BE49-F238E27FC236}">
              <a16:creationId xmlns:a16="http://schemas.microsoft.com/office/drawing/2014/main" id="{00000000-0008-0000-0100-0000E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9" name="Text Box 15">
          <a:extLst>
            <a:ext uri="{FF2B5EF4-FFF2-40B4-BE49-F238E27FC236}">
              <a16:creationId xmlns:a16="http://schemas.microsoft.com/office/drawing/2014/main" id="{00000000-0008-0000-0100-0000E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0" name="Text Box 15">
          <a:extLst>
            <a:ext uri="{FF2B5EF4-FFF2-40B4-BE49-F238E27FC236}">
              <a16:creationId xmlns:a16="http://schemas.microsoft.com/office/drawing/2014/main" id="{00000000-0008-0000-0100-0000E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1" name="Text Box 15">
          <a:extLst>
            <a:ext uri="{FF2B5EF4-FFF2-40B4-BE49-F238E27FC236}">
              <a16:creationId xmlns:a16="http://schemas.microsoft.com/office/drawing/2014/main" id="{00000000-0008-0000-0100-0000E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2" name="Text Box 15">
          <a:extLst>
            <a:ext uri="{FF2B5EF4-FFF2-40B4-BE49-F238E27FC236}">
              <a16:creationId xmlns:a16="http://schemas.microsoft.com/office/drawing/2014/main" id="{00000000-0008-0000-0100-0000E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3" name="Text Box 15">
          <a:extLst>
            <a:ext uri="{FF2B5EF4-FFF2-40B4-BE49-F238E27FC236}">
              <a16:creationId xmlns:a16="http://schemas.microsoft.com/office/drawing/2014/main" id="{00000000-0008-0000-0100-0000E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4" name="Text Box 15">
          <a:extLst>
            <a:ext uri="{FF2B5EF4-FFF2-40B4-BE49-F238E27FC236}">
              <a16:creationId xmlns:a16="http://schemas.microsoft.com/office/drawing/2014/main" id="{00000000-0008-0000-0100-0000E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5" name="Text Box 15">
          <a:extLst>
            <a:ext uri="{FF2B5EF4-FFF2-40B4-BE49-F238E27FC236}">
              <a16:creationId xmlns:a16="http://schemas.microsoft.com/office/drawing/2014/main" id="{00000000-0008-0000-0100-0000E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6" name="Text Box 15">
          <a:extLst>
            <a:ext uri="{FF2B5EF4-FFF2-40B4-BE49-F238E27FC236}">
              <a16:creationId xmlns:a16="http://schemas.microsoft.com/office/drawing/2014/main" id="{00000000-0008-0000-0100-0000E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7" name="Text Box 15">
          <a:extLst>
            <a:ext uri="{FF2B5EF4-FFF2-40B4-BE49-F238E27FC236}">
              <a16:creationId xmlns:a16="http://schemas.microsoft.com/office/drawing/2014/main" id="{00000000-0008-0000-0100-0000E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8" name="Text Box 15">
          <a:extLst>
            <a:ext uri="{FF2B5EF4-FFF2-40B4-BE49-F238E27FC236}">
              <a16:creationId xmlns:a16="http://schemas.microsoft.com/office/drawing/2014/main" id="{00000000-0008-0000-0100-0000E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9" name="Text Box 15">
          <a:extLst>
            <a:ext uri="{FF2B5EF4-FFF2-40B4-BE49-F238E27FC236}">
              <a16:creationId xmlns:a16="http://schemas.microsoft.com/office/drawing/2014/main" id="{00000000-0008-0000-0100-0000E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0" name="Text Box 15">
          <a:extLst>
            <a:ext uri="{FF2B5EF4-FFF2-40B4-BE49-F238E27FC236}">
              <a16:creationId xmlns:a16="http://schemas.microsoft.com/office/drawing/2014/main" id="{00000000-0008-0000-0100-0000E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1" name="Text Box 15">
          <a:extLst>
            <a:ext uri="{FF2B5EF4-FFF2-40B4-BE49-F238E27FC236}">
              <a16:creationId xmlns:a16="http://schemas.microsoft.com/office/drawing/2014/main" id="{00000000-0008-0000-0100-0000E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2" name="Text Box 15">
          <a:extLst>
            <a:ext uri="{FF2B5EF4-FFF2-40B4-BE49-F238E27FC236}">
              <a16:creationId xmlns:a16="http://schemas.microsoft.com/office/drawing/2014/main" id="{00000000-0008-0000-0100-0000E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3" name="Text Box 15">
          <a:extLst>
            <a:ext uri="{FF2B5EF4-FFF2-40B4-BE49-F238E27FC236}">
              <a16:creationId xmlns:a16="http://schemas.microsoft.com/office/drawing/2014/main" id="{00000000-0008-0000-0100-0000E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4" name="Text Box 15">
          <a:extLst>
            <a:ext uri="{FF2B5EF4-FFF2-40B4-BE49-F238E27FC236}">
              <a16:creationId xmlns:a16="http://schemas.microsoft.com/office/drawing/2014/main" id="{00000000-0008-0000-0100-0000F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5" name="Text Box 15">
          <a:extLst>
            <a:ext uri="{FF2B5EF4-FFF2-40B4-BE49-F238E27FC236}">
              <a16:creationId xmlns:a16="http://schemas.microsoft.com/office/drawing/2014/main" id="{00000000-0008-0000-0100-0000F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6" name="Text Box 15">
          <a:extLst>
            <a:ext uri="{FF2B5EF4-FFF2-40B4-BE49-F238E27FC236}">
              <a16:creationId xmlns:a16="http://schemas.microsoft.com/office/drawing/2014/main" id="{00000000-0008-0000-0100-0000F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7" name="Text Box 15">
          <a:extLst>
            <a:ext uri="{FF2B5EF4-FFF2-40B4-BE49-F238E27FC236}">
              <a16:creationId xmlns:a16="http://schemas.microsoft.com/office/drawing/2014/main" id="{00000000-0008-0000-0100-0000F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8" name="Text Box 15">
          <a:extLst>
            <a:ext uri="{FF2B5EF4-FFF2-40B4-BE49-F238E27FC236}">
              <a16:creationId xmlns:a16="http://schemas.microsoft.com/office/drawing/2014/main" id="{00000000-0008-0000-0100-0000F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9" name="Text Box 15">
          <a:extLst>
            <a:ext uri="{FF2B5EF4-FFF2-40B4-BE49-F238E27FC236}">
              <a16:creationId xmlns:a16="http://schemas.microsoft.com/office/drawing/2014/main" id="{00000000-0008-0000-0100-0000F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0" name="Text Box 15">
          <a:extLst>
            <a:ext uri="{FF2B5EF4-FFF2-40B4-BE49-F238E27FC236}">
              <a16:creationId xmlns:a16="http://schemas.microsoft.com/office/drawing/2014/main" id="{00000000-0008-0000-0100-0000F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1" name="Text Box 15">
          <a:extLst>
            <a:ext uri="{FF2B5EF4-FFF2-40B4-BE49-F238E27FC236}">
              <a16:creationId xmlns:a16="http://schemas.microsoft.com/office/drawing/2014/main" id="{00000000-0008-0000-0100-0000F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2" name="Text Box 15">
          <a:extLst>
            <a:ext uri="{FF2B5EF4-FFF2-40B4-BE49-F238E27FC236}">
              <a16:creationId xmlns:a16="http://schemas.microsoft.com/office/drawing/2014/main" id="{00000000-0008-0000-0100-0000F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3" name="Text Box 15">
          <a:extLst>
            <a:ext uri="{FF2B5EF4-FFF2-40B4-BE49-F238E27FC236}">
              <a16:creationId xmlns:a16="http://schemas.microsoft.com/office/drawing/2014/main" id="{00000000-0008-0000-0100-0000F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4" name="Text Box 15">
          <a:extLst>
            <a:ext uri="{FF2B5EF4-FFF2-40B4-BE49-F238E27FC236}">
              <a16:creationId xmlns:a16="http://schemas.microsoft.com/office/drawing/2014/main" id="{00000000-0008-0000-0100-0000F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5" name="Text Box 15">
          <a:extLst>
            <a:ext uri="{FF2B5EF4-FFF2-40B4-BE49-F238E27FC236}">
              <a16:creationId xmlns:a16="http://schemas.microsoft.com/office/drawing/2014/main" id="{00000000-0008-0000-0100-0000F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6" name="Text Box 15">
          <a:extLst>
            <a:ext uri="{FF2B5EF4-FFF2-40B4-BE49-F238E27FC236}">
              <a16:creationId xmlns:a16="http://schemas.microsoft.com/office/drawing/2014/main" id="{00000000-0008-0000-0100-0000F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7" name="Text Box 15">
          <a:extLst>
            <a:ext uri="{FF2B5EF4-FFF2-40B4-BE49-F238E27FC236}">
              <a16:creationId xmlns:a16="http://schemas.microsoft.com/office/drawing/2014/main" id="{00000000-0008-0000-0100-0000F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8" name="Text Box 15">
          <a:extLst>
            <a:ext uri="{FF2B5EF4-FFF2-40B4-BE49-F238E27FC236}">
              <a16:creationId xmlns:a16="http://schemas.microsoft.com/office/drawing/2014/main" id="{00000000-0008-0000-0100-0000F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9" name="Text Box 15">
          <a:extLst>
            <a:ext uri="{FF2B5EF4-FFF2-40B4-BE49-F238E27FC236}">
              <a16:creationId xmlns:a16="http://schemas.microsoft.com/office/drawing/2014/main" id="{00000000-0008-0000-0100-0000F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4" name="Text Box 15">
          <a:extLst>
            <a:ext uri="{FF2B5EF4-FFF2-40B4-BE49-F238E27FC236}">
              <a16:creationId xmlns:a16="http://schemas.microsoft.com/office/drawing/2014/main" id="{00000000-0008-0000-0100-00000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5" name="Text Box 15">
          <a:extLst>
            <a:ext uri="{FF2B5EF4-FFF2-40B4-BE49-F238E27FC236}">
              <a16:creationId xmlns:a16="http://schemas.microsoft.com/office/drawing/2014/main" id="{00000000-0008-0000-0100-00000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6" name="Text Box 15">
          <a:extLst>
            <a:ext uri="{FF2B5EF4-FFF2-40B4-BE49-F238E27FC236}">
              <a16:creationId xmlns:a16="http://schemas.microsoft.com/office/drawing/2014/main" id="{00000000-0008-0000-0100-00000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7" name="Text Box 15">
          <a:extLst>
            <a:ext uri="{FF2B5EF4-FFF2-40B4-BE49-F238E27FC236}">
              <a16:creationId xmlns:a16="http://schemas.microsoft.com/office/drawing/2014/main" id="{00000000-0008-0000-0100-00000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8" name="Text Box 15">
          <a:extLst>
            <a:ext uri="{FF2B5EF4-FFF2-40B4-BE49-F238E27FC236}">
              <a16:creationId xmlns:a16="http://schemas.microsoft.com/office/drawing/2014/main" id="{00000000-0008-0000-0100-00000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9" name="Text Box 15">
          <a:extLst>
            <a:ext uri="{FF2B5EF4-FFF2-40B4-BE49-F238E27FC236}">
              <a16:creationId xmlns:a16="http://schemas.microsoft.com/office/drawing/2014/main" id="{00000000-0008-0000-0100-00000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0" name="Text Box 15">
          <a:extLst>
            <a:ext uri="{FF2B5EF4-FFF2-40B4-BE49-F238E27FC236}">
              <a16:creationId xmlns:a16="http://schemas.microsoft.com/office/drawing/2014/main" id="{00000000-0008-0000-0100-00000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1" name="Text Box 15">
          <a:extLst>
            <a:ext uri="{FF2B5EF4-FFF2-40B4-BE49-F238E27FC236}">
              <a16:creationId xmlns:a16="http://schemas.microsoft.com/office/drawing/2014/main" id="{00000000-0008-0000-0100-00000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2" name="Text Box 15">
          <a:extLst>
            <a:ext uri="{FF2B5EF4-FFF2-40B4-BE49-F238E27FC236}">
              <a16:creationId xmlns:a16="http://schemas.microsoft.com/office/drawing/2014/main" id="{00000000-0008-0000-0100-00000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3" name="Text Box 15">
          <a:extLst>
            <a:ext uri="{FF2B5EF4-FFF2-40B4-BE49-F238E27FC236}">
              <a16:creationId xmlns:a16="http://schemas.microsoft.com/office/drawing/2014/main" id="{00000000-0008-0000-0100-00000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4" name="Text Box 15">
          <a:extLst>
            <a:ext uri="{FF2B5EF4-FFF2-40B4-BE49-F238E27FC236}">
              <a16:creationId xmlns:a16="http://schemas.microsoft.com/office/drawing/2014/main" id="{00000000-0008-0000-0100-00000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5" name="Text Box 15">
          <a:extLst>
            <a:ext uri="{FF2B5EF4-FFF2-40B4-BE49-F238E27FC236}">
              <a16:creationId xmlns:a16="http://schemas.microsoft.com/office/drawing/2014/main" id="{00000000-0008-0000-0100-00000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6" name="Text Box 15">
          <a:extLst>
            <a:ext uri="{FF2B5EF4-FFF2-40B4-BE49-F238E27FC236}">
              <a16:creationId xmlns:a16="http://schemas.microsoft.com/office/drawing/2014/main" id="{00000000-0008-0000-0100-00000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7" name="Text Box 15">
          <a:extLst>
            <a:ext uri="{FF2B5EF4-FFF2-40B4-BE49-F238E27FC236}">
              <a16:creationId xmlns:a16="http://schemas.microsoft.com/office/drawing/2014/main" id="{00000000-0008-0000-0100-00000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8" name="Text Box 15">
          <a:extLst>
            <a:ext uri="{FF2B5EF4-FFF2-40B4-BE49-F238E27FC236}">
              <a16:creationId xmlns:a16="http://schemas.microsoft.com/office/drawing/2014/main" id="{00000000-0008-0000-0100-00000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9" name="Text Box 15">
          <a:extLst>
            <a:ext uri="{FF2B5EF4-FFF2-40B4-BE49-F238E27FC236}">
              <a16:creationId xmlns:a16="http://schemas.microsoft.com/office/drawing/2014/main" id="{00000000-0008-0000-0100-00000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0" name="Text Box 15">
          <a:extLst>
            <a:ext uri="{FF2B5EF4-FFF2-40B4-BE49-F238E27FC236}">
              <a16:creationId xmlns:a16="http://schemas.microsoft.com/office/drawing/2014/main" id="{00000000-0008-0000-0100-00001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1" name="Text Box 15">
          <a:extLst>
            <a:ext uri="{FF2B5EF4-FFF2-40B4-BE49-F238E27FC236}">
              <a16:creationId xmlns:a16="http://schemas.microsoft.com/office/drawing/2014/main" id="{00000000-0008-0000-0100-00001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2" name="Text Box 15">
          <a:extLst>
            <a:ext uri="{FF2B5EF4-FFF2-40B4-BE49-F238E27FC236}">
              <a16:creationId xmlns:a16="http://schemas.microsoft.com/office/drawing/2014/main" id="{00000000-0008-0000-0100-00001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3" name="Text Box 15">
          <a:extLst>
            <a:ext uri="{FF2B5EF4-FFF2-40B4-BE49-F238E27FC236}">
              <a16:creationId xmlns:a16="http://schemas.microsoft.com/office/drawing/2014/main" id="{00000000-0008-0000-0100-00001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4" name="Text Box 15">
          <a:extLst>
            <a:ext uri="{FF2B5EF4-FFF2-40B4-BE49-F238E27FC236}">
              <a16:creationId xmlns:a16="http://schemas.microsoft.com/office/drawing/2014/main" id="{00000000-0008-0000-0100-00001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5" name="Text Box 15">
          <a:extLst>
            <a:ext uri="{FF2B5EF4-FFF2-40B4-BE49-F238E27FC236}">
              <a16:creationId xmlns:a16="http://schemas.microsoft.com/office/drawing/2014/main" id="{00000000-0008-0000-0100-00001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6" name="Text Box 15">
          <a:extLst>
            <a:ext uri="{FF2B5EF4-FFF2-40B4-BE49-F238E27FC236}">
              <a16:creationId xmlns:a16="http://schemas.microsoft.com/office/drawing/2014/main" id="{00000000-0008-0000-0100-00001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7" name="Text Box 15">
          <a:extLst>
            <a:ext uri="{FF2B5EF4-FFF2-40B4-BE49-F238E27FC236}">
              <a16:creationId xmlns:a16="http://schemas.microsoft.com/office/drawing/2014/main" id="{00000000-0008-0000-0100-00001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8" name="Text Box 15">
          <a:extLst>
            <a:ext uri="{FF2B5EF4-FFF2-40B4-BE49-F238E27FC236}">
              <a16:creationId xmlns:a16="http://schemas.microsoft.com/office/drawing/2014/main" id="{00000000-0008-0000-0100-00001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9" name="Text Box 15">
          <a:extLst>
            <a:ext uri="{FF2B5EF4-FFF2-40B4-BE49-F238E27FC236}">
              <a16:creationId xmlns:a16="http://schemas.microsoft.com/office/drawing/2014/main" id="{00000000-0008-0000-0100-00001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0" name="Text Box 15">
          <a:extLst>
            <a:ext uri="{FF2B5EF4-FFF2-40B4-BE49-F238E27FC236}">
              <a16:creationId xmlns:a16="http://schemas.microsoft.com/office/drawing/2014/main" id="{00000000-0008-0000-0100-00001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1" name="Text Box 15">
          <a:extLst>
            <a:ext uri="{FF2B5EF4-FFF2-40B4-BE49-F238E27FC236}">
              <a16:creationId xmlns:a16="http://schemas.microsoft.com/office/drawing/2014/main" id="{00000000-0008-0000-0100-00001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2" name="Text Box 15">
          <a:extLst>
            <a:ext uri="{FF2B5EF4-FFF2-40B4-BE49-F238E27FC236}">
              <a16:creationId xmlns:a16="http://schemas.microsoft.com/office/drawing/2014/main" id="{00000000-0008-0000-0100-00001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3" name="Text Box 15">
          <a:extLst>
            <a:ext uri="{FF2B5EF4-FFF2-40B4-BE49-F238E27FC236}">
              <a16:creationId xmlns:a16="http://schemas.microsoft.com/office/drawing/2014/main" id="{00000000-0008-0000-0100-00001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4" name="Text Box 15">
          <a:extLst>
            <a:ext uri="{FF2B5EF4-FFF2-40B4-BE49-F238E27FC236}">
              <a16:creationId xmlns:a16="http://schemas.microsoft.com/office/drawing/2014/main" id="{00000000-0008-0000-0100-00001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5" name="Text Box 15">
          <a:extLst>
            <a:ext uri="{FF2B5EF4-FFF2-40B4-BE49-F238E27FC236}">
              <a16:creationId xmlns:a16="http://schemas.microsoft.com/office/drawing/2014/main" id="{00000000-0008-0000-0100-00001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6" name="Text Box 15">
          <a:extLst>
            <a:ext uri="{FF2B5EF4-FFF2-40B4-BE49-F238E27FC236}">
              <a16:creationId xmlns:a16="http://schemas.microsoft.com/office/drawing/2014/main" id="{00000000-0008-0000-0100-00002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7" name="Text Box 15">
          <a:extLst>
            <a:ext uri="{FF2B5EF4-FFF2-40B4-BE49-F238E27FC236}">
              <a16:creationId xmlns:a16="http://schemas.microsoft.com/office/drawing/2014/main" id="{00000000-0008-0000-0100-00002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8" name="Text Box 15">
          <a:extLst>
            <a:ext uri="{FF2B5EF4-FFF2-40B4-BE49-F238E27FC236}">
              <a16:creationId xmlns:a16="http://schemas.microsoft.com/office/drawing/2014/main" id="{00000000-0008-0000-0100-00002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9" name="Text Box 15">
          <a:extLst>
            <a:ext uri="{FF2B5EF4-FFF2-40B4-BE49-F238E27FC236}">
              <a16:creationId xmlns:a16="http://schemas.microsoft.com/office/drawing/2014/main" id="{00000000-0008-0000-0100-00002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0" name="Text Box 15">
          <a:extLst>
            <a:ext uri="{FF2B5EF4-FFF2-40B4-BE49-F238E27FC236}">
              <a16:creationId xmlns:a16="http://schemas.microsoft.com/office/drawing/2014/main" id="{00000000-0008-0000-0100-00002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1" name="Text Box 15">
          <a:extLst>
            <a:ext uri="{FF2B5EF4-FFF2-40B4-BE49-F238E27FC236}">
              <a16:creationId xmlns:a16="http://schemas.microsoft.com/office/drawing/2014/main" id="{00000000-0008-0000-0100-00002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02" name="Text Box 15">
          <a:extLst>
            <a:ext uri="{FF2B5EF4-FFF2-40B4-BE49-F238E27FC236}">
              <a16:creationId xmlns:a16="http://schemas.microsoft.com/office/drawing/2014/main" id="{00000000-0008-0000-0100-000026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3" name="Text Box 15">
          <a:extLst>
            <a:ext uri="{FF2B5EF4-FFF2-40B4-BE49-F238E27FC236}">
              <a16:creationId xmlns:a16="http://schemas.microsoft.com/office/drawing/2014/main" id="{00000000-0008-0000-0100-00002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4" name="Text Box 15">
          <a:extLst>
            <a:ext uri="{FF2B5EF4-FFF2-40B4-BE49-F238E27FC236}">
              <a16:creationId xmlns:a16="http://schemas.microsoft.com/office/drawing/2014/main" id="{00000000-0008-0000-0100-00002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5" name="Text Box 15">
          <a:extLst>
            <a:ext uri="{FF2B5EF4-FFF2-40B4-BE49-F238E27FC236}">
              <a16:creationId xmlns:a16="http://schemas.microsoft.com/office/drawing/2014/main" id="{00000000-0008-0000-0100-00002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6" name="Text Box 15">
          <a:extLst>
            <a:ext uri="{FF2B5EF4-FFF2-40B4-BE49-F238E27FC236}">
              <a16:creationId xmlns:a16="http://schemas.microsoft.com/office/drawing/2014/main" id="{00000000-0008-0000-0100-00002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07" name="Text Box 15">
          <a:extLst>
            <a:ext uri="{FF2B5EF4-FFF2-40B4-BE49-F238E27FC236}">
              <a16:creationId xmlns:a16="http://schemas.microsoft.com/office/drawing/2014/main" id="{00000000-0008-0000-0100-00002B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8" name="Text Box 15">
          <a:extLst>
            <a:ext uri="{FF2B5EF4-FFF2-40B4-BE49-F238E27FC236}">
              <a16:creationId xmlns:a16="http://schemas.microsoft.com/office/drawing/2014/main" id="{00000000-0008-0000-0100-00002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9" name="Text Box 15">
          <a:extLst>
            <a:ext uri="{FF2B5EF4-FFF2-40B4-BE49-F238E27FC236}">
              <a16:creationId xmlns:a16="http://schemas.microsoft.com/office/drawing/2014/main" id="{00000000-0008-0000-0100-00002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0" name="Text Box 15">
          <a:extLst>
            <a:ext uri="{FF2B5EF4-FFF2-40B4-BE49-F238E27FC236}">
              <a16:creationId xmlns:a16="http://schemas.microsoft.com/office/drawing/2014/main" id="{00000000-0008-0000-0100-00002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1" name="Text Box 15">
          <a:extLst>
            <a:ext uri="{FF2B5EF4-FFF2-40B4-BE49-F238E27FC236}">
              <a16:creationId xmlns:a16="http://schemas.microsoft.com/office/drawing/2014/main" id="{00000000-0008-0000-0100-00002F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2" name="Text Box 15">
          <a:extLst>
            <a:ext uri="{FF2B5EF4-FFF2-40B4-BE49-F238E27FC236}">
              <a16:creationId xmlns:a16="http://schemas.microsoft.com/office/drawing/2014/main" id="{00000000-0008-0000-0100-000030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3" name="Text Box 15">
          <a:extLst>
            <a:ext uri="{FF2B5EF4-FFF2-40B4-BE49-F238E27FC236}">
              <a16:creationId xmlns:a16="http://schemas.microsoft.com/office/drawing/2014/main" id="{00000000-0008-0000-0100-00003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4" name="Text Box 15">
          <a:extLst>
            <a:ext uri="{FF2B5EF4-FFF2-40B4-BE49-F238E27FC236}">
              <a16:creationId xmlns:a16="http://schemas.microsoft.com/office/drawing/2014/main" id="{00000000-0008-0000-0100-00003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5" name="Text Box 15">
          <a:extLst>
            <a:ext uri="{FF2B5EF4-FFF2-40B4-BE49-F238E27FC236}">
              <a16:creationId xmlns:a16="http://schemas.microsoft.com/office/drawing/2014/main" id="{00000000-0008-0000-0100-000033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6" name="Text Box 15">
          <a:extLst>
            <a:ext uri="{FF2B5EF4-FFF2-40B4-BE49-F238E27FC236}">
              <a16:creationId xmlns:a16="http://schemas.microsoft.com/office/drawing/2014/main" id="{00000000-0008-0000-0100-00003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7" name="Text Box 15">
          <a:extLst>
            <a:ext uri="{FF2B5EF4-FFF2-40B4-BE49-F238E27FC236}">
              <a16:creationId xmlns:a16="http://schemas.microsoft.com/office/drawing/2014/main" id="{00000000-0008-0000-0100-00003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8" name="Text Box 15">
          <a:extLst>
            <a:ext uri="{FF2B5EF4-FFF2-40B4-BE49-F238E27FC236}">
              <a16:creationId xmlns:a16="http://schemas.microsoft.com/office/drawing/2014/main" id="{00000000-0008-0000-0100-00003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9" name="Text Box 15">
          <a:extLst>
            <a:ext uri="{FF2B5EF4-FFF2-40B4-BE49-F238E27FC236}">
              <a16:creationId xmlns:a16="http://schemas.microsoft.com/office/drawing/2014/main" id="{00000000-0008-0000-0100-00003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20" name="Text Box 15">
          <a:extLst>
            <a:ext uri="{FF2B5EF4-FFF2-40B4-BE49-F238E27FC236}">
              <a16:creationId xmlns:a16="http://schemas.microsoft.com/office/drawing/2014/main" id="{00000000-0008-0000-0100-000038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1" name="Text Box 15">
          <a:extLst>
            <a:ext uri="{FF2B5EF4-FFF2-40B4-BE49-F238E27FC236}">
              <a16:creationId xmlns:a16="http://schemas.microsoft.com/office/drawing/2014/main" id="{00000000-0008-0000-0100-00003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2" name="Text Box 15">
          <a:extLst>
            <a:ext uri="{FF2B5EF4-FFF2-40B4-BE49-F238E27FC236}">
              <a16:creationId xmlns:a16="http://schemas.microsoft.com/office/drawing/2014/main" id="{00000000-0008-0000-0100-00003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3" name="Text Box 15">
          <a:extLst>
            <a:ext uri="{FF2B5EF4-FFF2-40B4-BE49-F238E27FC236}">
              <a16:creationId xmlns:a16="http://schemas.microsoft.com/office/drawing/2014/main" id="{00000000-0008-0000-0100-00003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4" name="Text Box 15">
          <a:extLst>
            <a:ext uri="{FF2B5EF4-FFF2-40B4-BE49-F238E27FC236}">
              <a16:creationId xmlns:a16="http://schemas.microsoft.com/office/drawing/2014/main" id="{00000000-0008-0000-0100-00003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5" name="Text Box 15">
          <a:extLst>
            <a:ext uri="{FF2B5EF4-FFF2-40B4-BE49-F238E27FC236}">
              <a16:creationId xmlns:a16="http://schemas.microsoft.com/office/drawing/2014/main" id="{00000000-0008-0000-0100-00003D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6" name="Text Box 15">
          <a:extLst>
            <a:ext uri="{FF2B5EF4-FFF2-40B4-BE49-F238E27FC236}">
              <a16:creationId xmlns:a16="http://schemas.microsoft.com/office/drawing/2014/main" id="{00000000-0008-0000-0100-00003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7" name="Text Box 15">
          <a:extLst>
            <a:ext uri="{FF2B5EF4-FFF2-40B4-BE49-F238E27FC236}">
              <a16:creationId xmlns:a16="http://schemas.microsoft.com/office/drawing/2014/main" id="{00000000-0008-0000-0100-00003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28" name="Text Box 15">
          <a:extLst>
            <a:ext uri="{FF2B5EF4-FFF2-40B4-BE49-F238E27FC236}">
              <a16:creationId xmlns:a16="http://schemas.microsoft.com/office/drawing/2014/main" id="{00000000-0008-0000-0100-000040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29" name="Text Box 15">
          <a:extLst>
            <a:ext uri="{FF2B5EF4-FFF2-40B4-BE49-F238E27FC236}">
              <a16:creationId xmlns:a16="http://schemas.microsoft.com/office/drawing/2014/main" id="{00000000-0008-0000-0100-00004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0" name="Text Box 15">
          <a:extLst>
            <a:ext uri="{FF2B5EF4-FFF2-40B4-BE49-F238E27FC236}">
              <a16:creationId xmlns:a16="http://schemas.microsoft.com/office/drawing/2014/main" id="{00000000-0008-0000-0100-00004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1" name="Text Box 15">
          <a:extLst>
            <a:ext uri="{FF2B5EF4-FFF2-40B4-BE49-F238E27FC236}">
              <a16:creationId xmlns:a16="http://schemas.microsoft.com/office/drawing/2014/main" id="{00000000-0008-0000-0100-00004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2" name="Text Box 15">
          <a:extLst>
            <a:ext uri="{FF2B5EF4-FFF2-40B4-BE49-F238E27FC236}">
              <a16:creationId xmlns:a16="http://schemas.microsoft.com/office/drawing/2014/main" id="{00000000-0008-0000-0100-00004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3" name="Text Box 15">
          <a:extLst>
            <a:ext uri="{FF2B5EF4-FFF2-40B4-BE49-F238E27FC236}">
              <a16:creationId xmlns:a16="http://schemas.microsoft.com/office/drawing/2014/main" id="{00000000-0008-0000-0100-00004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4" name="Text Box 15">
          <a:extLst>
            <a:ext uri="{FF2B5EF4-FFF2-40B4-BE49-F238E27FC236}">
              <a16:creationId xmlns:a16="http://schemas.microsoft.com/office/drawing/2014/main" id="{00000000-0008-0000-0100-00004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5" name="Text Box 15">
          <a:extLst>
            <a:ext uri="{FF2B5EF4-FFF2-40B4-BE49-F238E27FC236}">
              <a16:creationId xmlns:a16="http://schemas.microsoft.com/office/drawing/2014/main" id="{00000000-0008-0000-0100-00004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6" name="Text Box 15">
          <a:extLst>
            <a:ext uri="{FF2B5EF4-FFF2-40B4-BE49-F238E27FC236}">
              <a16:creationId xmlns:a16="http://schemas.microsoft.com/office/drawing/2014/main" id="{00000000-0008-0000-0100-00004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7" name="Text Box 15">
          <a:extLst>
            <a:ext uri="{FF2B5EF4-FFF2-40B4-BE49-F238E27FC236}">
              <a16:creationId xmlns:a16="http://schemas.microsoft.com/office/drawing/2014/main" id="{00000000-0008-0000-0100-00004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8" name="Text Box 15">
          <a:extLst>
            <a:ext uri="{FF2B5EF4-FFF2-40B4-BE49-F238E27FC236}">
              <a16:creationId xmlns:a16="http://schemas.microsoft.com/office/drawing/2014/main" id="{00000000-0008-0000-0100-00004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9" name="Text Box 15">
          <a:extLst>
            <a:ext uri="{FF2B5EF4-FFF2-40B4-BE49-F238E27FC236}">
              <a16:creationId xmlns:a16="http://schemas.microsoft.com/office/drawing/2014/main" id="{00000000-0008-0000-0100-00004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0" name="Text Box 15">
          <a:extLst>
            <a:ext uri="{FF2B5EF4-FFF2-40B4-BE49-F238E27FC236}">
              <a16:creationId xmlns:a16="http://schemas.microsoft.com/office/drawing/2014/main" id="{00000000-0008-0000-0100-00004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1" name="Text Box 15">
          <a:extLst>
            <a:ext uri="{FF2B5EF4-FFF2-40B4-BE49-F238E27FC236}">
              <a16:creationId xmlns:a16="http://schemas.microsoft.com/office/drawing/2014/main" id="{00000000-0008-0000-0100-00004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2" name="Text Box 15">
          <a:extLst>
            <a:ext uri="{FF2B5EF4-FFF2-40B4-BE49-F238E27FC236}">
              <a16:creationId xmlns:a16="http://schemas.microsoft.com/office/drawing/2014/main" id="{00000000-0008-0000-0100-00004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3" name="Text Box 15">
          <a:extLst>
            <a:ext uri="{FF2B5EF4-FFF2-40B4-BE49-F238E27FC236}">
              <a16:creationId xmlns:a16="http://schemas.microsoft.com/office/drawing/2014/main" id="{00000000-0008-0000-0100-00004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4" name="Text Box 15">
          <a:extLst>
            <a:ext uri="{FF2B5EF4-FFF2-40B4-BE49-F238E27FC236}">
              <a16:creationId xmlns:a16="http://schemas.microsoft.com/office/drawing/2014/main" id="{00000000-0008-0000-0100-00005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5" name="Text Box 15">
          <a:extLst>
            <a:ext uri="{FF2B5EF4-FFF2-40B4-BE49-F238E27FC236}">
              <a16:creationId xmlns:a16="http://schemas.microsoft.com/office/drawing/2014/main" id="{00000000-0008-0000-0100-00005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6" name="Text Box 15">
          <a:extLst>
            <a:ext uri="{FF2B5EF4-FFF2-40B4-BE49-F238E27FC236}">
              <a16:creationId xmlns:a16="http://schemas.microsoft.com/office/drawing/2014/main" id="{00000000-0008-0000-0100-00005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7" name="Text Box 15">
          <a:extLst>
            <a:ext uri="{FF2B5EF4-FFF2-40B4-BE49-F238E27FC236}">
              <a16:creationId xmlns:a16="http://schemas.microsoft.com/office/drawing/2014/main" id="{00000000-0008-0000-0100-00005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8" name="Text Box 15">
          <a:extLst>
            <a:ext uri="{FF2B5EF4-FFF2-40B4-BE49-F238E27FC236}">
              <a16:creationId xmlns:a16="http://schemas.microsoft.com/office/drawing/2014/main" id="{00000000-0008-0000-0100-00005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9" name="Text Box 15">
          <a:extLst>
            <a:ext uri="{FF2B5EF4-FFF2-40B4-BE49-F238E27FC236}">
              <a16:creationId xmlns:a16="http://schemas.microsoft.com/office/drawing/2014/main" id="{00000000-0008-0000-0100-00005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0" name="Text Box 15">
          <a:extLst>
            <a:ext uri="{FF2B5EF4-FFF2-40B4-BE49-F238E27FC236}">
              <a16:creationId xmlns:a16="http://schemas.microsoft.com/office/drawing/2014/main" id="{00000000-0008-0000-0100-00005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1" name="Text Box 15">
          <a:extLst>
            <a:ext uri="{FF2B5EF4-FFF2-40B4-BE49-F238E27FC236}">
              <a16:creationId xmlns:a16="http://schemas.microsoft.com/office/drawing/2014/main" id="{00000000-0008-0000-0100-00005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2" name="Text Box 15">
          <a:extLst>
            <a:ext uri="{FF2B5EF4-FFF2-40B4-BE49-F238E27FC236}">
              <a16:creationId xmlns:a16="http://schemas.microsoft.com/office/drawing/2014/main" id="{00000000-0008-0000-0100-00005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53" name="Text Box 15">
          <a:extLst>
            <a:ext uri="{FF2B5EF4-FFF2-40B4-BE49-F238E27FC236}">
              <a16:creationId xmlns:a16="http://schemas.microsoft.com/office/drawing/2014/main" id="{00000000-0008-0000-0100-000059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4" name="Text Box 15">
          <a:extLst>
            <a:ext uri="{FF2B5EF4-FFF2-40B4-BE49-F238E27FC236}">
              <a16:creationId xmlns:a16="http://schemas.microsoft.com/office/drawing/2014/main" id="{00000000-0008-0000-0100-00005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5" name="Text Box 15">
          <a:extLst>
            <a:ext uri="{FF2B5EF4-FFF2-40B4-BE49-F238E27FC236}">
              <a16:creationId xmlns:a16="http://schemas.microsoft.com/office/drawing/2014/main" id="{00000000-0008-0000-0100-00005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6" name="Text Box 15">
          <a:extLst>
            <a:ext uri="{FF2B5EF4-FFF2-40B4-BE49-F238E27FC236}">
              <a16:creationId xmlns:a16="http://schemas.microsoft.com/office/drawing/2014/main" id="{00000000-0008-0000-0100-00005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7" name="Text Box 15">
          <a:extLst>
            <a:ext uri="{FF2B5EF4-FFF2-40B4-BE49-F238E27FC236}">
              <a16:creationId xmlns:a16="http://schemas.microsoft.com/office/drawing/2014/main" id="{00000000-0008-0000-0100-00005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8" name="Text Box 15">
          <a:extLst>
            <a:ext uri="{FF2B5EF4-FFF2-40B4-BE49-F238E27FC236}">
              <a16:creationId xmlns:a16="http://schemas.microsoft.com/office/drawing/2014/main" id="{00000000-0008-0000-0100-00005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9" name="Text Box 15">
          <a:extLst>
            <a:ext uri="{FF2B5EF4-FFF2-40B4-BE49-F238E27FC236}">
              <a16:creationId xmlns:a16="http://schemas.microsoft.com/office/drawing/2014/main" id="{00000000-0008-0000-0100-00005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0" name="Text Box 15">
          <a:extLst>
            <a:ext uri="{FF2B5EF4-FFF2-40B4-BE49-F238E27FC236}">
              <a16:creationId xmlns:a16="http://schemas.microsoft.com/office/drawing/2014/main" id="{00000000-0008-0000-0100-00006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1" name="Text Box 15">
          <a:extLst>
            <a:ext uri="{FF2B5EF4-FFF2-40B4-BE49-F238E27FC236}">
              <a16:creationId xmlns:a16="http://schemas.microsoft.com/office/drawing/2014/main" id="{00000000-0008-0000-0100-00006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2" name="Text Box 15">
          <a:extLst>
            <a:ext uri="{FF2B5EF4-FFF2-40B4-BE49-F238E27FC236}">
              <a16:creationId xmlns:a16="http://schemas.microsoft.com/office/drawing/2014/main" id="{00000000-0008-0000-0100-00006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3" name="Text Box 15">
          <a:extLst>
            <a:ext uri="{FF2B5EF4-FFF2-40B4-BE49-F238E27FC236}">
              <a16:creationId xmlns:a16="http://schemas.microsoft.com/office/drawing/2014/main" id="{00000000-0008-0000-0100-00006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4" name="Text Box 15">
          <a:extLst>
            <a:ext uri="{FF2B5EF4-FFF2-40B4-BE49-F238E27FC236}">
              <a16:creationId xmlns:a16="http://schemas.microsoft.com/office/drawing/2014/main" id="{00000000-0008-0000-0100-00006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5" name="Text Box 15">
          <a:extLst>
            <a:ext uri="{FF2B5EF4-FFF2-40B4-BE49-F238E27FC236}">
              <a16:creationId xmlns:a16="http://schemas.microsoft.com/office/drawing/2014/main" id="{00000000-0008-0000-0100-00006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6" name="Text Box 15">
          <a:extLst>
            <a:ext uri="{FF2B5EF4-FFF2-40B4-BE49-F238E27FC236}">
              <a16:creationId xmlns:a16="http://schemas.microsoft.com/office/drawing/2014/main" id="{00000000-0008-0000-0100-00006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7" name="Text Box 15">
          <a:extLst>
            <a:ext uri="{FF2B5EF4-FFF2-40B4-BE49-F238E27FC236}">
              <a16:creationId xmlns:a16="http://schemas.microsoft.com/office/drawing/2014/main" id="{00000000-0008-0000-0100-00006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8" name="Text Box 15">
          <a:extLst>
            <a:ext uri="{FF2B5EF4-FFF2-40B4-BE49-F238E27FC236}">
              <a16:creationId xmlns:a16="http://schemas.microsoft.com/office/drawing/2014/main" id="{00000000-0008-0000-0100-00006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9" name="Text Box 15">
          <a:extLst>
            <a:ext uri="{FF2B5EF4-FFF2-40B4-BE49-F238E27FC236}">
              <a16:creationId xmlns:a16="http://schemas.microsoft.com/office/drawing/2014/main" id="{00000000-0008-0000-0100-00006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0" name="Text Box 15">
          <a:extLst>
            <a:ext uri="{FF2B5EF4-FFF2-40B4-BE49-F238E27FC236}">
              <a16:creationId xmlns:a16="http://schemas.microsoft.com/office/drawing/2014/main" id="{00000000-0008-0000-0100-00006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1" name="Text Box 15">
          <a:extLst>
            <a:ext uri="{FF2B5EF4-FFF2-40B4-BE49-F238E27FC236}">
              <a16:creationId xmlns:a16="http://schemas.microsoft.com/office/drawing/2014/main" id="{00000000-0008-0000-0100-00006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2" name="Text Box 15">
          <a:extLst>
            <a:ext uri="{FF2B5EF4-FFF2-40B4-BE49-F238E27FC236}">
              <a16:creationId xmlns:a16="http://schemas.microsoft.com/office/drawing/2014/main" id="{00000000-0008-0000-0100-00006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3" name="Text Box 15">
          <a:extLst>
            <a:ext uri="{FF2B5EF4-FFF2-40B4-BE49-F238E27FC236}">
              <a16:creationId xmlns:a16="http://schemas.microsoft.com/office/drawing/2014/main" id="{00000000-0008-0000-0100-00006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4" name="Text Box 15">
          <a:extLst>
            <a:ext uri="{FF2B5EF4-FFF2-40B4-BE49-F238E27FC236}">
              <a16:creationId xmlns:a16="http://schemas.microsoft.com/office/drawing/2014/main" id="{00000000-0008-0000-0100-00006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5" name="Text Box 15">
          <a:extLst>
            <a:ext uri="{FF2B5EF4-FFF2-40B4-BE49-F238E27FC236}">
              <a16:creationId xmlns:a16="http://schemas.microsoft.com/office/drawing/2014/main" id="{00000000-0008-0000-0100-00006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6" name="Text Box 15">
          <a:extLst>
            <a:ext uri="{FF2B5EF4-FFF2-40B4-BE49-F238E27FC236}">
              <a16:creationId xmlns:a16="http://schemas.microsoft.com/office/drawing/2014/main" id="{00000000-0008-0000-0100-00007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7" name="Text Box 15">
          <a:extLst>
            <a:ext uri="{FF2B5EF4-FFF2-40B4-BE49-F238E27FC236}">
              <a16:creationId xmlns:a16="http://schemas.microsoft.com/office/drawing/2014/main" id="{00000000-0008-0000-0100-00007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8" name="Text Box 15">
          <a:extLst>
            <a:ext uri="{FF2B5EF4-FFF2-40B4-BE49-F238E27FC236}">
              <a16:creationId xmlns:a16="http://schemas.microsoft.com/office/drawing/2014/main" id="{00000000-0008-0000-0100-00007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9" name="Text Box 15">
          <a:extLst>
            <a:ext uri="{FF2B5EF4-FFF2-40B4-BE49-F238E27FC236}">
              <a16:creationId xmlns:a16="http://schemas.microsoft.com/office/drawing/2014/main" id="{00000000-0008-0000-0100-00007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0" name="Text Box 15">
          <a:extLst>
            <a:ext uri="{FF2B5EF4-FFF2-40B4-BE49-F238E27FC236}">
              <a16:creationId xmlns:a16="http://schemas.microsoft.com/office/drawing/2014/main" id="{00000000-0008-0000-0100-00007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1" name="Text Box 15">
          <a:extLst>
            <a:ext uri="{FF2B5EF4-FFF2-40B4-BE49-F238E27FC236}">
              <a16:creationId xmlns:a16="http://schemas.microsoft.com/office/drawing/2014/main" id="{00000000-0008-0000-0100-00007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2" name="Text Box 15">
          <a:extLst>
            <a:ext uri="{FF2B5EF4-FFF2-40B4-BE49-F238E27FC236}">
              <a16:creationId xmlns:a16="http://schemas.microsoft.com/office/drawing/2014/main" id="{00000000-0008-0000-0100-00007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3" name="Text Box 15">
          <a:extLst>
            <a:ext uri="{FF2B5EF4-FFF2-40B4-BE49-F238E27FC236}">
              <a16:creationId xmlns:a16="http://schemas.microsoft.com/office/drawing/2014/main" id="{00000000-0008-0000-0100-00007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4" name="Text Box 15">
          <a:extLst>
            <a:ext uri="{FF2B5EF4-FFF2-40B4-BE49-F238E27FC236}">
              <a16:creationId xmlns:a16="http://schemas.microsoft.com/office/drawing/2014/main" id="{00000000-0008-0000-0100-00007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5" name="Text Box 15">
          <a:extLst>
            <a:ext uri="{FF2B5EF4-FFF2-40B4-BE49-F238E27FC236}">
              <a16:creationId xmlns:a16="http://schemas.microsoft.com/office/drawing/2014/main" id="{00000000-0008-0000-0100-00007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6" name="Text Box 15">
          <a:extLst>
            <a:ext uri="{FF2B5EF4-FFF2-40B4-BE49-F238E27FC236}">
              <a16:creationId xmlns:a16="http://schemas.microsoft.com/office/drawing/2014/main" id="{00000000-0008-0000-0100-00007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7" name="Text Box 15">
          <a:extLst>
            <a:ext uri="{FF2B5EF4-FFF2-40B4-BE49-F238E27FC236}">
              <a16:creationId xmlns:a16="http://schemas.microsoft.com/office/drawing/2014/main" id="{00000000-0008-0000-0100-00007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8" name="Text Box 15">
          <a:extLst>
            <a:ext uri="{FF2B5EF4-FFF2-40B4-BE49-F238E27FC236}">
              <a16:creationId xmlns:a16="http://schemas.microsoft.com/office/drawing/2014/main" id="{00000000-0008-0000-0100-00007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9" name="Text Box 15">
          <a:extLst>
            <a:ext uri="{FF2B5EF4-FFF2-40B4-BE49-F238E27FC236}">
              <a16:creationId xmlns:a16="http://schemas.microsoft.com/office/drawing/2014/main" id="{00000000-0008-0000-0100-00007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0" name="Text Box 15">
          <a:extLst>
            <a:ext uri="{FF2B5EF4-FFF2-40B4-BE49-F238E27FC236}">
              <a16:creationId xmlns:a16="http://schemas.microsoft.com/office/drawing/2014/main" id="{00000000-0008-0000-0100-00007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1" name="Text Box 15">
          <a:extLst>
            <a:ext uri="{FF2B5EF4-FFF2-40B4-BE49-F238E27FC236}">
              <a16:creationId xmlns:a16="http://schemas.microsoft.com/office/drawing/2014/main" id="{00000000-0008-0000-0100-00007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2" name="Text Box 15">
          <a:extLst>
            <a:ext uri="{FF2B5EF4-FFF2-40B4-BE49-F238E27FC236}">
              <a16:creationId xmlns:a16="http://schemas.microsoft.com/office/drawing/2014/main" id="{00000000-0008-0000-0100-00008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3" name="Text Box 15">
          <a:extLst>
            <a:ext uri="{FF2B5EF4-FFF2-40B4-BE49-F238E27FC236}">
              <a16:creationId xmlns:a16="http://schemas.microsoft.com/office/drawing/2014/main" id="{00000000-0008-0000-0100-00008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4" name="Text Box 15">
          <a:extLst>
            <a:ext uri="{FF2B5EF4-FFF2-40B4-BE49-F238E27FC236}">
              <a16:creationId xmlns:a16="http://schemas.microsoft.com/office/drawing/2014/main" id="{00000000-0008-0000-0100-00008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5" name="Text Box 15">
          <a:extLst>
            <a:ext uri="{FF2B5EF4-FFF2-40B4-BE49-F238E27FC236}">
              <a16:creationId xmlns:a16="http://schemas.microsoft.com/office/drawing/2014/main" id="{00000000-0008-0000-0100-00008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6" name="Text Box 15">
          <a:extLst>
            <a:ext uri="{FF2B5EF4-FFF2-40B4-BE49-F238E27FC236}">
              <a16:creationId xmlns:a16="http://schemas.microsoft.com/office/drawing/2014/main" id="{00000000-0008-0000-0100-00008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7" name="Text Box 15">
          <a:extLst>
            <a:ext uri="{FF2B5EF4-FFF2-40B4-BE49-F238E27FC236}">
              <a16:creationId xmlns:a16="http://schemas.microsoft.com/office/drawing/2014/main" id="{00000000-0008-0000-0100-00008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8" name="Text Box 15">
          <a:extLst>
            <a:ext uri="{FF2B5EF4-FFF2-40B4-BE49-F238E27FC236}">
              <a16:creationId xmlns:a16="http://schemas.microsoft.com/office/drawing/2014/main" id="{00000000-0008-0000-0100-00008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9" name="Text Box 15">
          <a:extLst>
            <a:ext uri="{FF2B5EF4-FFF2-40B4-BE49-F238E27FC236}">
              <a16:creationId xmlns:a16="http://schemas.microsoft.com/office/drawing/2014/main" id="{00000000-0008-0000-0100-00008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0" name="Text Box 15">
          <a:extLst>
            <a:ext uri="{FF2B5EF4-FFF2-40B4-BE49-F238E27FC236}">
              <a16:creationId xmlns:a16="http://schemas.microsoft.com/office/drawing/2014/main" id="{00000000-0008-0000-0100-00008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1" name="Text Box 15">
          <a:extLst>
            <a:ext uri="{FF2B5EF4-FFF2-40B4-BE49-F238E27FC236}">
              <a16:creationId xmlns:a16="http://schemas.microsoft.com/office/drawing/2014/main" id="{00000000-0008-0000-0100-00008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2" name="Text Box 15">
          <a:extLst>
            <a:ext uri="{FF2B5EF4-FFF2-40B4-BE49-F238E27FC236}">
              <a16:creationId xmlns:a16="http://schemas.microsoft.com/office/drawing/2014/main" id="{00000000-0008-0000-0100-00008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3" name="Text Box 15">
          <a:extLst>
            <a:ext uri="{FF2B5EF4-FFF2-40B4-BE49-F238E27FC236}">
              <a16:creationId xmlns:a16="http://schemas.microsoft.com/office/drawing/2014/main" id="{00000000-0008-0000-0100-00008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4" name="Text Box 15">
          <a:extLst>
            <a:ext uri="{FF2B5EF4-FFF2-40B4-BE49-F238E27FC236}">
              <a16:creationId xmlns:a16="http://schemas.microsoft.com/office/drawing/2014/main" id="{00000000-0008-0000-0100-00008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5" name="Text Box 15">
          <a:extLst>
            <a:ext uri="{FF2B5EF4-FFF2-40B4-BE49-F238E27FC236}">
              <a16:creationId xmlns:a16="http://schemas.microsoft.com/office/drawing/2014/main" id="{00000000-0008-0000-0100-00008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6" name="Text Box 15">
          <a:extLst>
            <a:ext uri="{FF2B5EF4-FFF2-40B4-BE49-F238E27FC236}">
              <a16:creationId xmlns:a16="http://schemas.microsoft.com/office/drawing/2014/main" id="{00000000-0008-0000-0100-00008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7" name="Text Box 15">
          <a:extLst>
            <a:ext uri="{FF2B5EF4-FFF2-40B4-BE49-F238E27FC236}">
              <a16:creationId xmlns:a16="http://schemas.microsoft.com/office/drawing/2014/main" id="{00000000-0008-0000-0100-00008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8" name="Text Box 15">
          <a:extLst>
            <a:ext uri="{FF2B5EF4-FFF2-40B4-BE49-F238E27FC236}">
              <a16:creationId xmlns:a16="http://schemas.microsoft.com/office/drawing/2014/main" id="{00000000-0008-0000-0100-00009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9" name="Text Box 15">
          <a:extLst>
            <a:ext uri="{FF2B5EF4-FFF2-40B4-BE49-F238E27FC236}">
              <a16:creationId xmlns:a16="http://schemas.microsoft.com/office/drawing/2014/main" id="{00000000-0008-0000-0100-00009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0" name="Text Box 15">
          <a:extLst>
            <a:ext uri="{FF2B5EF4-FFF2-40B4-BE49-F238E27FC236}">
              <a16:creationId xmlns:a16="http://schemas.microsoft.com/office/drawing/2014/main" id="{00000000-0008-0000-0100-00009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1" name="Text Box 15">
          <a:extLst>
            <a:ext uri="{FF2B5EF4-FFF2-40B4-BE49-F238E27FC236}">
              <a16:creationId xmlns:a16="http://schemas.microsoft.com/office/drawing/2014/main" id="{00000000-0008-0000-0100-00009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2" name="Text Box 15">
          <a:extLst>
            <a:ext uri="{FF2B5EF4-FFF2-40B4-BE49-F238E27FC236}">
              <a16:creationId xmlns:a16="http://schemas.microsoft.com/office/drawing/2014/main" id="{00000000-0008-0000-0100-00009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3" name="Text Box 15">
          <a:extLst>
            <a:ext uri="{FF2B5EF4-FFF2-40B4-BE49-F238E27FC236}">
              <a16:creationId xmlns:a16="http://schemas.microsoft.com/office/drawing/2014/main" id="{00000000-0008-0000-0100-00009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4" name="Text Box 15">
          <a:extLst>
            <a:ext uri="{FF2B5EF4-FFF2-40B4-BE49-F238E27FC236}">
              <a16:creationId xmlns:a16="http://schemas.microsoft.com/office/drawing/2014/main" id="{00000000-0008-0000-0100-00009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5" name="Text Box 15">
          <a:extLst>
            <a:ext uri="{FF2B5EF4-FFF2-40B4-BE49-F238E27FC236}">
              <a16:creationId xmlns:a16="http://schemas.microsoft.com/office/drawing/2014/main" id="{00000000-0008-0000-0100-00009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6" name="Text Box 15">
          <a:extLst>
            <a:ext uri="{FF2B5EF4-FFF2-40B4-BE49-F238E27FC236}">
              <a16:creationId xmlns:a16="http://schemas.microsoft.com/office/drawing/2014/main" id="{00000000-0008-0000-0100-00009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7" name="Text Box 15">
          <a:extLst>
            <a:ext uri="{FF2B5EF4-FFF2-40B4-BE49-F238E27FC236}">
              <a16:creationId xmlns:a16="http://schemas.microsoft.com/office/drawing/2014/main" id="{00000000-0008-0000-0100-00009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8" name="Text Box 15">
          <a:extLst>
            <a:ext uri="{FF2B5EF4-FFF2-40B4-BE49-F238E27FC236}">
              <a16:creationId xmlns:a16="http://schemas.microsoft.com/office/drawing/2014/main" id="{00000000-0008-0000-0100-00009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9" name="Text Box 15">
          <a:extLst>
            <a:ext uri="{FF2B5EF4-FFF2-40B4-BE49-F238E27FC236}">
              <a16:creationId xmlns:a16="http://schemas.microsoft.com/office/drawing/2014/main" id="{00000000-0008-0000-0100-00009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0" name="Text Box 15">
          <a:extLst>
            <a:ext uri="{FF2B5EF4-FFF2-40B4-BE49-F238E27FC236}">
              <a16:creationId xmlns:a16="http://schemas.microsoft.com/office/drawing/2014/main" id="{00000000-0008-0000-0100-00009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1" name="Text Box 15">
          <a:extLst>
            <a:ext uri="{FF2B5EF4-FFF2-40B4-BE49-F238E27FC236}">
              <a16:creationId xmlns:a16="http://schemas.microsoft.com/office/drawing/2014/main" id="{00000000-0008-0000-0100-00009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2" name="Text Box 15">
          <a:extLst>
            <a:ext uri="{FF2B5EF4-FFF2-40B4-BE49-F238E27FC236}">
              <a16:creationId xmlns:a16="http://schemas.microsoft.com/office/drawing/2014/main" id="{00000000-0008-0000-0100-00009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3" name="Text Box 15">
          <a:extLst>
            <a:ext uri="{FF2B5EF4-FFF2-40B4-BE49-F238E27FC236}">
              <a16:creationId xmlns:a16="http://schemas.microsoft.com/office/drawing/2014/main" id="{00000000-0008-0000-0100-00009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4" name="Text Box 15">
          <a:extLst>
            <a:ext uri="{FF2B5EF4-FFF2-40B4-BE49-F238E27FC236}">
              <a16:creationId xmlns:a16="http://schemas.microsoft.com/office/drawing/2014/main" id="{00000000-0008-0000-0100-0000A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5" name="Text Box 15">
          <a:extLst>
            <a:ext uri="{FF2B5EF4-FFF2-40B4-BE49-F238E27FC236}">
              <a16:creationId xmlns:a16="http://schemas.microsoft.com/office/drawing/2014/main" id="{00000000-0008-0000-0100-0000A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26" name="Text Box 15">
          <a:extLst>
            <a:ext uri="{FF2B5EF4-FFF2-40B4-BE49-F238E27FC236}">
              <a16:creationId xmlns:a16="http://schemas.microsoft.com/office/drawing/2014/main" id="{00000000-0008-0000-0100-0000A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7" name="Text Box 15">
          <a:extLst>
            <a:ext uri="{FF2B5EF4-FFF2-40B4-BE49-F238E27FC236}">
              <a16:creationId xmlns:a16="http://schemas.microsoft.com/office/drawing/2014/main" id="{00000000-0008-0000-0100-0000A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8" name="Text Box 15">
          <a:extLst>
            <a:ext uri="{FF2B5EF4-FFF2-40B4-BE49-F238E27FC236}">
              <a16:creationId xmlns:a16="http://schemas.microsoft.com/office/drawing/2014/main" id="{00000000-0008-0000-0100-0000A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9" name="Text Box 15">
          <a:extLst>
            <a:ext uri="{FF2B5EF4-FFF2-40B4-BE49-F238E27FC236}">
              <a16:creationId xmlns:a16="http://schemas.microsoft.com/office/drawing/2014/main" id="{00000000-0008-0000-0100-0000A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0" name="Text Box 15">
          <a:extLst>
            <a:ext uri="{FF2B5EF4-FFF2-40B4-BE49-F238E27FC236}">
              <a16:creationId xmlns:a16="http://schemas.microsoft.com/office/drawing/2014/main" id="{00000000-0008-0000-0100-0000A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31" name="Text Box 15">
          <a:extLst>
            <a:ext uri="{FF2B5EF4-FFF2-40B4-BE49-F238E27FC236}">
              <a16:creationId xmlns:a16="http://schemas.microsoft.com/office/drawing/2014/main" id="{00000000-0008-0000-0100-0000A7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2" name="Text Box 15">
          <a:extLst>
            <a:ext uri="{FF2B5EF4-FFF2-40B4-BE49-F238E27FC236}">
              <a16:creationId xmlns:a16="http://schemas.microsoft.com/office/drawing/2014/main" id="{00000000-0008-0000-0100-0000A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3" name="Text Box 15">
          <a:extLst>
            <a:ext uri="{FF2B5EF4-FFF2-40B4-BE49-F238E27FC236}">
              <a16:creationId xmlns:a16="http://schemas.microsoft.com/office/drawing/2014/main" id="{00000000-0008-0000-0100-0000A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4" name="Text Box 15">
          <a:extLst>
            <a:ext uri="{FF2B5EF4-FFF2-40B4-BE49-F238E27FC236}">
              <a16:creationId xmlns:a16="http://schemas.microsoft.com/office/drawing/2014/main" id="{00000000-0008-0000-0100-0000A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5" name="Text Box 15">
          <a:extLst>
            <a:ext uri="{FF2B5EF4-FFF2-40B4-BE49-F238E27FC236}">
              <a16:creationId xmlns:a16="http://schemas.microsoft.com/office/drawing/2014/main" id="{00000000-0008-0000-0100-0000A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6" name="Text Box 15">
          <a:extLst>
            <a:ext uri="{FF2B5EF4-FFF2-40B4-BE49-F238E27FC236}">
              <a16:creationId xmlns:a16="http://schemas.microsoft.com/office/drawing/2014/main" id="{00000000-0008-0000-0100-0000AC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7" name="Text Box 15">
          <a:extLst>
            <a:ext uri="{FF2B5EF4-FFF2-40B4-BE49-F238E27FC236}">
              <a16:creationId xmlns:a16="http://schemas.microsoft.com/office/drawing/2014/main" id="{00000000-0008-0000-0100-0000A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8" name="Text Box 15">
          <a:extLst>
            <a:ext uri="{FF2B5EF4-FFF2-40B4-BE49-F238E27FC236}">
              <a16:creationId xmlns:a16="http://schemas.microsoft.com/office/drawing/2014/main" id="{00000000-0008-0000-0100-0000AE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9" name="Text Box 15">
          <a:extLst>
            <a:ext uri="{FF2B5EF4-FFF2-40B4-BE49-F238E27FC236}">
              <a16:creationId xmlns:a16="http://schemas.microsoft.com/office/drawing/2014/main" id="{00000000-0008-0000-0100-0000A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0" name="Text Box 15">
          <a:extLst>
            <a:ext uri="{FF2B5EF4-FFF2-40B4-BE49-F238E27FC236}">
              <a16:creationId xmlns:a16="http://schemas.microsoft.com/office/drawing/2014/main" id="{00000000-0008-0000-0100-0000B0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1" name="Text Box 15">
          <a:extLst>
            <a:ext uri="{FF2B5EF4-FFF2-40B4-BE49-F238E27FC236}">
              <a16:creationId xmlns:a16="http://schemas.microsoft.com/office/drawing/2014/main" id="{00000000-0008-0000-0100-0000B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2" name="Text Box 15">
          <a:extLst>
            <a:ext uri="{FF2B5EF4-FFF2-40B4-BE49-F238E27FC236}">
              <a16:creationId xmlns:a16="http://schemas.microsoft.com/office/drawing/2014/main" id="{00000000-0008-0000-0100-0000B2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3" name="Text Box 15">
          <a:extLst>
            <a:ext uri="{FF2B5EF4-FFF2-40B4-BE49-F238E27FC236}">
              <a16:creationId xmlns:a16="http://schemas.microsoft.com/office/drawing/2014/main" id="{00000000-0008-0000-0100-0000B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44" name="Text Box 15">
          <a:extLst>
            <a:ext uri="{FF2B5EF4-FFF2-40B4-BE49-F238E27FC236}">
              <a16:creationId xmlns:a16="http://schemas.microsoft.com/office/drawing/2014/main" id="{00000000-0008-0000-0100-0000B4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5" name="Text Box 15">
          <a:extLst>
            <a:ext uri="{FF2B5EF4-FFF2-40B4-BE49-F238E27FC236}">
              <a16:creationId xmlns:a16="http://schemas.microsoft.com/office/drawing/2014/main" id="{00000000-0008-0000-0100-0000B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6" name="Text Box 15">
          <a:extLst>
            <a:ext uri="{FF2B5EF4-FFF2-40B4-BE49-F238E27FC236}">
              <a16:creationId xmlns:a16="http://schemas.microsoft.com/office/drawing/2014/main" id="{00000000-0008-0000-0100-0000B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7" name="Text Box 15">
          <a:extLst>
            <a:ext uri="{FF2B5EF4-FFF2-40B4-BE49-F238E27FC236}">
              <a16:creationId xmlns:a16="http://schemas.microsoft.com/office/drawing/2014/main" id="{00000000-0008-0000-0100-0000B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8" name="Text Box 15">
          <a:extLst>
            <a:ext uri="{FF2B5EF4-FFF2-40B4-BE49-F238E27FC236}">
              <a16:creationId xmlns:a16="http://schemas.microsoft.com/office/drawing/2014/main" id="{00000000-0008-0000-0100-0000B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49" name="Text Box 15">
          <a:extLst>
            <a:ext uri="{FF2B5EF4-FFF2-40B4-BE49-F238E27FC236}">
              <a16:creationId xmlns:a16="http://schemas.microsoft.com/office/drawing/2014/main" id="{00000000-0008-0000-0100-0000B9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50" name="Text Box 15">
          <a:extLst>
            <a:ext uri="{FF2B5EF4-FFF2-40B4-BE49-F238E27FC236}">
              <a16:creationId xmlns:a16="http://schemas.microsoft.com/office/drawing/2014/main" id="{00000000-0008-0000-0100-0000B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51" name="Text Box 15">
          <a:extLst>
            <a:ext uri="{FF2B5EF4-FFF2-40B4-BE49-F238E27FC236}">
              <a16:creationId xmlns:a16="http://schemas.microsoft.com/office/drawing/2014/main" id="{00000000-0008-0000-0100-0000BB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52" name="Text Box 15">
          <a:extLst>
            <a:ext uri="{FF2B5EF4-FFF2-40B4-BE49-F238E27FC236}">
              <a16:creationId xmlns:a16="http://schemas.microsoft.com/office/drawing/2014/main" id="{00000000-0008-0000-0100-0000BC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3" name="Text Box 15">
          <a:extLst>
            <a:ext uri="{FF2B5EF4-FFF2-40B4-BE49-F238E27FC236}">
              <a16:creationId xmlns:a16="http://schemas.microsoft.com/office/drawing/2014/main" id="{00000000-0008-0000-0100-0000B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4" name="Text Box 15">
          <a:extLst>
            <a:ext uri="{FF2B5EF4-FFF2-40B4-BE49-F238E27FC236}">
              <a16:creationId xmlns:a16="http://schemas.microsoft.com/office/drawing/2014/main" id="{00000000-0008-0000-0100-0000B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5" name="Text Box 15">
          <a:extLst>
            <a:ext uri="{FF2B5EF4-FFF2-40B4-BE49-F238E27FC236}">
              <a16:creationId xmlns:a16="http://schemas.microsoft.com/office/drawing/2014/main" id="{00000000-0008-0000-0100-0000B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6" name="Text Box 15">
          <a:extLst>
            <a:ext uri="{FF2B5EF4-FFF2-40B4-BE49-F238E27FC236}">
              <a16:creationId xmlns:a16="http://schemas.microsoft.com/office/drawing/2014/main" id="{00000000-0008-0000-0100-0000C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7" name="Text Box 15">
          <a:extLst>
            <a:ext uri="{FF2B5EF4-FFF2-40B4-BE49-F238E27FC236}">
              <a16:creationId xmlns:a16="http://schemas.microsoft.com/office/drawing/2014/main" id="{00000000-0008-0000-0100-0000C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8" name="Text Box 15">
          <a:extLst>
            <a:ext uri="{FF2B5EF4-FFF2-40B4-BE49-F238E27FC236}">
              <a16:creationId xmlns:a16="http://schemas.microsoft.com/office/drawing/2014/main" id="{00000000-0008-0000-0100-0000C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9" name="Text Box 15">
          <a:extLst>
            <a:ext uri="{FF2B5EF4-FFF2-40B4-BE49-F238E27FC236}">
              <a16:creationId xmlns:a16="http://schemas.microsoft.com/office/drawing/2014/main" id="{00000000-0008-0000-0100-0000C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0" name="Text Box 15">
          <a:extLst>
            <a:ext uri="{FF2B5EF4-FFF2-40B4-BE49-F238E27FC236}">
              <a16:creationId xmlns:a16="http://schemas.microsoft.com/office/drawing/2014/main" id="{00000000-0008-0000-0100-0000C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1" name="Text Box 15">
          <a:extLst>
            <a:ext uri="{FF2B5EF4-FFF2-40B4-BE49-F238E27FC236}">
              <a16:creationId xmlns:a16="http://schemas.microsoft.com/office/drawing/2014/main" id="{00000000-0008-0000-0100-0000C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2" name="Text Box 15">
          <a:extLst>
            <a:ext uri="{FF2B5EF4-FFF2-40B4-BE49-F238E27FC236}">
              <a16:creationId xmlns:a16="http://schemas.microsoft.com/office/drawing/2014/main" id="{00000000-0008-0000-0100-0000C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3" name="Text Box 15">
          <a:extLst>
            <a:ext uri="{FF2B5EF4-FFF2-40B4-BE49-F238E27FC236}">
              <a16:creationId xmlns:a16="http://schemas.microsoft.com/office/drawing/2014/main" id="{00000000-0008-0000-0100-0000C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4" name="Text Box 15">
          <a:extLst>
            <a:ext uri="{FF2B5EF4-FFF2-40B4-BE49-F238E27FC236}">
              <a16:creationId xmlns:a16="http://schemas.microsoft.com/office/drawing/2014/main" id="{00000000-0008-0000-0100-0000C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5" name="Text Box 15">
          <a:extLst>
            <a:ext uri="{FF2B5EF4-FFF2-40B4-BE49-F238E27FC236}">
              <a16:creationId xmlns:a16="http://schemas.microsoft.com/office/drawing/2014/main" id="{00000000-0008-0000-0100-0000C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6" name="Text Box 15">
          <a:extLst>
            <a:ext uri="{FF2B5EF4-FFF2-40B4-BE49-F238E27FC236}">
              <a16:creationId xmlns:a16="http://schemas.microsoft.com/office/drawing/2014/main" id="{00000000-0008-0000-0100-0000C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7" name="Text Box 15">
          <a:extLst>
            <a:ext uri="{FF2B5EF4-FFF2-40B4-BE49-F238E27FC236}">
              <a16:creationId xmlns:a16="http://schemas.microsoft.com/office/drawing/2014/main" id="{00000000-0008-0000-0100-0000C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8" name="Text Box 15">
          <a:extLst>
            <a:ext uri="{FF2B5EF4-FFF2-40B4-BE49-F238E27FC236}">
              <a16:creationId xmlns:a16="http://schemas.microsoft.com/office/drawing/2014/main" id="{00000000-0008-0000-0100-0000C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9" name="Text Box 15">
          <a:extLst>
            <a:ext uri="{FF2B5EF4-FFF2-40B4-BE49-F238E27FC236}">
              <a16:creationId xmlns:a16="http://schemas.microsoft.com/office/drawing/2014/main" id="{00000000-0008-0000-0100-0000C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0" name="Text Box 15">
          <a:extLst>
            <a:ext uri="{FF2B5EF4-FFF2-40B4-BE49-F238E27FC236}">
              <a16:creationId xmlns:a16="http://schemas.microsoft.com/office/drawing/2014/main" id="{00000000-0008-0000-0100-0000C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1" name="Text Box 15">
          <a:extLst>
            <a:ext uri="{FF2B5EF4-FFF2-40B4-BE49-F238E27FC236}">
              <a16:creationId xmlns:a16="http://schemas.microsoft.com/office/drawing/2014/main" id="{00000000-0008-0000-0100-0000C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2" name="Text Box 15">
          <a:extLst>
            <a:ext uri="{FF2B5EF4-FFF2-40B4-BE49-F238E27FC236}">
              <a16:creationId xmlns:a16="http://schemas.microsoft.com/office/drawing/2014/main" id="{00000000-0008-0000-0100-0000D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3" name="Text Box 15">
          <a:extLst>
            <a:ext uri="{FF2B5EF4-FFF2-40B4-BE49-F238E27FC236}">
              <a16:creationId xmlns:a16="http://schemas.microsoft.com/office/drawing/2014/main" id="{00000000-0008-0000-0100-0000D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4" name="Text Box 15">
          <a:extLst>
            <a:ext uri="{FF2B5EF4-FFF2-40B4-BE49-F238E27FC236}">
              <a16:creationId xmlns:a16="http://schemas.microsoft.com/office/drawing/2014/main" id="{00000000-0008-0000-0100-0000D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5" name="Text Box 15">
          <a:extLst>
            <a:ext uri="{FF2B5EF4-FFF2-40B4-BE49-F238E27FC236}">
              <a16:creationId xmlns:a16="http://schemas.microsoft.com/office/drawing/2014/main" id="{00000000-0008-0000-0100-0000D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6" name="Text Box 15">
          <a:extLst>
            <a:ext uri="{FF2B5EF4-FFF2-40B4-BE49-F238E27FC236}">
              <a16:creationId xmlns:a16="http://schemas.microsoft.com/office/drawing/2014/main" id="{00000000-0008-0000-0100-0000D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77" name="Text Box 15">
          <a:extLst>
            <a:ext uri="{FF2B5EF4-FFF2-40B4-BE49-F238E27FC236}">
              <a16:creationId xmlns:a16="http://schemas.microsoft.com/office/drawing/2014/main" id="{00000000-0008-0000-0100-0000D5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8" name="Text Box 15">
          <a:extLst>
            <a:ext uri="{FF2B5EF4-FFF2-40B4-BE49-F238E27FC236}">
              <a16:creationId xmlns:a16="http://schemas.microsoft.com/office/drawing/2014/main" id="{00000000-0008-0000-0100-0000D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9" name="Text Box 15">
          <a:extLst>
            <a:ext uri="{FF2B5EF4-FFF2-40B4-BE49-F238E27FC236}">
              <a16:creationId xmlns:a16="http://schemas.microsoft.com/office/drawing/2014/main" id="{00000000-0008-0000-0100-0000D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0" name="Text Box 15">
          <a:extLst>
            <a:ext uri="{FF2B5EF4-FFF2-40B4-BE49-F238E27FC236}">
              <a16:creationId xmlns:a16="http://schemas.microsoft.com/office/drawing/2014/main" id="{00000000-0008-0000-0100-0000D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1" name="Text Box 15">
          <a:extLst>
            <a:ext uri="{FF2B5EF4-FFF2-40B4-BE49-F238E27FC236}">
              <a16:creationId xmlns:a16="http://schemas.microsoft.com/office/drawing/2014/main" id="{00000000-0008-0000-0100-0000D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2" name="Text Box 15">
          <a:extLst>
            <a:ext uri="{FF2B5EF4-FFF2-40B4-BE49-F238E27FC236}">
              <a16:creationId xmlns:a16="http://schemas.microsoft.com/office/drawing/2014/main" id="{00000000-0008-0000-0100-0000D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3" name="Text Box 15">
          <a:extLst>
            <a:ext uri="{FF2B5EF4-FFF2-40B4-BE49-F238E27FC236}">
              <a16:creationId xmlns:a16="http://schemas.microsoft.com/office/drawing/2014/main" id="{00000000-0008-0000-0100-0000D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4" name="Text Box 15">
          <a:extLst>
            <a:ext uri="{FF2B5EF4-FFF2-40B4-BE49-F238E27FC236}">
              <a16:creationId xmlns:a16="http://schemas.microsoft.com/office/drawing/2014/main" id="{00000000-0008-0000-0100-0000D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5" name="Text Box 15">
          <a:extLst>
            <a:ext uri="{FF2B5EF4-FFF2-40B4-BE49-F238E27FC236}">
              <a16:creationId xmlns:a16="http://schemas.microsoft.com/office/drawing/2014/main" id="{00000000-0008-0000-0100-0000D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6" name="Text Box 15">
          <a:extLst>
            <a:ext uri="{FF2B5EF4-FFF2-40B4-BE49-F238E27FC236}">
              <a16:creationId xmlns:a16="http://schemas.microsoft.com/office/drawing/2014/main" id="{00000000-0008-0000-0100-0000D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7" name="Text Box 15">
          <a:extLst>
            <a:ext uri="{FF2B5EF4-FFF2-40B4-BE49-F238E27FC236}">
              <a16:creationId xmlns:a16="http://schemas.microsoft.com/office/drawing/2014/main" id="{00000000-0008-0000-0100-0000D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8" name="Text Box 15">
          <a:extLst>
            <a:ext uri="{FF2B5EF4-FFF2-40B4-BE49-F238E27FC236}">
              <a16:creationId xmlns:a16="http://schemas.microsoft.com/office/drawing/2014/main" id="{00000000-0008-0000-0100-0000E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9" name="Text Box 15">
          <a:extLst>
            <a:ext uri="{FF2B5EF4-FFF2-40B4-BE49-F238E27FC236}">
              <a16:creationId xmlns:a16="http://schemas.microsoft.com/office/drawing/2014/main" id="{00000000-0008-0000-0100-0000E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0" name="Text Box 15">
          <a:extLst>
            <a:ext uri="{FF2B5EF4-FFF2-40B4-BE49-F238E27FC236}">
              <a16:creationId xmlns:a16="http://schemas.microsoft.com/office/drawing/2014/main" id="{00000000-0008-0000-0100-0000E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1" name="Text Box 15">
          <a:extLst>
            <a:ext uri="{FF2B5EF4-FFF2-40B4-BE49-F238E27FC236}">
              <a16:creationId xmlns:a16="http://schemas.microsoft.com/office/drawing/2014/main" id="{00000000-0008-0000-0100-0000E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2" name="Text Box 15">
          <a:extLst>
            <a:ext uri="{FF2B5EF4-FFF2-40B4-BE49-F238E27FC236}">
              <a16:creationId xmlns:a16="http://schemas.microsoft.com/office/drawing/2014/main" id="{00000000-0008-0000-0100-0000E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3" name="Text Box 15">
          <a:extLst>
            <a:ext uri="{FF2B5EF4-FFF2-40B4-BE49-F238E27FC236}">
              <a16:creationId xmlns:a16="http://schemas.microsoft.com/office/drawing/2014/main" id="{00000000-0008-0000-0100-0000E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4" name="Text Box 15">
          <a:extLst>
            <a:ext uri="{FF2B5EF4-FFF2-40B4-BE49-F238E27FC236}">
              <a16:creationId xmlns:a16="http://schemas.microsoft.com/office/drawing/2014/main" id="{00000000-0008-0000-0100-0000E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5" name="Text Box 15">
          <a:extLst>
            <a:ext uri="{FF2B5EF4-FFF2-40B4-BE49-F238E27FC236}">
              <a16:creationId xmlns:a16="http://schemas.microsoft.com/office/drawing/2014/main" id="{00000000-0008-0000-0100-0000E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6" name="Text Box 15">
          <a:extLst>
            <a:ext uri="{FF2B5EF4-FFF2-40B4-BE49-F238E27FC236}">
              <a16:creationId xmlns:a16="http://schemas.microsoft.com/office/drawing/2014/main" id="{00000000-0008-0000-0100-0000E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7" name="Text Box 15">
          <a:extLst>
            <a:ext uri="{FF2B5EF4-FFF2-40B4-BE49-F238E27FC236}">
              <a16:creationId xmlns:a16="http://schemas.microsoft.com/office/drawing/2014/main" id="{00000000-0008-0000-0100-0000E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8" name="Text Box 15">
          <a:extLst>
            <a:ext uri="{FF2B5EF4-FFF2-40B4-BE49-F238E27FC236}">
              <a16:creationId xmlns:a16="http://schemas.microsoft.com/office/drawing/2014/main" id="{00000000-0008-0000-0100-0000E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9" name="Text Box 15">
          <a:extLst>
            <a:ext uri="{FF2B5EF4-FFF2-40B4-BE49-F238E27FC236}">
              <a16:creationId xmlns:a16="http://schemas.microsoft.com/office/drawing/2014/main" id="{00000000-0008-0000-0100-0000E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0" name="Text Box 15">
          <a:extLst>
            <a:ext uri="{FF2B5EF4-FFF2-40B4-BE49-F238E27FC236}">
              <a16:creationId xmlns:a16="http://schemas.microsoft.com/office/drawing/2014/main" id="{00000000-0008-0000-0100-0000E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1" name="Text Box 15">
          <a:extLst>
            <a:ext uri="{FF2B5EF4-FFF2-40B4-BE49-F238E27FC236}">
              <a16:creationId xmlns:a16="http://schemas.microsoft.com/office/drawing/2014/main" id="{00000000-0008-0000-0100-0000E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2" name="Text Box 15">
          <a:extLst>
            <a:ext uri="{FF2B5EF4-FFF2-40B4-BE49-F238E27FC236}">
              <a16:creationId xmlns:a16="http://schemas.microsoft.com/office/drawing/2014/main" id="{00000000-0008-0000-0100-0000E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3" name="Text Box 15">
          <a:extLst>
            <a:ext uri="{FF2B5EF4-FFF2-40B4-BE49-F238E27FC236}">
              <a16:creationId xmlns:a16="http://schemas.microsoft.com/office/drawing/2014/main" id="{00000000-0008-0000-0100-0000E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4" name="Text Box 15">
          <a:extLst>
            <a:ext uri="{FF2B5EF4-FFF2-40B4-BE49-F238E27FC236}">
              <a16:creationId xmlns:a16="http://schemas.microsoft.com/office/drawing/2014/main" id="{00000000-0008-0000-0100-0000F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5" name="Text Box 15">
          <a:extLst>
            <a:ext uri="{FF2B5EF4-FFF2-40B4-BE49-F238E27FC236}">
              <a16:creationId xmlns:a16="http://schemas.microsoft.com/office/drawing/2014/main" id="{00000000-0008-0000-0100-0000F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6" name="Text Box 15">
          <a:extLst>
            <a:ext uri="{FF2B5EF4-FFF2-40B4-BE49-F238E27FC236}">
              <a16:creationId xmlns:a16="http://schemas.microsoft.com/office/drawing/2014/main" id="{00000000-0008-0000-0100-0000F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7" name="Text Box 15">
          <a:extLst>
            <a:ext uri="{FF2B5EF4-FFF2-40B4-BE49-F238E27FC236}">
              <a16:creationId xmlns:a16="http://schemas.microsoft.com/office/drawing/2014/main" id="{00000000-0008-0000-0100-0000F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8" name="Text Box 15">
          <a:extLst>
            <a:ext uri="{FF2B5EF4-FFF2-40B4-BE49-F238E27FC236}">
              <a16:creationId xmlns:a16="http://schemas.microsoft.com/office/drawing/2014/main" id="{00000000-0008-0000-0100-0000F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9" name="Text Box 15">
          <a:extLst>
            <a:ext uri="{FF2B5EF4-FFF2-40B4-BE49-F238E27FC236}">
              <a16:creationId xmlns:a16="http://schemas.microsoft.com/office/drawing/2014/main" id="{00000000-0008-0000-0100-0000F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0" name="Text Box 15">
          <a:extLst>
            <a:ext uri="{FF2B5EF4-FFF2-40B4-BE49-F238E27FC236}">
              <a16:creationId xmlns:a16="http://schemas.microsoft.com/office/drawing/2014/main" id="{00000000-0008-0000-0100-0000F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1" name="Text Box 15">
          <a:extLst>
            <a:ext uri="{FF2B5EF4-FFF2-40B4-BE49-F238E27FC236}">
              <a16:creationId xmlns:a16="http://schemas.microsoft.com/office/drawing/2014/main" id="{00000000-0008-0000-0100-0000F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2" name="Text Box 15">
          <a:extLst>
            <a:ext uri="{FF2B5EF4-FFF2-40B4-BE49-F238E27FC236}">
              <a16:creationId xmlns:a16="http://schemas.microsoft.com/office/drawing/2014/main" id="{00000000-0008-0000-0100-0000F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3" name="Text Box 15">
          <a:extLst>
            <a:ext uri="{FF2B5EF4-FFF2-40B4-BE49-F238E27FC236}">
              <a16:creationId xmlns:a16="http://schemas.microsoft.com/office/drawing/2014/main" id="{00000000-0008-0000-0100-0000F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4" name="Text Box 15">
          <a:extLst>
            <a:ext uri="{FF2B5EF4-FFF2-40B4-BE49-F238E27FC236}">
              <a16:creationId xmlns:a16="http://schemas.microsoft.com/office/drawing/2014/main" id="{00000000-0008-0000-0100-0000F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5" name="Text Box 15">
          <a:extLst>
            <a:ext uri="{FF2B5EF4-FFF2-40B4-BE49-F238E27FC236}">
              <a16:creationId xmlns:a16="http://schemas.microsoft.com/office/drawing/2014/main" id="{00000000-0008-0000-0100-0000F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6" name="Text Box 15">
          <a:extLst>
            <a:ext uri="{FF2B5EF4-FFF2-40B4-BE49-F238E27FC236}">
              <a16:creationId xmlns:a16="http://schemas.microsoft.com/office/drawing/2014/main" id="{00000000-0008-0000-0100-0000F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7" name="Text Box 15">
          <a:extLst>
            <a:ext uri="{FF2B5EF4-FFF2-40B4-BE49-F238E27FC236}">
              <a16:creationId xmlns:a16="http://schemas.microsoft.com/office/drawing/2014/main" id="{00000000-0008-0000-0100-0000F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8" name="Text Box 15">
          <a:extLst>
            <a:ext uri="{FF2B5EF4-FFF2-40B4-BE49-F238E27FC236}">
              <a16:creationId xmlns:a16="http://schemas.microsoft.com/office/drawing/2014/main" id="{00000000-0008-0000-0100-0000F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9" name="Text Box 15">
          <a:extLst>
            <a:ext uri="{FF2B5EF4-FFF2-40B4-BE49-F238E27FC236}">
              <a16:creationId xmlns:a16="http://schemas.microsoft.com/office/drawing/2014/main" id="{00000000-0008-0000-0100-0000F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0" name="Text Box 15">
          <a:extLst>
            <a:ext uri="{FF2B5EF4-FFF2-40B4-BE49-F238E27FC236}">
              <a16:creationId xmlns:a16="http://schemas.microsoft.com/office/drawing/2014/main" id="{00000000-0008-0000-0100-00000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1" name="Text Box 15">
          <a:extLst>
            <a:ext uri="{FF2B5EF4-FFF2-40B4-BE49-F238E27FC236}">
              <a16:creationId xmlns:a16="http://schemas.microsoft.com/office/drawing/2014/main" id="{00000000-0008-0000-0100-00000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2" name="Text Box 15">
          <a:extLst>
            <a:ext uri="{FF2B5EF4-FFF2-40B4-BE49-F238E27FC236}">
              <a16:creationId xmlns:a16="http://schemas.microsoft.com/office/drawing/2014/main" id="{00000000-0008-0000-0100-00000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3" name="Text Box 15">
          <a:extLst>
            <a:ext uri="{FF2B5EF4-FFF2-40B4-BE49-F238E27FC236}">
              <a16:creationId xmlns:a16="http://schemas.microsoft.com/office/drawing/2014/main" id="{00000000-0008-0000-0100-00000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4" name="Text Box 15">
          <a:extLst>
            <a:ext uri="{FF2B5EF4-FFF2-40B4-BE49-F238E27FC236}">
              <a16:creationId xmlns:a16="http://schemas.microsoft.com/office/drawing/2014/main" id="{00000000-0008-0000-0100-00000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5" name="Text Box 15">
          <a:extLst>
            <a:ext uri="{FF2B5EF4-FFF2-40B4-BE49-F238E27FC236}">
              <a16:creationId xmlns:a16="http://schemas.microsoft.com/office/drawing/2014/main" id="{00000000-0008-0000-0100-00000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6" name="Text Box 15">
          <a:extLst>
            <a:ext uri="{FF2B5EF4-FFF2-40B4-BE49-F238E27FC236}">
              <a16:creationId xmlns:a16="http://schemas.microsoft.com/office/drawing/2014/main" id="{00000000-0008-0000-0100-00000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7" name="Text Box 15">
          <a:extLst>
            <a:ext uri="{FF2B5EF4-FFF2-40B4-BE49-F238E27FC236}">
              <a16:creationId xmlns:a16="http://schemas.microsoft.com/office/drawing/2014/main" id="{00000000-0008-0000-0100-00000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8" name="Text Box 15">
          <a:extLst>
            <a:ext uri="{FF2B5EF4-FFF2-40B4-BE49-F238E27FC236}">
              <a16:creationId xmlns:a16="http://schemas.microsoft.com/office/drawing/2014/main" id="{00000000-0008-0000-0100-00000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9" name="Text Box 15">
          <a:extLst>
            <a:ext uri="{FF2B5EF4-FFF2-40B4-BE49-F238E27FC236}">
              <a16:creationId xmlns:a16="http://schemas.microsoft.com/office/drawing/2014/main" id="{00000000-0008-0000-0100-00000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0" name="Text Box 15">
          <a:extLst>
            <a:ext uri="{FF2B5EF4-FFF2-40B4-BE49-F238E27FC236}">
              <a16:creationId xmlns:a16="http://schemas.microsoft.com/office/drawing/2014/main" id="{00000000-0008-0000-0100-00000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1" name="Text Box 15">
          <a:extLst>
            <a:ext uri="{FF2B5EF4-FFF2-40B4-BE49-F238E27FC236}">
              <a16:creationId xmlns:a16="http://schemas.microsoft.com/office/drawing/2014/main" id="{00000000-0008-0000-0100-00000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2" name="Text Box 15">
          <a:extLst>
            <a:ext uri="{FF2B5EF4-FFF2-40B4-BE49-F238E27FC236}">
              <a16:creationId xmlns:a16="http://schemas.microsoft.com/office/drawing/2014/main" id="{00000000-0008-0000-0100-00000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3" name="Text Box 15">
          <a:extLst>
            <a:ext uri="{FF2B5EF4-FFF2-40B4-BE49-F238E27FC236}">
              <a16:creationId xmlns:a16="http://schemas.microsoft.com/office/drawing/2014/main" id="{00000000-0008-0000-0100-00000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4" name="Text Box 15">
          <a:extLst>
            <a:ext uri="{FF2B5EF4-FFF2-40B4-BE49-F238E27FC236}">
              <a16:creationId xmlns:a16="http://schemas.microsoft.com/office/drawing/2014/main" id="{00000000-0008-0000-0100-00000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5" name="Text Box 15">
          <a:extLst>
            <a:ext uri="{FF2B5EF4-FFF2-40B4-BE49-F238E27FC236}">
              <a16:creationId xmlns:a16="http://schemas.microsoft.com/office/drawing/2014/main" id="{00000000-0008-0000-0100-00000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6" name="Text Box 15">
          <a:extLst>
            <a:ext uri="{FF2B5EF4-FFF2-40B4-BE49-F238E27FC236}">
              <a16:creationId xmlns:a16="http://schemas.microsoft.com/office/drawing/2014/main" id="{00000000-0008-0000-0100-00001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7" name="Text Box 15">
          <a:extLst>
            <a:ext uri="{FF2B5EF4-FFF2-40B4-BE49-F238E27FC236}">
              <a16:creationId xmlns:a16="http://schemas.microsoft.com/office/drawing/2014/main" id="{00000000-0008-0000-0100-00001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8" name="Text Box 15">
          <a:extLst>
            <a:ext uri="{FF2B5EF4-FFF2-40B4-BE49-F238E27FC236}">
              <a16:creationId xmlns:a16="http://schemas.microsoft.com/office/drawing/2014/main" id="{00000000-0008-0000-0100-00001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9" name="Text Box 15">
          <a:extLst>
            <a:ext uri="{FF2B5EF4-FFF2-40B4-BE49-F238E27FC236}">
              <a16:creationId xmlns:a16="http://schemas.microsoft.com/office/drawing/2014/main" id="{00000000-0008-0000-0100-00001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0" name="Text Box 15">
          <a:extLst>
            <a:ext uri="{FF2B5EF4-FFF2-40B4-BE49-F238E27FC236}">
              <a16:creationId xmlns:a16="http://schemas.microsoft.com/office/drawing/2014/main" id="{00000000-0008-0000-0100-00001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1" name="Text Box 15">
          <a:extLst>
            <a:ext uri="{FF2B5EF4-FFF2-40B4-BE49-F238E27FC236}">
              <a16:creationId xmlns:a16="http://schemas.microsoft.com/office/drawing/2014/main" id="{00000000-0008-0000-0100-00001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2" name="Text Box 15">
          <a:extLst>
            <a:ext uri="{FF2B5EF4-FFF2-40B4-BE49-F238E27FC236}">
              <a16:creationId xmlns:a16="http://schemas.microsoft.com/office/drawing/2014/main" id="{00000000-0008-0000-0100-00001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3" name="Text Box 15">
          <a:extLst>
            <a:ext uri="{FF2B5EF4-FFF2-40B4-BE49-F238E27FC236}">
              <a16:creationId xmlns:a16="http://schemas.microsoft.com/office/drawing/2014/main" id="{00000000-0008-0000-0100-00001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4" name="Text Box 15">
          <a:extLst>
            <a:ext uri="{FF2B5EF4-FFF2-40B4-BE49-F238E27FC236}">
              <a16:creationId xmlns:a16="http://schemas.microsoft.com/office/drawing/2014/main" id="{00000000-0008-0000-0100-00001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5" name="Text Box 15">
          <a:extLst>
            <a:ext uri="{FF2B5EF4-FFF2-40B4-BE49-F238E27FC236}">
              <a16:creationId xmlns:a16="http://schemas.microsoft.com/office/drawing/2014/main" id="{00000000-0008-0000-0100-00001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6" name="Text Box 15">
          <a:extLst>
            <a:ext uri="{FF2B5EF4-FFF2-40B4-BE49-F238E27FC236}">
              <a16:creationId xmlns:a16="http://schemas.microsoft.com/office/drawing/2014/main" id="{00000000-0008-0000-0100-00001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7" name="Text Box 15">
          <a:extLst>
            <a:ext uri="{FF2B5EF4-FFF2-40B4-BE49-F238E27FC236}">
              <a16:creationId xmlns:a16="http://schemas.microsoft.com/office/drawing/2014/main" id="{00000000-0008-0000-0100-00001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8" name="Text Box 15">
          <a:extLst>
            <a:ext uri="{FF2B5EF4-FFF2-40B4-BE49-F238E27FC236}">
              <a16:creationId xmlns:a16="http://schemas.microsoft.com/office/drawing/2014/main" id="{00000000-0008-0000-0100-00001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9" name="Text Box 15">
          <a:extLst>
            <a:ext uri="{FF2B5EF4-FFF2-40B4-BE49-F238E27FC236}">
              <a16:creationId xmlns:a16="http://schemas.microsoft.com/office/drawing/2014/main" id="{00000000-0008-0000-0100-00001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50" name="Text Box 15">
          <a:extLst>
            <a:ext uri="{FF2B5EF4-FFF2-40B4-BE49-F238E27FC236}">
              <a16:creationId xmlns:a16="http://schemas.microsoft.com/office/drawing/2014/main" id="{00000000-0008-0000-0100-00001E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1" name="Text Box 15">
          <a:extLst>
            <a:ext uri="{FF2B5EF4-FFF2-40B4-BE49-F238E27FC236}">
              <a16:creationId xmlns:a16="http://schemas.microsoft.com/office/drawing/2014/main" id="{00000000-0008-0000-0100-00001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2" name="Text Box 15">
          <a:extLst>
            <a:ext uri="{FF2B5EF4-FFF2-40B4-BE49-F238E27FC236}">
              <a16:creationId xmlns:a16="http://schemas.microsoft.com/office/drawing/2014/main" id="{00000000-0008-0000-0100-00002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3" name="Text Box 15">
          <a:extLst>
            <a:ext uri="{FF2B5EF4-FFF2-40B4-BE49-F238E27FC236}">
              <a16:creationId xmlns:a16="http://schemas.microsoft.com/office/drawing/2014/main" id="{00000000-0008-0000-0100-00002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4" name="Text Box 15">
          <a:extLst>
            <a:ext uri="{FF2B5EF4-FFF2-40B4-BE49-F238E27FC236}">
              <a16:creationId xmlns:a16="http://schemas.microsoft.com/office/drawing/2014/main" id="{00000000-0008-0000-0100-00002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55" name="Text Box 15">
          <a:extLst>
            <a:ext uri="{FF2B5EF4-FFF2-40B4-BE49-F238E27FC236}">
              <a16:creationId xmlns:a16="http://schemas.microsoft.com/office/drawing/2014/main" id="{00000000-0008-0000-0100-000023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6" name="Text Box 15">
          <a:extLst>
            <a:ext uri="{FF2B5EF4-FFF2-40B4-BE49-F238E27FC236}">
              <a16:creationId xmlns:a16="http://schemas.microsoft.com/office/drawing/2014/main" id="{00000000-0008-0000-0100-00002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7" name="Text Box 15">
          <a:extLst>
            <a:ext uri="{FF2B5EF4-FFF2-40B4-BE49-F238E27FC236}">
              <a16:creationId xmlns:a16="http://schemas.microsoft.com/office/drawing/2014/main" id="{00000000-0008-0000-0100-00002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8" name="Text Box 15">
          <a:extLst>
            <a:ext uri="{FF2B5EF4-FFF2-40B4-BE49-F238E27FC236}">
              <a16:creationId xmlns:a16="http://schemas.microsoft.com/office/drawing/2014/main" id="{00000000-0008-0000-0100-00002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9" name="Text Box 15">
          <a:extLst>
            <a:ext uri="{FF2B5EF4-FFF2-40B4-BE49-F238E27FC236}">
              <a16:creationId xmlns:a16="http://schemas.microsoft.com/office/drawing/2014/main" id="{00000000-0008-0000-0100-000027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0" name="Text Box 15">
          <a:extLst>
            <a:ext uri="{FF2B5EF4-FFF2-40B4-BE49-F238E27FC236}">
              <a16:creationId xmlns:a16="http://schemas.microsoft.com/office/drawing/2014/main" id="{00000000-0008-0000-0100-000028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1" name="Text Box 15">
          <a:extLst>
            <a:ext uri="{FF2B5EF4-FFF2-40B4-BE49-F238E27FC236}">
              <a16:creationId xmlns:a16="http://schemas.microsoft.com/office/drawing/2014/main" id="{00000000-0008-0000-0100-00002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2" name="Text Box 15">
          <a:extLst>
            <a:ext uri="{FF2B5EF4-FFF2-40B4-BE49-F238E27FC236}">
              <a16:creationId xmlns:a16="http://schemas.microsoft.com/office/drawing/2014/main" id="{00000000-0008-0000-0100-00002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3" name="Text Box 15">
          <a:extLst>
            <a:ext uri="{FF2B5EF4-FFF2-40B4-BE49-F238E27FC236}">
              <a16:creationId xmlns:a16="http://schemas.microsoft.com/office/drawing/2014/main" id="{00000000-0008-0000-0100-00002B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4" name="Text Box 15">
          <a:extLst>
            <a:ext uri="{FF2B5EF4-FFF2-40B4-BE49-F238E27FC236}">
              <a16:creationId xmlns:a16="http://schemas.microsoft.com/office/drawing/2014/main" id="{00000000-0008-0000-0100-00002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5" name="Text Box 15">
          <a:extLst>
            <a:ext uri="{FF2B5EF4-FFF2-40B4-BE49-F238E27FC236}">
              <a16:creationId xmlns:a16="http://schemas.microsoft.com/office/drawing/2014/main" id="{00000000-0008-0000-0100-00002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6" name="Text Box 15">
          <a:extLst>
            <a:ext uri="{FF2B5EF4-FFF2-40B4-BE49-F238E27FC236}">
              <a16:creationId xmlns:a16="http://schemas.microsoft.com/office/drawing/2014/main" id="{00000000-0008-0000-0100-00002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7" name="Text Box 15">
          <a:extLst>
            <a:ext uri="{FF2B5EF4-FFF2-40B4-BE49-F238E27FC236}">
              <a16:creationId xmlns:a16="http://schemas.microsoft.com/office/drawing/2014/main" id="{00000000-0008-0000-0100-00002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68" name="Text Box 15">
          <a:extLst>
            <a:ext uri="{FF2B5EF4-FFF2-40B4-BE49-F238E27FC236}">
              <a16:creationId xmlns:a16="http://schemas.microsoft.com/office/drawing/2014/main" id="{00000000-0008-0000-0100-000030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9" name="Text Box 15">
          <a:extLst>
            <a:ext uri="{FF2B5EF4-FFF2-40B4-BE49-F238E27FC236}">
              <a16:creationId xmlns:a16="http://schemas.microsoft.com/office/drawing/2014/main" id="{00000000-0008-0000-0100-00003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0" name="Text Box 15">
          <a:extLst>
            <a:ext uri="{FF2B5EF4-FFF2-40B4-BE49-F238E27FC236}">
              <a16:creationId xmlns:a16="http://schemas.microsoft.com/office/drawing/2014/main" id="{00000000-0008-0000-0100-00003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1" name="Text Box 15">
          <a:extLst>
            <a:ext uri="{FF2B5EF4-FFF2-40B4-BE49-F238E27FC236}">
              <a16:creationId xmlns:a16="http://schemas.microsoft.com/office/drawing/2014/main" id="{00000000-0008-0000-0100-00003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2" name="Text Box 15">
          <a:extLst>
            <a:ext uri="{FF2B5EF4-FFF2-40B4-BE49-F238E27FC236}">
              <a16:creationId xmlns:a16="http://schemas.microsoft.com/office/drawing/2014/main" id="{00000000-0008-0000-0100-00003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3" name="Text Box 15">
          <a:extLst>
            <a:ext uri="{FF2B5EF4-FFF2-40B4-BE49-F238E27FC236}">
              <a16:creationId xmlns:a16="http://schemas.microsoft.com/office/drawing/2014/main" id="{00000000-0008-0000-0100-000035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4" name="Text Box 15">
          <a:extLst>
            <a:ext uri="{FF2B5EF4-FFF2-40B4-BE49-F238E27FC236}">
              <a16:creationId xmlns:a16="http://schemas.microsoft.com/office/drawing/2014/main" id="{00000000-0008-0000-0100-00003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5" name="Text Box 15">
          <a:extLst>
            <a:ext uri="{FF2B5EF4-FFF2-40B4-BE49-F238E27FC236}">
              <a16:creationId xmlns:a16="http://schemas.microsoft.com/office/drawing/2014/main" id="{00000000-0008-0000-0100-00003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376" name="Text Box 15">
          <a:extLst>
            <a:ext uri="{FF2B5EF4-FFF2-40B4-BE49-F238E27FC236}">
              <a16:creationId xmlns:a16="http://schemas.microsoft.com/office/drawing/2014/main" id="{00000000-0008-0000-0100-000038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7" name="Text Box 15">
          <a:extLst>
            <a:ext uri="{FF2B5EF4-FFF2-40B4-BE49-F238E27FC236}">
              <a16:creationId xmlns:a16="http://schemas.microsoft.com/office/drawing/2014/main" id="{00000000-0008-0000-0100-00003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8" name="Text Box 15">
          <a:extLst>
            <a:ext uri="{FF2B5EF4-FFF2-40B4-BE49-F238E27FC236}">
              <a16:creationId xmlns:a16="http://schemas.microsoft.com/office/drawing/2014/main" id="{00000000-0008-0000-0100-00003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9" name="Text Box 15">
          <a:extLst>
            <a:ext uri="{FF2B5EF4-FFF2-40B4-BE49-F238E27FC236}">
              <a16:creationId xmlns:a16="http://schemas.microsoft.com/office/drawing/2014/main" id="{00000000-0008-0000-0100-00003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0" name="Text Box 15">
          <a:extLst>
            <a:ext uri="{FF2B5EF4-FFF2-40B4-BE49-F238E27FC236}">
              <a16:creationId xmlns:a16="http://schemas.microsoft.com/office/drawing/2014/main" id="{00000000-0008-0000-0100-00003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1" name="Text Box 15">
          <a:extLst>
            <a:ext uri="{FF2B5EF4-FFF2-40B4-BE49-F238E27FC236}">
              <a16:creationId xmlns:a16="http://schemas.microsoft.com/office/drawing/2014/main" id="{00000000-0008-0000-0100-00003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2" name="Text Box 15">
          <a:extLst>
            <a:ext uri="{FF2B5EF4-FFF2-40B4-BE49-F238E27FC236}">
              <a16:creationId xmlns:a16="http://schemas.microsoft.com/office/drawing/2014/main" id="{00000000-0008-0000-0100-00003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3" name="Text Box 15">
          <a:extLst>
            <a:ext uri="{FF2B5EF4-FFF2-40B4-BE49-F238E27FC236}">
              <a16:creationId xmlns:a16="http://schemas.microsoft.com/office/drawing/2014/main" id="{00000000-0008-0000-0100-00003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4" name="Text Box 15">
          <a:extLst>
            <a:ext uri="{FF2B5EF4-FFF2-40B4-BE49-F238E27FC236}">
              <a16:creationId xmlns:a16="http://schemas.microsoft.com/office/drawing/2014/main" id="{00000000-0008-0000-0100-00004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5" name="Text Box 15">
          <a:extLst>
            <a:ext uri="{FF2B5EF4-FFF2-40B4-BE49-F238E27FC236}">
              <a16:creationId xmlns:a16="http://schemas.microsoft.com/office/drawing/2014/main" id="{00000000-0008-0000-0100-00004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6" name="Text Box 15">
          <a:extLst>
            <a:ext uri="{FF2B5EF4-FFF2-40B4-BE49-F238E27FC236}">
              <a16:creationId xmlns:a16="http://schemas.microsoft.com/office/drawing/2014/main" id="{00000000-0008-0000-0100-00004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7" name="Text Box 15">
          <a:extLst>
            <a:ext uri="{FF2B5EF4-FFF2-40B4-BE49-F238E27FC236}">
              <a16:creationId xmlns:a16="http://schemas.microsoft.com/office/drawing/2014/main" id="{00000000-0008-0000-0100-00004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8" name="Text Box 15">
          <a:extLst>
            <a:ext uri="{FF2B5EF4-FFF2-40B4-BE49-F238E27FC236}">
              <a16:creationId xmlns:a16="http://schemas.microsoft.com/office/drawing/2014/main" id="{00000000-0008-0000-0100-00004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9" name="Text Box 15">
          <a:extLst>
            <a:ext uri="{FF2B5EF4-FFF2-40B4-BE49-F238E27FC236}">
              <a16:creationId xmlns:a16="http://schemas.microsoft.com/office/drawing/2014/main" id="{00000000-0008-0000-0100-00004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0" name="Text Box 15">
          <a:extLst>
            <a:ext uri="{FF2B5EF4-FFF2-40B4-BE49-F238E27FC236}">
              <a16:creationId xmlns:a16="http://schemas.microsoft.com/office/drawing/2014/main" id="{00000000-0008-0000-0100-00004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1" name="Text Box 15">
          <a:extLst>
            <a:ext uri="{FF2B5EF4-FFF2-40B4-BE49-F238E27FC236}">
              <a16:creationId xmlns:a16="http://schemas.microsoft.com/office/drawing/2014/main" id="{00000000-0008-0000-0100-00004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2" name="Text Box 15">
          <a:extLst>
            <a:ext uri="{FF2B5EF4-FFF2-40B4-BE49-F238E27FC236}">
              <a16:creationId xmlns:a16="http://schemas.microsoft.com/office/drawing/2014/main" id="{00000000-0008-0000-0100-00004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3" name="Text Box 15">
          <a:extLst>
            <a:ext uri="{FF2B5EF4-FFF2-40B4-BE49-F238E27FC236}">
              <a16:creationId xmlns:a16="http://schemas.microsoft.com/office/drawing/2014/main" id="{00000000-0008-0000-0100-00004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4" name="Text Box 15">
          <a:extLst>
            <a:ext uri="{FF2B5EF4-FFF2-40B4-BE49-F238E27FC236}">
              <a16:creationId xmlns:a16="http://schemas.microsoft.com/office/drawing/2014/main" id="{00000000-0008-0000-0100-00004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5" name="Text Box 15">
          <a:extLst>
            <a:ext uri="{FF2B5EF4-FFF2-40B4-BE49-F238E27FC236}">
              <a16:creationId xmlns:a16="http://schemas.microsoft.com/office/drawing/2014/main" id="{00000000-0008-0000-0100-00004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6" name="Text Box 15">
          <a:extLst>
            <a:ext uri="{FF2B5EF4-FFF2-40B4-BE49-F238E27FC236}">
              <a16:creationId xmlns:a16="http://schemas.microsoft.com/office/drawing/2014/main" id="{00000000-0008-0000-0100-00004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7" name="Text Box 15">
          <a:extLst>
            <a:ext uri="{FF2B5EF4-FFF2-40B4-BE49-F238E27FC236}">
              <a16:creationId xmlns:a16="http://schemas.microsoft.com/office/drawing/2014/main" id="{00000000-0008-0000-0100-00004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8" name="Text Box 15">
          <a:extLst>
            <a:ext uri="{FF2B5EF4-FFF2-40B4-BE49-F238E27FC236}">
              <a16:creationId xmlns:a16="http://schemas.microsoft.com/office/drawing/2014/main" id="{00000000-0008-0000-0100-00004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9" name="Text Box 15">
          <a:extLst>
            <a:ext uri="{FF2B5EF4-FFF2-40B4-BE49-F238E27FC236}">
              <a16:creationId xmlns:a16="http://schemas.microsoft.com/office/drawing/2014/main" id="{00000000-0008-0000-0100-00004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0" name="Text Box 15">
          <a:extLst>
            <a:ext uri="{FF2B5EF4-FFF2-40B4-BE49-F238E27FC236}">
              <a16:creationId xmlns:a16="http://schemas.microsoft.com/office/drawing/2014/main" id="{00000000-0008-0000-0100-00005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401" name="Text Box 15">
          <a:extLst>
            <a:ext uri="{FF2B5EF4-FFF2-40B4-BE49-F238E27FC236}">
              <a16:creationId xmlns:a16="http://schemas.microsoft.com/office/drawing/2014/main" id="{00000000-0008-0000-0100-000051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2" name="Text Box 15">
          <a:extLst>
            <a:ext uri="{FF2B5EF4-FFF2-40B4-BE49-F238E27FC236}">
              <a16:creationId xmlns:a16="http://schemas.microsoft.com/office/drawing/2014/main" id="{00000000-0008-0000-0100-00005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3" name="Text Box 15">
          <a:extLst>
            <a:ext uri="{FF2B5EF4-FFF2-40B4-BE49-F238E27FC236}">
              <a16:creationId xmlns:a16="http://schemas.microsoft.com/office/drawing/2014/main" id="{00000000-0008-0000-0100-00005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4" name="Text Box 15">
          <a:extLst>
            <a:ext uri="{FF2B5EF4-FFF2-40B4-BE49-F238E27FC236}">
              <a16:creationId xmlns:a16="http://schemas.microsoft.com/office/drawing/2014/main" id="{00000000-0008-0000-0100-00005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5" name="Text Box 15">
          <a:extLst>
            <a:ext uri="{FF2B5EF4-FFF2-40B4-BE49-F238E27FC236}">
              <a16:creationId xmlns:a16="http://schemas.microsoft.com/office/drawing/2014/main" id="{00000000-0008-0000-0100-00005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6" name="Text Box 15">
          <a:extLst>
            <a:ext uri="{FF2B5EF4-FFF2-40B4-BE49-F238E27FC236}">
              <a16:creationId xmlns:a16="http://schemas.microsoft.com/office/drawing/2014/main" id="{00000000-0008-0000-0100-00005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7" name="Text Box 15">
          <a:extLst>
            <a:ext uri="{FF2B5EF4-FFF2-40B4-BE49-F238E27FC236}">
              <a16:creationId xmlns:a16="http://schemas.microsoft.com/office/drawing/2014/main" id="{00000000-0008-0000-0100-00005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8" name="Text Box 15">
          <a:extLst>
            <a:ext uri="{FF2B5EF4-FFF2-40B4-BE49-F238E27FC236}">
              <a16:creationId xmlns:a16="http://schemas.microsoft.com/office/drawing/2014/main" id="{00000000-0008-0000-0100-00005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9" name="Text Box 15">
          <a:extLst>
            <a:ext uri="{FF2B5EF4-FFF2-40B4-BE49-F238E27FC236}">
              <a16:creationId xmlns:a16="http://schemas.microsoft.com/office/drawing/2014/main" id="{00000000-0008-0000-0100-00005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0" name="Text Box 15">
          <a:extLst>
            <a:ext uri="{FF2B5EF4-FFF2-40B4-BE49-F238E27FC236}">
              <a16:creationId xmlns:a16="http://schemas.microsoft.com/office/drawing/2014/main" id="{00000000-0008-0000-0100-00005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1" name="Text Box 15">
          <a:extLst>
            <a:ext uri="{FF2B5EF4-FFF2-40B4-BE49-F238E27FC236}">
              <a16:creationId xmlns:a16="http://schemas.microsoft.com/office/drawing/2014/main" id="{00000000-0008-0000-0100-00005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2" name="Text Box 15">
          <a:extLst>
            <a:ext uri="{FF2B5EF4-FFF2-40B4-BE49-F238E27FC236}">
              <a16:creationId xmlns:a16="http://schemas.microsoft.com/office/drawing/2014/main" id="{00000000-0008-0000-0100-00005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3" name="Text Box 15">
          <a:extLst>
            <a:ext uri="{FF2B5EF4-FFF2-40B4-BE49-F238E27FC236}">
              <a16:creationId xmlns:a16="http://schemas.microsoft.com/office/drawing/2014/main" id="{00000000-0008-0000-0100-00005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4" name="Text Box 15">
          <a:extLst>
            <a:ext uri="{FF2B5EF4-FFF2-40B4-BE49-F238E27FC236}">
              <a16:creationId xmlns:a16="http://schemas.microsoft.com/office/drawing/2014/main" id="{00000000-0008-0000-0100-00005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5" name="Text Box 15">
          <a:extLst>
            <a:ext uri="{FF2B5EF4-FFF2-40B4-BE49-F238E27FC236}">
              <a16:creationId xmlns:a16="http://schemas.microsoft.com/office/drawing/2014/main" id="{00000000-0008-0000-0100-00005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6" name="Text Box 15">
          <a:extLst>
            <a:ext uri="{FF2B5EF4-FFF2-40B4-BE49-F238E27FC236}">
              <a16:creationId xmlns:a16="http://schemas.microsoft.com/office/drawing/2014/main" id="{00000000-0008-0000-0100-00006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7" name="Text Box 15">
          <a:extLst>
            <a:ext uri="{FF2B5EF4-FFF2-40B4-BE49-F238E27FC236}">
              <a16:creationId xmlns:a16="http://schemas.microsoft.com/office/drawing/2014/main" id="{00000000-0008-0000-0100-00006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8" name="Text Box 15">
          <a:extLst>
            <a:ext uri="{FF2B5EF4-FFF2-40B4-BE49-F238E27FC236}">
              <a16:creationId xmlns:a16="http://schemas.microsoft.com/office/drawing/2014/main" id="{00000000-0008-0000-0100-00006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9" name="Text Box 15">
          <a:extLst>
            <a:ext uri="{FF2B5EF4-FFF2-40B4-BE49-F238E27FC236}">
              <a16:creationId xmlns:a16="http://schemas.microsoft.com/office/drawing/2014/main" id="{00000000-0008-0000-0100-00006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0" name="Text Box 15">
          <a:extLst>
            <a:ext uri="{FF2B5EF4-FFF2-40B4-BE49-F238E27FC236}">
              <a16:creationId xmlns:a16="http://schemas.microsoft.com/office/drawing/2014/main" id="{00000000-0008-0000-0100-00006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1" name="Text Box 15">
          <a:extLst>
            <a:ext uri="{FF2B5EF4-FFF2-40B4-BE49-F238E27FC236}">
              <a16:creationId xmlns:a16="http://schemas.microsoft.com/office/drawing/2014/main" id="{00000000-0008-0000-0100-00006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2" name="Text Box 15">
          <a:extLst>
            <a:ext uri="{FF2B5EF4-FFF2-40B4-BE49-F238E27FC236}">
              <a16:creationId xmlns:a16="http://schemas.microsoft.com/office/drawing/2014/main" id="{00000000-0008-0000-0100-00006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3" name="Text Box 15">
          <a:extLst>
            <a:ext uri="{FF2B5EF4-FFF2-40B4-BE49-F238E27FC236}">
              <a16:creationId xmlns:a16="http://schemas.microsoft.com/office/drawing/2014/main" id="{00000000-0008-0000-0100-00006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4" name="Text Box 15">
          <a:extLst>
            <a:ext uri="{FF2B5EF4-FFF2-40B4-BE49-F238E27FC236}">
              <a16:creationId xmlns:a16="http://schemas.microsoft.com/office/drawing/2014/main" id="{00000000-0008-0000-0100-00006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5" name="Text Box 15">
          <a:extLst>
            <a:ext uri="{FF2B5EF4-FFF2-40B4-BE49-F238E27FC236}">
              <a16:creationId xmlns:a16="http://schemas.microsoft.com/office/drawing/2014/main" id="{00000000-0008-0000-0100-00006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6" name="Text Box 15">
          <a:extLst>
            <a:ext uri="{FF2B5EF4-FFF2-40B4-BE49-F238E27FC236}">
              <a16:creationId xmlns:a16="http://schemas.microsoft.com/office/drawing/2014/main" id="{00000000-0008-0000-0100-00006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7" name="Text Box 15">
          <a:extLst>
            <a:ext uri="{FF2B5EF4-FFF2-40B4-BE49-F238E27FC236}">
              <a16:creationId xmlns:a16="http://schemas.microsoft.com/office/drawing/2014/main" id="{00000000-0008-0000-0100-00006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8" name="Text Box 15">
          <a:extLst>
            <a:ext uri="{FF2B5EF4-FFF2-40B4-BE49-F238E27FC236}">
              <a16:creationId xmlns:a16="http://schemas.microsoft.com/office/drawing/2014/main" id="{00000000-0008-0000-0100-00006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9" name="Text Box 15">
          <a:extLst>
            <a:ext uri="{FF2B5EF4-FFF2-40B4-BE49-F238E27FC236}">
              <a16:creationId xmlns:a16="http://schemas.microsoft.com/office/drawing/2014/main" id="{00000000-0008-0000-0100-00006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0" name="Text Box 15">
          <a:extLst>
            <a:ext uri="{FF2B5EF4-FFF2-40B4-BE49-F238E27FC236}">
              <a16:creationId xmlns:a16="http://schemas.microsoft.com/office/drawing/2014/main" id="{00000000-0008-0000-0100-00006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1" name="Text Box 15">
          <a:extLst>
            <a:ext uri="{FF2B5EF4-FFF2-40B4-BE49-F238E27FC236}">
              <a16:creationId xmlns:a16="http://schemas.microsoft.com/office/drawing/2014/main" id="{00000000-0008-0000-0100-00006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2" name="Text Box 15">
          <a:extLst>
            <a:ext uri="{FF2B5EF4-FFF2-40B4-BE49-F238E27FC236}">
              <a16:creationId xmlns:a16="http://schemas.microsoft.com/office/drawing/2014/main" id="{00000000-0008-0000-0100-00007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3" name="Text Box 15">
          <a:extLst>
            <a:ext uri="{FF2B5EF4-FFF2-40B4-BE49-F238E27FC236}">
              <a16:creationId xmlns:a16="http://schemas.microsoft.com/office/drawing/2014/main" id="{00000000-0008-0000-0100-00007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4" name="Text Box 15">
          <a:extLst>
            <a:ext uri="{FF2B5EF4-FFF2-40B4-BE49-F238E27FC236}">
              <a16:creationId xmlns:a16="http://schemas.microsoft.com/office/drawing/2014/main" id="{00000000-0008-0000-0100-00007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5" name="Text Box 15">
          <a:extLst>
            <a:ext uri="{FF2B5EF4-FFF2-40B4-BE49-F238E27FC236}">
              <a16:creationId xmlns:a16="http://schemas.microsoft.com/office/drawing/2014/main" id="{00000000-0008-0000-0100-00007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6" name="Text Box 15">
          <a:extLst>
            <a:ext uri="{FF2B5EF4-FFF2-40B4-BE49-F238E27FC236}">
              <a16:creationId xmlns:a16="http://schemas.microsoft.com/office/drawing/2014/main" id="{00000000-0008-0000-0100-00007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7" name="Text Box 15">
          <a:extLst>
            <a:ext uri="{FF2B5EF4-FFF2-40B4-BE49-F238E27FC236}">
              <a16:creationId xmlns:a16="http://schemas.microsoft.com/office/drawing/2014/main" id="{00000000-0008-0000-0100-00007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8" name="Text Box 15">
          <a:extLst>
            <a:ext uri="{FF2B5EF4-FFF2-40B4-BE49-F238E27FC236}">
              <a16:creationId xmlns:a16="http://schemas.microsoft.com/office/drawing/2014/main" id="{00000000-0008-0000-0100-00007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9" name="Text Box 15">
          <a:extLst>
            <a:ext uri="{FF2B5EF4-FFF2-40B4-BE49-F238E27FC236}">
              <a16:creationId xmlns:a16="http://schemas.microsoft.com/office/drawing/2014/main" id="{00000000-0008-0000-0100-00007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0" name="Text Box 15">
          <a:extLst>
            <a:ext uri="{FF2B5EF4-FFF2-40B4-BE49-F238E27FC236}">
              <a16:creationId xmlns:a16="http://schemas.microsoft.com/office/drawing/2014/main" id="{00000000-0008-0000-0100-00007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1" name="Text Box 15">
          <a:extLst>
            <a:ext uri="{FF2B5EF4-FFF2-40B4-BE49-F238E27FC236}">
              <a16:creationId xmlns:a16="http://schemas.microsoft.com/office/drawing/2014/main" id="{00000000-0008-0000-0100-00007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2" name="Text Box 15">
          <a:extLst>
            <a:ext uri="{FF2B5EF4-FFF2-40B4-BE49-F238E27FC236}">
              <a16:creationId xmlns:a16="http://schemas.microsoft.com/office/drawing/2014/main" id="{00000000-0008-0000-0100-00007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3" name="Text Box 15">
          <a:extLst>
            <a:ext uri="{FF2B5EF4-FFF2-40B4-BE49-F238E27FC236}">
              <a16:creationId xmlns:a16="http://schemas.microsoft.com/office/drawing/2014/main" id="{00000000-0008-0000-0100-00007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4" name="Text Box 15">
          <a:extLst>
            <a:ext uri="{FF2B5EF4-FFF2-40B4-BE49-F238E27FC236}">
              <a16:creationId xmlns:a16="http://schemas.microsoft.com/office/drawing/2014/main" id="{00000000-0008-0000-0100-00007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5" name="Text Box 15">
          <a:extLst>
            <a:ext uri="{FF2B5EF4-FFF2-40B4-BE49-F238E27FC236}">
              <a16:creationId xmlns:a16="http://schemas.microsoft.com/office/drawing/2014/main" id="{00000000-0008-0000-0100-00007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6" name="Text Box 15">
          <a:extLst>
            <a:ext uri="{FF2B5EF4-FFF2-40B4-BE49-F238E27FC236}">
              <a16:creationId xmlns:a16="http://schemas.microsoft.com/office/drawing/2014/main" id="{00000000-0008-0000-0100-00007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7" name="Text Box 15">
          <a:extLst>
            <a:ext uri="{FF2B5EF4-FFF2-40B4-BE49-F238E27FC236}">
              <a16:creationId xmlns:a16="http://schemas.microsoft.com/office/drawing/2014/main" id="{00000000-0008-0000-0100-00007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8" name="Text Box 15">
          <a:extLst>
            <a:ext uri="{FF2B5EF4-FFF2-40B4-BE49-F238E27FC236}">
              <a16:creationId xmlns:a16="http://schemas.microsoft.com/office/drawing/2014/main" id="{00000000-0008-0000-0100-00008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9" name="Text Box 15">
          <a:extLst>
            <a:ext uri="{FF2B5EF4-FFF2-40B4-BE49-F238E27FC236}">
              <a16:creationId xmlns:a16="http://schemas.microsoft.com/office/drawing/2014/main" id="{00000000-0008-0000-0100-00008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0" name="Text Box 15">
          <a:extLst>
            <a:ext uri="{FF2B5EF4-FFF2-40B4-BE49-F238E27FC236}">
              <a16:creationId xmlns:a16="http://schemas.microsoft.com/office/drawing/2014/main" id="{00000000-0008-0000-0100-00008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1" name="Text Box 15">
          <a:extLst>
            <a:ext uri="{FF2B5EF4-FFF2-40B4-BE49-F238E27FC236}">
              <a16:creationId xmlns:a16="http://schemas.microsoft.com/office/drawing/2014/main" id="{00000000-0008-0000-0100-00008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2" name="Text Box 15">
          <a:extLst>
            <a:ext uri="{FF2B5EF4-FFF2-40B4-BE49-F238E27FC236}">
              <a16:creationId xmlns:a16="http://schemas.microsoft.com/office/drawing/2014/main" id="{00000000-0008-0000-0100-00008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3" name="Text Box 15">
          <a:extLst>
            <a:ext uri="{FF2B5EF4-FFF2-40B4-BE49-F238E27FC236}">
              <a16:creationId xmlns:a16="http://schemas.microsoft.com/office/drawing/2014/main" id="{00000000-0008-0000-0100-00008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4" name="Text Box 15">
          <a:extLst>
            <a:ext uri="{FF2B5EF4-FFF2-40B4-BE49-F238E27FC236}">
              <a16:creationId xmlns:a16="http://schemas.microsoft.com/office/drawing/2014/main" id="{00000000-0008-0000-0100-00008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5" name="Text Box 15">
          <a:extLst>
            <a:ext uri="{FF2B5EF4-FFF2-40B4-BE49-F238E27FC236}">
              <a16:creationId xmlns:a16="http://schemas.microsoft.com/office/drawing/2014/main" id="{00000000-0008-0000-0100-00008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6" name="Text Box 15">
          <a:extLst>
            <a:ext uri="{FF2B5EF4-FFF2-40B4-BE49-F238E27FC236}">
              <a16:creationId xmlns:a16="http://schemas.microsoft.com/office/drawing/2014/main" id="{00000000-0008-0000-0100-00008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7" name="Text Box 15">
          <a:extLst>
            <a:ext uri="{FF2B5EF4-FFF2-40B4-BE49-F238E27FC236}">
              <a16:creationId xmlns:a16="http://schemas.microsoft.com/office/drawing/2014/main" id="{00000000-0008-0000-0100-00008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8" name="Text Box 15">
          <a:extLst>
            <a:ext uri="{FF2B5EF4-FFF2-40B4-BE49-F238E27FC236}">
              <a16:creationId xmlns:a16="http://schemas.microsoft.com/office/drawing/2014/main" id="{00000000-0008-0000-0100-00008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9" name="Text Box 15">
          <a:extLst>
            <a:ext uri="{FF2B5EF4-FFF2-40B4-BE49-F238E27FC236}">
              <a16:creationId xmlns:a16="http://schemas.microsoft.com/office/drawing/2014/main" id="{00000000-0008-0000-0100-00008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0" name="Text Box 15">
          <a:extLst>
            <a:ext uri="{FF2B5EF4-FFF2-40B4-BE49-F238E27FC236}">
              <a16:creationId xmlns:a16="http://schemas.microsoft.com/office/drawing/2014/main" id="{00000000-0008-0000-0100-00008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1" name="Text Box 15">
          <a:extLst>
            <a:ext uri="{FF2B5EF4-FFF2-40B4-BE49-F238E27FC236}">
              <a16:creationId xmlns:a16="http://schemas.microsoft.com/office/drawing/2014/main" id="{00000000-0008-0000-0100-00008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2" name="Text Box 15">
          <a:extLst>
            <a:ext uri="{FF2B5EF4-FFF2-40B4-BE49-F238E27FC236}">
              <a16:creationId xmlns:a16="http://schemas.microsoft.com/office/drawing/2014/main" id="{00000000-0008-0000-0100-00008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3" name="Text Box 15">
          <a:extLst>
            <a:ext uri="{FF2B5EF4-FFF2-40B4-BE49-F238E27FC236}">
              <a16:creationId xmlns:a16="http://schemas.microsoft.com/office/drawing/2014/main" id="{00000000-0008-0000-0100-00008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4" name="Text Box 15">
          <a:extLst>
            <a:ext uri="{FF2B5EF4-FFF2-40B4-BE49-F238E27FC236}">
              <a16:creationId xmlns:a16="http://schemas.microsoft.com/office/drawing/2014/main" id="{00000000-0008-0000-0100-00009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5" name="Text Box 15">
          <a:extLst>
            <a:ext uri="{FF2B5EF4-FFF2-40B4-BE49-F238E27FC236}">
              <a16:creationId xmlns:a16="http://schemas.microsoft.com/office/drawing/2014/main" id="{00000000-0008-0000-0100-00009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6" name="Text Box 15">
          <a:extLst>
            <a:ext uri="{FF2B5EF4-FFF2-40B4-BE49-F238E27FC236}">
              <a16:creationId xmlns:a16="http://schemas.microsoft.com/office/drawing/2014/main" id="{00000000-0008-0000-0100-00009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7" name="Text Box 15">
          <a:extLst>
            <a:ext uri="{FF2B5EF4-FFF2-40B4-BE49-F238E27FC236}">
              <a16:creationId xmlns:a16="http://schemas.microsoft.com/office/drawing/2014/main" id="{00000000-0008-0000-0100-00009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8" name="Text Box 15">
          <a:extLst>
            <a:ext uri="{FF2B5EF4-FFF2-40B4-BE49-F238E27FC236}">
              <a16:creationId xmlns:a16="http://schemas.microsoft.com/office/drawing/2014/main" id="{00000000-0008-0000-0100-00009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9" name="Text Box 15">
          <a:extLst>
            <a:ext uri="{FF2B5EF4-FFF2-40B4-BE49-F238E27FC236}">
              <a16:creationId xmlns:a16="http://schemas.microsoft.com/office/drawing/2014/main" id="{00000000-0008-0000-0100-00009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0" name="Text Box 15">
          <a:extLst>
            <a:ext uri="{FF2B5EF4-FFF2-40B4-BE49-F238E27FC236}">
              <a16:creationId xmlns:a16="http://schemas.microsoft.com/office/drawing/2014/main" id="{00000000-0008-0000-0100-00009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1" name="Text Box 15">
          <a:extLst>
            <a:ext uri="{FF2B5EF4-FFF2-40B4-BE49-F238E27FC236}">
              <a16:creationId xmlns:a16="http://schemas.microsoft.com/office/drawing/2014/main" id="{00000000-0008-0000-0100-00009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2" name="Text Box 15">
          <a:extLst>
            <a:ext uri="{FF2B5EF4-FFF2-40B4-BE49-F238E27FC236}">
              <a16:creationId xmlns:a16="http://schemas.microsoft.com/office/drawing/2014/main" id="{00000000-0008-0000-0100-00009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3" name="Text Box 15">
          <a:extLst>
            <a:ext uri="{FF2B5EF4-FFF2-40B4-BE49-F238E27FC236}">
              <a16:creationId xmlns:a16="http://schemas.microsoft.com/office/drawing/2014/main" id="{00000000-0008-0000-0100-00009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74" name="Text Box 15">
          <a:extLst>
            <a:ext uri="{FF2B5EF4-FFF2-40B4-BE49-F238E27FC236}">
              <a16:creationId xmlns:a16="http://schemas.microsoft.com/office/drawing/2014/main" id="{00000000-0008-0000-0100-00009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5" name="Text Box 15">
          <a:extLst>
            <a:ext uri="{FF2B5EF4-FFF2-40B4-BE49-F238E27FC236}">
              <a16:creationId xmlns:a16="http://schemas.microsoft.com/office/drawing/2014/main" id="{00000000-0008-0000-0100-00009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6" name="Text Box 15">
          <a:extLst>
            <a:ext uri="{FF2B5EF4-FFF2-40B4-BE49-F238E27FC236}">
              <a16:creationId xmlns:a16="http://schemas.microsoft.com/office/drawing/2014/main" id="{00000000-0008-0000-0100-00009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7" name="Text Box 15">
          <a:extLst>
            <a:ext uri="{FF2B5EF4-FFF2-40B4-BE49-F238E27FC236}">
              <a16:creationId xmlns:a16="http://schemas.microsoft.com/office/drawing/2014/main" id="{00000000-0008-0000-0100-00009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8" name="Text Box 15">
          <a:extLst>
            <a:ext uri="{FF2B5EF4-FFF2-40B4-BE49-F238E27FC236}">
              <a16:creationId xmlns:a16="http://schemas.microsoft.com/office/drawing/2014/main" id="{00000000-0008-0000-0100-00009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79" name="Text Box 15">
          <a:extLst>
            <a:ext uri="{FF2B5EF4-FFF2-40B4-BE49-F238E27FC236}">
              <a16:creationId xmlns:a16="http://schemas.microsoft.com/office/drawing/2014/main" id="{00000000-0008-0000-0100-00009F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0" name="Text Box 15">
          <a:extLst>
            <a:ext uri="{FF2B5EF4-FFF2-40B4-BE49-F238E27FC236}">
              <a16:creationId xmlns:a16="http://schemas.microsoft.com/office/drawing/2014/main" id="{00000000-0008-0000-0100-0000A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1" name="Text Box 15">
          <a:extLst>
            <a:ext uri="{FF2B5EF4-FFF2-40B4-BE49-F238E27FC236}">
              <a16:creationId xmlns:a16="http://schemas.microsoft.com/office/drawing/2014/main" id="{00000000-0008-0000-0100-0000A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2" name="Text Box 15">
          <a:extLst>
            <a:ext uri="{FF2B5EF4-FFF2-40B4-BE49-F238E27FC236}">
              <a16:creationId xmlns:a16="http://schemas.microsoft.com/office/drawing/2014/main" id="{00000000-0008-0000-0100-0000A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3" name="Text Box 15">
          <a:extLst>
            <a:ext uri="{FF2B5EF4-FFF2-40B4-BE49-F238E27FC236}">
              <a16:creationId xmlns:a16="http://schemas.microsoft.com/office/drawing/2014/main" id="{00000000-0008-0000-0100-0000A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4" name="Text Box 15">
          <a:extLst>
            <a:ext uri="{FF2B5EF4-FFF2-40B4-BE49-F238E27FC236}">
              <a16:creationId xmlns:a16="http://schemas.microsoft.com/office/drawing/2014/main" id="{00000000-0008-0000-0100-0000A4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5" name="Text Box 15">
          <a:extLst>
            <a:ext uri="{FF2B5EF4-FFF2-40B4-BE49-F238E27FC236}">
              <a16:creationId xmlns:a16="http://schemas.microsoft.com/office/drawing/2014/main" id="{00000000-0008-0000-0100-0000A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6" name="Text Box 15">
          <a:extLst>
            <a:ext uri="{FF2B5EF4-FFF2-40B4-BE49-F238E27FC236}">
              <a16:creationId xmlns:a16="http://schemas.microsoft.com/office/drawing/2014/main" id="{00000000-0008-0000-0100-0000A6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7" name="Text Box 15">
          <a:extLst>
            <a:ext uri="{FF2B5EF4-FFF2-40B4-BE49-F238E27FC236}">
              <a16:creationId xmlns:a16="http://schemas.microsoft.com/office/drawing/2014/main" id="{00000000-0008-0000-0100-0000A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8" name="Text Box 15">
          <a:extLst>
            <a:ext uri="{FF2B5EF4-FFF2-40B4-BE49-F238E27FC236}">
              <a16:creationId xmlns:a16="http://schemas.microsoft.com/office/drawing/2014/main" id="{00000000-0008-0000-0100-0000A8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9" name="Text Box 15">
          <a:extLst>
            <a:ext uri="{FF2B5EF4-FFF2-40B4-BE49-F238E27FC236}">
              <a16:creationId xmlns:a16="http://schemas.microsoft.com/office/drawing/2014/main" id="{00000000-0008-0000-0100-0000A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0" name="Text Box 15">
          <a:extLst>
            <a:ext uri="{FF2B5EF4-FFF2-40B4-BE49-F238E27FC236}">
              <a16:creationId xmlns:a16="http://schemas.microsoft.com/office/drawing/2014/main" id="{00000000-0008-0000-0100-0000AA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1" name="Text Box 15">
          <a:extLst>
            <a:ext uri="{FF2B5EF4-FFF2-40B4-BE49-F238E27FC236}">
              <a16:creationId xmlns:a16="http://schemas.microsoft.com/office/drawing/2014/main" id="{00000000-0008-0000-0100-0000A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92" name="Text Box 15">
          <a:extLst>
            <a:ext uri="{FF2B5EF4-FFF2-40B4-BE49-F238E27FC236}">
              <a16:creationId xmlns:a16="http://schemas.microsoft.com/office/drawing/2014/main" id="{00000000-0008-0000-0100-0000AC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3" name="Text Box 15">
          <a:extLst>
            <a:ext uri="{FF2B5EF4-FFF2-40B4-BE49-F238E27FC236}">
              <a16:creationId xmlns:a16="http://schemas.microsoft.com/office/drawing/2014/main" id="{00000000-0008-0000-0100-0000A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4" name="Text Box 15">
          <a:extLst>
            <a:ext uri="{FF2B5EF4-FFF2-40B4-BE49-F238E27FC236}">
              <a16:creationId xmlns:a16="http://schemas.microsoft.com/office/drawing/2014/main" id="{00000000-0008-0000-0100-0000A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5" name="Text Box 15">
          <a:extLst>
            <a:ext uri="{FF2B5EF4-FFF2-40B4-BE49-F238E27FC236}">
              <a16:creationId xmlns:a16="http://schemas.microsoft.com/office/drawing/2014/main" id="{00000000-0008-0000-0100-0000A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6" name="Text Box 15">
          <a:extLst>
            <a:ext uri="{FF2B5EF4-FFF2-40B4-BE49-F238E27FC236}">
              <a16:creationId xmlns:a16="http://schemas.microsoft.com/office/drawing/2014/main" id="{00000000-0008-0000-0100-0000B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7" name="Text Box 15">
          <a:extLst>
            <a:ext uri="{FF2B5EF4-FFF2-40B4-BE49-F238E27FC236}">
              <a16:creationId xmlns:a16="http://schemas.microsoft.com/office/drawing/2014/main" id="{00000000-0008-0000-0100-0000B1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8" name="Text Box 15">
          <a:extLst>
            <a:ext uri="{FF2B5EF4-FFF2-40B4-BE49-F238E27FC236}">
              <a16:creationId xmlns:a16="http://schemas.microsoft.com/office/drawing/2014/main" id="{00000000-0008-0000-0100-0000B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9" name="Text Box 15">
          <a:extLst>
            <a:ext uri="{FF2B5EF4-FFF2-40B4-BE49-F238E27FC236}">
              <a16:creationId xmlns:a16="http://schemas.microsoft.com/office/drawing/2014/main" id="{00000000-0008-0000-0100-0000B3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00" name="Text Box 15">
          <a:extLst>
            <a:ext uri="{FF2B5EF4-FFF2-40B4-BE49-F238E27FC236}">
              <a16:creationId xmlns:a16="http://schemas.microsoft.com/office/drawing/2014/main" id="{00000000-0008-0000-0100-0000B4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1" name="Text Box 15">
          <a:extLst>
            <a:ext uri="{FF2B5EF4-FFF2-40B4-BE49-F238E27FC236}">
              <a16:creationId xmlns:a16="http://schemas.microsoft.com/office/drawing/2014/main" id="{00000000-0008-0000-0100-0000B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2" name="Text Box 15">
          <a:extLst>
            <a:ext uri="{FF2B5EF4-FFF2-40B4-BE49-F238E27FC236}">
              <a16:creationId xmlns:a16="http://schemas.microsoft.com/office/drawing/2014/main" id="{00000000-0008-0000-0100-0000B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3" name="Text Box 15">
          <a:extLst>
            <a:ext uri="{FF2B5EF4-FFF2-40B4-BE49-F238E27FC236}">
              <a16:creationId xmlns:a16="http://schemas.microsoft.com/office/drawing/2014/main" id="{00000000-0008-0000-0100-0000B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4" name="Text Box 15">
          <a:extLst>
            <a:ext uri="{FF2B5EF4-FFF2-40B4-BE49-F238E27FC236}">
              <a16:creationId xmlns:a16="http://schemas.microsoft.com/office/drawing/2014/main" id="{00000000-0008-0000-0100-0000B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5" name="Text Box 15">
          <a:extLst>
            <a:ext uri="{FF2B5EF4-FFF2-40B4-BE49-F238E27FC236}">
              <a16:creationId xmlns:a16="http://schemas.microsoft.com/office/drawing/2014/main" id="{00000000-0008-0000-0100-0000B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6" name="Text Box 15">
          <a:extLst>
            <a:ext uri="{FF2B5EF4-FFF2-40B4-BE49-F238E27FC236}">
              <a16:creationId xmlns:a16="http://schemas.microsoft.com/office/drawing/2014/main" id="{00000000-0008-0000-0100-0000B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7" name="Text Box 15">
          <a:extLst>
            <a:ext uri="{FF2B5EF4-FFF2-40B4-BE49-F238E27FC236}">
              <a16:creationId xmlns:a16="http://schemas.microsoft.com/office/drawing/2014/main" id="{00000000-0008-0000-0100-0000B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8" name="Text Box 15">
          <a:extLst>
            <a:ext uri="{FF2B5EF4-FFF2-40B4-BE49-F238E27FC236}">
              <a16:creationId xmlns:a16="http://schemas.microsoft.com/office/drawing/2014/main" id="{00000000-0008-0000-0100-0000B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9" name="Text Box 15">
          <a:extLst>
            <a:ext uri="{FF2B5EF4-FFF2-40B4-BE49-F238E27FC236}">
              <a16:creationId xmlns:a16="http://schemas.microsoft.com/office/drawing/2014/main" id="{00000000-0008-0000-0100-0000B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0" name="Text Box 15">
          <a:extLst>
            <a:ext uri="{FF2B5EF4-FFF2-40B4-BE49-F238E27FC236}">
              <a16:creationId xmlns:a16="http://schemas.microsoft.com/office/drawing/2014/main" id="{00000000-0008-0000-0100-0000B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1" name="Text Box 15">
          <a:extLst>
            <a:ext uri="{FF2B5EF4-FFF2-40B4-BE49-F238E27FC236}">
              <a16:creationId xmlns:a16="http://schemas.microsoft.com/office/drawing/2014/main" id="{00000000-0008-0000-0100-0000B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2" name="Text Box 15">
          <a:extLst>
            <a:ext uri="{FF2B5EF4-FFF2-40B4-BE49-F238E27FC236}">
              <a16:creationId xmlns:a16="http://schemas.microsoft.com/office/drawing/2014/main" id="{00000000-0008-0000-0100-0000C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3" name="Text Box 15">
          <a:extLst>
            <a:ext uri="{FF2B5EF4-FFF2-40B4-BE49-F238E27FC236}">
              <a16:creationId xmlns:a16="http://schemas.microsoft.com/office/drawing/2014/main" id="{00000000-0008-0000-0100-0000C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4" name="Text Box 15">
          <a:extLst>
            <a:ext uri="{FF2B5EF4-FFF2-40B4-BE49-F238E27FC236}">
              <a16:creationId xmlns:a16="http://schemas.microsoft.com/office/drawing/2014/main" id="{00000000-0008-0000-0100-0000C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5" name="Text Box 15">
          <a:extLst>
            <a:ext uri="{FF2B5EF4-FFF2-40B4-BE49-F238E27FC236}">
              <a16:creationId xmlns:a16="http://schemas.microsoft.com/office/drawing/2014/main" id="{00000000-0008-0000-0100-0000C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6" name="Text Box 15">
          <a:extLst>
            <a:ext uri="{FF2B5EF4-FFF2-40B4-BE49-F238E27FC236}">
              <a16:creationId xmlns:a16="http://schemas.microsoft.com/office/drawing/2014/main" id="{00000000-0008-0000-0100-0000C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7" name="Text Box 15">
          <a:extLst>
            <a:ext uri="{FF2B5EF4-FFF2-40B4-BE49-F238E27FC236}">
              <a16:creationId xmlns:a16="http://schemas.microsoft.com/office/drawing/2014/main" id="{00000000-0008-0000-0100-0000C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8" name="Text Box 15">
          <a:extLst>
            <a:ext uri="{FF2B5EF4-FFF2-40B4-BE49-F238E27FC236}">
              <a16:creationId xmlns:a16="http://schemas.microsoft.com/office/drawing/2014/main" id="{00000000-0008-0000-0100-0000C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9" name="Text Box 15">
          <a:extLst>
            <a:ext uri="{FF2B5EF4-FFF2-40B4-BE49-F238E27FC236}">
              <a16:creationId xmlns:a16="http://schemas.microsoft.com/office/drawing/2014/main" id="{00000000-0008-0000-0100-0000C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0" name="Text Box 15">
          <a:extLst>
            <a:ext uri="{FF2B5EF4-FFF2-40B4-BE49-F238E27FC236}">
              <a16:creationId xmlns:a16="http://schemas.microsoft.com/office/drawing/2014/main" id="{00000000-0008-0000-0100-0000C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1" name="Text Box 15">
          <a:extLst>
            <a:ext uri="{FF2B5EF4-FFF2-40B4-BE49-F238E27FC236}">
              <a16:creationId xmlns:a16="http://schemas.microsoft.com/office/drawing/2014/main" id="{00000000-0008-0000-0100-0000C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2" name="Text Box 15">
          <a:extLst>
            <a:ext uri="{FF2B5EF4-FFF2-40B4-BE49-F238E27FC236}">
              <a16:creationId xmlns:a16="http://schemas.microsoft.com/office/drawing/2014/main" id="{00000000-0008-0000-0100-0000C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3" name="Text Box 15">
          <a:extLst>
            <a:ext uri="{FF2B5EF4-FFF2-40B4-BE49-F238E27FC236}">
              <a16:creationId xmlns:a16="http://schemas.microsoft.com/office/drawing/2014/main" id="{00000000-0008-0000-0100-0000C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4" name="Text Box 15">
          <a:extLst>
            <a:ext uri="{FF2B5EF4-FFF2-40B4-BE49-F238E27FC236}">
              <a16:creationId xmlns:a16="http://schemas.microsoft.com/office/drawing/2014/main" id="{00000000-0008-0000-0100-0000C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25" name="Text Box 15">
          <a:extLst>
            <a:ext uri="{FF2B5EF4-FFF2-40B4-BE49-F238E27FC236}">
              <a16:creationId xmlns:a16="http://schemas.microsoft.com/office/drawing/2014/main" id="{00000000-0008-0000-0100-0000CD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6" name="Text Box 15">
          <a:extLst>
            <a:ext uri="{FF2B5EF4-FFF2-40B4-BE49-F238E27FC236}">
              <a16:creationId xmlns:a16="http://schemas.microsoft.com/office/drawing/2014/main" id="{00000000-0008-0000-0100-0000C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7" name="Text Box 15">
          <a:extLst>
            <a:ext uri="{FF2B5EF4-FFF2-40B4-BE49-F238E27FC236}">
              <a16:creationId xmlns:a16="http://schemas.microsoft.com/office/drawing/2014/main" id="{00000000-0008-0000-0100-0000C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8" name="Text Box 15">
          <a:extLst>
            <a:ext uri="{FF2B5EF4-FFF2-40B4-BE49-F238E27FC236}">
              <a16:creationId xmlns:a16="http://schemas.microsoft.com/office/drawing/2014/main" id="{00000000-0008-0000-0100-0000D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9" name="Text Box 15">
          <a:extLst>
            <a:ext uri="{FF2B5EF4-FFF2-40B4-BE49-F238E27FC236}">
              <a16:creationId xmlns:a16="http://schemas.microsoft.com/office/drawing/2014/main" id="{00000000-0008-0000-0100-0000D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0" name="Text Box 15">
          <a:extLst>
            <a:ext uri="{FF2B5EF4-FFF2-40B4-BE49-F238E27FC236}">
              <a16:creationId xmlns:a16="http://schemas.microsoft.com/office/drawing/2014/main" id="{00000000-0008-0000-0100-0000D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1" name="Text Box 15">
          <a:extLst>
            <a:ext uri="{FF2B5EF4-FFF2-40B4-BE49-F238E27FC236}">
              <a16:creationId xmlns:a16="http://schemas.microsoft.com/office/drawing/2014/main" id="{00000000-0008-0000-0100-0000D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2" name="Text Box 15">
          <a:extLst>
            <a:ext uri="{FF2B5EF4-FFF2-40B4-BE49-F238E27FC236}">
              <a16:creationId xmlns:a16="http://schemas.microsoft.com/office/drawing/2014/main" id="{00000000-0008-0000-0100-0000D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3" name="Text Box 15">
          <a:extLst>
            <a:ext uri="{FF2B5EF4-FFF2-40B4-BE49-F238E27FC236}">
              <a16:creationId xmlns:a16="http://schemas.microsoft.com/office/drawing/2014/main" id="{00000000-0008-0000-0100-0000D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4" name="Text Box 15">
          <a:extLst>
            <a:ext uri="{FF2B5EF4-FFF2-40B4-BE49-F238E27FC236}">
              <a16:creationId xmlns:a16="http://schemas.microsoft.com/office/drawing/2014/main" id="{00000000-0008-0000-0100-0000D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5" name="Text Box 15">
          <a:extLst>
            <a:ext uri="{FF2B5EF4-FFF2-40B4-BE49-F238E27FC236}">
              <a16:creationId xmlns:a16="http://schemas.microsoft.com/office/drawing/2014/main" id="{00000000-0008-0000-0100-0000D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6" name="Text Box 15">
          <a:extLst>
            <a:ext uri="{FF2B5EF4-FFF2-40B4-BE49-F238E27FC236}">
              <a16:creationId xmlns:a16="http://schemas.microsoft.com/office/drawing/2014/main" id="{00000000-0008-0000-0100-0000D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7" name="Text Box 15">
          <a:extLst>
            <a:ext uri="{FF2B5EF4-FFF2-40B4-BE49-F238E27FC236}">
              <a16:creationId xmlns:a16="http://schemas.microsoft.com/office/drawing/2014/main" id="{00000000-0008-0000-0100-0000D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8" name="Text Box 15">
          <a:extLst>
            <a:ext uri="{FF2B5EF4-FFF2-40B4-BE49-F238E27FC236}">
              <a16:creationId xmlns:a16="http://schemas.microsoft.com/office/drawing/2014/main" id="{00000000-0008-0000-0100-0000D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9" name="Text Box 15">
          <a:extLst>
            <a:ext uri="{FF2B5EF4-FFF2-40B4-BE49-F238E27FC236}">
              <a16:creationId xmlns:a16="http://schemas.microsoft.com/office/drawing/2014/main" id="{00000000-0008-0000-0100-0000D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0" name="Text Box 15">
          <a:extLst>
            <a:ext uri="{FF2B5EF4-FFF2-40B4-BE49-F238E27FC236}">
              <a16:creationId xmlns:a16="http://schemas.microsoft.com/office/drawing/2014/main" id="{00000000-0008-0000-0100-0000D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1" name="Text Box 15">
          <a:extLst>
            <a:ext uri="{FF2B5EF4-FFF2-40B4-BE49-F238E27FC236}">
              <a16:creationId xmlns:a16="http://schemas.microsoft.com/office/drawing/2014/main" id="{00000000-0008-0000-0100-0000D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2" name="Text Box 15">
          <a:extLst>
            <a:ext uri="{FF2B5EF4-FFF2-40B4-BE49-F238E27FC236}">
              <a16:creationId xmlns:a16="http://schemas.microsoft.com/office/drawing/2014/main" id="{00000000-0008-0000-0100-0000D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3" name="Text Box 15">
          <a:extLst>
            <a:ext uri="{FF2B5EF4-FFF2-40B4-BE49-F238E27FC236}">
              <a16:creationId xmlns:a16="http://schemas.microsoft.com/office/drawing/2014/main" id="{00000000-0008-0000-0100-0000D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4" name="Text Box 15">
          <a:extLst>
            <a:ext uri="{FF2B5EF4-FFF2-40B4-BE49-F238E27FC236}">
              <a16:creationId xmlns:a16="http://schemas.microsoft.com/office/drawing/2014/main" id="{00000000-0008-0000-0100-0000E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5" name="Text Box 15">
          <a:extLst>
            <a:ext uri="{FF2B5EF4-FFF2-40B4-BE49-F238E27FC236}">
              <a16:creationId xmlns:a16="http://schemas.microsoft.com/office/drawing/2014/main" id="{00000000-0008-0000-0100-0000E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6" name="Text Box 15">
          <a:extLst>
            <a:ext uri="{FF2B5EF4-FFF2-40B4-BE49-F238E27FC236}">
              <a16:creationId xmlns:a16="http://schemas.microsoft.com/office/drawing/2014/main" id="{00000000-0008-0000-0100-0000E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7" name="Text Box 15">
          <a:extLst>
            <a:ext uri="{FF2B5EF4-FFF2-40B4-BE49-F238E27FC236}">
              <a16:creationId xmlns:a16="http://schemas.microsoft.com/office/drawing/2014/main" id="{00000000-0008-0000-0100-0000E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8" name="Text Box 15">
          <a:extLst>
            <a:ext uri="{FF2B5EF4-FFF2-40B4-BE49-F238E27FC236}">
              <a16:creationId xmlns:a16="http://schemas.microsoft.com/office/drawing/2014/main" id="{00000000-0008-0000-0100-0000E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9" name="Text Box 15">
          <a:extLst>
            <a:ext uri="{FF2B5EF4-FFF2-40B4-BE49-F238E27FC236}">
              <a16:creationId xmlns:a16="http://schemas.microsoft.com/office/drawing/2014/main" id="{00000000-0008-0000-0100-0000E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0" name="Text Box 15">
          <a:extLst>
            <a:ext uri="{FF2B5EF4-FFF2-40B4-BE49-F238E27FC236}">
              <a16:creationId xmlns:a16="http://schemas.microsoft.com/office/drawing/2014/main" id="{00000000-0008-0000-0100-0000E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1" name="Text Box 15">
          <a:extLst>
            <a:ext uri="{FF2B5EF4-FFF2-40B4-BE49-F238E27FC236}">
              <a16:creationId xmlns:a16="http://schemas.microsoft.com/office/drawing/2014/main" id="{00000000-0008-0000-0100-0000E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2" name="Text Box 15">
          <a:extLst>
            <a:ext uri="{FF2B5EF4-FFF2-40B4-BE49-F238E27FC236}">
              <a16:creationId xmlns:a16="http://schemas.microsoft.com/office/drawing/2014/main" id="{00000000-0008-0000-0100-0000E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3" name="Text Box 15">
          <a:extLst>
            <a:ext uri="{FF2B5EF4-FFF2-40B4-BE49-F238E27FC236}">
              <a16:creationId xmlns:a16="http://schemas.microsoft.com/office/drawing/2014/main" id="{00000000-0008-0000-0100-0000E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4" name="Text Box 15">
          <a:extLst>
            <a:ext uri="{FF2B5EF4-FFF2-40B4-BE49-F238E27FC236}">
              <a16:creationId xmlns:a16="http://schemas.microsoft.com/office/drawing/2014/main" id="{00000000-0008-0000-0100-0000E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5" name="Text Box 15">
          <a:extLst>
            <a:ext uri="{FF2B5EF4-FFF2-40B4-BE49-F238E27FC236}">
              <a16:creationId xmlns:a16="http://schemas.microsoft.com/office/drawing/2014/main" id="{00000000-0008-0000-0100-0000E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6" name="Text Box 15">
          <a:extLst>
            <a:ext uri="{FF2B5EF4-FFF2-40B4-BE49-F238E27FC236}">
              <a16:creationId xmlns:a16="http://schemas.microsoft.com/office/drawing/2014/main" id="{00000000-0008-0000-0100-0000E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7" name="Text Box 15">
          <a:extLst>
            <a:ext uri="{FF2B5EF4-FFF2-40B4-BE49-F238E27FC236}">
              <a16:creationId xmlns:a16="http://schemas.microsoft.com/office/drawing/2014/main" id="{00000000-0008-0000-0100-0000E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8" name="Text Box 15">
          <a:extLst>
            <a:ext uri="{FF2B5EF4-FFF2-40B4-BE49-F238E27FC236}">
              <a16:creationId xmlns:a16="http://schemas.microsoft.com/office/drawing/2014/main" id="{00000000-0008-0000-0100-0000E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9" name="Text Box 15">
          <a:extLst>
            <a:ext uri="{FF2B5EF4-FFF2-40B4-BE49-F238E27FC236}">
              <a16:creationId xmlns:a16="http://schemas.microsoft.com/office/drawing/2014/main" id="{00000000-0008-0000-0100-0000E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0" name="Text Box 15">
          <a:extLst>
            <a:ext uri="{FF2B5EF4-FFF2-40B4-BE49-F238E27FC236}">
              <a16:creationId xmlns:a16="http://schemas.microsoft.com/office/drawing/2014/main" id="{00000000-0008-0000-0100-0000F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1" name="Text Box 15">
          <a:extLst>
            <a:ext uri="{FF2B5EF4-FFF2-40B4-BE49-F238E27FC236}">
              <a16:creationId xmlns:a16="http://schemas.microsoft.com/office/drawing/2014/main" id="{00000000-0008-0000-0100-0000F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2" name="Text Box 15">
          <a:extLst>
            <a:ext uri="{FF2B5EF4-FFF2-40B4-BE49-F238E27FC236}">
              <a16:creationId xmlns:a16="http://schemas.microsoft.com/office/drawing/2014/main" id="{00000000-0008-0000-0100-0000F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3" name="Text Box 15">
          <a:extLst>
            <a:ext uri="{FF2B5EF4-FFF2-40B4-BE49-F238E27FC236}">
              <a16:creationId xmlns:a16="http://schemas.microsoft.com/office/drawing/2014/main" id="{00000000-0008-0000-0100-0000F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4" name="Text Box 15">
          <a:extLst>
            <a:ext uri="{FF2B5EF4-FFF2-40B4-BE49-F238E27FC236}">
              <a16:creationId xmlns:a16="http://schemas.microsoft.com/office/drawing/2014/main" id="{00000000-0008-0000-0100-0000F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5" name="Text Box 15">
          <a:extLst>
            <a:ext uri="{FF2B5EF4-FFF2-40B4-BE49-F238E27FC236}">
              <a16:creationId xmlns:a16="http://schemas.microsoft.com/office/drawing/2014/main" id="{00000000-0008-0000-0100-0000F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6" name="Text Box 15">
          <a:extLst>
            <a:ext uri="{FF2B5EF4-FFF2-40B4-BE49-F238E27FC236}">
              <a16:creationId xmlns:a16="http://schemas.microsoft.com/office/drawing/2014/main" id="{00000000-0008-0000-0100-0000F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7" name="Text Box 15">
          <a:extLst>
            <a:ext uri="{FF2B5EF4-FFF2-40B4-BE49-F238E27FC236}">
              <a16:creationId xmlns:a16="http://schemas.microsoft.com/office/drawing/2014/main" id="{00000000-0008-0000-0100-0000F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8" name="Text Box 15">
          <a:extLst>
            <a:ext uri="{FF2B5EF4-FFF2-40B4-BE49-F238E27FC236}">
              <a16:creationId xmlns:a16="http://schemas.microsoft.com/office/drawing/2014/main" id="{00000000-0008-0000-0100-0000F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9" name="Text Box 15">
          <a:extLst>
            <a:ext uri="{FF2B5EF4-FFF2-40B4-BE49-F238E27FC236}">
              <a16:creationId xmlns:a16="http://schemas.microsoft.com/office/drawing/2014/main" id="{00000000-0008-0000-0100-0000F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0" name="Text Box 15">
          <a:extLst>
            <a:ext uri="{FF2B5EF4-FFF2-40B4-BE49-F238E27FC236}">
              <a16:creationId xmlns:a16="http://schemas.microsoft.com/office/drawing/2014/main" id="{00000000-0008-0000-0100-0000F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1" name="Text Box 15">
          <a:extLst>
            <a:ext uri="{FF2B5EF4-FFF2-40B4-BE49-F238E27FC236}">
              <a16:creationId xmlns:a16="http://schemas.microsoft.com/office/drawing/2014/main" id="{00000000-0008-0000-0100-0000F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2" name="Text Box 15">
          <a:extLst>
            <a:ext uri="{FF2B5EF4-FFF2-40B4-BE49-F238E27FC236}">
              <a16:creationId xmlns:a16="http://schemas.microsoft.com/office/drawing/2014/main" id="{00000000-0008-0000-0100-0000F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3" name="Text Box 15">
          <a:extLst>
            <a:ext uri="{FF2B5EF4-FFF2-40B4-BE49-F238E27FC236}">
              <a16:creationId xmlns:a16="http://schemas.microsoft.com/office/drawing/2014/main" id="{00000000-0008-0000-0100-0000F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4" name="Text Box 15">
          <a:extLst>
            <a:ext uri="{FF2B5EF4-FFF2-40B4-BE49-F238E27FC236}">
              <a16:creationId xmlns:a16="http://schemas.microsoft.com/office/drawing/2014/main" id="{00000000-0008-0000-0100-0000F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5" name="Text Box 15">
          <a:extLst>
            <a:ext uri="{FF2B5EF4-FFF2-40B4-BE49-F238E27FC236}">
              <a16:creationId xmlns:a16="http://schemas.microsoft.com/office/drawing/2014/main" id="{00000000-0008-0000-0100-0000F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6" name="Text Box 15">
          <a:extLst>
            <a:ext uri="{FF2B5EF4-FFF2-40B4-BE49-F238E27FC236}">
              <a16:creationId xmlns:a16="http://schemas.microsoft.com/office/drawing/2014/main" id="{00000000-0008-0000-0100-00000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7" name="Text Box 15">
          <a:extLst>
            <a:ext uri="{FF2B5EF4-FFF2-40B4-BE49-F238E27FC236}">
              <a16:creationId xmlns:a16="http://schemas.microsoft.com/office/drawing/2014/main" id="{00000000-0008-0000-0100-00000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8" name="Text Box 15">
          <a:extLst>
            <a:ext uri="{FF2B5EF4-FFF2-40B4-BE49-F238E27FC236}">
              <a16:creationId xmlns:a16="http://schemas.microsoft.com/office/drawing/2014/main" id="{00000000-0008-0000-0100-00000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9" name="Text Box 15">
          <a:extLst>
            <a:ext uri="{FF2B5EF4-FFF2-40B4-BE49-F238E27FC236}">
              <a16:creationId xmlns:a16="http://schemas.microsoft.com/office/drawing/2014/main" id="{00000000-0008-0000-0100-00000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0" name="Text Box 15">
          <a:extLst>
            <a:ext uri="{FF2B5EF4-FFF2-40B4-BE49-F238E27FC236}">
              <a16:creationId xmlns:a16="http://schemas.microsoft.com/office/drawing/2014/main" id="{00000000-0008-0000-0100-00000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1" name="Text Box 15">
          <a:extLst>
            <a:ext uri="{FF2B5EF4-FFF2-40B4-BE49-F238E27FC236}">
              <a16:creationId xmlns:a16="http://schemas.microsoft.com/office/drawing/2014/main" id="{00000000-0008-0000-0100-00000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2" name="Text Box 15">
          <a:extLst>
            <a:ext uri="{FF2B5EF4-FFF2-40B4-BE49-F238E27FC236}">
              <a16:creationId xmlns:a16="http://schemas.microsoft.com/office/drawing/2014/main" id="{00000000-0008-0000-0100-00000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3" name="Text Box 15">
          <a:extLst>
            <a:ext uri="{FF2B5EF4-FFF2-40B4-BE49-F238E27FC236}">
              <a16:creationId xmlns:a16="http://schemas.microsoft.com/office/drawing/2014/main" id="{00000000-0008-0000-0100-00000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4" name="Text Box 15">
          <a:extLst>
            <a:ext uri="{FF2B5EF4-FFF2-40B4-BE49-F238E27FC236}">
              <a16:creationId xmlns:a16="http://schemas.microsoft.com/office/drawing/2014/main" id="{00000000-0008-0000-0100-00000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5" name="Text Box 15">
          <a:extLst>
            <a:ext uri="{FF2B5EF4-FFF2-40B4-BE49-F238E27FC236}">
              <a16:creationId xmlns:a16="http://schemas.microsoft.com/office/drawing/2014/main" id="{00000000-0008-0000-0100-00000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6" name="Text Box 15">
          <a:extLst>
            <a:ext uri="{FF2B5EF4-FFF2-40B4-BE49-F238E27FC236}">
              <a16:creationId xmlns:a16="http://schemas.microsoft.com/office/drawing/2014/main" id="{00000000-0008-0000-0100-00000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7" name="Text Box 15">
          <a:extLst>
            <a:ext uri="{FF2B5EF4-FFF2-40B4-BE49-F238E27FC236}">
              <a16:creationId xmlns:a16="http://schemas.microsoft.com/office/drawing/2014/main" id="{00000000-0008-0000-0100-00000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8" name="Text Box 15">
          <a:extLst>
            <a:ext uri="{FF2B5EF4-FFF2-40B4-BE49-F238E27FC236}">
              <a16:creationId xmlns:a16="http://schemas.microsoft.com/office/drawing/2014/main" id="{00000000-0008-0000-0100-00000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9" name="Text Box 15">
          <a:extLst>
            <a:ext uri="{FF2B5EF4-FFF2-40B4-BE49-F238E27FC236}">
              <a16:creationId xmlns:a16="http://schemas.microsoft.com/office/drawing/2014/main" id="{00000000-0008-0000-0100-00000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0" name="Text Box 15">
          <a:extLst>
            <a:ext uri="{FF2B5EF4-FFF2-40B4-BE49-F238E27FC236}">
              <a16:creationId xmlns:a16="http://schemas.microsoft.com/office/drawing/2014/main" id="{00000000-0008-0000-0100-00000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1" name="Text Box 15">
          <a:extLst>
            <a:ext uri="{FF2B5EF4-FFF2-40B4-BE49-F238E27FC236}">
              <a16:creationId xmlns:a16="http://schemas.microsoft.com/office/drawing/2014/main" id="{00000000-0008-0000-0100-00000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2" name="Text Box 15">
          <a:extLst>
            <a:ext uri="{FF2B5EF4-FFF2-40B4-BE49-F238E27FC236}">
              <a16:creationId xmlns:a16="http://schemas.microsoft.com/office/drawing/2014/main" id="{00000000-0008-0000-0100-00001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3" name="Text Box 15">
          <a:extLst>
            <a:ext uri="{FF2B5EF4-FFF2-40B4-BE49-F238E27FC236}">
              <a16:creationId xmlns:a16="http://schemas.microsoft.com/office/drawing/2014/main" id="{00000000-0008-0000-0100-00001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4" name="Text Box 15">
          <a:extLst>
            <a:ext uri="{FF2B5EF4-FFF2-40B4-BE49-F238E27FC236}">
              <a16:creationId xmlns:a16="http://schemas.microsoft.com/office/drawing/2014/main" id="{00000000-0008-0000-0100-00001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5" name="Text Box 15">
          <a:extLst>
            <a:ext uri="{FF2B5EF4-FFF2-40B4-BE49-F238E27FC236}">
              <a16:creationId xmlns:a16="http://schemas.microsoft.com/office/drawing/2014/main" id="{00000000-0008-0000-0100-00001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6" name="Text Box 15">
          <a:extLst>
            <a:ext uri="{FF2B5EF4-FFF2-40B4-BE49-F238E27FC236}">
              <a16:creationId xmlns:a16="http://schemas.microsoft.com/office/drawing/2014/main" id="{00000000-0008-0000-0100-00001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7" name="Text Box 15">
          <a:extLst>
            <a:ext uri="{FF2B5EF4-FFF2-40B4-BE49-F238E27FC236}">
              <a16:creationId xmlns:a16="http://schemas.microsoft.com/office/drawing/2014/main" id="{00000000-0008-0000-0100-00001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598" name="Text Box 15">
          <a:extLst>
            <a:ext uri="{FF2B5EF4-FFF2-40B4-BE49-F238E27FC236}">
              <a16:creationId xmlns:a16="http://schemas.microsoft.com/office/drawing/2014/main" id="{00000000-0008-0000-0100-000016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599" name="Text Box 15">
          <a:extLst>
            <a:ext uri="{FF2B5EF4-FFF2-40B4-BE49-F238E27FC236}">
              <a16:creationId xmlns:a16="http://schemas.microsoft.com/office/drawing/2014/main" id="{00000000-0008-0000-0100-00001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0" name="Text Box 15">
          <a:extLst>
            <a:ext uri="{FF2B5EF4-FFF2-40B4-BE49-F238E27FC236}">
              <a16:creationId xmlns:a16="http://schemas.microsoft.com/office/drawing/2014/main" id="{00000000-0008-0000-0100-00001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1" name="Text Box 15">
          <a:extLst>
            <a:ext uri="{FF2B5EF4-FFF2-40B4-BE49-F238E27FC236}">
              <a16:creationId xmlns:a16="http://schemas.microsoft.com/office/drawing/2014/main" id="{00000000-0008-0000-0100-00001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2" name="Text Box 15">
          <a:extLst>
            <a:ext uri="{FF2B5EF4-FFF2-40B4-BE49-F238E27FC236}">
              <a16:creationId xmlns:a16="http://schemas.microsoft.com/office/drawing/2014/main" id="{00000000-0008-0000-0100-00001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03" name="Text Box 15">
          <a:extLst>
            <a:ext uri="{FF2B5EF4-FFF2-40B4-BE49-F238E27FC236}">
              <a16:creationId xmlns:a16="http://schemas.microsoft.com/office/drawing/2014/main" id="{00000000-0008-0000-0100-00001B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4" name="Text Box 15">
          <a:extLst>
            <a:ext uri="{FF2B5EF4-FFF2-40B4-BE49-F238E27FC236}">
              <a16:creationId xmlns:a16="http://schemas.microsoft.com/office/drawing/2014/main" id="{00000000-0008-0000-0100-00001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5" name="Text Box 15">
          <a:extLst>
            <a:ext uri="{FF2B5EF4-FFF2-40B4-BE49-F238E27FC236}">
              <a16:creationId xmlns:a16="http://schemas.microsoft.com/office/drawing/2014/main" id="{00000000-0008-0000-0100-00001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6" name="Text Box 15">
          <a:extLst>
            <a:ext uri="{FF2B5EF4-FFF2-40B4-BE49-F238E27FC236}">
              <a16:creationId xmlns:a16="http://schemas.microsoft.com/office/drawing/2014/main" id="{00000000-0008-0000-0100-00001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7" name="Text Box 15">
          <a:extLst>
            <a:ext uri="{FF2B5EF4-FFF2-40B4-BE49-F238E27FC236}">
              <a16:creationId xmlns:a16="http://schemas.microsoft.com/office/drawing/2014/main" id="{00000000-0008-0000-0100-00001F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08" name="Text Box 15">
          <a:extLst>
            <a:ext uri="{FF2B5EF4-FFF2-40B4-BE49-F238E27FC236}">
              <a16:creationId xmlns:a16="http://schemas.microsoft.com/office/drawing/2014/main" id="{00000000-0008-0000-0100-000020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9" name="Text Box 15">
          <a:extLst>
            <a:ext uri="{FF2B5EF4-FFF2-40B4-BE49-F238E27FC236}">
              <a16:creationId xmlns:a16="http://schemas.microsoft.com/office/drawing/2014/main" id="{00000000-0008-0000-0100-00002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0" name="Text Box 15">
          <a:extLst>
            <a:ext uri="{FF2B5EF4-FFF2-40B4-BE49-F238E27FC236}">
              <a16:creationId xmlns:a16="http://schemas.microsoft.com/office/drawing/2014/main" id="{00000000-0008-0000-0100-00002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1" name="Text Box 15">
          <a:extLst>
            <a:ext uri="{FF2B5EF4-FFF2-40B4-BE49-F238E27FC236}">
              <a16:creationId xmlns:a16="http://schemas.microsoft.com/office/drawing/2014/main" id="{00000000-0008-0000-0100-000023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2" name="Text Box 15">
          <a:extLst>
            <a:ext uri="{FF2B5EF4-FFF2-40B4-BE49-F238E27FC236}">
              <a16:creationId xmlns:a16="http://schemas.microsoft.com/office/drawing/2014/main" id="{00000000-0008-0000-0100-00002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3" name="Text Box 15">
          <a:extLst>
            <a:ext uri="{FF2B5EF4-FFF2-40B4-BE49-F238E27FC236}">
              <a16:creationId xmlns:a16="http://schemas.microsoft.com/office/drawing/2014/main" id="{00000000-0008-0000-0100-00002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4" name="Text Box 15">
          <a:extLst>
            <a:ext uri="{FF2B5EF4-FFF2-40B4-BE49-F238E27FC236}">
              <a16:creationId xmlns:a16="http://schemas.microsoft.com/office/drawing/2014/main" id="{00000000-0008-0000-0100-00002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5" name="Text Box 15">
          <a:extLst>
            <a:ext uri="{FF2B5EF4-FFF2-40B4-BE49-F238E27FC236}">
              <a16:creationId xmlns:a16="http://schemas.microsoft.com/office/drawing/2014/main" id="{00000000-0008-0000-0100-00002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16" name="Text Box 15">
          <a:extLst>
            <a:ext uri="{FF2B5EF4-FFF2-40B4-BE49-F238E27FC236}">
              <a16:creationId xmlns:a16="http://schemas.microsoft.com/office/drawing/2014/main" id="{00000000-0008-0000-0100-000028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7" name="Text Box 15">
          <a:extLst>
            <a:ext uri="{FF2B5EF4-FFF2-40B4-BE49-F238E27FC236}">
              <a16:creationId xmlns:a16="http://schemas.microsoft.com/office/drawing/2014/main" id="{00000000-0008-0000-0100-00002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8" name="Text Box 15">
          <a:extLst>
            <a:ext uri="{FF2B5EF4-FFF2-40B4-BE49-F238E27FC236}">
              <a16:creationId xmlns:a16="http://schemas.microsoft.com/office/drawing/2014/main" id="{00000000-0008-0000-0100-00002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9" name="Text Box 15">
          <a:extLst>
            <a:ext uri="{FF2B5EF4-FFF2-40B4-BE49-F238E27FC236}">
              <a16:creationId xmlns:a16="http://schemas.microsoft.com/office/drawing/2014/main" id="{00000000-0008-0000-0100-00002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0" name="Text Box 15">
          <a:extLst>
            <a:ext uri="{FF2B5EF4-FFF2-40B4-BE49-F238E27FC236}">
              <a16:creationId xmlns:a16="http://schemas.microsoft.com/office/drawing/2014/main" id="{00000000-0008-0000-0100-00002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1" name="Text Box 15">
          <a:extLst>
            <a:ext uri="{FF2B5EF4-FFF2-40B4-BE49-F238E27FC236}">
              <a16:creationId xmlns:a16="http://schemas.microsoft.com/office/drawing/2014/main" id="{00000000-0008-0000-0100-00002D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2" name="Text Box 15">
          <a:extLst>
            <a:ext uri="{FF2B5EF4-FFF2-40B4-BE49-F238E27FC236}">
              <a16:creationId xmlns:a16="http://schemas.microsoft.com/office/drawing/2014/main" id="{00000000-0008-0000-0100-00002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3" name="Text Box 15">
          <a:extLst>
            <a:ext uri="{FF2B5EF4-FFF2-40B4-BE49-F238E27FC236}">
              <a16:creationId xmlns:a16="http://schemas.microsoft.com/office/drawing/2014/main" id="{00000000-0008-0000-0100-00002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24" name="Text Box 15">
          <a:extLst>
            <a:ext uri="{FF2B5EF4-FFF2-40B4-BE49-F238E27FC236}">
              <a16:creationId xmlns:a16="http://schemas.microsoft.com/office/drawing/2014/main" id="{00000000-0008-0000-0100-000030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5" name="Text Box 15">
          <a:extLst>
            <a:ext uri="{FF2B5EF4-FFF2-40B4-BE49-F238E27FC236}">
              <a16:creationId xmlns:a16="http://schemas.microsoft.com/office/drawing/2014/main" id="{00000000-0008-0000-0100-00003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6" name="Text Box 15">
          <a:extLst>
            <a:ext uri="{FF2B5EF4-FFF2-40B4-BE49-F238E27FC236}">
              <a16:creationId xmlns:a16="http://schemas.microsoft.com/office/drawing/2014/main" id="{00000000-0008-0000-0100-00003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7" name="Text Box 15">
          <a:extLst>
            <a:ext uri="{FF2B5EF4-FFF2-40B4-BE49-F238E27FC236}">
              <a16:creationId xmlns:a16="http://schemas.microsoft.com/office/drawing/2014/main" id="{00000000-0008-0000-0100-00003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8" name="Text Box 15">
          <a:extLst>
            <a:ext uri="{FF2B5EF4-FFF2-40B4-BE49-F238E27FC236}">
              <a16:creationId xmlns:a16="http://schemas.microsoft.com/office/drawing/2014/main" id="{00000000-0008-0000-0100-00003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9" name="Text Box 15">
          <a:extLst>
            <a:ext uri="{FF2B5EF4-FFF2-40B4-BE49-F238E27FC236}">
              <a16:creationId xmlns:a16="http://schemas.microsoft.com/office/drawing/2014/main" id="{00000000-0008-0000-0100-00003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0" name="Text Box 15">
          <a:extLst>
            <a:ext uri="{FF2B5EF4-FFF2-40B4-BE49-F238E27FC236}">
              <a16:creationId xmlns:a16="http://schemas.microsoft.com/office/drawing/2014/main" id="{00000000-0008-0000-0100-00003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1" name="Text Box 15">
          <a:extLst>
            <a:ext uri="{FF2B5EF4-FFF2-40B4-BE49-F238E27FC236}">
              <a16:creationId xmlns:a16="http://schemas.microsoft.com/office/drawing/2014/main" id="{00000000-0008-0000-0100-00003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2" name="Text Box 15">
          <a:extLst>
            <a:ext uri="{FF2B5EF4-FFF2-40B4-BE49-F238E27FC236}">
              <a16:creationId xmlns:a16="http://schemas.microsoft.com/office/drawing/2014/main" id="{00000000-0008-0000-0100-00003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3" name="Text Box 15">
          <a:extLst>
            <a:ext uri="{FF2B5EF4-FFF2-40B4-BE49-F238E27FC236}">
              <a16:creationId xmlns:a16="http://schemas.microsoft.com/office/drawing/2014/main" id="{00000000-0008-0000-0100-00003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4" name="Text Box 15">
          <a:extLst>
            <a:ext uri="{FF2B5EF4-FFF2-40B4-BE49-F238E27FC236}">
              <a16:creationId xmlns:a16="http://schemas.microsoft.com/office/drawing/2014/main" id="{00000000-0008-0000-0100-00003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5" name="Text Box 15">
          <a:extLst>
            <a:ext uri="{FF2B5EF4-FFF2-40B4-BE49-F238E27FC236}">
              <a16:creationId xmlns:a16="http://schemas.microsoft.com/office/drawing/2014/main" id="{00000000-0008-0000-0100-00003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6" name="Text Box 15">
          <a:extLst>
            <a:ext uri="{FF2B5EF4-FFF2-40B4-BE49-F238E27FC236}">
              <a16:creationId xmlns:a16="http://schemas.microsoft.com/office/drawing/2014/main" id="{00000000-0008-0000-0100-00003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7" name="Text Box 15">
          <a:extLst>
            <a:ext uri="{FF2B5EF4-FFF2-40B4-BE49-F238E27FC236}">
              <a16:creationId xmlns:a16="http://schemas.microsoft.com/office/drawing/2014/main" id="{00000000-0008-0000-0100-00003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8" name="Text Box 15">
          <a:extLst>
            <a:ext uri="{FF2B5EF4-FFF2-40B4-BE49-F238E27FC236}">
              <a16:creationId xmlns:a16="http://schemas.microsoft.com/office/drawing/2014/main" id="{00000000-0008-0000-0100-00003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9" name="Text Box 15">
          <a:extLst>
            <a:ext uri="{FF2B5EF4-FFF2-40B4-BE49-F238E27FC236}">
              <a16:creationId xmlns:a16="http://schemas.microsoft.com/office/drawing/2014/main" id="{00000000-0008-0000-0100-00003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0" name="Text Box 15">
          <a:extLst>
            <a:ext uri="{FF2B5EF4-FFF2-40B4-BE49-F238E27FC236}">
              <a16:creationId xmlns:a16="http://schemas.microsoft.com/office/drawing/2014/main" id="{00000000-0008-0000-0100-00004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1" name="Text Box 15">
          <a:extLst>
            <a:ext uri="{FF2B5EF4-FFF2-40B4-BE49-F238E27FC236}">
              <a16:creationId xmlns:a16="http://schemas.microsoft.com/office/drawing/2014/main" id="{00000000-0008-0000-0100-00004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2" name="Text Box 15">
          <a:extLst>
            <a:ext uri="{FF2B5EF4-FFF2-40B4-BE49-F238E27FC236}">
              <a16:creationId xmlns:a16="http://schemas.microsoft.com/office/drawing/2014/main" id="{00000000-0008-0000-0100-00004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3" name="Text Box 15">
          <a:extLst>
            <a:ext uri="{FF2B5EF4-FFF2-40B4-BE49-F238E27FC236}">
              <a16:creationId xmlns:a16="http://schemas.microsoft.com/office/drawing/2014/main" id="{00000000-0008-0000-0100-00004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4" name="Text Box 15">
          <a:extLst>
            <a:ext uri="{FF2B5EF4-FFF2-40B4-BE49-F238E27FC236}">
              <a16:creationId xmlns:a16="http://schemas.microsoft.com/office/drawing/2014/main" id="{00000000-0008-0000-0100-00004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5" name="Text Box 15">
          <a:extLst>
            <a:ext uri="{FF2B5EF4-FFF2-40B4-BE49-F238E27FC236}">
              <a16:creationId xmlns:a16="http://schemas.microsoft.com/office/drawing/2014/main" id="{00000000-0008-0000-0100-00004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6" name="Text Box 15">
          <a:extLst>
            <a:ext uri="{FF2B5EF4-FFF2-40B4-BE49-F238E27FC236}">
              <a16:creationId xmlns:a16="http://schemas.microsoft.com/office/drawing/2014/main" id="{00000000-0008-0000-0100-00004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7" name="Text Box 15">
          <a:extLst>
            <a:ext uri="{FF2B5EF4-FFF2-40B4-BE49-F238E27FC236}">
              <a16:creationId xmlns:a16="http://schemas.microsoft.com/office/drawing/2014/main" id="{00000000-0008-0000-0100-00004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8" name="Text Box 15">
          <a:extLst>
            <a:ext uri="{FF2B5EF4-FFF2-40B4-BE49-F238E27FC236}">
              <a16:creationId xmlns:a16="http://schemas.microsoft.com/office/drawing/2014/main" id="{00000000-0008-0000-0100-00004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49" name="Text Box 15">
          <a:extLst>
            <a:ext uri="{FF2B5EF4-FFF2-40B4-BE49-F238E27FC236}">
              <a16:creationId xmlns:a16="http://schemas.microsoft.com/office/drawing/2014/main" id="{00000000-0008-0000-0100-000049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0" name="Text Box 15">
          <a:extLst>
            <a:ext uri="{FF2B5EF4-FFF2-40B4-BE49-F238E27FC236}">
              <a16:creationId xmlns:a16="http://schemas.microsoft.com/office/drawing/2014/main" id="{00000000-0008-0000-0100-00004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1" name="Text Box 15">
          <a:extLst>
            <a:ext uri="{FF2B5EF4-FFF2-40B4-BE49-F238E27FC236}">
              <a16:creationId xmlns:a16="http://schemas.microsoft.com/office/drawing/2014/main" id="{00000000-0008-0000-0100-00004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2" name="Text Box 15">
          <a:extLst>
            <a:ext uri="{FF2B5EF4-FFF2-40B4-BE49-F238E27FC236}">
              <a16:creationId xmlns:a16="http://schemas.microsoft.com/office/drawing/2014/main" id="{00000000-0008-0000-0100-00004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3" name="Text Box 15">
          <a:extLst>
            <a:ext uri="{FF2B5EF4-FFF2-40B4-BE49-F238E27FC236}">
              <a16:creationId xmlns:a16="http://schemas.microsoft.com/office/drawing/2014/main" id="{00000000-0008-0000-0100-00004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4" name="Text Box 15">
          <a:extLst>
            <a:ext uri="{FF2B5EF4-FFF2-40B4-BE49-F238E27FC236}">
              <a16:creationId xmlns:a16="http://schemas.microsoft.com/office/drawing/2014/main" id="{00000000-0008-0000-0100-00004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5" name="Text Box 15">
          <a:extLst>
            <a:ext uri="{FF2B5EF4-FFF2-40B4-BE49-F238E27FC236}">
              <a16:creationId xmlns:a16="http://schemas.microsoft.com/office/drawing/2014/main" id="{00000000-0008-0000-0100-00004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6" name="Text Box 15">
          <a:extLst>
            <a:ext uri="{FF2B5EF4-FFF2-40B4-BE49-F238E27FC236}">
              <a16:creationId xmlns:a16="http://schemas.microsoft.com/office/drawing/2014/main" id="{00000000-0008-0000-0100-00005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7" name="Text Box 15">
          <a:extLst>
            <a:ext uri="{FF2B5EF4-FFF2-40B4-BE49-F238E27FC236}">
              <a16:creationId xmlns:a16="http://schemas.microsoft.com/office/drawing/2014/main" id="{00000000-0008-0000-0100-00005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8" name="Text Box 15">
          <a:extLst>
            <a:ext uri="{FF2B5EF4-FFF2-40B4-BE49-F238E27FC236}">
              <a16:creationId xmlns:a16="http://schemas.microsoft.com/office/drawing/2014/main" id="{00000000-0008-0000-0100-00005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9" name="Text Box 15">
          <a:extLst>
            <a:ext uri="{FF2B5EF4-FFF2-40B4-BE49-F238E27FC236}">
              <a16:creationId xmlns:a16="http://schemas.microsoft.com/office/drawing/2014/main" id="{00000000-0008-0000-0100-00005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0" name="Text Box 15">
          <a:extLst>
            <a:ext uri="{FF2B5EF4-FFF2-40B4-BE49-F238E27FC236}">
              <a16:creationId xmlns:a16="http://schemas.microsoft.com/office/drawing/2014/main" id="{00000000-0008-0000-0100-00005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1" name="Text Box 15">
          <a:extLst>
            <a:ext uri="{FF2B5EF4-FFF2-40B4-BE49-F238E27FC236}">
              <a16:creationId xmlns:a16="http://schemas.microsoft.com/office/drawing/2014/main" id="{00000000-0008-0000-0100-00005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2" name="Text Box 15">
          <a:extLst>
            <a:ext uri="{FF2B5EF4-FFF2-40B4-BE49-F238E27FC236}">
              <a16:creationId xmlns:a16="http://schemas.microsoft.com/office/drawing/2014/main" id="{00000000-0008-0000-0100-00005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3" name="Text Box 15">
          <a:extLst>
            <a:ext uri="{FF2B5EF4-FFF2-40B4-BE49-F238E27FC236}">
              <a16:creationId xmlns:a16="http://schemas.microsoft.com/office/drawing/2014/main" id="{00000000-0008-0000-0100-00005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4" name="Text Box 15">
          <a:extLst>
            <a:ext uri="{FF2B5EF4-FFF2-40B4-BE49-F238E27FC236}">
              <a16:creationId xmlns:a16="http://schemas.microsoft.com/office/drawing/2014/main" id="{00000000-0008-0000-0100-00005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5" name="Text Box 15">
          <a:extLst>
            <a:ext uri="{FF2B5EF4-FFF2-40B4-BE49-F238E27FC236}">
              <a16:creationId xmlns:a16="http://schemas.microsoft.com/office/drawing/2014/main" id="{00000000-0008-0000-0100-00005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6" name="Text Box 15">
          <a:extLst>
            <a:ext uri="{FF2B5EF4-FFF2-40B4-BE49-F238E27FC236}">
              <a16:creationId xmlns:a16="http://schemas.microsoft.com/office/drawing/2014/main" id="{00000000-0008-0000-0100-00005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7" name="Text Box 15">
          <a:extLst>
            <a:ext uri="{FF2B5EF4-FFF2-40B4-BE49-F238E27FC236}">
              <a16:creationId xmlns:a16="http://schemas.microsoft.com/office/drawing/2014/main" id="{00000000-0008-0000-0100-00005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8" name="Text Box 15">
          <a:extLst>
            <a:ext uri="{FF2B5EF4-FFF2-40B4-BE49-F238E27FC236}">
              <a16:creationId xmlns:a16="http://schemas.microsoft.com/office/drawing/2014/main" id="{00000000-0008-0000-0100-00005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9" name="Text Box 15">
          <a:extLst>
            <a:ext uri="{FF2B5EF4-FFF2-40B4-BE49-F238E27FC236}">
              <a16:creationId xmlns:a16="http://schemas.microsoft.com/office/drawing/2014/main" id="{00000000-0008-0000-0100-00005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0" name="Text Box 15">
          <a:extLst>
            <a:ext uri="{FF2B5EF4-FFF2-40B4-BE49-F238E27FC236}">
              <a16:creationId xmlns:a16="http://schemas.microsoft.com/office/drawing/2014/main" id="{00000000-0008-0000-0100-00005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1" name="Text Box 15">
          <a:extLst>
            <a:ext uri="{FF2B5EF4-FFF2-40B4-BE49-F238E27FC236}">
              <a16:creationId xmlns:a16="http://schemas.microsoft.com/office/drawing/2014/main" id="{00000000-0008-0000-0100-00005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2" name="Text Box 15">
          <a:extLst>
            <a:ext uri="{FF2B5EF4-FFF2-40B4-BE49-F238E27FC236}">
              <a16:creationId xmlns:a16="http://schemas.microsoft.com/office/drawing/2014/main" id="{00000000-0008-0000-0100-00006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3" name="Text Box 15">
          <a:extLst>
            <a:ext uri="{FF2B5EF4-FFF2-40B4-BE49-F238E27FC236}">
              <a16:creationId xmlns:a16="http://schemas.microsoft.com/office/drawing/2014/main" id="{00000000-0008-0000-0100-00006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4" name="Text Box 15">
          <a:extLst>
            <a:ext uri="{FF2B5EF4-FFF2-40B4-BE49-F238E27FC236}">
              <a16:creationId xmlns:a16="http://schemas.microsoft.com/office/drawing/2014/main" id="{00000000-0008-0000-0100-00006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5" name="Text Box 15">
          <a:extLst>
            <a:ext uri="{FF2B5EF4-FFF2-40B4-BE49-F238E27FC236}">
              <a16:creationId xmlns:a16="http://schemas.microsoft.com/office/drawing/2014/main" id="{00000000-0008-0000-0100-00006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6" name="Text Box 15">
          <a:extLst>
            <a:ext uri="{FF2B5EF4-FFF2-40B4-BE49-F238E27FC236}">
              <a16:creationId xmlns:a16="http://schemas.microsoft.com/office/drawing/2014/main" id="{00000000-0008-0000-0100-00006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7" name="Text Box 15">
          <a:extLst>
            <a:ext uri="{FF2B5EF4-FFF2-40B4-BE49-F238E27FC236}">
              <a16:creationId xmlns:a16="http://schemas.microsoft.com/office/drawing/2014/main" id="{00000000-0008-0000-0100-00006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8" name="Text Box 15">
          <a:extLst>
            <a:ext uri="{FF2B5EF4-FFF2-40B4-BE49-F238E27FC236}">
              <a16:creationId xmlns:a16="http://schemas.microsoft.com/office/drawing/2014/main" id="{00000000-0008-0000-0100-00006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9" name="Text Box 15">
          <a:extLst>
            <a:ext uri="{FF2B5EF4-FFF2-40B4-BE49-F238E27FC236}">
              <a16:creationId xmlns:a16="http://schemas.microsoft.com/office/drawing/2014/main" id="{00000000-0008-0000-0100-00006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0" name="Text Box 15">
          <a:extLst>
            <a:ext uri="{FF2B5EF4-FFF2-40B4-BE49-F238E27FC236}">
              <a16:creationId xmlns:a16="http://schemas.microsoft.com/office/drawing/2014/main" id="{00000000-0008-0000-0100-00006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1" name="Text Box 15">
          <a:extLst>
            <a:ext uri="{FF2B5EF4-FFF2-40B4-BE49-F238E27FC236}">
              <a16:creationId xmlns:a16="http://schemas.microsoft.com/office/drawing/2014/main" id="{00000000-0008-0000-0100-00006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2" name="Text Box 15">
          <a:extLst>
            <a:ext uri="{FF2B5EF4-FFF2-40B4-BE49-F238E27FC236}">
              <a16:creationId xmlns:a16="http://schemas.microsoft.com/office/drawing/2014/main" id="{00000000-0008-0000-0100-00006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3" name="Text Box 15">
          <a:extLst>
            <a:ext uri="{FF2B5EF4-FFF2-40B4-BE49-F238E27FC236}">
              <a16:creationId xmlns:a16="http://schemas.microsoft.com/office/drawing/2014/main" id="{00000000-0008-0000-0100-00006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4" name="Text Box 15">
          <a:extLst>
            <a:ext uri="{FF2B5EF4-FFF2-40B4-BE49-F238E27FC236}">
              <a16:creationId xmlns:a16="http://schemas.microsoft.com/office/drawing/2014/main" id="{00000000-0008-0000-0100-00006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5" name="Text Box 15">
          <a:extLst>
            <a:ext uri="{FF2B5EF4-FFF2-40B4-BE49-F238E27FC236}">
              <a16:creationId xmlns:a16="http://schemas.microsoft.com/office/drawing/2014/main" id="{00000000-0008-0000-0100-00006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6" name="Text Box 15">
          <a:extLst>
            <a:ext uri="{FF2B5EF4-FFF2-40B4-BE49-F238E27FC236}">
              <a16:creationId xmlns:a16="http://schemas.microsoft.com/office/drawing/2014/main" id="{00000000-0008-0000-0100-00006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7" name="Text Box 15">
          <a:extLst>
            <a:ext uri="{FF2B5EF4-FFF2-40B4-BE49-F238E27FC236}">
              <a16:creationId xmlns:a16="http://schemas.microsoft.com/office/drawing/2014/main" id="{00000000-0008-0000-0100-00006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8" name="Text Box 15">
          <a:extLst>
            <a:ext uri="{FF2B5EF4-FFF2-40B4-BE49-F238E27FC236}">
              <a16:creationId xmlns:a16="http://schemas.microsoft.com/office/drawing/2014/main" id="{00000000-0008-0000-0100-00007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9" name="Text Box 15">
          <a:extLst>
            <a:ext uri="{FF2B5EF4-FFF2-40B4-BE49-F238E27FC236}">
              <a16:creationId xmlns:a16="http://schemas.microsoft.com/office/drawing/2014/main" id="{00000000-0008-0000-0100-00007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0" name="Text Box 15">
          <a:extLst>
            <a:ext uri="{FF2B5EF4-FFF2-40B4-BE49-F238E27FC236}">
              <a16:creationId xmlns:a16="http://schemas.microsoft.com/office/drawing/2014/main" id="{00000000-0008-0000-0100-00007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1" name="Text Box 15">
          <a:extLst>
            <a:ext uri="{FF2B5EF4-FFF2-40B4-BE49-F238E27FC236}">
              <a16:creationId xmlns:a16="http://schemas.microsoft.com/office/drawing/2014/main" id="{00000000-0008-0000-0100-00007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2" name="Text Box 15">
          <a:extLst>
            <a:ext uri="{FF2B5EF4-FFF2-40B4-BE49-F238E27FC236}">
              <a16:creationId xmlns:a16="http://schemas.microsoft.com/office/drawing/2014/main" id="{00000000-0008-0000-0100-00007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3" name="Text Box 15">
          <a:extLst>
            <a:ext uri="{FF2B5EF4-FFF2-40B4-BE49-F238E27FC236}">
              <a16:creationId xmlns:a16="http://schemas.microsoft.com/office/drawing/2014/main" id="{00000000-0008-0000-0100-00007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4" name="Text Box 15">
          <a:extLst>
            <a:ext uri="{FF2B5EF4-FFF2-40B4-BE49-F238E27FC236}">
              <a16:creationId xmlns:a16="http://schemas.microsoft.com/office/drawing/2014/main" id="{00000000-0008-0000-0100-00007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5" name="Text Box 15">
          <a:extLst>
            <a:ext uri="{FF2B5EF4-FFF2-40B4-BE49-F238E27FC236}">
              <a16:creationId xmlns:a16="http://schemas.microsoft.com/office/drawing/2014/main" id="{00000000-0008-0000-0100-00007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6" name="Text Box 15">
          <a:extLst>
            <a:ext uri="{FF2B5EF4-FFF2-40B4-BE49-F238E27FC236}">
              <a16:creationId xmlns:a16="http://schemas.microsoft.com/office/drawing/2014/main" id="{00000000-0008-0000-0100-00007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7" name="Text Box 15">
          <a:extLst>
            <a:ext uri="{FF2B5EF4-FFF2-40B4-BE49-F238E27FC236}">
              <a16:creationId xmlns:a16="http://schemas.microsoft.com/office/drawing/2014/main" id="{00000000-0008-0000-0100-00007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8" name="Text Box 15">
          <a:extLst>
            <a:ext uri="{FF2B5EF4-FFF2-40B4-BE49-F238E27FC236}">
              <a16:creationId xmlns:a16="http://schemas.microsoft.com/office/drawing/2014/main" id="{00000000-0008-0000-0100-00007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9" name="Text Box 15">
          <a:extLst>
            <a:ext uri="{FF2B5EF4-FFF2-40B4-BE49-F238E27FC236}">
              <a16:creationId xmlns:a16="http://schemas.microsoft.com/office/drawing/2014/main" id="{00000000-0008-0000-0100-00007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0" name="Text Box 15">
          <a:extLst>
            <a:ext uri="{FF2B5EF4-FFF2-40B4-BE49-F238E27FC236}">
              <a16:creationId xmlns:a16="http://schemas.microsoft.com/office/drawing/2014/main" id="{00000000-0008-0000-0100-00007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1" name="Text Box 15">
          <a:extLst>
            <a:ext uri="{FF2B5EF4-FFF2-40B4-BE49-F238E27FC236}">
              <a16:creationId xmlns:a16="http://schemas.microsoft.com/office/drawing/2014/main" id="{00000000-0008-0000-0100-00007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2" name="Text Box 15">
          <a:extLst>
            <a:ext uri="{FF2B5EF4-FFF2-40B4-BE49-F238E27FC236}">
              <a16:creationId xmlns:a16="http://schemas.microsoft.com/office/drawing/2014/main" id="{00000000-0008-0000-0100-00007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3" name="Text Box 15">
          <a:extLst>
            <a:ext uri="{FF2B5EF4-FFF2-40B4-BE49-F238E27FC236}">
              <a16:creationId xmlns:a16="http://schemas.microsoft.com/office/drawing/2014/main" id="{00000000-0008-0000-0100-00007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4" name="Text Box 15">
          <a:extLst>
            <a:ext uri="{FF2B5EF4-FFF2-40B4-BE49-F238E27FC236}">
              <a16:creationId xmlns:a16="http://schemas.microsoft.com/office/drawing/2014/main" id="{00000000-0008-0000-0100-00008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5" name="Text Box 15">
          <a:extLst>
            <a:ext uri="{FF2B5EF4-FFF2-40B4-BE49-F238E27FC236}">
              <a16:creationId xmlns:a16="http://schemas.microsoft.com/office/drawing/2014/main" id="{00000000-0008-0000-0100-00008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6" name="Text Box 15">
          <a:extLst>
            <a:ext uri="{FF2B5EF4-FFF2-40B4-BE49-F238E27FC236}">
              <a16:creationId xmlns:a16="http://schemas.microsoft.com/office/drawing/2014/main" id="{00000000-0008-0000-0100-00008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7" name="Text Box 15">
          <a:extLst>
            <a:ext uri="{FF2B5EF4-FFF2-40B4-BE49-F238E27FC236}">
              <a16:creationId xmlns:a16="http://schemas.microsoft.com/office/drawing/2014/main" id="{00000000-0008-0000-0100-00008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8" name="Text Box 15">
          <a:extLst>
            <a:ext uri="{FF2B5EF4-FFF2-40B4-BE49-F238E27FC236}">
              <a16:creationId xmlns:a16="http://schemas.microsoft.com/office/drawing/2014/main" id="{00000000-0008-0000-0100-00008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9" name="Text Box 15">
          <a:extLst>
            <a:ext uri="{FF2B5EF4-FFF2-40B4-BE49-F238E27FC236}">
              <a16:creationId xmlns:a16="http://schemas.microsoft.com/office/drawing/2014/main" id="{00000000-0008-0000-0100-00008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0" name="Text Box 15">
          <a:extLst>
            <a:ext uri="{FF2B5EF4-FFF2-40B4-BE49-F238E27FC236}">
              <a16:creationId xmlns:a16="http://schemas.microsoft.com/office/drawing/2014/main" id="{00000000-0008-0000-0100-00008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1" name="Text Box 15">
          <a:extLst>
            <a:ext uri="{FF2B5EF4-FFF2-40B4-BE49-F238E27FC236}">
              <a16:creationId xmlns:a16="http://schemas.microsoft.com/office/drawing/2014/main" id="{00000000-0008-0000-0100-00008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2" name="Text Box 15">
          <a:extLst>
            <a:ext uri="{FF2B5EF4-FFF2-40B4-BE49-F238E27FC236}">
              <a16:creationId xmlns:a16="http://schemas.microsoft.com/office/drawing/2014/main" id="{00000000-0008-0000-0100-00008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3" name="Text Box 15">
          <a:extLst>
            <a:ext uri="{FF2B5EF4-FFF2-40B4-BE49-F238E27FC236}">
              <a16:creationId xmlns:a16="http://schemas.microsoft.com/office/drawing/2014/main" id="{00000000-0008-0000-0100-00008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4" name="Text Box 15">
          <a:extLst>
            <a:ext uri="{FF2B5EF4-FFF2-40B4-BE49-F238E27FC236}">
              <a16:creationId xmlns:a16="http://schemas.microsoft.com/office/drawing/2014/main" id="{00000000-0008-0000-0100-00008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5" name="Text Box 15">
          <a:extLst>
            <a:ext uri="{FF2B5EF4-FFF2-40B4-BE49-F238E27FC236}">
              <a16:creationId xmlns:a16="http://schemas.microsoft.com/office/drawing/2014/main" id="{00000000-0008-0000-0100-00008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6" name="Text Box 15">
          <a:extLst>
            <a:ext uri="{FF2B5EF4-FFF2-40B4-BE49-F238E27FC236}">
              <a16:creationId xmlns:a16="http://schemas.microsoft.com/office/drawing/2014/main" id="{00000000-0008-0000-0100-00008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7" name="Text Box 15">
          <a:extLst>
            <a:ext uri="{FF2B5EF4-FFF2-40B4-BE49-F238E27FC236}">
              <a16:creationId xmlns:a16="http://schemas.microsoft.com/office/drawing/2014/main" id="{00000000-0008-0000-0100-00008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8" name="Text Box 15">
          <a:extLst>
            <a:ext uri="{FF2B5EF4-FFF2-40B4-BE49-F238E27FC236}">
              <a16:creationId xmlns:a16="http://schemas.microsoft.com/office/drawing/2014/main" id="{00000000-0008-0000-0100-00008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9" name="Text Box 15">
          <a:extLst>
            <a:ext uri="{FF2B5EF4-FFF2-40B4-BE49-F238E27FC236}">
              <a16:creationId xmlns:a16="http://schemas.microsoft.com/office/drawing/2014/main" id="{00000000-0008-0000-0100-00008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0" name="Text Box 15">
          <a:extLst>
            <a:ext uri="{FF2B5EF4-FFF2-40B4-BE49-F238E27FC236}">
              <a16:creationId xmlns:a16="http://schemas.microsoft.com/office/drawing/2014/main" id="{00000000-0008-0000-0100-00009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1" name="Text Box 15">
          <a:extLst>
            <a:ext uri="{FF2B5EF4-FFF2-40B4-BE49-F238E27FC236}">
              <a16:creationId xmlns:a16="http://schemas.microsoft.com/office/drawing/2014/main" id="{00000000-0008-0000-0100-00009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22" name="Text Box 15">
          <a:extLst>
            <a:ext uri="{FF2B5EF4-FFF2-40B4-BE49-F238E27FC236}">
              <a16:creationId xmlns:a16="http://schemas.microsoft.com/office/drawing/2014/main" id="{00000000-0008-0000-0100-00009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3" name="Text Box 15">
          <a:extLst>
            <a:ext uri="{FF2B5EF4-FFF2-40B4-BE49-F238E27FC236}">
              <a16:creationId xmlns:a16="http://schemas.microsoft.com/office/drawing/2014/main" id="{00000000-0008-0000-0100-00009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4" name="Text Box 15">
          <a:extLst>
            <a:ext uri="{FF2B5EF4-FFF2-40B4-BE49-F238E27FC236}">
              <a16:creationId xmlns:a16="http://schemas.microsoft.com/office/drawing/2014/main" id="{00000000-0008-0000-0100-00009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5" name="Text Box 15">
          <a:extLst>
            <a:ext uri="{FF2B5EF4-FFF2-40B4-BE49-F238E27FC236}">
              <a16:creationId xmlns:a16="http://schemas.microsoft.com/office/drawing/2014/main" id="{00000000-0008-0000-0100-00009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6" name="Text Box 15">
          <a:extLst>
            <a:ext uri="{FF2B5EF4-FFF2-40B4-BE49-F238E27FC236}">
              <a16:creationId xmlns:a16="http://schemas.microsoft.com/office/drawing/2014/main" id="{00000000-0008-0000-0100-00009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27" name="Text Box 15">
          <a:extLst>
            <a:ext uri="{FF2B5EF4-FFF2-40B4-BE49-F238E27FC236}">
              <a16:creationId xmlns:a16="http://schemas.microsoft.com/office/drawing/2014/main" id="{00000000-0008-0000-0100-000097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8" name="Text Box 15">
          <a:extLst>
            <a:ext uri="{FF2B5EF4-FFF2-40B4-BE49-F238E27FC236}">
              <a16:creationId xmlns:a16="http://schemas.microsoft.com/office/drawing/2014/main" id="{00000000-0008-0000-0100-00009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9" name="Text Box 15">
          <a:extLst>
            <a:ext uri="{FF2B5EF4-FFF2-40B4-BE49-F238E27FC236}">
              <a16:creationId xmlns:a16="http://schemas.microsoft.com/office/drawing/2014/main" id="{00000000-0008-0000-0100-00009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0" name="Text Box 15">
          <a:extLst>
            <a:ext uri="{FF2B5EF4-FFF2-40B4-BE49-F238E27FC236}">
              <a16:creationId xmlns:a16="http://schemas.microsoft.com/office/drawing/2014/main" id="{00000000-0008-0000-0100-00009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1" name="Text Box 15">
          <a:extLst>
            <a:ext uri="{FF2B5EF4-FFF2-40B4-BE49-F238E27FC236}">
              <a16:creationId xmlns:a16="http://schemas.microsoft.com/office/drawing/2014/main" id="{00000000-0008-0000-0100-00009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2" name="Text Box 15">
          <a:extLst>
            <a:ext uri="{FF2B5EF4-FFF2-40B4-BE49-F238E27FC236}">
              <a16:creationId xmlns:a16="http://schemas.microsoft.com/office/drawing/2014/main" id="{00000000-0008-0000-0100-00009C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3" name="Text Box 15">
          <a:extLst>
            <a:ext uri="{FF2B5EF4-FFF2-40B4-BE49-F238E27FC236}">
              <a16:creationId xmlns:a16="http://schemas.microsoft.com/office/drawing/2014/main" id="{00000000-0008-0000-0100-00009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4" name="Text Box 15">
          <a:extLst>
            <a:ext uri="{FF2B5EF4-FFF2-40B4-BE49-F238E27FC236}">
              <a16:creationId xmlns:a16="http://schemas.microsoft.com/office/drawing/2014/main" id="{00000000-0008-0000-0100-00009E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5" name="Text Box 15">
          <a:extLst>
            <a:ext uri="{FF2B5EF4-FFF2-40B4-BE49-F238E27FC236}">
              <a16:creationId xmlns:a16="http://schemas.microsoft.com/office/drawing/2014/main" id="{00000000-0008-0000-0100-00009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6" name="Text Box 15">
          <a:extLst>
            <a:ext uri="{FF2B5EF4-FFF2-40B4-BE49-F238E27FC236}">
              <a16:creationId xmlns:a16="http://schemas.microsoft.com/office/drawing/2014/main" id="{00000000-0008-0000-0100-0000A0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7" name="Text Box 15">
          <a:extLst>
            <a:ext uri="{FF2B5EF4-FFF2-40B4-BE49-F238E27FC236}">
              <a16:creationId xmlns:a16="http://schemas.microsoft.com/office/drawing/2014/main" id="{00000000-0008-0000-0100-0000A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8" name="Text Box 15">
          <a:extLst>
            <a:ext uri="{FF2B5EF4-FFF2-40B4-BE49-F238E27FC236}">
              <a16:creationId xmlns:a16="http://schemas.microsoft.com/office/drawing/2014/main" id="{00000000-0008-0000-0100-0000A2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9" name="Text Box 15">
          <a:extLst>
            <a:ext uri="{FF2B5EF4-FFF2-40B4-BE49-F238E27FC236}">
              <a16:creationId xmlns:a16="http://schemas.microsoft.com/office/drawing/2014/main" id="{00000000-0008-0000-0100-0000A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40" name="Text Box 15">
          <a:extLst>
            <a:ext uri="{FF2B5EF4-FFF2-40B4-BE49-F238E27FC236}">
              <a16:creationId xmlns:a16="http://schemas.microsoft.com/office/drawing/2014/main" id="{00000000-0008-0000-0100-0000A4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1" name="Text Box 15">
          <a:extLst>
            <a:ext uri="{FF2B5EF4-FFF2-40B4-BE49-F238E27FC236}">
              <a16:creationId xmlns:a16="http://schemas.microsoft.com/office/drawing/2014/main" id="{00000000-0008-0000-0100-0000A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2" name="Text Box 15">
          <a:extLst>
            <a:ext uri="{FF2B5EF4-FFF2-40B4-BE49-F238E27FC236}">
              <a16:creationId xmlns:a16="http://schemas.microsoft.com/office/drawing/2014/main" id="{00000000-0008-0000-0100-0000A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3" name="Text Box 15">
          <a:extLst>
            <a:ext uri="{FF2B5EF4-FFF2-40B4-BE49-F238E27FC236}">
              <a16:creationId xmlns:a16="http://schemas.microsoft.com/office/drawing/2014/main" id="{00000000-0008-0000-0100-0000A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4" name="Text Box 15">
          <a:extLst>
            <a:ext uri="{FF2B5EF4-FFF2-40B4-BE49-F238E27FC236}">
              <a16:creationId xmlns:a16="http://schemas.microsoft.com/office/drawing/2014/main" id="{00000000-0008-0000-0100-0000A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5" name="Text Box 15">
          <a:extLst>
            <a:ext uri="{FF2B5EF4-FFF2-40B4-BE49-F238E27FC236}">
              <a16:creationId xmlns:a16="http://schemas.microsoft.com/office/drawing/2014/main" id="{00000000-0008-0000-0100-0000A9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6" name="Text Box 15">
          <a:extLst>
            <a:ext uri="{FF2B5EF4-FFF2-40B4-BE49-F238E27FC236}">
              <a16:creationId xmlns:a16="http://schemas.microsoft.com/office/drawing/2014/main" id="{00000000-0008-0000-0100-0000A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7" name="Text Box 15">
          <a:extLst>
            <a:ext uri="{FF2B5EF4-FFF2-40B4-BE49-F238E27FC236}">
              <a16:creationId xmlns:a16="http://schemas.microsoft.com/office/drawing/2014/main" id="{00000000-0008-0000-0100-0000AB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48" name="Text Box 15">
          <a:extLst>
            <a:ext uri="{FF2B5EF4-FFF2-40B4-BE49-F238E27FC236}">
              <a16:creationId xmlns:a16="http://schemas.microsoft.com/office/drawing/2014/main" id="{00000000-0008-0000-0100-0000AC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49" name="Text Box 15">
          <a:extLst>
            <a:ext uri="{FF2B5EF4-FFF2-40B4-BE49-F238E27FC236}">
              <a16:creationId xmlns:a16="http://schemas.microsoft.com/office/drawing/2014/main" id="{00000000-0008-0000-0100-0000A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0" name="Text Box 15">
          <a:extLst>
            <a:ext uri="{FF2B5EF4-FFF2-40B4-BE49-F238E27FC236}">
              <a16:creationId xmlns:a16="http://schemas.microsoft.com/office/drawing/2014/main" id="{00000000-0008-0000-0100-0000A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1" name="Text Box 15">
          <a:extLst>
            <a:ext uri="{FF2B5EF4-FFF2-40B4-BE49-F238E27FC236}">
              <a16:creationId xmlns:a16="http://schemas.microsoft.com/office/drawing/2014/main" id="{00000000-0008-0000-0100-0000A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2" name="Text Box 15">
          <a:extLst>
            <a:ext uri="{FF2B5EF4-FFF2-40B4-BE49-F238E27FC236}">
              <a16:creationId xmlns:a16="http://schemas.microsoft.com/office/drawing/2014/main" id="{00000000-0008-0000-0100-0000B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3" name="Text Box 15">
          <a:extLst>
            <a:ext uri="{FF2B5EF4-FFF2-40B4-BE49-F238E27FC236}">
              <a16:creationId xmlns:a16="http://schemas.microsoft.com/office/drawing/2014/main" id="{00000000-0008-0000-0100-0000B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4" name="Text Box 15">
          <a:extLst>
            <a:ext uri="{FF2B5EF4-FFF2-40B4-BE49-F238E27FC236}">
              <a16:creationId xmlns:a16="http://schemas.microsoft.com/office/drawing/2014/main" id="{00000000-0008-0000-0100-0000B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5" name="Text Box 15">
          <a:extLst>
            <a:ext uri="{FF2B5EF4-FFF2-40B4-BE49-F238E27FC236}">
              <a16:creationId xmlns:a16="http://schemas.microsoft.com/office/drawing/2014/main" id="{00000000-0008-0000-0100-0000B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6" name="Text Box 15">
          <a:extLst>
            <a:ext uri="{FF2B5EF4-FFF2-40B4-BE49-F238E27FC236}">
              <a16:creationId xmlns:a16="http://schemas.microsoft.com/office/drawing/2014/main" id="{00000000-0008-0000-0100-0000B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7" name="Text Box 15">
          <a:extLst>
            <a:ext uri="{FF2B5EF4-FFF2-40B4-BE49-F238E27FC236}">
              <a16:creationId xmlns:a16="http://schemas.microsoft.com/office/drawing/2014/main" id="{00000000-0008-0000-0100-0000B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8" name="Text Box 15">
          <a:extLst>
            <a:ext uri="{FF2B5EF4-FFF2-40B4-BE49-F238E27FC236}">
              <a16:creationId xmlns:a16="http://schemas.microsoft.com/office/drawing/2014/main" id="{00000000-0008-0000-0100-0000B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9" name="Text Box 15">
          <a:extLst>
            <a:ext uri="{FF2B5EF4-FFF2-40B4-BE49-F238E27FC236}">
              <a16:creationId xmlns:a16="http://schemas.microsoft.com/office/drawing/2014/main" id="{00000000-0008-0000-0100-0000B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0" name="Text Box 15">
          <a:extLst>
            <a:ext uri="{FF2B5EF4-FFF2-40B4-BE49-F238E27FC236}">
              <a16:creationId xmlns:a16="http://schemas.microsoft.com/office/drawing/2014/main" id="{00000000-0008-0000-0100-0000B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1" name="Text Box 15">
          <a:extLst>
            <a:ext uri="{FF2B5EF4-FFF2-40B4-BE49-F238E27FC236}">
              <a16:creationId xmlns:a16="http://schemas.microsoft.com/office/drawing/2014/main" id="{00000000-0008-0000-0100-0000B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2" name="Text Box 15">
          <a:extLst>
            <a:ext uri="{FF2B5EF4-FFF2-40B4-BE49-F238E27FC236}">
              <a16:creationId xmlns:a16="http://schemas.microsoft.com/office/drawing/2014/main" id="{00000000-0008-0000-0100-0000B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3" name="Text Box 15">
          <a:extLst>
            <a:ext uri="{FF2B5EF4-FFF2-40B4-BE49-F238E27FC236}">
              <a16:creationId xmlns:a16="http://schemas.microsoft.com/office/drawing/2014/main" id="{00000000-0008-0000-0100-0000B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4" name="Text Box 15">
          <a:extLst>
            <a:ext uri="{FF2B5EF4-FFF2-40B4-BE49-F238E27FC236}">
              <a16:creationId xmlns:a16="http://schemas.microsoft.com/office/drawing/2014/main" id="{00000000-0008-0000-0100-0000B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5" name="Text Box 15">
          <a:extLst>
            <a:ext uri="{FF2B5EF4-FFF2-40B4-BE49-F238E27FC236}">
              <a16:creationId xmlns:a16="http://schemas.microsoft.com/office/drawing/2014/main" id="{00000000-0008-0000-0100-0000B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6" name="Text Box 15">
          <a:extLst>
            <a:ext uri="{FF2B5EF4-FFF2-40B4-BE49-F238E27FC236}">
              <a16:creationId xmlns:a16="http://schemas.microsoft.com/office/drawing/2014/main" id="{00000000-0008-0000-0100-0000B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7" name="Text Box 15">
          <a:extLst>
            <a:ext uri="{FF2B5EF4-FFF2-40B4-BE49-F238E27FC236}">
              <a16:creationId xmlns:a16="http://schemas.microsoft.com/office/drawing/2014/main" id="{00000000-0008-0000-0100-0000B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8" name="Text Box 15">
          <a:extLst>
            <a:ext uri="{FF2B5EF4-FFF2-40B4-BE49-F238E27FC236}">
              <a16:creationId xmlns:a16="http://schemas.microsoft.com/office/drawing/2014/main" id="{00000000-0008-0000-0100-0000C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9" name="Text Box 15">
          <a:extLst>
            <a:ext uri="{FF2B5EF4-FFF2-40B4-BE49-F238E27FC236}">
              <a16:creationId xmlns:a16="http://schemas.microsoft.com/office/drawing/2014/main" id="{00000000-0008-0000-0100-0000C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0" name="Text Box 15">
          <a:extLst>
            <a:ext uri="{FF2B5EF4-FFF2-40B4-BE49-F238E27FC236}">
              <a16:creationId xmlns:a16="http://schemas.microsoft.com/office/drawing/2014/main" id="{00000000-0008-0000-0100-0000C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1" name="Text Box 15">
          <a:extLst>
            <a:ext uri="{FF2B5EF4-FFF2-40B4-BE49-F238E27FC236}">
              <a16:creationId xmlns:a16="http://schemas.microsoft.com/office/drawing/2014/main" id="{00000000-0008-0000-0100-0000C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2" name="Text Box 15">
          <a:extLst>
            <a:ext uri="{FF2B5EF4-FFF2-40B4-BE49-F238E27FC236}">
              <a16:creationId xmlns:a16="http://schemas.microsoft.com/office/drawing/2014/main" id="{00000000-0008-0000-0100-0000C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73" name="Text Box 15">
          <a:extLst>
            <a:ext uri="{FF2B5EF4-FFF2-40B4-BE49-F238E27FC236}">
              <a16:creationId xmlns:a16="http://schemas.microsoft.com/office/drawing/2014/main" id="{00000000-0008-0000-0100-0000C5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4" name="Text Box 15">
          <a:extLst>
            <a:ext uri="{FF2B5EF4-FFF2-40B4-BE49-F238E27FC236}">
              <a16:creationId xmlns:a16="http://schemas.microsoft.com/office/drawing/2014/main" id="{00000000-0008-0000-0100-0000C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5" name="Text Box 15">
          <a:extLst>
            <a:ext uri="{FF2B5EF4-FFF2-40B4-BE49-F238E27FC236}">
              <a16:creationId xmlns:a16="http://schemas.microsoft.com/office/drawing/2014/main" id="{00000000-0008-0000-0100-0000C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6" name="Text Box 15">
          <a:extLst>
            <a:ext uri="{FF2B5EF4-FFF2-40B4-BE49-F238E27FC236}">
              <a16:creationId xmlns:a16="http://schemas.microsoft.com/office/drawing/2014/main" id="{00000000-0008-0000-0100-0000C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7" name="Text Box 15">
          <a:extLst>
            <a:ext uri="{FF2B5EF4-FFF2-40B4-BE49-F238E27FC236}">
              <a16:creationId xmlns:a16="http://schemas.microsoft.com/office/drawing/2014/main" id="{00000000-0008-0000-0100-0000C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8" name="Text Box 15">
          <a:extLst>
            <a:ext uri="{FF2B5EF4-FFF2-40B4-BE49-F238E27FC236}">
              <a16:creationId xmlns:a16="http://schemas.microsoft.com/office/drawing/2014/main" id="{00000000-0008-0000-0100-0000C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9" name="Text Box 15">
          <a:extLst>
            <a:ext uri="{FF2B5EF4-FFF2-40B4-BE49-F238E27FC236}">
              <a16:creationId xmlns:a16="http://schemas.microsoft.com/office/drawing/2014/main" id="{00000000-0008-0000-0100-0000C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0" name="Text Box 15">
          <a:extLst>
            <a:ext uri="{FF2B5EF4-FFF2-40B4-BE49-F238E27FC236}">
              <a16:creationId xmlns:a16="http://schemas.microsoft.com/office/drawing/2014/main" id="{00000000-0008-0000-0100-0000C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1" name="Text Box 15">
          <a:extLst>
            <a:ext uri="{FF2B5EF4-FFF2-40B4-BE49-F238E27FC236}">
              <a16:creationId xmlns:a16="http://schemas.microsoft.com/office/drawing/2014/main" id="{00000000-0008-0000-0100-0000C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2" name="Text Box 15">
          <a:extLst>
            <a:ext uri="{FF2B5EF4-FFF2-40B4-BE49-F238E27FC236}">
              <a16:creationId xmlns:a16="http://schemas.microsoft.com/office/drawing/2014/main" id="{00000000-0008-0000-0100-0000C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3" name="Text Box 15">
          <a:extLst>
            <a:ext uri="{FF2B5EF4-FFF2-40B4-BE49-F238E27FC236}">
              <a16:creationId xmlns:a16="http://schemas.microsoft.com/office/drawing/2014/main" id="{00000000-0008-0000-0100-0000C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4" name="Text Box 15">
          <a:extLst>
            <a:ext uri="{FF2B5EF4-FFF2-40B4-BE49-F238E27FC236}">
              <a16:creationId xmlns:a16="http://schemas.microsoft.com/office/drawing/2014/main" id="{00000000-0008-0000-0100-0000D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5" name="Text Box 15">
          <a:extLst>
            <a:ext uri="{FF2B5EF4-FFF2-40B4-BE49-F238E27FC236}">
              <a16:creationId xmlns:a16="http://schemas.microsoft.com/office/drawing/2014/main" id="{00000000-0008-0000-0100-0000D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6" name="Text Box 15">
          <a:extLst>
            <a:ext uri="{FF2B5EF4-FFF2-40B4-BE49-F238E27FC236}">
              <a16:creationId xmlns:a16="http://schemas.microsoft.com/office/drawing/2014/main" id="{00000000-0008-0000-0100-0000D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7" name="Text Box 15">
          <a:extLst>
            <a:ext uri="{FF2B5EF4-FFF2-40B4-BE49-F238E27FC236}">
              <a16:creationId xmlns:a16="http://schemas.microsoft.com/office/drawing/2014/main" id="{00000000-0008-0000-0100-0000D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8" name="Text Box 15">
          <a:extLst>
            <a:ext uri="{FF2B5EF4-FFF2-40B4-BE49-F238E27FC236}">
              <a16:creationId xmlns:a16="http://schemas.microsoft.com/office/drawing/2014/main" id="{00000000-0008-0000-0100-0000D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9" name="Text Box 15">
          <a:extLst>
            <a:ext uri="{FF2B5EF4-FFF2-40B4-BE49-F238E27FC236}">
              <a16:creationId xmlns:a16="http://schemas.microsoft.com/office/drawing/2014/main" id="{00000000-0008-0000-0100-0000D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0" name="Text Box 15">
          <a:extLst>
            <a:ext uri="{FF2B5EF4-FFF2-40B4-BE49-F238E27FC236}">
              <a16:creationId xmlns:a16="http://schemas.microsoft.com/office/drawing/2014/main" id="{00000000-0008-0000-0100-0000D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1" name="Text Box 15">
          <a:extLst>
            <a:ext uri="{FF2B5EF4-FFF2-40B4-BE49-F238E27FC236}">
              <a16:creationId xmlns:a16="http://schemas.microsoft.com/office/drawing/2014/main" id="{00000000-0008-0000-0100-0000D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2" name="Text Box 15">
          <a:extLst>
            <a:ext uri="{FF2B5EF4-FFF2-40B4-BE49-F238E27FC236}">
              <a16:creationId xmlns:a16="http://schemas.microsoft.com/office/drawing/2014/main" id="{00000000-0008-0000-0100-0000D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3" name="Text Box 15">
          <a:extLst>
            <a:ext uri="{FF2B5EF4-FFF2-40B4-BE49-F238E27FC236}">
              <a16:creationId xmlns:a16="http://schemas.microsoft.com/office/drawing/2014/main" id="{00000000-0008-0000-0100-0000D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4" name="Text Box 15">
          <a:extLst>
            <a:ext uri="{FF2B5EF4-FFF2-40B4-BE49-F238E27FC236}">
              <a16:creationId xmlns:a16="http://schemas.microsoft.com/office/drawing/2014/main" id="{00000000-0008-0000-0100-0000D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5" name="Text Box 15">
          <a:extLst>
            <a:ext uri="{FF2B5EF4-FFF2-40B4-BE49-F238E27FC236}">
              <a16:creationId xmlns:a16="http://schemas.microsoft.com/office/drawing/2014/main" id="{00000000-0008-0000-0100-0000D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6" name="Text Box 15">
          <a:extLst>
            <a:ext uri="{FF2B5EF4-FFF2-40B4-BE49-F238E27FC236}">
              <a16:creationId xmlns:a16="http://schemas.microsoft.com/office/drawing/2014/main" id="{00000000-0008-0000-0100-0000D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7" name="Text Box 15">
          <a:extLst>
            <a:ext uri="{FF2B5EF4-FFF2-40B4-BE49-F238E27FC236}">
              <a16:creationId xmlns:a16="http://schemas.microsoft.com/office/drawing/2014/main" id="{00000000-0008-0000-0100-0000D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8" name="Text Box 15">
          <a:extLst>
            <a:ext uri="{FF2B5EF4-FFF2-40B4-BE49-F238E27FC236}">
              <a16:creationId xmlns:a16="http://schemas.microsoft.com/office/drawing/2014/main" id="{00000000-0008-0000-0100-0000D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9" name="Text Box 15">
          <a:extLst>
            <a:ext uri="{FF2B5EF4-FFF2-40B4-BE49-F238E27FC236}">
              <a16:creationId xmlns:a16="http://schemas.microsoft.com/office/drawing/2014/main" id="{00000000-0008-0000-0100-0000D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0" name="Text Box 15">
          <a:extLst>
            <a:ext uri="{FF2B5EF4-FFF2-40B4-BE49-F238E27FC236}">
              <a16:creationId xmlns:a16="http://schemas.microsoft.com/office/drawing/2014/main" id="{00000000-0008-0000-0100-0000E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1" name="Text Box 15">
          <a:extLst>
            <a:ext uri="{FF2B5EF4-FFF2-40B4-BE49-F238E27FC236}">
              <a16:creationId xmlns:a16="http://schemas.microsoft.com/office/drawing/2014/main" id="{00000000-0008-0000-0100-0000E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2" name="Text Box 15">
          <a:extLst>
            <a:ext uri="{FF2B5EF4-FFF2-40B4-BE49-F238E27FC236}">
              <a16:creationId xmlns:a16="http://schemas.microsoft.com/office/drawing/2014/main" id="{00000000-0008-0000-0100-0000E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3" name="Text Box 15">
          <a:extLst>
            <a:ext uri="{FF2B5EF4-FFF2-40B4-BE49-F238E27FC236}">
              <a16:creationId xmlns:a16="http://schemas.microsoft.com/office/drawing/2014/main" id="{00000000-0008-0000-0100-0000E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4" name="Text Box 15">
          <a:extLst>
            <a:ext uri="{FF2B5EF4-FFF2-40B4-BE49-F238E27FC236}">
              <a16:creationId xmlns:a16="http://schemas.microsoft.com/office/drawing/2014/main" id="{00000000-0008-0000-0100-0000E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5" name="Text Box 15">
          <a:extLst>
            <a:ext uri="{FF2B5EF4-FFF2-40B4-BE49-F238E27FC236}">
              <a16:creationId xmlns:a16="http://schemas.microsoft.com/office/drawing/2014/main" id="{00000000-0008-0000-0100-0000E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6" name="Text Box 15">
          <a:extLst>
            <a:ext uri="{FF2B5EF4-FFF2-40B4-BE49-F238E27FC236}">
              <a16:creationId xmlns:a16="http://schemas.microsoft.com/office/drawing/2014/main" id="{00000000-0008-0000-0100-0000E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7" name="Text Box 15">
          <a:extLst>
            <a:ext uri="{FF2B5EF4-FFF2-40B4-BE49-F238E27FC236}">
              <a16:creationId xmlns:a16="http://schemas.microsoft.com/office/drawing/2014/main" id="{00000000-0008-0000-0100-0000E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8" name="Text Box 15">
          <a:extLst>
            <a:ext uri="{FF2B5EF4-FFF2-40B4-BE49-F238E27FC236}">
              <a16:creationId xmlns:a16="http://schemas.microsoft.com/office/drawing/2014/main" id="{00000000-0008-0000-0100-0000E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9" name="Text Box 15">
          <a:extLst>
            <a:ext uri="{FF2B5EF4-FFF2-40B4-BE49-F238E27FC236}">
              <a16:creationId xmlns:a16="http://schemas.microsoft.com/office/drawing/2014/main" id="{00000000-0008-0000-0100-0000E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0" name="Text Box 15">
          <a:extLst>
            <a:ext uri="{FF2B5EF4-FFF2-40B4-BE49-F238E27FC236}">
              <a16:creationId xmlns:a16="http://schemas.microsoft.com/office/drawing/2014/main" id="{00000000-0008-0000-0100-0000E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1" name="Text Box 15">
          <a:extLst>
            <a:ext uri="{FF2B5EF4-FFF2-40B4-BE49-F238E27FC236}">
              <a16:creationId xmlns:a16="http://schemas.microsoft.com/office/drawing/2014/main" id="{00000000-0008-0000-0100-0000E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2" name="Text Box 15">
          <a:extLst>
            <a:ext uri="{FF2B5EF4-FFF2-40B4-BE49-F238E27FC236}">
              <a16:creationId xmlns:a16="http://schemas.microsoft.com/office/drawing/2014/main" id="{00000000-0008-0000-0100-0000E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3" name="Text Box 15">
          <a:extLst>
            <a:ext uri="{FF2B5EF4-FFF2-40B4-BE49-F238E27FC236}">
              <a16:creationId xmlns:a16="http://schemas.microsoft.com/office/drawing/2014/main" id="{00000000-0008-0000-0100-0000E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4" name="Text Box 15">
          <a:extLst>
            <a:ext uri="{FF2B5EF4-FFF2-40B4-BE49-F238E27FC236}">
              <a16:creationId xmlns:a16="http://schemas.microsoft.com/office/drawing/2014/main" id="{00000000-0008-0000-0100-0000E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5" name="Text Box 15">
          <a:extLst>
            <a:ext uri="{FF2B5EF4-FFF2-40B4-BE49-F238E27FC236}">
              <a16:creationId xmlns:a16="http://schemas.microsoft.com/office/drawing/2014/main" id="{00000000-0008-0000-0100-0000E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6" name="Text Box 15">
          <a:extLst>
            <a:ext uri="{FF2B5EF4-FFF2-40B4-BE49-F238E27FC236}">
              <a16:creationId xmlns:a16="http://schemas.microsoft.com/office/drawing/2014/main" id="{00000000-0008-0000-0100-0000F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7" name="Text Box 15">
          <a:extLst>
            <a:ext uri="{FF2B5EF4-FFF2-40B4-BE49-F238E27FC236}">
              <a16:creationId xmlns:a16="http://schemas.microsoft.com/office/drawing/2014/main" id="{00000000-0008-0000-0100-0000F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8" name="Text Box 15">
          <a:extLst>
            <a:ext uri="{FF2B5EF4-FFF2-40B4-BE49-F238E27FC236}">
              <a16:creationId xmlns:a16="http://schemas.microsoft.com/office/drawing/2014/main" id="{00000000-0008-0000-0100-0000F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9" name="Text Box 15">
          <a:extLst>
            <a:ext uri="{FF2B5EF4-FFF2-40B4-BE49-F238E27FC236}">
              <a16:creationId xmlns:a16="http://schemas.microsoft.com/office/drawing/2014/main" id="{00000000-0008-0000-0100-0000F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0" name="Text Box 15">
          <a:extLst>
            <a:ext uri="{FF2B5EF4-FFF2-40B4-BE49-F238E27FC236}">
              <a16:creationId xmlns:a16="http://schemas.microsoft.com/office/drawing/2014/main" id="{00000000-0008-0000-0100-0000F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1" name="Text Box 15">
          <a:extLst>
            <a:ext uri="{FF2B5EF4-FFF2-40B4-BE49-F238E27FC236}">
              <a16:creationId xmlns:a16="http://schemas.microsoft.com/office/drawing/2014/main" id="{00000000-0008-0000-0100-0000F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2" name="Text Box 15">
          <a:extLst>
            <a:ext uri="{FF2B5EF4-FFF2-40B4-BE49-F238E27FC236}">
              <a16:creationId xmlns:a16="http://schemas.microsoft.com/office/drawing/2014/main" id="{00000000-0008-0000-0100-0000F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3" name="Text Box 15">
          <a:extLst>
            <a:ext uri="{FF2B5EF4-FFF2-40B4-BE49-F238E27FC236}">
              <a16:creationId xmlns:a16="http://schemas.microsoft.com/office/drawing/2014/main" id="{00000000-0008-0000-0100-0000F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4" name="Text Box 15">
          <a:extLst>
            <a:ext uri="{FF2B5EF4-FFF2-40B4-BE49-F238E27FC236}">
              <a16:creationId xmlns:a16="http://schemas.microsoft.com/office/drawing/2014/main" id="{00000000-0008-0000-0100-0000F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5" name="Text Box 15">
          <a:extLst>
            <a:ext uri="{FF2B5EF4-FFF2-40B4-BE49-F238E27FC236}">
              <a16:creationId xmlns:a16="http://schemas.microsoft.com/office/drawing/2014/main" id="{00000000-0008-0000-0100-0000F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6" name="Text Box 15">
          <a:extLst>
            <a:ext uri="{FF2B5EF4-FFF2-40B4-BE49-F238E27FC236}">
              <a16:creationId xmlns:a16="http://schemas.microsoft.com/office/drawing/2014/main" id="{00000000-0008-0000-0100-0000F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7" name="Text Box 15">
          <a:extLst>
            <a:ext uri="{FF2B5EF4-FFF2-40B4-BE49-F238E27FC236}">
              <a16:creationId xmlns:a16="http://schemas.microsoft.com/office/drawing/2014/main" id="{00000000-0008-0000-0100-0000F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8" name="Text Box 15">
          <a:extLst>
            <a:ext uri="{FF2B5EF4-FFF2-40B4-BE49-F238E27FC236}">
              <a16:creationId xmlns:a16="http://schemas.microsoft.com/office/drawing/2014/main" id="{00000000-0008-0000-0100-0000F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9" name="Text Box 15">
          <a:extLst>
            <a:ext uri="{FF2B5EF4-FFF2-40B4-BE49-F238E27FC236}">
              <a16:creationId xmlns:a16="http://schemas.microsoft.com/office/drawing/2014/main" id="{00000000-0008-0000-0100-0000F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0" name="Text Box 15">
          <a:extLst>
            <a:ext uri="{FF2B5EF4-FFF2-40B4-BE49-F238E27FC236}">
              <a16:creationId xmlns:a16="http://schemas.microsoft.com/office/drawing/2014/main" id="{00000000-0008-0000-0100-0000F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1" name="Text Box 15">
          <a:extLst>
            <a:ext uri="{FF2B5EF4-FFF2-40B4-BE49-F238E27FC236}">
              <a16:creationId xmlns:a16="http://schemas.microsoft.com/office/drawing/2014/main" id="{00000000-0008-0000-0100-0000F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2" name="Text Box 15">
          <a:extLst>
            <a:ext uri="{FF2B5EF4-FFF2-40B4-BE49-F238E27FC236}">
              <a16:creationId xmlns:a16="http://schemas.microsoft.com/office/drawing/2014/main" id="{00000000-0008-0000-0100-00000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3" name="Text Box 15">
          <a:extLst>
            <a:ext uri="{FF2B5EF4-FFF2-40B4-BE49-F238E27FC236}">
              <a16:creationId xmlns:a16="http://schemas.microsoft.com/office/drawing/2014/main" id="{00000000-0008-0000-0100-00000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4" name="Text Box 15">
          <a:extLst>
            <a:ext uri="{FF2B5EF4-FFF2-40B4-BE49-F238E27FC236}">
              <a16:creationId xmlns:a16="http://schemas.microsoft.com/office/drawing/2014/main" id="{00000000-0008-0000-0100-00000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5" name="Text Box 15">
          <a:extLst>
            <a:ext uri="{FF2B5EF4-FFF2-40B4-BE49-F238E27FC236}">
              <a16:creationId xmlns:a16="http://schemas.microsoft.com/office/drawing/2014/main" id="{00000000-0008-0000-0100-00000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6" name="Text Box 15">
          <a:extLst>
            <a:ext uri="{FF2B5EF4-FFF2-40B4-BE49-F238E27FC236}">
              <a16:creationId xmlns:a16="http://schemas.microsoft.com/office/drawing/2014/main" id="{00000000-0008-0000-0100-00000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7" name="Text Box 15">
          <a:extLst>
            <a:ext uri="{FF2B5EF4-FFF2-40B4-BE49-F238E27FC236}">
              <a16:creationId xmlns:a16="http://schemas.microsoft.com/office/drawing/2014/main" id="{00000000-0008-0000-0100-00000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8" name="Text Box 15">
          <a:extLst>
            <a:ext uri="{FF2B5EF4-FFF2-40B4-BE49-F238E27FC236}">
              <a16:creationId xmlns:a16="http://schemas.microsoft.com/office/drawing/2014/main" id="{00000000-0008-0000-0100-00000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9" name="Text Box 15">
          <a:extLst>
            <a:ext uri="{FF2B5EF4-FFF2-40B4-BE49-F238E27FC236}">
              <a16:creationId xmlns:a16="http://schemas.microsoft.com/office/drawing/2014/main" id="{00000000-0008-0000-0100-00000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0" name="Text Box 15">
          <a:extLst>
            <a:ext uri="{FF2B5EF4-FFF2-40B4-BE49-F238E27FC236}">
              <a16:creationId xmlns:a16="http://schemas.microsoft.com/office/drawing/2014/main" id="{00000000-0008-0000-0100-00000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1" name="Text Box 15">
          <a:extLst>
            <a:ext uri="{FF2B5EF4-FFF2-40B4-BE49-F238E27FC236}">
              <a16:creationId xmlns:a16="http://schemas.microsoft.com/office/drawing/2014/main" id="{00000000-0008-0000-0100-00000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2" name="Text Box 15">
          <a:extLst>
            <a:ext uri="{FF2B5EF4-FFF2-40B4-BE49-F238E27FC236}">
              <a16:creationId xmlns:a16="http://schemas.microsoft.com/office/drawing/2014/main" id="{00000000-0008-0000-0100-00000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3" name="Text Box 15">
          <a:extLst>
            <a:ext uri="{FF2B5EF4-FFF2-40B4-BE49-F238E27FC236}">
              <a16:creationId xmlns:a16="http://schemas.microsoft.com/office/drawing/2014/main" id="{00000000-0008-0000-0100-00000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4" name="Text Box 15">
          <a:extLst>
            <a:ext uri="{FF2B5EF4-FFF2-40B4-BE49-F238E27FC236}">
              <a16:creationId xmlns:a16="http://schemas.microsoft.com/office/drawing/2014/main" id="{00000000-0008-0000-0100-00000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5" name="Text Box 15">
          <a:extLst>
            <a:ext uri="{FF2B5EF4-FFF2-40B4-BE49-F238E27FC236}">
              <a16:creationId xmlns:a16="http://schemas.microsoft.com/office/drawing/2014/main" id="{00000000-0008-0000-0100-00000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46" name="Text Box 15">
          <a:extLst>
            <a:ext uri="{FF2B5EF4-FFF2-40B4-BE49-F238E27FC236}">
              <a16:creationId xmlns:a16="http://schemas.microsoft.com/office/drawing/2014/main" id="{00000000-0008-0000-0100-00000E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7" name="Text Box 15">
          <a:extLst>
            <a:ext uri="{FF2B5EF4-FFF2-40B4-BE49-F238E27FC236}">
              <a16:creationId xmlns:a16="http://schemas.microsoft.com/office/drawing/2014/main" id="{00000000-0008-0000-0100-00000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8" name="Text Box 15">
          <a:extLst>
            <a:ext uri="{FF2B5EF4-FFF2-40B4-BE49-F238E27FC236}">
              <a16:creationId xmlns:a16="http://schemas.microsoft.com/office/drawing/2014/main" id="{00000000-0008-0000-0100-00001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9" name="Text Box 15">
          <a:extLst>
            <a:ext uri="{FF2B5EF4-FFF2-40B4-BE49-F238E27FC236}">
              <a16:creationId xmlns:a16="http://schemas.microsoft.com/office/drawing/2014/main" id="{00000000-0008-0000-0100-00001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0" name="Text Box 15">
          <a:extLst>
            <a:ext uri="{FF2B5EF4-FFF2-40B4-BE49-F238E27FC236}">
              <a16:creationId xmlns:a16="http://schemas.microsoft.com/office/drawing/2014/main" id="{00000000-0008-0000-0100-00001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51" name="Text Box 15">
          <a:extLst>
            <a:ext uri="{FF2B5EF4-FFF2-40B4-BE49-F238E27FC236}">
              <a16:creationId xmlns:a16="http://schemas.microsoft.com/office/drawing/2014/main" id="{00000000-0008-0000-0100-000013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2" name="Text Box 15">
          <a:extLst>
            <a:ext uri="{FF2B5EF4-FFF2-40B4-BE49-F238E27FC236}">
              <a16:creationId xmlns:a16="http://schemas.microsoft.com/office/drawing/2014/main" id="{00000000-0008-0000-0100-00001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3" name="Text Box 15">
          <a:extLst>
            <a:ext uri="{FF2B5EF4-FFF2-40B4-BE49-F238E27FC236}">
              <a16:creationId xmlns:a16="http://schemas.microsoft.com/office/drawing/2014/main" id="{00000000-0008-0000-0100-00001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4" name="Text Box 15">
          <a:extLst>
            <a:ext uri="{FF2B5EF4-FFF2-40B4-BE49-F238E27FC236}">
              <a16:creationId xmlns:a16="http://schemas.microsoft.com/office/drawing/2014/main" id="{00000000-0008-0000-0100-00001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5" name="Text Box 15">
          <a:extLst>
            <a:ext uri="{FF2B5EF4-FFF2-40B4-BE49-F238E27FC236}">
              <a16:creationId xmlns:a16="http://schemas.microsoft.com/office/drawing/2014/main" id="{00000000-0008-0000-0100-000017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6" name="Text Box 15">
          <a:extLst>
            <a:ext uri="{FF2B5EF4-FFF2-40B4-BE49-F238E27FC236}">
              <a16:creationId xmlns:a16="http://schemas.microsoft.com/office/drawing/2014/main" id="{00000000-0008-0000-0100-000018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7" name="Text Box 15">
          <a:extLst>
            <a:ext uri="{FF2B5EF4-FFF2-40B4-BE49-F238E27FC236}">
              <a16:creationId xmlns:a16="http://schemas.microsoft.com/office/drawing/2014/main" id="{00000000-0008-0000-0100-00001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8" name="Text Box 15">
          <a:extLst>
            <a:ext uri="{FF2B5EF4-FFF2-40B4-BE49-F238E27FC236}">
              <a16:creationId xmlns:a16="http://schemas.microsoft.com/office/drawing/2014/main" id="{00000000-0008-0000-0100-00001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9" name="Text Box 15">
          <a:extLst>
            <a:ext uri="{FF2B5EF4-FFF2-40B4-BE49-F238E27FC236}">
              <a16:creationId xmlns:a16="http://schemas.microsoft.com/office/drawing/2014/main" id="{00000000-0008-0000-0100-00001B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0" name="Text Box 15">
          <a:extLst>
            <a:ext uri="{FF2B5EF4-FFF2-40B4-BE49-F238E27FC236}">
              <a16:creationId xmlns:a16="http://schemas.microsoft.com/office/drawing/2014/main" id="{00000000-0008-0000-0100-00001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1" name="Text Box 15">
          <a:extLst>
            <a:ext uri="{FF2B5EF4-FFF2-40B4-BE49-F238E27FC236}">
              <a16:creationId xmlns:a16="http://schemas.microsoft.com/office/drawing/2014/main" id="{00000000-0008-0000-0100-00001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2" name="Text Box 15">
          <a:extLst>
            <a:ext uri="{FF2B5EF4-FFF2-40B4-BE49-F238E27FC236}">
              <a16:creationId xmlns:a16="http://schemas.microsoft.com/office/drawing/2014/main" id="{00000000-0008-0000-0100-00001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3" name="Text Box 15">
          <a:extLst>
            <a:ext uri="{FF2B5EF4-FFF2-40B4-BE49-F238E27FC236}">
              <a16:creationId xmlns:a16="http://schemas.microsoft.com/office/drawing/2014/main" id="{00000000-0008-0000-0100-00001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64" name="Text Box 15">
          <a:extLst>
            <a:ext uri="{FF2B5EF4-FFF2-40B4-BE49-F238E27FC236}">
              <a16:creationId xmlns:a16="http://schemas.microsoft.com/office/drawing/2014/main" id="{00000000-0008-0000-0100-000020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5" name="Text Box 15">
          <a:extLst>
            <a:ext uri="{FF2B5EF4-FFF2-40B4-BE49-F238E27FC236}">
              <a16:creationId xmlns:a16="http://schemas.microsoft.com/office/drawing/2014/main" id="{00000000-0008-0000-0100-00002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6" name="Text Box 15">
          <a:extLst>
            <a:ext uri="{FF2B5EF4-FFF2-40B4-BE49-F238E27FC236}">
              <a16:creationId xmlns:a16="http://schemas.microsoft.com/office/drawing/2014/main" id="{00000000-0008-0000-0100-00002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7" name="Text Box 15">
          <a:extLst>
            <a:ext uri="{FF2B5EF4-FFF2-40B4-BE49-F238E27FC236}">
              <a16:creationId xmlns:a16="http://schemas.microsoft.com/office/drawing/2014/main" id="{00000000-0008-0000-0100-00002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8" name="Text Box 15">
          <a:extLst>
            <a:ext uri="{FF2B5EF4-FFF2-40B4-BE49-F238E27FC236}">
              <a16:creationId xmlns:a16="http://schemas.microsoft.com/office/drawing/2014/main" id="{00000000-0008-0000-0100-00002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69" name="Text Box 15">
          <a:extLst>
            <a:ext uri="{FF2B5EF4-FFF2-40B4-BE49-F238E27FC236}">
              <a16:creationId xmlns:a16="http://schemas.microsoft.com/office/drawing/2014/main" id="{00000000-0008-0000-0100-000025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70" name="Text Box 15">
          <a:extLst>
            <a:ext uri="{FF2B5EF4-FFF2-40B4-BE49-F238E27FC236}">
              <a16:creationId xmlns:a16="http://schemas.microsoft.com/office/drawing/2014/main" id="{00000000-0008-0000-0100-00002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71" name="Text Box 15">
          <a:extLst>
            <a:ext uri="{FF2B5EF4-FFF2-40B4-BE49-F238E27FC236}">
              <a16:creationId xmlns:a16="http://schemas.microsoft.com/office/drawing/2014/main" id="{00000000-0008-0000-0100-00002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72" name="Text Box 15">
          <a:extLst>
            <a:ext uri="{FF2B5EF4-FFF2-40B4-BE49-F238E27FC236}">
              <a16:creationId xmlns:a16="http://schemas.microsoft.com/office/drawing/2014/main" id="{00000000-0008-0000-0100-000028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3" name="Text Box 15">
          <a:extLst>
            <a:ext uri="{FF2B5EF4-FFF2-40B4-BE49-F238E27FC236}">
              <a16:creationId xmlns:a16="http://schemas.microsoft.com/office/drawing/2014/main" id="{00000000-0008-0000-0100-00002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4" name="Text Box 15">
          <a:extLst>
            <a:ext uri="{FF2B5EF4-FFF2-40B4-BE49-F238E27FC236}">
              <a16:creationId xmlns:a16="http://schemas.microsoft.com/office/drawing/2014/main" id="{00000000-0008-0000-0100-00002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5" name="Text Box 15">
          <a:extLst>
            <a:ext uri="{FF2B5EF4-FFF2-40B4-BE49-F238E27FC236}">
              <a16:creationId xmlns:a16="http://schemas.microsoft.com/office/drawing/2014/main" id="{00000000-0008-0000-0100-00002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6" name="Text Box 15">
          <a:extLst>
            <a:ext uri="{FF2B5EF4-FFF2-40B4-BE49-F238E27FC236}">
              <a16:creationId xmlns:a16="http://schemas.microsoft.com/office/drawing/2014/main" id="{00000000-0008-0000-0100-00002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7" name="Text Box 15">
          <a:extLst>
            <a:ext uri="{FF2B5EF4-FFF2-40B4-BE49-F238E27FC236}">
              <a16:creationId xmlns:a16="http://schemas.microsoft.com/office/drawing/2014/main" id="{00000000-0008-0000-0100-00002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8" name="Text Box 15">
          <a:extLst>
            <a:ext uri="{FF2B5EF4-FFF2-40B4-BE49-F238E27FC236}">
              <a16:creationId xmlns:a16="http://schemas.microsoft.com/office/drawing/2014/main" id="{00000000-0008-0000-0100-00002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9" name="Text Box 15">
          <a:extLst>
            <a:ext uri="{FF2B5EF4-FFF2-40B4-BE49-F238E27FC236}">
              <a16:creationId xmlns:a16="http://schemas.microsoft.com/office/drawing/2014/main" id="{00000000-0008-0000-0100-00002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0" name="Text Box 15">
          <a:extLst>
            <a:ext uri="{FF2B5EF4-FFF2-40B4-BE49-F238E27FC236}">
              <a16:creationId xmlns:a16="http://schemas.microsoft.com/office/drawing/2014/main" id="{00000000-0008-0000-0100-00003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1" name="Text Box 15">
          <a:extLst>
            <a:ext uri="{FF2B5EF4-FFF2-40B4-BE49-F238E27FC236}">
              <a16:creationId xmlns:a16="http://schemas.microsoft.com/office/drawing/2014/main" id="{00000000-0008-0000-0100-00003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2" name="Text Box 15">
          <a:extLst>
            <a:ext uri="{FF2B5EF4-FFF2-40B4-BE49-F238E27FC236}">
              <a16:creationId xmlns:a16="http://schemas.microsoft.com/office/drawing/2014/main" id="{00000000-0008-0000-0100-00003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3" name="Text Box 15">
          <a:extLst>
            <a:ext uri="{FF2B5EF4-FFF2-40B4-BE49-F238E27FC236}">
              <a16:creationId xmlns:a16="http://schemas.microsoft.com/office/drawing/2014/main" id="{00000000-0008-0000-0100-00003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4" name="Text Box 15">
          <a:extLst>
            <a:ext uri="{FF2B5EF4-FFF2-40B4-BE49-F238E27FC236}">
              <a16:creationId xmlns:a16="http://schemas.microsoft.com/office/drawing/2014/main" id="{00000000-0008-0000-0100-00003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5" name="Text Box 15">
          <a:extLst>
            <a:ext uri="{FF2B5EF4-FFF2-40B4-BE49-F238E27FC236}">
              <a16:creationId xmlns:a16="http://schemas.microsoft.com/office/drawing/2014/main" id="{00000000-0008-0000-0100-00003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6" name="Text Box 15">
          <a:extLst>
            <a:ext uri="{FF2B5EF4-FFF2-40B4-BE49-F238E27FC236}">
              <a16:creationId xmlns:a16="http://schemas.microsoft.com/office/drawing/2014/main" id="{00000000-0008-0000-0100-00003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7" name="Text Box 15">
          <a:extLst>
            <a:ext uri="{FF2B5EF4-FFF2-40B4-BE49-F238E27FC236}">
              <a16:creationId xmlns:a16="http://schemas.microsoft.com/office/drawing/2014/main" id="{00000000-0008-0000-0100-00003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8" name="Text Box 15">
          <a:extLst>
            <a:ext uri="{FF2B5EF4-FFF2-40B4-BE49-F238E27FC236}">
              <a16:creationId xmlns:a16="http://schemas.microsoft.com/office/drawing/2014/main" id="{00000000-0008-0000-0100-00003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9" name="Text Box 15">
          <a:extLst>
            <a:ext uri="{FF2B5EF4-FFF2-40B4-BE49-F238E27FC236}">
              <a16:creationId xmlns:a16="http://schemas.microsoft.com/office/drawing/2014/main" id="{00000000-0008-0000-0100-00003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0" name="Text Box 15">
          <a:extLst>
            <a:ext uri="{FF2B5EF4-FFF2-40B4-BE49-F238E27FC236}">
              <a16:creationId xmlns:a16="http://schemas.microsoft.com/office/drawing/2014/main" id="{00000000-0008-0000-0100-00003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1" name="Text Box 15">
          <a:extLst>
            <a:ext uri="{FF2B5EF4-FFF2-40B4-BE49-F238E27FC236}">
              <a16:creationId xmlns:a16="http://schemas.microsoft.com/office/drawing/2014/main" id="{00000000-0008-0000-0100-00003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2" name="Text Box 15">
          <a:extLst>
            <a:ext uri="{FF2B5EF4-FFF2-40B4-BE49-F238E27FC236}">
              <a16:creationId xmlns:a16="http://schemas.microsoft.com/office/drawing/2014/main" id="{00000000-0008-0000-0100-00003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3" name="Text Box 15">
          <a:extLst>
            <a:ext uri="{FF2B5EF4-FFF2-40B4-BE49-F238E27FC236}">
              <a16:creationId xmlns:a16="http://schemas.microsoft.com/office/drawing/2014/main" id="{00000000-0008-0000-0100-00003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4" name="Text Box 15">
          <a:extLst>
            <a:ext uri="{FF2B5EF4-FFF2-40B4-BE49-F238E27FC236}">
              <a16:creationId xmlns:a16="http://schemas.microsoft.com/office/drawing/2014/main" id="{00000000-0008-0000-0100-00003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5" name="Text Box 15">
          <a:extLst>
            <a:ext uri="{FF2B5EF4-FFF2-40B4-BE49-F238E27FC236}">
              <a16:creationId xmlns:a16="http://schemas.microsoft.com/office/drawing/2014/main" id="{00000000-0008-0000-0100-00003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6" name="Text Box 15">
          <a:extLst>
            <a:ext uri="{FF2B5EF4-FFF2-40B4-BE49-F238E27FC236}">
              <a16:creationId xmlns:a16="http://schemas.microsoft.com/office/drawing/2014/main" id="{00000000-0008-0000-0100-00004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97" name="Text Box 15">
          <a:extLst>
            <a:ext uri="{FF2B5EF4-FFF2-40B4-BE49-F238E27FC236}">
              <a16:creationId xmlns:a16="http://schemas.microsoft.com/office/drawing/2014/main" id="{00000000-0008-0000-0100-000041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8" name="Text Box 15">
          <a:extLst>
            <a:ext uri="{FF2B5EF4-FFF2-40B4-BE49-F238E27FC236}">
              <a16:creationId xmlns:a16="http://schemas.microsoft.com/office/drawing/2014/main" id="{00000000-0008-0000-0100-00004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9" name="Text Box 15">
          <a:extLst>
            <a:ext uri="{FF2B5EF4-FFF2-40B4-BE49-F238E27FC236}">
              <a16:creationId xmlns:a16="http://schemas.microsoft.com/office/drawing/2014/main" id="{00000000-0008-0000-0100-00004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0" name="Text Box 15">
          <a:extLst>
            <a:ext uri="{FF2B5EF4-FFF2-40B4-BE49-F238E27FC236}">
              <a16:creationId xmlns:a16="http://schemas.microsoft.com/office/drawing/2014/main" id="{00000000-0008-0000-0100-00004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1" name="Text Box 15">
          <a:extLst>
            <a:ext uri="{FF2B5EF4-FFF2-40B4-BE49-F238E27FC236}">
              <a16:creationId xmlns:a16="http://schemas.microsoft.com/office/drawing/2014/main" id="{00000000-0008-0000-0100-00004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2" name="Text Box 15">
          <a:extLst>
            <a:ext uri="{FF2B5EF4-FFF2-40B4-BE49-F238E27FC236}">
              <a16:creationId xmlns:a16="http://schemas.microsoft.com/office/drawing/2014/main" id="{00000000-0008-0000-0100-00004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3" name="Text Box 15">
          <a:extLst>
            <a:ext uri="{FF2B5EF4-FFF2-40B4-BE49-F238E27FC236}">
              <a16:creationId xmlns:a16="http://schemas.microsoft.com/office/drawing/2014/main" id="{00000000-0008-0000-0100-00004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4" name="Text Box 15">
          <a:extLst>
            <a:ext uri="{FF2B5EF4-FFF2-40B4-BE49-F238E27FC236}">
              <a16:creationId xmlns:a16="http://schemas.microsoft.com/office/drawing/2014/main" id="{00000000-0008-0000-0100-00004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5" name="Text Box 15">
          <a:extLst>
            <a:ext uri="{FF2B5EF4-FFF2-40B4-BE49-F238E27FC236}">
              <a16:creationId xmlns:a16="http://schemas.microsoft.com/office/drawing/2014/main" id="{00000000-0008-0000-0100-00004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6" name="Text Box 15">
          <a:extLst>
            <a:ext uri="{FF2B5EF4-FFF2-40B4-BE49-F238E27FC236}">
              <a16:creationId xmlns:a16="http://schemas.microsoft.com/office/drawing/2014/main" id="{00000000-0008-0000-0100-00004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7" name="Text Box 15">
          <a:extLst>
            <a:ext uri="{FF2B5EF4-FFF2-40B4-BE49-F238E27FC236}">
              <a16:creationId xmlns:a16="http://schemas.microsoft.com/office/drawing/2014/main" id="{00000000-0008-0000-0100-00004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8" name="Text Box 15">
          <a:extLst>
            <a:ext uri="{FF2B5EF4-FFF2-40B4-BE49-F238E27FC236}">
              <a16:creationId xmlns:a16="http://schemas.microsoft.com/office/drawing/2014/main" id="{00000000-0008-0000-0100-00004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9" name="Text Box 15">
          <a:extLst>
            <a:ext uri="{FF2B5EF4-FFF2-40B4-BE49-F238E27FC236}">
              <a16:creationId xmlns:a16="http://schemas.microsoft.com/office/drawing/2014/main" id="{00000000-0008-0000-0100-00004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0" name="Text Box 15">
          <a:extLst>
            <a:ext uri="{FF2B5EF4-FFF2-40B4-BE49-F238E27FC236}">
              <a16:creationId xmlns:a16="http://schemas.microsoft.com/office/drawing/2014/main" id="{00000000-0008-0000-0100-00004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1" name="Text Box 15">
          <a:extLst>
            <a:ext uri="{FF2B5EF4-FFF2-40B4-BE49-F238E27FC236}">
              <a16:creationId xmlns:a16="http://schemas.microsoft.com/office/drawing/2014/main" id="{00000000-0008-0000-0100-00004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2" name="Text Box 15">
          <a:extLst>
            <a:ext uri="{FF2B5EF4-FFF2-40B4-BE49-F238E27FC236}">
              <a16:creationId xmlns:a16="http://schemas.microsoft.com/office/drawing/2014/main" id="{00000000-0008-0000-0100-00005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3" name="Text Box 15">
          <a:extLst>
            <a:ext uri="{FF2B5EF4-FFF2-40B4-BE49-F238E27FC236}">
              <a16:creationId xmlns:a16="http://schemas.microsoft.com/office/drawing/2014/main" id="{00000000-0008-0000-0100-00005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4" name="Text Box 15">
          <a:extLst>
            <a:ext uri="{FF2B5EF4-FFF2-40B4-BE49-F238E27FC236}">
              <a16:creationId xmlns:a16="http://schemas.microsoft.com/office/drawing/2014/main" id="{00000000-0008-0000-0100-00005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5" name="Text Box 15">
          <a:extLst>
            <a:ext uri="{FF2B5EF4-FFF2-40B4-BE49-F238E27FC236}">
              <a16:creationId xmlns:a16="http://schemas.microsoft.com/office/drawing/2014/main" id="{00000000-0008-0000-0100-00005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6" name="Text Box 15">
          <a:extLst>
            <a:ext uri="{FF2B5EF4-FFF2-40B4-BE49-F238E27FC236}">
              <a16:creationId xmlns:a16="http://schemas.microsoft.com/office/drawing/2014/main" id="{00000000-0008-0000-0100-00005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7" name="Text Box 15">
          <a:extLst>
            <a:ext uri="{FF2B5EF4-FFF2-40B4-BE49-F238E27FC236}">
              <a16:creationId xmlns:a16="http://schemas.microsoft.com/office/drawing/2014/main" id="{00000000-0008-0000-0100-00005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8" name="Text Box 15">
          <a:extLst>
            <a:ext uri="{FF2B5EF4-FFF2-40B4-BE49-F238E27FC236}">
              <a16:creationId xmlns:a16="http://schemas.microsoft.com/office/drawing/2014/main" id="{00000000-0008-0000-0100-00005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9" name="Text Box 15">
          <a:extLst>
            <a:ext uri="{FF2B5EF4-FFF2-40B4-BE49-F238E27FC236}">
              <a16:creationId xmlns:a16="http://schemas.microsoft.com/office/drawing/2014/main" id="{00000000-0008-0000-0100-00005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0" name="Text Box 15">
          <a:extLst>
            <a:ext uri="{FF2B5EF4-FFF2-40B4-BE49-F238E27FC236}">
              <a16:creationId xmlns:a16="http://schemas.microsoft.com/office/drawing/2014/main" id="{00000000-0008-0000-0100-00005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1" name="Text Box 15">
          <a:extLst>
            <a:ext uri="{FF2B5EF4-FFF2-40B4-BE49-F238E27FC236}">
              <a16:creationId xmlns:a16="http://schemas.microsoft.com/office/drawing/2014/main" id="{00000000-0008-0000-0100-00005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2" name="Text Box 15">
          <a:extLst>
            <a:ext uri="{FF2B5EF4-FFF2-40B4-BE49-F238E27FC236}">
              <a16:creationId xmlns:a16="http://schemas.microsoft.com/office/drawing/2014/main" id="{00000000-0008-0000-0100-00005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3" name="Text Box 15">
          <a:extLst>
            <a:ext uri="{FF2B5EF4-FFF2-40B4-BE49-F238E27FC236}">
              <a16:creationId xmlns:a16="http://schemas.microsoft.com/office/drawing/2014/main" id="{00000000-0008-0000-0100-00005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4" name="Text Box 15">
          <a:extLst>
            <a:ext uri="{FF2B5EF4-FFF2-40B4-BE49-F238E27FC236}">
              <a16:creationId xmlns:a16="http://schemas.microsoft.com/office/drawing/2014/main" id="{00000000-0008-0000-0100-00005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5" name="Text Box 15">
          <a:extLst>
            <a:ext uri="{FF2B5EF4-FFF2-40B4-BE49-F238E27FC236}">
              <a16:creationId xmlns:a16="http://schemas.microsoft.com/office/drawing/2014/main" id="{00000000-0008-0000-0100-00005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6" name="Text Box 15">
          <a:extLst>
            <a:ext uri="{FF2B5EF4-FFF2-40B4-BE49-F238E27FC236}">
              <a16:creationId xmlns:a16="http://schemas.microsoft.com/office/drawing/2014/main" id="{00000000-0008-0000-0100-00005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7" name="Text Box 15">
          <a:extLst>
            <a:ext uri="{FF2B5EF4-FFF2-40B4-BE49-F238E27FC236}">
              <a16:creationId xmlns:a16="http://schemas.microsoft.com/office/drawing/2014/main" id="{00000000-0008-0000-0100-00005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8" name="Text Box 15">
          <a:extLst>
            <a:ext uri="{FF2B5EF4-FFF2-40B4-BE49-F238E27FC236}">
              <a16:creationId xmlns:a16="http://schemas.microsoft.com/office/drawing/2014/main" id="{00000000-0008-0000-0100-00006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9" name="Text Box 15">
          <a:extLst>
            <a:ext uri="{FF2B5EF4-FFF2-40B4-BE49-F238E27FC236}">
              <a16:creationId xmlns:a16="http://schemas.microsoft.com/office/drawing/2014/main" id="{00000000-0008-0000-0100-00006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0" name="Text Box 15">
          <a:extLst>
            <a:ext uri="{FF2B5EF4-FFF2-40B4-BE49-F238E27FC236}">
              <a16:creationId xmlns:a16="http://schemas.microsoft.com/office/drawing/2014/main" id="{00000000-0008-0000-0100-00006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1" name="Text Box 15">
          <a:extLst>
            <a:ext uri="{FF2B5EF4-FFF2-40B4-BE49-F238E27FC236}">
              <a16:creationId xmlns:a16="http://schemas.microsoft.com/office/drawing/2014/main" id="{00000000-0008-0000-0100-00006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2" name="Text Box 15">
          <a:extLst>
            <a:ext uri="{FF2B5EF4-FFF2-40B4-BE49-F238E27FC236}">
              <a16:creationId xmlns:a16="http://schemas.microsoft.com/office/drawing/2014/main" id="{00000000-0008-0000-0100-00006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3" name="Text Box 15">
          <a:extLst>
            <a:ext uri="{FF2B5EF4-FFF2-40B4-BE49-F238E27FC236}">
              <a16:creationId xmlns:a16="http://schemas.microsoft.com/office/drawing/2014/main" id="{00000000-0008-0000-0100-00006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4" name="Text Box 15">
          <a:extLst>
            <a:ext uri="{FF2B5EF4-FFF2-40B4-BE49-F238E27FC236}">
              <a16:creationId xmlns:a16="http://schemas.microsoft.com/office/drawing/2014/main" id="{00000000-0008-0000-0100-00006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5" name="Text Box 15">
          <a:extLst>
            <a:ext uri="{FF2B5EF4-FFF2-40B4-BE49-F238E27FC236}">
              <a16:creationId xmlns:a16="http://schemas.microsoft.com/office/drawing/2014/main" id="{00000000-0008-0000-0100-00006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6" name="Text Box 15">
          <a:extLst>
            <a:ext uri="{FF2B5EF4-FFF2-40B4-BE49-F238E27FC236}">
              <a16:creationId xmlns:a16="http://schemas.microsoft.com/office/drawing/2014/main" id="{00000000-0008-0000-0100-00006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7" name="Text Box 15">
          <a:extLst>
            <a:ext uri="{FF2B5EF4-FFF2-40B4-BE49-F238E27FC236}">
              <a16:creationId xmlns:a16="http://schemas.microsoft.com/office/drawing/2014/main" id="{00000000-0008-0000-0100-00006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8" name="Text Box 15">
          <a:extLst>
            <a:ext uri="{FF2B5EF4-FFF2-40B4-BE49-F238E27FC236}">
              <a16:creationId xmlns:a16="http://schemas.microsoft.com/office/drawing/2014/main" id="{00000000-0008-0000-0100-00006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9" name="Text Box 15">
          <a:extLst>
            <a:ext uri="{FF2B5EF4-FFF2-40B4-BE49-F238E27FC236}">
              <a16:creationId xmlns:a16="http://schemas.microsoft.com/office/drawing/2014/main" id="{00000000-0008-0000-0100-00006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0" name="Text Box 15">
          <a:extLst>
            <a:ext uri="{FF2B5EF4-FFF2-40B4-BE49-F238E27FC236}">
              <a16:creationId xmlns:a16="http://schemas.microsoft.com/office/drawing/2014/main" id="{00000000-0008-0000-0100-00006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1" name="Text Box 15">
          <a:extLst>
            <a:ext uri="{FF2B5EF4-FFF2-40B4-BE49-F238E27FC236}">
              <a16:creationId xmlns:a16="http://schemas.microsoft.com/office/drawing/2014/main" id="{00000000-0008-0000-0100-00006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2" name="Text Box 15">
          <a:extLst>
            <a:ext uri="{FF2B5EF4-FFF2-40B4-BE49-F238E27FC236}">
              <a16:creationId xmlns:a16="http://schemas.microsoft.com/office/drawing/2014/main" id="{00000000-0008-0000-0100-00006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3" name="Text Box 15">
          <a:extLst>
            <a:ext uri="{FF2B5EF4-FFF2-40B4-BE49-F238E27FC236}">
              <a16:creationId xmlns:a16="http://schemas.microsoft.com/office/drawing/2014/main" id="{00000000-0008-0000-0100-00006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4" name="Text Box 15">
          <a:extLst>
            <a:ext uri="{FF2B5EF4-FFF2-40B4-BE49-F238E27FC236}">
              <a16:creationId xmlns:a16="http://schemas.microsoft.com/office/drawing/2014/main" id="{00000000-0008-0000-0100-00007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5" name="Text Box 15">
          <a:extLst>
            <a:ext uri="{FF2B5EF4-FFF2-40B4-BE49-F238E27FC236}">
              <a16:creationId xmlns:a16="http://schemas.microsoft.com/office/drawing/2014/main" id="{00000000-0008-0000-0100-00007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6" name="Text Box 15">
          <a:extLst>
            <a:ext uri="{FF2B5EF4-FFF2-40B4-BE49-F238E27FC236}">
              <a16:creationId xmlns:a16="http://schemas.microsoft.com/office/drawing/2014/main" id="{00000000-0008-0000-0100-00007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7" name="Text Box 15">
          <a:extLst>
            <a:ext uri="{FF2B5EF4-FFF2-40B4-BE49-F238E27FC236}">
              <a16:creationId xmlns:a16="http://schemas.microsoft.com/office/drawing/2014/main" id="{00000000-0008-0000-0100-00007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8" name="Text Box 15">
          <a:extLst>
            <a:ext uri="{FF2B5EF4-FFF2-40B4-BE49-F238E27FC236}">
              <a16:creationId xmlns:a16="http://schemas.microsoft.com/office/drawing/2014/main" id="{00000000-0008-0000-0100-00007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9" name="Text Box 15">
          <a:extLst>
            <a:ext uri="{FF2B5EF4-FFF2-40B4-BE49-F238E27FC236}">
              <a16:creationId xmlns:a16="http://schemas.microsoft.com/office/drawing/2014/main" id="{00000000-0008-0000-0100-00007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0" name="Text Box 15">
          <a:extLst>
            <a:ext uri="{FF2B5EF4-FFF2-40B4-BE49-F238E27FC236}">
              <a16:creationId xmlns:a16="http://schemas.microsoft.com/office/drawing/2014/main" id="{00000000-0008-0000-0100-00007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1" name="Text Box 15">
          <a:extLst>
            <a:ext uri="{FF2B5EF4-FFF2-40B4-BE49-F238E27FC236}">
              <a16:creationId xmlns:a16="http://schemas.microsoft.com/office/drawing/2014/main" id="{00000000-0008-0000-0100-00007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2" name="Text Box 15">
          <a:extLst>
            <a:ext uri="{FF2B5EF4-FFF2-40B4-BE49-F238E27FC236}">
              <a16:creationId xmlns:a16="http://schemas.microsoft.com/office/drawing/2014/main" id="{00000000-0008-0000-0100-00007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3" name="Text Box 15">
          <a:extLst>
            <a:ext uri="{FF2B5EF4-FFF2-40B4-BE49-F238E27FC236}">
              <a16:creationId xmlns:a16="http://schemas.microsoft.com/office/drawing/2014/main" id="{00000000-0008-0000-0100-00007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4" name="Text Box 15">
          <a:extLst>
            <a:ext uri="{FF2B5EF4-FFF2-40B4-BE49-F238E27FC236}">
              <a16:creationId xmlns:a16="http://schemas.microsoft.com/office/drawing/2014/main" id="{00000000-0008-0000-0100-00007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5" name="Text Box 15">
          <a:extLst>
            <a:ext uri="{FF2B5EF4-FFF2-40B4-BE49-F238E27FC236}">
              <a16:creationId xmlns:a16="http://schemas.microsoft.com/office/drawing/2014/main" id="{00000000-0008-0000-0100-00007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6" name="Text Box 15">
          <a:extLst>
            <a:ext uri="{FF2B5EF4-FFF2-40B4-BE49-F238E27FC236}">
              <a16:creationId xmlns:a16="http://schemas.microsoft.com/office/drawing/2014/main" id="{00000000-0008-0000-0100-00007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7" name="Text Box 15">
          <a:extLst>
            <a:ext uri="{FF2B5EF4-FFF2-40B4-BE49-F238E27FC236}">
              <a16:creationId xmlns:a16="http://schemas.microsoft.com/office/drawing/2014/main" id="{00000000-0008-0000-0100-00007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8" name="Text Box 15">
          <a:extLst>
            <a:ext uri="{FF2B5EF4-FFF2-40B4-BE49-F238E27FC236}">
              <a16:creationId xmlns:a16="http://schemas.microsoft.com/office/drawing/2014/main" id="{00000000-0008-0000-0100-00007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9" name="Text Box 15">
          <a:extLst>
            <a:ext uri="{FF2B5EF4-FFF2-40B4-BE49-F238E27FC236}">
              <a16:creationId xmlns:a16="http://schemas.microsoft.com/office/drawing/2014/main" id="{00000000-0008-0000-0100-00007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0" name="Text Box 15">
          <a:extLst>
            <a:ext uri="{FF2B5EF4-FFF2-40B4-BE49-F238E27FC236}">
              <a16:creationId xmlns:a16="http://schemas.microsoft.com/office/drawing/2014/main" id="{00000000-0008-0000-0100-00008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1" name="Text Box 15">
          <a:extLst>
            <a:ext uri="{FF2B5EF4-FFF2-40B4-BE49-F238E27FC236}">
              <a16:creationId xmlns:a16="http://schemas.microsoft.com/office/drawing/2014/main" id="{00000000-0008-0000-0100-00008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2" name="Text Box 15">
          <a:extLst>
            <a:ext uri="{FF2B5EF4-FFF2-40B4-BE49-F238E27FC236}">
              <a16:creationId xmlns:a16="http://schemas.microsoft.com/office/drawing/2014/main" id="{00000000-0008-0000-0100-00008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3" name="Text Box 15">
          <a:extLst>
            <a:ext uri="{FF2B5EF4-FFF2-40B4-BE49-F238E27FC236}">
              <a16:creationId xmlns:a16="http://schemas.microsoft.com/office/drawing/2014/main" id="{00000000-0008-0000-0100-00008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4" name="Text Box 15">
          <a:extLst>
            <a:ext uri="{FF2B5EF4-FFF2-40B4-BE49-F238E27FC236}">
              <a16:creationId xmlns:a16="http://schemas.microsoft.com/office/drawing/2014/main" id="{00000000-0008-0000-0100-00008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5" name="Text Box 15">
          <a:extLst>
            <a:ext uri="{FF2B5EF4-FFF2-40B4-BE49-F238E27FC236}">
              <a16:creationId xmlns:a16="http://schemas.microsoft.com/office/drawing/2014/main" id="{00000000-0008-0000-0100-00008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6" name="Text Box 15">
          <a:extLst>
            <a:ext uri="{FF2B5EF4-FFF2-40B4-BE49-F238E27FC236}">
              <a16:creationId xmlns:a16="http://schemas.microsoft.com/office/drawing/2014/main" id="{00000000-0008-0000-0100-00008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7" name="Text Box 15">
          <a:extLst>
            <a:ext uri="{FF2B5EF4-FFF2-40B4-BE49-F238E27FC236}">
              <a16:creationId xmlns:a16="http://schemas.microsoft.com/office/drawing/2014/main" id="{00000000-0008-0000-0100-00008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8" name="Text Box 15">
          <a:extLst>
            <a:ext uri="{FF2B5EF4-FFF2-40B4-BE49-F238E27FC236}">
              <a16:creationId xmlns:a16="http://schemas.microsoft.com/office/drawing/2014/main" id="{00000000-0008-0000-0100-00008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9" name="Text Box 15">
          <a:extLst>
            <a:ext uri="{FF2B5EF4-FFF2-40B4-BE49-F238E27FC236}">
              <a16:creationId xmlns:a16="http://schemas.microsoft.com/office/drawing/2014/main" id="{00000000-0008-0000-0100-00008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70" name="Text Box 15">
          <a:extLst>
            <a:ext uri="{FF2B5EF4-FFF2-40B4-BE49-F238E27FC236}">
              <a16:creationId xmlns:a16="http://schemas.microsoft.com/office/drawing/2014/main" id="{00000000-0008-0000-0100-00008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1" name="Text Box 15">
          <a:extLst>
            <a:ext uri="{FF2B5EF4-FFF2-40B4-BE49-F238E27FC236}">
              <a16:creationId xmlns:a16="http://schemas.microsoft.com/office/drawing/2014/main" id="{00000000-0008-0000-0100-00008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2" name="Text Box 15">
          <a:extLst>
            <a:ext uri="{FF2B5EF4-FFF2-40B4-BE49-F238E27FC236}">
              <a16:creationId xmlns:a16="http://schemas.microsoft.com/office/drawing/2014/main" id="{00000000-0008-0000-0100-00008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3" name="Text Box 15">
          <a:extLst>
            <a:ext uri="{FF2B5EF4-FFF2-40B4-BE49-F238E27FC236}">
              <a16:creationId xmlns:a16="http://schemas.microsoft.com/office/drawing/2014/main" id="{00000000-0008-0000-0100-00008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4" name="Text Box 15">
          <a:extLst>
            <a:ext uri="{FF2B5EF4-FFF2-40B4-BE49-F238E27FC236}">
              <a16:creationId xmlns:a16="http://schemas.microsoft.com/office/drawing/2014/main" id="{00000000-0008-0000-0100-00008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75" name="Text Box 15">
          <a:extLst>
            <a:ext uri="{FF2B5EF4-FFF2-40B4-BE49-F238E27FC236}">
              <a16:creationId xmlns:a16="http://schemas.microsoft.com/office/drawing/2014/main" id="{00000000-0008-0000-0100-00008F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6" name="Text Box 15">
          <a:extLst>
            <a:ext uri="{FF2B5EF4-FFF2-40B4-BE49-F238E27FC236}">
              <a16:creationId xmlns:a16="http://schemas.microsoft.com/office/drawing/2014/main" id="{00000000-0008-0000-0100-00009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7" name="Text Box 15">
          <a:extLst>
            <a:ext uri="{FF2B5EF4-FFF2-40B4-BE49-F238E27FC236}">
              <a16:creationId xmlns:a16="http://schemas.microsoft.com/office/drawing/2014/main" id="{00000000-0008-0000-0100-00009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8" name="Text Box 15">
          <a:extLst>
            <a:ext uri="{FF2B5EF4-FFF2-40B4-BE49-F238E27FC236}">
              <a16:creationId xmlns:a16="http://schemas.microsoft.com/office/drawing/2014/main" id="{00000000-0008-0000-0100-00009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9" name="Text Box 15">
          <a:extLst>
            <a:ext uri="{FF2B5EF4-FFF2-40B4-BE49-F238E27FC236}">
              <a16:creationId xmlns:a16="http://schemas.microsoft.com/office/drawing/2014/main" id="{00000000-0008-0000-0100-00009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0" name="Text Box 15">
          <a:extLst>
            <a:ext uri="{FF2B5EF4-FFF2-40B4-BE49-F238E27FC236}">
              <a16:creationId xmlns:a16="http://schemas.microsoft.com/office/drawing/2014/main" id="{00000000-0008-0000-0100-000094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1" name="Text Box 15">
          <a:extLst>
            <a:ext uri="{FF2B5EF4-FFF2-40B4-BE49-F238E27FC236}">
              <a16:creationId xmlns:a16="http://schemas.microsoft.com/office/drawing/2014/main" id="{00000000-0008-0000-0100-00009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2" name="Text Box 15">
          <a:extLst>
            <a:ext uri="{FF2B5EF4-FFF2-40B4-BE49-F238E27FC236}">
              <a16:creationId xmlns:a16="http://schemas.microsoft.com/office/drawing/2014/main" id="{00000000-0008-0000-0100-000096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3" name="Text Box 15">
          <a:extLst>
            <a:ext uri="{FF2B5EF4-FFF2-40B4-BE49-F238E27FC236}">
              <a16:creationId xmlns:a16="http://schemas.microsoft.com/office/drawing/2014/main" id="{00000000-0008-0000-0100-00009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4" name="Text Box 15">
          <a:extLst>
            <a:ext uri="{FF2B5EF4-FFF2-40B4-BE49-F238E27FC236}">
              <a16:creationId xmlns:a16="http://schemas.microsoft.com/office/drawing/2014/main" id="{00000000-0008-0000-0100-000098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5" name="Text Box 15">
          <a:extLst>
            <a:ext uri="{FF2B5EF4-FFF2-40B4-BE49-F238E27FC236}">
              <a16:creationId xmlns:a16="http://schemas.microsoft.com/office/drawing/2014/main" id="{00000000-0008-0000-0100-00009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6" name="Text Box 15">
          <a:extLst>
            <a:ext uri="{FF2B5EF4-FFF2-40B4-BE49-F238E27FC236}">
              <a16:creationId xmlns:a16="http://schemas.microsoft.com/office/drawing/2014/main" id="{00000000-0008-0000-0100-00009A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7" name="Text Box 15">
          <a:extLst>
            <a:ext uri="{FF2B5EF4-FFF2-40B4-BE49-F238E27FC236}">
              <a16:creationId xmlns:a16="http://schemas.microsoft.com/office/drawing/2014/main" id="{00000000-0008-0000-0100-00009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88" name="Text Box 15">
          <a:extLst>
            <a:ext uri="{FF2B5EF4-FFF2-40B4-BE49-F238E27FC236}">
              <a16:creationId xmlns:a16="http://schemas.microsoft.com/office/drawing/2014/main" id="{00000000-0008-0000-0100-00009C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9" name="Text Box 15">
          <a:extLst>
            <a:ext uri="{FF2B5EF4-FFF2-40B4-BE49-F238E27FC236}">
              <a16:creationId xmlns:a16="http://schemas.microsoft.com/office/drawing/2014/main" id="{00000000-0008-0000-0100-00009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0" name="Text Box 15">
          <a:extLst>
            <a:ext uri="{FF2B5EF4-FFF2-40B4-BE49-F238E27FC236}">
              <a16:creationId xmlns:a16="http://schemas.microsoft.com/office/drawing/2014/main" id="{00000000-0008-0000-0100-00009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1" name="Text Box 15">
          <a:extLst>
            <a:ext uri="{FF2B5EF4-FFF2-40B4-BE49-F238E27FC236}">
              <a16:creationId xmlns:a16="http://schemas.microsoft.com/office/drawing/2014/main" id="{00000000-0008-0000-0100-00009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2" name="Text Box 15">
          <a:extLst>
            <a:ext uri="{FF2B5EF4-FFF2-40B4-BE49-F238E27FC236}">
              <a16:creationId xmlns:a16="http://schemas.microsoft.com/office/drawing/2014/main" id="{00000000-0008-0000-0100-0000A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3" name="Text Box 15">
          <a:extLst>
            <a:ext uri="{FF2B5EF4-FFF2-40B4-BE49-F238E27FC236}">
              <a16:creationId xmlns:a16="http://schemas.microsoft.com/office/drawing/2014/main" id="{00000000-0008-0000-0100-0000A1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4" name="Text Box 15">
          <a:extLst>
            <a:ext uri="{FF2B5EF4-FFF2-40B4-BE49-F238E27FC236}">
              <a16:creationId xmlns:a16="http://schemas.microsoft.com/office/drawing/2014/main" id="{00000000-0008-0000-0100-0000A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5" name="Text Box 15">
          <a:extLst>
            <a:ext uri="{FF2B5EF4-FFF2-40B4-BE49-F238E27FC236}">
              <a16:creationId xmlns:a16="http://schemas.microsoft.com/office/drawing/2014/main" id="{00000000-0008-0000-0100-0000A3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996" name="Text Box 15">
          <a:extLst>
            <a:ext uri="{FF2B5EF4-FFF2-40B4-BE49-F238E27FC236}">
              <a16:creationId xmlns:a16="http://schemas.microsoft.com/office/drawing/2014/main" id="{00000000-0008-0000-0100-0000A4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7" name="Text Box 15">
          <a:extLst>
            <a:ext uri="{FF2B5EF4-FFF2-40B4-BE49-F238E27FC236}">
              <a16:creationId xmlns:a16="http://schemas.microsoft.com/office/drawing/2014/main" id="{00000000-0008-0000-0100-0000A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8" name="Text Box 15">
          <a:extLst>
            <a:ext uri="{FF2B5EF4-FFF2-40B4-BE49-F238E27FC236}">
              <a16:creationId xmlns:a16="http://schemas.microsoft.com/office/drawing/2014/main" id="{00000000-0008-0000-0100-0000A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9" name="Text Box 15">
          <a:extLst>
            <a:ext uri="{FF2B5EF4-FFF2-40B4-BE49-F238E27FC236}">
              <a16:creationId xmlns:a16="http://schemas.microsoft.com/office/drawing/2014/main" id="{00000000-0008-0000-0100-0000A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0" name="Text Box 15">
          <a:extLst>
            <a:ext uri="{FF2B5EF4-FFF2-40B4-BE49-F238E27FC236}">
              <a16:creationId xmlns:a16="http://schemas.microsoft.com/office/drawing/2014/main" id="{00000000-0008-0000-0100-0000A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1" name="Text Box 15">
          <a:extLst>
            <a:ext uri="{FF2B5EF4-FFF2-40B4-BE49-F238E27FC236}">
              <a16:creationId xmlns:a16="http://schemas.microsoft.com/office/drawing/2014/main" id="{00000000-0008-0000-0100-0000A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2" name="Text Box 15">
          <a:extLst>
            <a:ext uri="{FF2B5EF4-FFF2-40B4-BE49-F238E27FC236}">
              <a16:creationId xmlns:a16="http://schemas.microsoft.com/office/drawing/2014/main" id="{00000000-0008-0000-0100-0000A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3" name="Text Box 15">
          <a:extLst>
            <a:ext uri="{FF2B5EF4-FFF2-40B4-BE49-F238E27FC236}">
              <a16:creationId xmlns:a16="http://schemas.microsoft.com/office/drawing/2014/main" id="{00000000-0008-0000-0100-0000A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4" name="Text Box 15">
          <a:extLst>
            <a:ext uri="{FF2B5EF4-FFF2-40B4-BE49-F238E27FC236}">
              <a16:creationId xmlns:a16="http://schemas.microsoft.com/office/drawing/2014/main" id="{00000000-0008-0000-0100-0000A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5" name="Text Box 15">
          <a:extLst>
            <a:ext uri="{FF2B5EF4-FFF2-40B4-BE49-F238E27FC236}">
              <a16:creationId xmlns:a16="http://schemas.microsoft.com/office/drawing/2014/main" id="{00000000-0008-0000-0100-0000A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6" name="Text Box 15">
          <a:extLst>
            <a:ext uri="{FF2B5EF4-FFF2-40B4-BE49-F238E27FC236}">
              <a16:creationId xmlns:a16="http://schemas.microsoft.com/office/drawing/2014/main" id="{00000000-0008-0000-0100-0000A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7" name="Text Box 15">
          <a:extLst>
            <a:ext uri="{FF2B5EF4-FFF2-40B4-BE49-F238E27FC236}">
              <a16:creationId xmlns:a16="http://schemas.microsoft.com/office/drawing/2014/main" id="{00000000-0008-0000-0100-0000A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8" name="Text Box 15">
          <a:extLst>
            <a:ext uri="{FF2B5EF4-FFF2-40B4-BE49-F238E27FC236}">
              <a16:creationId xmlns:a16="http://schemas.microsoft.com/office/drawing/2014/main" id="{00000000-0008-0000-0100-0000B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9" name="Text Box 15">
          <a:extLst>
            <a:ext uri="{FF2B5EF4-FFF2-40B4-BE49-F238E27FC236}">
              <a16:creationId xmlns:a16="http://schemas.microsoft.com/office/drawing/2014/main" id="{00000000-0008-0000-0100-0000B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0" name="Text Box 15">
          <a:extLst>
            <a:ext uri="{FF2B5EF4-FFF2-40B4-BE49-F238E27FC236}">
              <a16:creationId xmlns:a16="http://schemas.microsoft.com/office/drawing/2014/main" id="{00000000-0008-0000-0100-0000B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1" name="Text Box 15">
          <a:extLst>
            <a:ext uri="{FF2B5EF4-FFF2-40B4-BE49-F238E27FC236}">
              <a16:creationId xmlns:a16="http://schemas.microsoft.com/office/drawing/2014/main" id="{00000000-0008-0000-0100-0000B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2" name="Text Box 15">
          <a:extLst>
            <a:ext uri="{FF2B5EF4-FFF2-40B4-BE49-F238E27FC236}">
              <a16:creationId xmlns:a16="http://schemas.microsoft.com/office/drawing/2014/main" id="{00000000-0008-0000-0100-0000B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3" name="Text Box 15">
          <a:extLst>
            <a:ext uri="{FF2B5EF4-FFF2-40B4-BE49-F238E27FC236}">
              <a16:creationId xmlns:a16="http://schemas.microsoft.com/office/drawing/2014/main" id="{00000000-0008-0000-0100-0000B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4" name="Text Box 15">
          <a:extLst>
            <a:ext uri="{FF2B5EF4-FFF2-40B4-BE49-F238E27FC236}">
              <a16:creationId xmlns:a16="http://schemas.microsoft.com/office/drawing/2014/main" id="{00000000-0008-0000-0100-0000B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5" name="Text Box 15">
          <a:extLst>
            <a:ext uri="{FF2B5EF4-FFF2-40B4-BE49-F238E27FC236}">
              <a16:creationId xmlns:a16="http://schemas.microsoft.com/office/drawing/2014/main" id="{00000000-0008-0000-0100-0000B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6" name="Text Box 15">
          <a:extLst>
            <a:ext uri="{FF2B5EF4-FFF2-40B4-BE49-F238E27FC236}">
              <a16:creationId xmlns:a16="http://schemas.microsoft.com/office/drawing/2014/main" id="{00000000-0008-0000-0100-0000B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7" name="Text Box 15">
          <a:extLst>
            <a:ext uri="{FF2B5EF4-FFF2-40B4-BE49-F238E27FC236}">
              <a16:creationId xmlns:a16="http://schemas.microsoft.com/office/drawing/2014/main" id="{00000000-0008-0000-0100-0000B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8" name="Text Box 15">
          <a:extLst>
            <a:ext uri="{FF2B5EF4-FFF2-40B4-BE49-F238E27FC236}">
              <a16:creationId xmlns:a16="http://schemas.microsoft.com/office/drawing/2014/main" id="{00000000-0008-0000-0100-0000B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9" name="Text Box 15">
          <a:extLst>
            <a:ext uri="{FF2B5EF4-FFF2-40B4-BE49-F238E27FC236}">
              <a16:creationId xmlns:a16="http://schemas.microsoft.com/office/drawing/2014/main" id="{00000000-0008-0000-0100-0000B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20" name="Text Box 15">
          <a:extLst>
            <a:ext uri="{FF2B5EF4-FFF2-40B4-BE49-F238E27FC236}">
              <a16:creationId xmlns:a16="http://schemas.microsoft.com/office/drawing/2014/main" id="{00000000-0008-0000-0100-0000B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5021" name="Text Box 15">
          <a:extLst>
            <a:ext uri="{FF2B5EF4-FFF2-40B4-BE49-F238E27FC236}">
              <a16:creationId xmlns:a16="http://schemas.microsoft.com/office/drawing/2014/main" id="{00000000-0008-0000-0100-0000BD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2" name="Text Box 8">
          <a:extLst>
            <a:ext uri="{FF2B5EF4-FFF2-40B4-BE49-F238E27FC236}">
              <a16:creationId xmlns:a16="http://schemas.microsoft.com/office/drawing/2014/main" id="{00000000-0008-0000-0100-0000B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3" name="Text Box 9">
          <a:extLst>
            <a:ext uri="{FF2B5EF4-FFF2-40B4-BE49-F238E27FC236}">
              <a16:creationId xmlns:a16="http://schemas.microsoft.com/office/drawing/2014/main" id="{00000000-0008-0000-0100-0000B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4" name="Text Box 8">
          <a:extLst>
            <a:ext uri="{FF2B5EF4-FFF2-40B4-BE49-F238E27FC236}">
              <a16:creationId xmlns:a16="http://schemas.microsoft.com/office/drawing/2014/main" id="{00000000-0008-0000-0100-0000C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5" name="Text Box 9">
          <a:extLst>
            <a:ext uri="{FF2B5EF4-FFF2-40B4-BE49-F238E27FC236}">
              <a16:creationId xmlns:a16="http://schemas.microsoft.com/office/drawing/2014/main" id="{00000000-0008-0000-0100-0000C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6" name="Text Box 8">
          <a:extLst>
            <a:ext uri="{FF2B5EF4-FFF2-40B4-BE49-F238E27FC236}">
              <a16:creationId xmlns:a16="http://schemas.microsoft.com/office/drawing/2014/main" id="{00000000-0008-0000-0100-0000C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7" name="Text Box 9">
          <a:extLst>
            <a:ext uri="{FF2B5EF4-FFF2-40B4-BE49-F238E27FC236}">
              <a16:creationId xmlns:a16="http://schemas.microsoft.com/office/drawing/2014/main" id="{00000000-0008-0000-0100-0000C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8" name="Text Box 8">
          <a:extLst>
            <a:ext uri="{FF2B5EF4-FFF2-40B4-BE49-F238E27FC236}">
              <a16:creationId xmlns:a16="http://schemas.microsoft.com/office/drawing/2014/main" id="{00000000-0008-0000-0100-0000C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9" name="Text Box 9">
          <a:extLst>
            <a:ext uri="{FF2B5EF4-FFF2-40B4-BE49-F238E27FC236}">
              <a16:creationId xmlns:a16="http://schemas.microsoft.com/office/drawing/2014/main" id="{00000000-0008-0000-0100-0000C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0" name="Text Box 8">
          <a:extLst>
            <a:ext uri="{FF2B5EF4-FFF2-40B4-BE49-F238E27FC236}">
              <a16:creationId xmlns:a16="http://schemas.microsoft.com/office/drawing/2014/main" id="{00000000-0008-0000-0100-0000C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1" name="Text Box 9">
          <a:extLst>
            <a:ext uri="{FF2B5EF4-FFF2-40B4-BE49-F238E27FC236}">
              <a16:creationId xmlns:a16="http://schemas.microsoft.com/office/drawing/2014/main" id="{00000000-0008-0000-0100-0000C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2" name="Text Box 8">
          <a:extLst>
            <a:ext uri="{FF2B5EF4-FFF2-40B4-BE49-F238E27FC236}">
              <a16:creationId xmlns:a16="http://schemas.microsoft.com/office/drawing/2014/main" id="{00000000-0008-0000-0100-0000C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3" name="Text Box 9">
          <a:extLst>
            <a:ext uri="{FF2B5EF4-FFF2-40B4-BE49-F238E27FC236}">
              <a16:creationId xmlns:a16="http://schemas.microsoft.com/office/drawing/2014/main" id="{00000000-0008-0000-0100-0000C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4" name="Text Box 8">
          <a:extLst>
            <a:ext uri="{FF2B5EF4-FFF2-40B4-BE49-F238E27FC236}">
              <a16:creationId xmlns:a16="http://schemas.microsoft.com/office/drawing/2014/main" id="{00000000-0008-0000-0100-0000C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5" name="Text Box 9">
          <a:extLst>
            <a:ext uri="{FF2B5EF4-FFF2-40B4-BE49-F238E27FC236}">
              <a16:creationId xmlns:a16="http://schemas.microsoft.com/office/drawing/2014/main" id="{00000000-0008-0000-0100-0000C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6" name="Text Box 8">
          <a:extLst>
            <a:ext uri="{FF2B5EF4-FFF2-40B4-BE49-F238E27FC236}">
              <a16:creationId xmlns:a16="http://schemas.microsoft.com/office/drawing/2014/main" id="{00000000-0008-0000-0100-0000C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7" name="Text Box 9">
          <a:extLst>
            <a:ext uri="{FF2B5EF4-FFF2-40B4-BE49-F238E27FC236}">
              <a16:creationId xmlns:a16="http://schemas.microsoft.com/office/drawing/2014/main" id="{00000000-0008-0000-0100-0000C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8" name="Text Box 8">
          <a:extLst>
            <a:ext uri="{FF2B5EF4-FFF2-40B4-BE49-F238E27FC236}">
              <a16:creationId xmlns:a16="http://schemas.microsoft.com/office/drawing/2014/main" id="{00000000-0008-0000-0100-0000C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9" name="Text Box 9">
          <a:extLst>
            <a:ext uri="{FF2B5EF4-FFF2-40B4-BE49-F238E27FC236}">
              <a16:creationId xmlns:a16="http://schemas.microsoft.com/office/drawing/2014/main" id="{00000000-0008-0000-0100-0000C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0" name="Text Box 8">
          <a:extLst>
            <a:ext uri="{FF2B5EF4-FFF2-40B4-BE49-F238E27FC236}">
              <a16:creationId xmlns:a16="http://schemas.microsoft.com/office/drawing/2014/main" id="{00000000-0008-0000-0100-0000D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1" name="Text Box 9">
          <a:extLst>
            <a:ext uri="{FF2B5EF4-FFF2-40B4-BE49-F238E27FC236}">
              <a16:creationId xmlns:a16="http://schemas.microsoft.com/office/drawing/2014/main" id="{00000000-0008-0000-0100-0000D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2" name="Text Box 8">
          <a:extLst>
            <a:ext uri="{FF2B5EF4-FFF2-40B4-BE49-F238E27FC236}">
              <a16:creationId xmlns:a16="http://schemas.microsoft.com/office/drawing/2014/main" id="{00000000-0008-0000-0100-0000D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3" name="Text Box 9">
          <a:extLst>
            <a:ext uri="{FF2B5EF4-FFF2-40B4-BE49-F238E27FC236}">
              <a16:creationId xmlns:a16="http://schemas.microsoft.com/office/drawing/2014/main" id="{00000000-0008-0000-0100-0000D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4" name="Text Box 8">
          <a:extLst>
            <a:ext uri="{FF2B5EF4-FFF2-40B4-BE49-F238E27FC236}">
              <a16:creationId xmlns:a16="http://schemas.microsoft.com/office/drawing/2014/main" id="{00000000-0008-0000-0100-0000D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5" name="Text Box 9">
          <a:extLst>
            <a:ext uri="{FF2B5EF4-FFF2-40B4-BE49-F238E27FC236}">
              <a16:creationId xmlns:a16="http://schemas.microsoft.com/office/drawing/2014/main" id="{00000000-0008-0000-0100-0000D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6" name="Text Box 8">
          <a:extLst>
            <a:ext uri="{FF2B5EF4-FFF2-40B4-BE49-F238E27FC236}">
              <a16:creationId xmlns:a16="http://schemas.microsoft.com/office/drawing/2014/main" id="{00000000-0008-0000-0100-0000D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7" name="Text Box 9">
          <a:extLst>
            <a:ext uri="{FF2B5EF4-FFF2-40B4-BE49-F238E27FC236}">
              <a16:creationId xmlns:a16="http://schemas.microsoft.com/office/drawing/2014/main" id="{00000000-0008-0000-0100-0000D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8" name="Text Box 8">
          <a:extLst>
            <a:ext uri="{FF2B5EF4-FFF2-40B4-BE49-F238E27FC236}">
              <a16:creationId xmlns:a16="http://schemas.microsoft.com/office/drawing/2014/main" id="{00000000-0008-0000-0100-0000D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9" name="Text Box 9">
          <a:extLst>
            <a:ext uri="{FF2B5EF4-FFF2-40B4-BE49-F238E27FC236}">
              <a16:creationId xmlns:a16="http://schemas.microsoft.com/office/drawing/2014/main" id="{00000000-0008-0000-0100-0000D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0" name="Text Box 8">
          <a:extLst>
            <a:ext uri="{FF2B5EF4-FFF2-40B4-BE49-F238E27FC236}">
              <a16:creationId xmlns:a16="http://schemas.microsoft.com/office/drawing/2014/main" id="{00000000-0008-0000-0100-0000D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1" name="Text Box 9">
          <a:extLst>
            <a:ext uri="{FF2B5EF4-FFF2-40B4-BE49-F238E27FC236}">
              <a16:creationId xmlns:a16="http://schemas.microsoft.com/office/drawing/2014/main" id="{00000000-0008-0000-0100-0000D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2" name="Text Box 8">
          <a:extLst>
            <a:ext uri="{FF2B5EF4-FFF2-40B4-BE49-F238E27FC236}">
              <a16:creationId xmlns:a16="http://schemas.microsoft.com/office/drawing/2014/main" id="{00000000-0008-0000-0100-0000D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3" name="Text Box 9">
          <a:extLst>
            <a:ext uri="{FF2B5EF4-FFF2-40B4-BE49-F238E27FC236}">
              <a16:creationId xmlns:a16="http://schemas.microsoft.com/office/drawing/2014/main" id="{00000000-0008-0000-0100-0000D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4" name="Text Box 8">
          <a:extLst>
            <a:ext uri="{FF2B5EF4-FFF2-40B4-BE49-F238E27FC236}">
              <a16:creationId xmlns:a16="http://schemas.microsoft.com/office/drawing/2014/main" id="{00000000-0008-0000-0100-0000D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5" name="Text Box 9">
          <a:extLst>
            <a:ext uri="{FF2B5EF4-FFF2-40B4-BE49-F238E27FC236}">
              <a16:creationId xmlns:a16="http://schemas.microsoft.com/office/drawing/2014/main" id="{00000000-0008-0000-0100-0000D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6" name="Text Box 8">
          <a:extLst>
            <a:ext uri="{FF2B5EF4-FFF2-40B4-BE49-F238E27FC236}">
              <a16:creationId xmlns:a16="http://schemas.microsoft.com/office/drawing/2014/main" id="{00000000-0008-0000-0100-0000E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7" name="Text Box 9">
          <a:extLst>
            <a:ext uri="{FF2B5EF4-FFF2-40B4-BE49-F238E27FC236}">
              <a16:creationId xmlns:a16="http://schemas.microsoft.com/office/drawing/2014/main" id="{00000000-0008-0000-0100-0000E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8" name="Text Box 8">
          <a:extLst>
            <a:ext uri="{FF2B5EF4-FFF2-40B4-BE49-F238E27FC236}">
              <a16:creationId xmlns:a16="http://schemas.microsoft.com/office/drawing/2014/main" id="{00000000-0008-0000-0100-0000E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9" name="Text Box 9">
          <a:extLst>
            <a:ext uri="{FF2B5EF4-FFF2-40B4-BE49-F238E27FC236}">
              <a16:creationId xmlns:a16="http://schemas.microsoft.com/office/drawing/2014/main" id="{00000000-0008-0000-0100-0000E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0" name="Text Box 8">
          <a:extLst>
            <a:ext uri="{FF2B5EF4-FFF2-40B4-BE49-F238E27FC236}">
              <a16:creationId xmlns:a16="http://schemas.microsoft.com/office/drawing/2014/main" id="{00000000-0008-0000-0100-0000E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1" name="Text Box 9">
          <a:extLst>
            <a:ext uri="{FF2B5EF4-FFF2-40B4-BE49-F238E27FC236}">
              <a16:creationId xmlns:a16="http://schemas.microsoft.com/office/drawing/2014/main" id="{00000000-0008-0000-0100-0000E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2" name="Text Box 8">
          <a:extLst>
            <a:ext uri="{FF2B5EF4-FFF2-40B4-BE49-F238E27FC236}">
              <a16:creationId xmlns:a16="http://schemas.microsoft.com/office/drawing/2014/main" id="{00000000-0008-0000-0100-0000E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3" name="Text Box 9">
          <a:extLst>
            <a:ext uri="{FF2B5EF4-FFF2-40B4-BE49-F238E27FC236}">
              <a16:creationId xmlns:a16="http://schemas.microsoft.com/office/drawing/2014/main" id="{00000000-0008-0000-0100-0000E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4" name="Text Box 8">
          <a:extLst>
            <a:ext uri="{FF2B5EF4-FFF2-40B4-BE49-F238E27FC236}">
              <a16:creationId xmlns:a16="http://schemas.microsoft.com/office/drawing/2014/main" id="{00000000-0008-0000-0100-0000E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5" name="Text Box 9">
          <a:extLst>
            <a:ext uri="{FF2B5EF4-FFF2-40B4-BE49-F238E27FC236}">
              <a16:creationId xmlns:a16="http://schemas.microsoft.com/office/drawing/2014/main" id="{00000000-0008-0000-0100-0000E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6" name="Text Box 8">
          <a:extLst>
            <a:ext uri="{FF2B5EF4-FFF2-40B4-BE49-F238E27FC236}">
              <a16:creationId xmlns:a16="http://schemas.microsoft.com/office/drawing/2014/main" id="{00000000-0008-0000-0100-0000E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7" name="Text Box 9">
          <a:extLst>
            <a:ext uri="{FF2B5EF4-FFF2-40B4-BE49-F238E27FC236}">
              <a16:creationId xmlns:a16="http://schemas.microsoft.com/office/drawing/2014/main" id="{00000000-0008-0000-0100-0000E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8" name="Text Box 8">
          <a:extLst>
            <a:ext uri="{FF2B5EF4-FFF2-40B4-BE49-F238E27FC236}">
              <a16:creationId xmlns:a16="http://schemas.microsoft.com/office/drawing/2014/main" id="{00000000-0008-0000-0100-0000E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9" name="Text Box 9">
          <a:extLst>
            <a:ext uri="{FF2B5EF4-FFF2-40B4-BE49-F238E27FC236}">
              <a16:creationId xmlns:a16="http://schemas.microsoft.com/office/drawing/2014/main" id="{00000000-0008-0000-0100-0000E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0" name="Text Box 8">
          <a:extLst>
            <a:ext uri="{FF2B5EF4-FFF2-40B4-BE49-F238E27FC236}">
              <a16:creationId xmlns:a16="http://schemas.microsoft.com/office/drawing/2014/main" id="{00000000-0008-0000-0100-0000E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1" name="Text Box 9">
          <a:extLst>
            <a:ext uri="{FF2B5EF4-FFF2-40B4-BE49-F238E27FC236}">
              <a16:creationId xmlns:a16="http://schemas.microsoft.com/office/drawing/2014/main" id="{00000000-0008-0000-0100-0000E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2" name="Text Box 8">
          <a:extLst>
            <a:ext uri="{FF2B5EF4-FFF2-40B4-BE49-F238E27FC236}">
              <a16:creationId xmlns:a16="http://schemas.microsoft.com/office/drawing/2014/main" id="{00000000-0008-0000-0100-0000F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3" name="Text Box 9">
          <a:extLst>
            <a:ext uri="{FF2B5EF4-FFF2-40B4-BE49-F238E27FC236}">
              <a16:creationId xmlns:a16="http://schemas.microsoft.com/office/drawing/2014/main" id="{00000000-0008-0000-0100-0000F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4" name="Text Box 8">
          <a:extLst>
            <a:ext uri="{FF2B5EF4-FFF2-40B4-BE49-F238E27FC236}">
              <a16:creationId xmlns:a16="http://schemas.microsoft.com/office/drawing/2014/main" id="{00000000-0008-0000-0100-0000F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5" name="Text Box 9">
          <a:extLst>
            <a:ext uri="{FF2B5EF4-FFF2-40B4-BE49-F238E27FC236}">
              <a16:creationId xmlns:a16="http://schemas.microsoft.com/office/drawing/2014/main" id="{00000000-0008-0000-0100-0000F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6" name="Text Box 8">
          <a:extLst>
            <a:ext uri="{FF2B5EF4-FFF2-40B4-BE49-F238E27FC236}">
              <a16:creationId xmlns:a16="http://schemas.microsoft.com/office/drawing/2014/main" id="{00000000-0008-0000-0100-0000F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7" name="Text Box 9">
          <a:extLst>
            <a:ext uri="{FF2B5EF4-FFF2-40B4-BE49-F238E27FC236}">
              <a16:creationId xmlns:a16="http://schemas.microsoft.com/office/drawing/2014/main" id="{00000000-0008-0000-0100-0000F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8" name="Text Box 8">
          <a:extLst>
            <a:ext uri="{FF2B5EF4-FFF2-40B4-BE49-F238E27FC236}">
              <a16:creationId xmlns:a16="http://schemas.microsoft.com/office/drawing/2014/main" id="{00000000-0008-0000-0100-0000F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9" name="Text Box 9">
          <a:extLst>
            <a:ext uri="{FF2B5EF4-FFF2-40B4-BE49-F238E27FC236}">
              <a16:creationId xmlns:a16="http://schemas.microsoft.com/office/drawing/2014/main" id="{00000000-0008-0000-0100-0000F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0" name="Text Box 8">
          <a:extLst>
            <a:ext uri="{FF2B5EF4-FFF2-40B4-BE49-F238E27FC236}">
              <a16:creationId xmlns:a16="http://schemas.microsoft.com/office/drawing/2014/main" id="{00000000-0008-0000-0100-0000F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1" name="Text Box 9">
          <a:extLst>
            <a:ext uri="{FF2B5EF4-FFF2-40B4-BE49-F238E27FC236}">
              <a16:creationId xmlns:a16="http://schemas.microsoft.com/office/drawing/2014/main" id="{00000000-0008-0000-0100-0000F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2" name="Text Box 8">
          <a:extLst>
            <a:ext uri="{FF2B5EF4-FFF2-40B4-BE49-F238E27FC236}">
              <a16:creationId xmlns:a16="http://schemas.microsoft.com/office/drawing/2014/main" id="{00000000-0008-0000-0100-0000F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3" name="Text Box 9">
          <a:extLst>
            <a:ext uri="{FF2B5EF4-FFF2-40B4-BE49-F238E27FC236}">
              <a16:creationId xmlns:a16="http://schemas.microsoft.com/office/drawing/2014/main" id="{00000000-0008-0000-0100-0000F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4" name="Text Box 8">
          <a:extLst>
            <a:ext uri="{FF2B5EF4-FFF2-40B4-BE49-F238E27FC236}">
              <a16:creationId xmlns:a16="http://schemas.microsoft.com/office/drawing/2014/main" id="{00000000-0008-0000-0100-0000F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5" name="Text Box 9">
          <a:extLst>
            <a:ext uri="{FF2B5EF4-FFF2-40B4-BE49-F238E27FC236}">
              <a16:creationId xmlns:a16="http://schemas.microsoft.com/office/drawing/2014/main" id="{00000000-0008-0000-0100-0000F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6" name="Text Box 8">
          <a:extLst>
            <a:ext uri="{FF2B5EF4-FFF2-40B4-BE49-F238E27FC236}">
              <a16:creationId xmlns:a16="http://schemas.microsoft.com/office/drawing/2014/main" id="{00000000-0008-0000-0100-0000F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7" name="Text Box 9">
          <a:extLst>
            <a:ext uri="{FF2B5EF4-FFF2-40B4-BE49-F238E27FC236}">
              <a16:creationId xmlns:a16="http://schemas.microsoft.com/office/drawing/2014/main" id="{00000000-0008-0000-0100-0000F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8" name="Text Box 8">
          <a:extLst>
            <a:ext uri="{FF2B5EF4-FFF2-40B4-BE49-F238E27FC236}">
              <a16:creationId xmlns:a16="http://schemas.microsoft.com/office/drawing/2014/main" id="{00000000-0008-0000-0100-000000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9" name="Text Box 9">
          <a:extLst>
            <a:ext uri="{FF2B5EF4-FFF2-40B4-BE49-F238E27FC236}">
              <a16:creationId xmlns:a16="http://schemas.microsoft.com/office/drawing/2014/main" id="{00000000-0008-0000-0100-000001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0" name="Text Box 8">
          <a:extLst>
            <a:ext uri="{FF2B5EF4-FFF2-40B4-BE49-F238E27FC236}">
              <a16:creationId xmlns:a16="http://schemas.microsoft.com/office/drawing/2014/main" id="{00000000-0008-0000-0100-000002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1" name="Text Box 9">
          <a:extLst>
            <a:ext uri="{FF2B5EF4-FFF2-40B4-BE49-F238E27FC236}">
              <a16:creationId xmlns:a16="http://schemas.microsoft.com/office/drawing/2014/main" id="{00000000-0008-0000-0100-000003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2" name="Text Box 8">
          <a:extLst>
            <a:ext uri="{FF2B5EF4-FFF2-40B4-BE49-F238E27FC236}">
              <a16:creationId xmlns:a16="http://schemas.microsoft.com/office/drawing/2014/main" id="{00000000-0008-0000-0100-000004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3" name="Text Box 9">
          <a:extLst>
            <a:ext uri="{FF2B5EF4-FFF2-40B4-BE49-F238E27FC236}">
              <a16:creationId xmlns:a16="http://schemas.microsoft.com/office/drawing/2014/main" id="{00000000-0008-0000-0100-000005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85725</xdr:rowOff>
    </xdr:from>
    <xdr:to>
      <xdr:col>2</xdr:col>
      <xdr:colOff>276225</xdr:colOff>
      <xdr:row>3</xdr:row>
      <xdr:rowOff>47625</xdr:rowOff>
    </xdr:to>
    <xdr:sp macro="" textlink="">
      <xdr:nvSpPr>
        <xdr:cNvPr id="2" name="WordArt 7">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600075" y="85725"/>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twoCellAnchor editAs="oneCell">
    <xdr:from>
      <xdr:col>17</xdr:col>
      <xdr:colOff>561975</xdr:colOff>
      <xdr:row>0</xdr:row>
      <xdr:rowOff>76200</xdr:rowOff>
    </xdr:from>
    <xdr:to>
      <xdr:col>18</xdr:col>
      <xdr:colOff>523875</xdr:colOff>
      <xdr:row>4</xdr:row>
      <xdr:rowOff>38100</xdr:rowOff>
    </xdr:to>
    <xdr:pic>
      <xdr:nvPicPr>
        <xdr:cNvPr id="3" name="7 Imagen">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76200"/>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77</xdr:row>
      <xdr:rowOff>85725</xdr:rowOff>
    </xdr:from>
    <xdr:to>
      <xdr:col>2</xdr:col>
      <xdr:colOff>276225</xdr:colOff>
      <xdr:row>80</xdr:row>
      <xdr:rowOff>47625</xdr:rowOff>
    </xdr:to>
    <xdr:sp macro="" textlink="">
      <xdr:nvSpPr>
        <xdr:cNvPr id="4" name="WordArt 7">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00075" y="13982700"/>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oneCellAnchor>
    <xdr:from>
      <xdr:col>17</xdr:col>
      <xdr:colOff>561975</xdr:colOff>
      <xdr:row>77</xdr:row>
      <xdr:rowOff>76200</xdr:rowOff>
    </xdr:from>
    <xdr:ext cx="733425" cy="723900"/>
    <xdr:pic>
      <xdr:nvPicPr>
        <xdr:cNvPr id="5" name="7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13973175"/>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1933575" y="203339700"/>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314325</xdr:colOff>
      <xdr:row>1003</xdr:row>
      <xdr:rowOff>152400</xdr:rowOff>
    </xdr:from>
    <xdr:to>
      <xdr:col>1</xdr:col>
      <xdr:colOff>2543175</xdr:colOff>
      <xdr:row>1003</xdr:row>
      <xdr:rowOff>152400</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314325" y="21054060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1003</xdr:row>
      <xdr:rowOff>152400</xdr:rowOff>
    </xdr:from>
    <xdr:to>
      <xdr:col>5</xdr:col>
      <xdr:colOff>914400</xdr:colOff>
      <xdr:row>1003</xdr:row>
      <xdr:rowOff>152400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a:off x="4352925" y="210540600"/>
          <a:ext cx="3657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1015</xdr:row>
      <xdr:rowOff>95250</xdr:rowOff>
    </xdr:from>
    <xdr:to>
      <xdr:col>1</xdr:col>
      <xdr:colOff>2619375</xdr:colOff>
      <xdr:row>1015</xdr:row>
      <xdr:rowOff>95250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390525" y="21265515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1015</xdr:row>
      <xdr:rowOff>95250</xdr:rowOff>
    </xdr:from>
    <xdr:to>
      <xdr:col>6</xdr:col>
      <xdr:colOff>0</xdr:colOff>
      <xdr:row>1015</xdr:row>
      <xdr:rowOff>95250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4324350" y="212655150"/>
          <a:ext cx="3790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212481</xdr:colOff>
      <xdr:row>1</xdr:row>
      <xdr:rowOff>132522</xdr:rowOff>
    </xdr:from>
    <xdr:to>
      <xdr:col>1</xdr:col>
      <xdr:colOff>339587</xdr:colOff>
      <xdr:row>5</xdr:row>
      <xdr:rowOff>161262</xdr:rowOff>
    </xdr:to>
    <xdr:pic>
      <xdr:nvPicPr>
        <xdr:cNvPr id="6" name="Imagen 1" descr="cid:image001.png@01D70F7C.0879CB80">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2481" y="294447"/>
          <a:ext cx="774806" cy="790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700-000007000000}"/>
            </a:ext>
          </a:extLst>
        </xdr:cNvPr>
        <xdr:cNvSpPr txBox="1">
          <a:spLocks noChangeArrowheads="1"/>
        </xdr:cNvSpPr>
      </xdr:nvSpPr>
      <xdr:spPr bwMode="auto">
        <a:xfrm>
          <a:off x="1933575" y="2036159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1285875</xdr:colOff>
      <xdr:row>1629</xdr:row>
      <xdr:rowOff>0</xdr:rowOff>
    </xdr:from>
    <xdr:ext cx="95250" cy="166310"/>
    <xdr:sp macro="" textlink="">
      <xdr:nvSpPr>
        <xdr:cNvPr id="7" name="Text Box 15">
          <a:extLst>
            <a:ext uri="{FF2B5EF4-FFF2-40B4-BE49-F238E27FC236}">
              <a16:creationId xmlns:a16="http://schemas.microsoft.com/office/drawing/2014/main" id="{00000000-0008-0000-0800-000008000000}"/>
            </a:ext>
          </a:extLst>
        </xdr:cNvPr>
        <xdr:cNvSpPr txBox="1">
          <a:spLocks noChangeArrowheads="1"/>
        </xdr:cNvSpPr>
      </xdr:nvSpPr>
      <xdr:spPr bwMode="auto">
        <a:xfrm>
          <a:off x="1933575" y="343052400"/>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337</xdr:row>
      <xdr:rowOff>0</xdr:rowOff>
    </xdr:from>
    <xdr:to>
      <xdr:col>6</xdr:col>
      <xdr:colOff>95249</xdr:colOff>
      <xdr:row>338</xdr:row>
      <xdr:rowOff>137628</xdr:rowOff>
    </xdr:to>
    <xdr:sp macro="" textlink="">
      <xdr:nvSpPr>
        <xdr:cNvPr id="8"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9" name="Text Box 15">
          <a:extLst>
            <a:ext uri="{FF2B5EF4-FFF2-40B4-BE49-F238E27FC236}">
              <a16:creationId xmlns:a16="http://schemas.microsoft.com/office/drawing/2014/main" id="{00000000-0008-0000-0800-00000A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0"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1"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2"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3"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4"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337</xdr:row>
      <xdr:rowOff>0</xdr:rowOff>
    </xdr:from>
    <xdr:to>
      <xdr:col>6</xdr:col>
      <xdr:colOff>95249</xdr:colOff>
      <xdr:row>338</xdr:row>
      <xdr:rowOff>137628</xdr:rowOff>
    </xdr:to>
    <xdr:sp macro="" textlink="">
      <xdr:nvSpPr>
        <xdr:cNvPr id="15"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9753600" y="69970650"/>
          <a:ext cx="95249" cy="366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337</xdr:row>
      <xdr:rowOff>0</xdr:rowOff>
    </xdr:from>
    <xdr:ext cx="95250" cy="295275"/>
    <xdr:sp macro="" textlink="">
      <xdr:nvSpPr>
        <xdr:cNvPr id="16"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17"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18"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19"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20"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21"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22"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23"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4" name="Text Box 15">
          <a:extLst>
            <a:ext uri="{FF2B5EF4-FFF2-40B4-BE49-F238E27FC236}">
              <a16:creationId xmlns:a16="http://schemas.microsoft.com/office/drawing/2014/main" id="{00000000-0008-0000-0800-000019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5" name="Text Box 15">
          <a:extLst>
            <a:ext uri="{FF2B5EF4-FFF2-40B4-BE49-F238E27FC236}">
              <a16:creationId xmlns:a16="http://schemas.microsoft.com/office/drawing/2014/main" id="{00000000-0008-0000-0800-00001A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6" name="Text Box 15">
          <a:extLst>
            <a:ext uri="{FF2B5EF4-FFF2-40B4-BE49-F238E27FC236}">
              <a16:creationId xmlns:a16="http://schemas.microsoft.com/office/drawing/2014/main" id="{00000000-0008-0000-0800-00001B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7" name="Text Box 15">
          <a:extLst>
            <a:ext uri="{FF2B5EF4-FFF2-40B4-BE49-F238E27FC236}">
              <a16:creationId xmlns:a16="http://schemas.microsoft.com/office/drawing/2014/main" id="{00000000-0008-0000-0800-00001C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8" name="Text Box 15">
          <a:extLst>
            <a:ext uri="{FF2B5EF4-FFF2-40B4-BE49-F238E27FC236}">
              <a16:creationId xmlns:a16="http://schemas.microsoft.com/office/drawing/2014/main" id="{00000000-0008-0000-0800-00001D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29"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30" name="Text Box 15">
          <a:extLst>
            <a:ext uri="{FF2B5EF4-FFF2-40B4-BE49-F238E27FC236}">
              <a16:creationId xmlns:a16="http://schemas.microsoft.com/office/drawing/2014/main" id="{00000000-0008-0000-0800-00001F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31" name="Text Box 15">
          <a:extLst>
            <a:ext uri="{FF2B5EF4-FFF2-40B4-BE49-F238E27FC236}">
              <a16:creationId xmlns:a16="http://schemas.microsoft.com/office/drawing/2014/main" id="{00000000-0008-0000-0800-00002000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2" name="Text Box 15">
          <a:extLst>
            <a:ext uri="{FF2B5EF4-FFF2-40B4-BE49-F238E27FC236}">
              <a16:creationId xmlns:a16="http://schemas.microsoft.com/office/drawing/2014/main" id="{00000000-0008-0000-0800-000021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3" name="Text Box 15">
          <a:extLst>
            <a:ext uri="{FF2B5EF4-FFF2-40B4-BE49-F238E27FC236}">
              <a16:creationId xmlns:a16="http://schemas.microsoft.com/office/drawing/2014/main" id="{00000000-0008-0000-0800-000022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4"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5" name="Text Box 15">
          <a:extLst>
            <a:ext uri="{FF2B5EF4-FFF2-40B4-BE49-F238E27FC236}">
              <a16:creationId xmlns:a16="http://schemas.microsoft.com/office/drawing/2014/main" id="{00000000-0008-0000-0800-000024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6" name="Text Box 15">
          <a:extLst>
            <a:ext uri="{FF2B5EF4-FFF2-40B4-BE49-F238E27FC236}">
              <a16:creationId xmlns:a16="http://schemas.microsoft.com/office/drawing/2014/main" id="{00000000-0008-0000-0800-000025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7" name="Text Box 15">
          <a:extLst>
            <a:ext uri="{FF2B5EF4-FFF2-40B4-BE49-F238E27FC236}">
              <a16:creationId xmlns:a16="http://schemas.microsoft.com/office/drawing/2014/main" id="{00000000-0008-0000-0800-000026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8" name="Text Box 15">
          <a:extLst>
            <a:ext uri="{FF2B5EF4-FFF2-40B4-BE49-F238E27FC236}">
              <a16:creationId xmlns:a16="http://schemas.microsoft.com/office/drawing/2014/main" id="{00000000-0008-0000-0800-000027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39" name="Text Box 15">
          <a:extLst>
            <a:ext uri="{FF2B5EF4-FFF2-40B4-BE49-F238E27FC236}">
              <a16:creationId xmlns:a16="http://schemas.microsoft.com/office/drawing/2014/main" id="{00000000-0008-0000-0800-00002800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0" name="Text Box 15">
          <a:extLst>
            <a:ext uri="{FF2B5EF4-FFF2-40B4-BE49-F238E27FC236}">
              <a16:creationId xmlns:a16="http://schemas.microsoft.com/office/drawing/2014/main" id="{00000000-0008-0000-0800-000029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1" name="Text Box 15">
          <a:extLst>
            <a:ext uri="{FF2B5EF4-FFF2-40B4-BE49-F238E27FC236}">
              <a16:creationId xmlns:a16="http://schemas.microsoft.com/office/drawing/2014/main" id="{00000000-0008-0000-0800-00002A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2" name="Text Box 15">
          <a:extLst>
            <a:ext uri="{FF2B5EF4-FFF2-40B4-BE49-F238E27FC236}">
              <a16:creationId xmlns:a16="http://schemas.microsoft.com/office/drawing/2014/main" id="{00000000-0008-0000-0800-00002B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3" name="Text Box 15">
          <a:extLst>
            <a:ext uri="{FF2B5EF4-FFF2-40B4-BE49-F238E27FC236}">
              <a16:creationId xmlns:a16="http://schemas.microsoft.com/office/drawing/2014/main" id="{00000000-0008-0000-0800-00002C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4"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5"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6"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47"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48"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49"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0"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1"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2"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3"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4"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5"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6"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8"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9" name="Text Box 15">
          <a:extLst>
            <a:ext uri="{FF2B5EF4-FFF2-40B4-BE49-F238E27FC236}">
              <a16:creationId xmlns:a16="http://schemas.microsoft.com/office/drawing/2014/main" id="{00000000-0008-0000-0800-00003C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60" name="Text Box 15">
          <a:extLst>
            <a:ext uri="{FF2B5EF4-FFF2-40B4-BE49-F238E27FC236}">
              <a16:creationId xmlns:a16="http://schemas.microsoft.com/office/drawing/2014/main" id="{00000000-0008-0000-0800-00003D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61" name="Text Box 15">
          <a:extLst>
            <a:ext uri="{FF2B5EF4-FFF2-40B4-BE49-F238E27FC236}">
              <a16:creationId xmlns:a16="http://schemas.microsoft.com/office/drawing/2014/main" id="{00000000-0008-0000-0800-00003E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62" name="Text Box 15">
          <a:extLst>
            <a:ext uri="{FF2B5EF4-FFF2-40B4-BE49-F238E27FC236}">
              <a16:creationId xmlns:a16="http://schemas.microsoft.com/office/drawing/2014/main" id="{00000000-0008-0000-0800-00003F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63"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4" name="Text Box 15">
          <a:extLst>
            <a:ext uri="{FF2B5EF4-FFF2-40B4-BE49-F238E27FC236}">
              <a16:creationId xmlns:a16="http://schemas.microsoft.com/office/drawing/2014/main" id="{00000000-0008-0000-0800-000041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5" name="Text Box 15">
          <a:extLst>
            <a:ext uri="{FF2B5EF4-FFF2-40B4-BE49-F238E27FC236}">
              <a16:creationId xmlns:a16="http://schemas.microsoft.com/office/drawing/2014/main" id="{00000000-0008-0000-0800-000042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6" name="Text Box 15">
          <a:extLst>
            <a:ext uri="{FF2B5EF4-FFF2-40B4-BE49-F238E27FC236}">
              <a16:creationId xmlns:a16="http://schemas.microsoft.com/office/drawing/2014/main" id="{00000000-0008-0000-0800-000043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7" name="Text Box 15">
          <a:extLst>
            <a:ext uri="{FF2B5EF4-FFF2-40B4-BE49-F238E27FC236}">
              <a16:creationId xmlns:a16="http://schemas.microsoft.com/office/drawing/2014/main" id="{00000000-0008-0000-0800-000044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8"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69" name="Text Box 15">
          <a:extLst>
            <a:ext uri="{FF2B5EF4-FFF2-40B4-BE49-F238E27FC236}">
              <a16:creationId xmlns:a16="http://schemas.microsoft.com/office/drawing/2014/main" id="{00000000-0008-0000-0800-000046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70" name="Text Box 15">
          <a:extLst>
            <a:ext uri="{FF2B5EF4-FFF2-40B4-BE49-F238E27FC236}">
              <a16:creationId xmlns:a16="http://schemas.microsoft.com/office/drawing/2014/main" id="{00000000-0008-0000-0800-000047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71" name="Text Box 15">
          <a:extLst>
            <a:ext uri="{FF2B5EF4-FFF2-40B4-BE49-F238E27FC236}">
              <a16:creationId xmlns:a16="http://schemas.microsoft.com/office/drawing/2014/main" id="{00000000-0008-0000-0800-00004800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2" name="Text Box 15">
          <a:extLst>
            <a:ext uri="{FF2B5EF4-FFF2-40B4-BE49-F238E27FC236}">
              <a16:creationId xmlns:a16="http://schemas.microsoft.com/office/drawing/2014/main" id="{00000000-0008-0000-0800-000049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3"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4"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5"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6"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7"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8"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79"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0"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1"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2"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3"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4"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5"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6"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87"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88" name="Text Box 15">
          <a:extLst>
            <a:ext uri="{FF2B5EF4-FFF2-40B4-BE49-F238E27FC236}">
              <a16:creationId xmlns:a16="http://schemas.microsoft.com/office/drawing/2014/main" id="{00000000-0008-0000-0800-000059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89" name="Text Box 15">
          <a:extLst>
            <a:ext uri="{FF2B5EF4-FFF2-40B4-BE49-F238E27FC236}">
              <a16:creationId xmlns:a16="http://schemas.microsoft.com/office/drawing/2014/main" id="{00000000-0008-0000-0800-00005A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0" name="Text Box 15">
          <a:extLst>
            <a:ext uri="{FF2B5EF4-FFF2-40B4-BE49-F238E27FC236}">
              <a16:creationId xmlns:a16="http://schemas.microsoft.com/office/drawing/2014/main" id="{00000000-0008-0000-0800-00005B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1" name="Text Box 15">
          <a:extLst>
            <a:ext uri="{FF2B5EF4-FFF2-40B4-BE49-F238E27FC236}">
              <a16:creationId xmlns:a16="http://schemas.microsoft.com/office/drawing/2014/main" id="{00000000-0008-0000-0800-00005C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2"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3" name="Text Box 15">
          <a:extLst>
            <a:ext uri="{FF2B5EF4-FFF2-40B4-BE49-F238E27FC236}">
              <a16:creationId xmlns:a16="http://schemas.microsoft.com/office/drawing/2014/main" id="{00000000-0008-0000-0800-00005E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4" name="Text Box 15">
          <a:extLst>
            <a:ext uri="{FF2B5EF4-FFF2-40B4-BE49-F238E27FC236}">
              <a16:creationId xmlns:a16="http://schemas.microsoft.com/office/drawing/2014/main" id="{00000000-0008-0000-0800-00005F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95" name="Text Box 15">
          <a:extLst>
            <a:ext uri="{FF2B5EF4-FFF2-40B4-BE49-F238E27FC236}">
              <a16:creationId xmlns:a16="http://schemas.microsoft.com/office/drawing/2014/main" id="{00000000-0008-0000-0800-00006000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96" name="Text Box 15">
          <a:extLst>
            <a:ext uri="{FF2B5EF4-FFF2-40B4-BE49-F238E27FC236}">
              <a16:creationId xmlns:a16="http://schemas.microsoft.com/office/drawing/2014/main" id="{00000000-0008-0000-0800-000061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97"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98"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99"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100"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101"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102"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103"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4"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5"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6"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7"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8"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09"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10"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111"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2"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3"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4"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5"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6"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7"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8"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119"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0"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1"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2"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3"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4"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5"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6"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127"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28"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29"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0"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1"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2"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3"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4"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135"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36"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37"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38"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39"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40"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41"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42"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143"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4"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5"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6"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7"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8"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49"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50"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151"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2"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3"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4"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5"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6"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7"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8"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159"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0"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1"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2"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3"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4"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5"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6"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167"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68"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69"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0"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1"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2"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3"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4"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175"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76"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77"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78"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79"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80"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81"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82"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183"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4"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5"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6"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7"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8"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89"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90"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191"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2"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3"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4"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5"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6"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7"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8"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199"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0"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1"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2"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3"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4"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5"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6"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207"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08"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09"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0"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1"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2"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3"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4"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215"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16"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17"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18"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19"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20"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21"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22"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23"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4"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5"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6"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7"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8"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29"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30"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31"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2"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3"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4"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5"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6"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7"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8"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239"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0"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1"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2"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3"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4"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5"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6"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247"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48"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49"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0"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1"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2"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3"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4"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255"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56"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57"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58"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59"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60"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61"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62"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263"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4"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5"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6"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7"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8"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69"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70"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271"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2"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3"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4"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5"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6"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7"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8"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279"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0"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1"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2"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3"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4"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5"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6"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87"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88"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89"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0"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1"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2"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3"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4"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295"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96"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97"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98"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299"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300"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301"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302"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303"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4"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5"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6"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7"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8"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09"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10"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311"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2"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3"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4"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5"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6"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7"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8"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319"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0"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1"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2"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3"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4"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5"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6"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327"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28"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29"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0"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1"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2"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3"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4"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335"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36"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37"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38"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39"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40"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41"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42"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343"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4"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5"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6"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7"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8"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49"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50"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351"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2"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3"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4"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5"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6"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7"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8"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359"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0"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1"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2"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3"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4"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5"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6"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367"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68"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69"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0"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1"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2"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3"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4"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375"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76"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77"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78"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79"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80"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81"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82"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83"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4"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5"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6"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7"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8"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89"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90"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391"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2"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3"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4"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5"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6"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7"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8"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399"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0"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1"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2"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3"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4"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5"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6"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07"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08"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09"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0"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1"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2"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3"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4"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415"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16"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17"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18"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19"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20"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21"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22"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423"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4"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5"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6"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7"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8"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29"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30"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431"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2"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3"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4"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5"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6"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7"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8"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439"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0"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1"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2"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3"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4"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5"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6"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447"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48"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49"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0"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1"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2"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3"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4"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455"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56"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57"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58"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59"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60"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61"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62"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463"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4"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5"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6"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7"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8"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69"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70"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471"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2"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3"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4"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5"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6"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7"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8"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479"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0"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1"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2"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3"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4"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5"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6"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487"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88"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89"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0"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1"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2"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3"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4"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495"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496"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497"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498"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499"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500"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501"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502"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503"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4"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5"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6"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7"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8"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09"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10"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511"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2"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3"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4"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5"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6"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7"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8"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519"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0"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1"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2"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3"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4"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5"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6"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527"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28"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29"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0"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1"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2"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3"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4"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535"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36"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37"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38"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39"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40"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41"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42"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7871"/>
    <xdr:sp macro="" textlink="">
      <xdr:nvSpPr>
        <xdr:cNvPr id="543"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9753600"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4"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5"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6"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7"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8"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49"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50"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337</xdr:row>
      <xdr:rowOff>0</xdr:rowOff>
    </xdr:from>
    <xdr:ext cx="95250" cy="295275"/>
    <xdr:sp macro="" textlink="">
      <xdr:nvSpPr>
        <xdr:cNvPr id="551"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753600"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2"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3"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4"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5"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6"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7"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8"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7871"/>
    <xdr:sp macro="" textlink="">
      <xdr:nvSpPr>
        <xdr:cNvPr id="559"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753600" y="701992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0"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1"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2"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3"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4"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5"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6"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338</xdr:row>
      <xdr:rowOff>0</xdr:rowOff>
    </xdr:from>
    <xdr:ext cx="95250" cy="295275"/>
    <xdr:sp macro="" textlink="">
      <xdr:nvSpPr>
        <xdr:cNvPr id="567"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9753600" y="701992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68"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69"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0"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1"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2"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3"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4"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7871"/>
    <xdr:sp macro="" textlink="">
      <xdr:nvSpPr>
        <xdr:cNvPr id="575"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753600" y="704088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76"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77"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78"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79"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80"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81"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82"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339</xdr:row>
      <xdr:rowOff>0</xdr:rowOff>
    </xdr:from>
    <xdr:ext cx="95250" cy="295275"/>
    <xdr:sp macro="" textlink="">
      <xdr:nvSpPr>
        <xdr:cNvPr id="583"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9753600" y="704088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4"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5"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6"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7"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8"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89"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90"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7871"/>
    <xdr:sp macro="" textlink="">
      <xdr:nvSpPr>
        <xdr:cNvPr id="591"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753600"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2"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3"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4"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5"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6"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7"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8"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340</xdr:row>
      <xdr:rowOff>0</xdr:rowOff>
    </xdr:from>
    <xdr:ext cx="95250" cy="295275"/>
    <xdr:sp macro="" textlink="">
      <xdr:nvSpPr>
        <xdr:cNvPr id="599"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9753600"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0"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1"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2"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3"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4"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5"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6"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7871"/>
    <xdr:sp macro="" textlink="">
      <xdr:nvSpPr>
        <xdr:cNvPr id="607"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9753600"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08"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09"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0"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1"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2"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3"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4"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341</xdr:row>
      <xdr:rowOff>0</xdr:rowOff>
    </xdr:from>
    <xdr:ext cx="95250" cy="295275"/>
    <xdr:sp macro="" textlink="">
      <xdr:nvSpPr>
        <xdr:cNvPr id="615"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9753600"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16"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17"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18"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19"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20"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21"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22"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7871"/>
    <xdr:sp macro="" textlink="">
      <xdr:nvSpPr>
        <xdr:cNvPr id="623"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753600"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4"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5"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6"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7"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8"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29"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30"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342</xdr:row>
      <xdr:rowOff>0</xdr:rowOff>
    </xdr:from>
    <xdr:ext cx="95250" cy="295275"/>
    <xdr:sp macro="" textlink="">
      <xdr:nvSpPr>
        <xdr:cNvPr id="631"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753600"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2"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3"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4"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5"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6"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7"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8"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7871"/>
    <xdr:sp macro="" textlink="">
      <xdr:nvSpPr>
        <xdr:cNvPr id="639"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9753600"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0"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1"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2"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3"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4"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5"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0</xdr:rowOff>
    </xdr:from>
    <xdr:ext cx="95250" cy="295275"/>
    <xdr:sp macro="" textlink="">
      <xdr:nvSpPr>
        <xdr:cNvPr id="646"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753600"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343</xdr:row>
      <xdr:rowOff>9525</xdr:rowOff>
    </xdr:from>
    <xdr:ext cx="95250" cy="295275"/>
    <xdr:sp macro="" textlink="">
      <xdr:nvSpPr>
        <xdr:cNvPr id="647"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505950" y="70999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48"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49"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0"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1"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2"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3"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4"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7871"/>
    <xdr:sp macro="" textlink="">
      <xdr:nvSpPr>
        <xdr:cNvPr id="655"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9753600" y="71370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56"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57"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58"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59"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60"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61"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62"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344</xdr:row>
      <xdr:rowOff>0</xdr:rowOff>
    </xdr:from>
    <xdr:ext cx="95250" cy="295275"/>
    <xdr:sp macro="" textlink="">
      <xdr:nvSpPr>
        <xdr:cNvPr id="663"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753600" y="71370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4"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5"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6"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7"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8"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69"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70"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7871"/>
    <xdr:sp macro="" textlink="">
      <xdr:nvSpPr>
        <xdr:cNvPr id="671"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9753600" y="714470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2"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3"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4"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5"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6"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7"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8"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345</xdr:row>
      <xdr:rowOff>0</xdr:rowOff>
    </xdr:from>
    <xdr:ext cx="95250" cy="295275"/>
    <xdr:sp macro="" textlink="">
      <xdr:nvSpPr>
        <xdr:cNvPr id="679"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9753600" y="714470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0"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1"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2"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3"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4"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5"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6"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7871"/>
    <xdr:sp macro="" textlink="">
      <xdr:nvSpPr>
        <xdr:cNvPr id="687"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9753600"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88"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89"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0"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1"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2"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3"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4"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346</xdr:row>
      <xdr:rowOff>0</xdr:rowOff>
    </xdr:from>
    <xdr:ext cx="95250" cy="295275"/>
    <xdr:sp macro="" textlink="">
      <xdr:nvSpPr>
        <xdr:cNvPr id="695"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9753600"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696"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697"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698" name="Text Box 15">
          <a:extLst>
            <a:ext uri="{FF2B5EF4-FFF2-40B4-BE49-F238E27FC236}">
              <a16:creationId xmlns:a16="http://schemas.microsoft.com/office/drawing/2014/main" id="{00000000-0008-0000-0800-0000BB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699" name="Text Box 15">
          <a:extLst>
            <a:ext uri="{FF2B5EF4-FFF2-40B4-BE49-F238E27FC236}">
              <a16:creationId xmlns:a16="http://schemas.microsoft.com/office/drawing/2014/main" id="{00000000-0008-0000-0800-0000BC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700" name="Text Box 15">
          <a:extLst>
            <a:ext uri="{FF2B5EF4-FFF2-40B4-BE49-F238E27FC236}">
              <a16:creationId xmlns:a16="http://schemas.microsoft.com/office/drawing/2014/main" id="{00000000-0008-0000-0800-0000BD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701" name="Text Box 15">
          <a:extLst>
            <a:ext uri="{FF2B5EF4-FFF2-40B4-BE49-F238E27FC236}">
              <a16:creationId xmlns:a16="http://schemas.microsoft.com/office/drawing/2014/main" id="{00000000-0008-0000-0800-0000BE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702"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7871"/>
    <xdr:sp macro="" textlink="">
      <xdr:nvSpPr>
        <xdr:cNvPr id="703"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9753600"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4"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5"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6"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7"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8"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09"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10"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347</xdr:row>
      <xdr:rowOff>0</xdr:rowOff>
    </xdr:from>
    <xdr:ext cx="95250" cy="295275"/>
    <xdr:sp macro="" textlink="">
      <xdr:nvSpPr>
        <xdr:cNvPr id="711"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9753600"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2"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3"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4"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5"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6"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7"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8"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7871"/>
    <xdr:sp macro="" textlink="">
      <xdr:nvSpPr>
        <xdr:cNvPr id="719"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9753600" y="72161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0"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1"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2"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3"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4"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5"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6"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348</xdr:row>
      <xdr:rowOff>0</xdr:rowOff>
    </xdr:from>
    <xdr:ext cx="95250" cy="295275"/>
    <xdr:sp macro="" textlink="">
      <xdr:nvSpPr>
        <xdr:cNvPr id="727"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9753600" y="72161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28"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29"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0"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1" name="Text Box 15">
          <a:extLst>
            <a:ext uri="{FF2B5EF4-FFF2-40B4-BE49-F238E27FC236}">
              <a16:creationId xmlns:a16="http://schemas.microsoft.com/office/drawing/2014/main" id="{00000000-0008-0000-0800-0000DC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2" name="Text Box 15">
          <a:extLst>
            <a:ext uri="{FF2B5EF4-FFF2-40B4-BE49-F238E27FC236}">
              <a16:creationId xmlns:a16="http://schemas.microsoft.com/office/drawing/2014/main" id="{00000000-0008-0000-0800-0000DD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3" name="Text Box 15">
          <a:extLst>
            <a:ext uri="{FF2B5EF4-FFF2-40B4-BE49-F238E27FC236}">
              <a16:creationId xmlns:a16="http://schemas.microsoft.com/office/drawing/2014/main" id="{00000000-0008-0000-0800-0000DE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4" name="Text Box 15">
          <a:extLst>
            <a:ext uri="{FF2B5EF4-FFF2-40B4-BE49-F238E27FC236}">
              <a16:creationId xmlns:a16="http://schemas.microsoft.com/office/drawing/2014/main" id="{00000000-0008-0000-0800-0000DF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35"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36" name="Text Box 15">
          <a:extLst>
            <a:ext uri="{FF2B5EF4-FFF2-40B4-BE49-F238E27FC236}">
              <a16:creationId xmlns:a16="http://schemas.microsoft.com/office/drawing/2014/main" id="{00000000-0008-0000-0800-0000E1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37" name="Text Box 15">
          <a:extLst>
            <a:ext uri="{FF2B5EF4-FFF2-40B4-BE49-F238E27FC236}">
              <a16:creationId xmlns:a16="http://schemas.microsoft.com/office/drawing/2014/main" id="{00000000-0008-0000-0800-0000E2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38" name="Text Box 15">
          <a:extLst>
            <a:ext uri="{FF2B5EF4-FFF2-40B4-BE49-F238E27FC236}">
              <a16:creationId xmlns:a16="http://schemas.microsoft.com/office/drawing/2014/main" id="{00000000-0008-0000-0800-0000E3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39" name="Text Box 15">
          <a:extLst>
            <a:ext uri="{FF2B5EF4-FFF2-40B4-BE49-F238E27FC236}">
              <a16:creationId xmlns:a16="http://schemas.microsoft.com/office/drawing/2014/main" id="{00000000-0008-0000-0800-0000E4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40"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41"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42"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43"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4" name="Text Box 15">
          <a:extLst>
            <a:ext uri="{FF2B5EF4-FFF2-40B4-BE49-F238E27FC236}">
              <a16:creationId xmlns:a16="http://schemas.microsoft.com/office/drawing/2014/main" id="{00000000-0008-0000-0800-0000E9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5" name="Text Box 15">
          <a:extLst>
            <a:ext uri="{FF2B5EF4-FFF2-40B4-BE49-F238E27FC236}">
              <a16:creationId xmlns:a16="http://schemas.microsoft.com/office/drawing/2014/main" id="{00000000-0008-0000-0800-0000EA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6" name="Text Box 15">
          <a:extLst>
            <a:ext uri="{FF2B5EF4-FFF2-40B4-BE49-F238E27FC236}">
              <a16:creationId xmlns:a16="http://schemas.microsoft.com/office/drawing/2014/main" id="{00000000-0008-0000-0800-0000EB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7" name="Text Box 15">
          <a:extLst>
            <a:ext uri="{FF2B5EF4-FFF2-40B4-BE49-F238E27FC236}">
              <a16:creationId xmlns:a16="http://schemas.microsoft.com/office/drawing/2014/main" id="{00000000-0008-0000-0800-0000EC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8"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49"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50"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7871"/>
    <xdr:sp macro="" textlink="">
      <xdr:nvSpPr>
        <xdr:cNvPr id="751"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9753600"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2"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3"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4"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5"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6"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7"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8"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349</xdr:row>
      <xdr:rowOff>0</xdr:rowOff>
    </xdr:from>
    <xdr:ext cx="95250" cy="295275"/>
    <xdr:sp macro="" textlink="">
      <xdr:nvSpPr>
        <xdr:cNvPr id="759"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9753600"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0"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1"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2" name="Text Box 15">
          <a:extLst>
            <a:ext uri="{FF2B5EF4-FFF2-40B4-BE49-F238E27FC236}">
              <a16:creationId xmlns:a16="http://schemas.microsoft.com/office/drawing/2014/main" id="{00000000-0008-0000-0800-0000FB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3"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4"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5"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6"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7871"/>
    <xdr:sp macro="" textlink="">
      <xdr:nvSpPr>
        <xdr:cNvPr id="767"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9753600" y="725233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68"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69"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0"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1"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2"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3"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4"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350</xdr:row>
      <xdr:rowOff>0</xdr:rowOff>
    </xdr:from>
    <xdr:ext cx="95250" cy="295275"/>
    <xdr:sp macro="" textlink="">
      <xdr:nvSpPr>
        <xdr:cNvPr id="775"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9753600" y="725233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76"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77" name="Text Box 15">
          <a:extLst>
            <a:ext uri="{FF2B5EF4-FFF2-40B4-BE49-F238E27FC236}">
              <a16:creationId xmlns:a16="http://schemas.microsoft.com/office/drawing/2014/main" id="{00000000-0008-0000-0800-00000A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78" name="Text Box 15">
          <a:extLst>
            <a:ext uri="{FF2B5EF4-FFF2-40B4-BE49-F238E27FC236}">
              <a16:creationId xmlns:a16="http://schemas.microsoft.com/office/drawing/2014/main" id="{00000000-0008-0000-0800-00000B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79" name="Text Box 15">
          <a:extLst>
            <a:ext uri="{FF2B5EF4-FFF2-40B4-BE49-F238E27FC236}">
              <a16:creationId xmlns:a16="http://schemas.microsoft.com/office/drawing/2014/main" id="{00000000-0008-0000-0800-00000C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80" name="Text Box 15">
          <a:extLst>
            <a:ext uri="{FF2B5EF4-FFF2-40B4-BE49-F238E27FC236}">
              <a16:creationId xmlns:a16="http://schemas.microsoft.com/office/drawing/2014/main" id="{00000000-0008-0000-0800-00000D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81"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82" name="Text Box 15">
          <a:extLst>
            <a:ext uri="{FF2B5EF4-FFF2-40B4-BE49-F238E27FC236}">
              <a16:creationId xmlns:a16="http://schemas.microsoft.com/office/drawing/2014/main" id="{00000000-0008-0000-0800-00000F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7871"/>
    <xdr:sp macro="" textlink="">
      <xdr:nvSpPr>
        <xdr:cNvPr id="783" name="Text Box 15">
          <a:extLst>
            <a:ext uri="{FF2B5EF4-FFF2-40B4-BE49-F238E27FC236}">
              <a16:creationId xmlns:a16="http://schemas.microsoft.com/office/drawing/2014/main" id="{00000000-0008-0000-0800-000010030000}"/>
            </a:ext>
          </a:extLst>
        </xdr:cNvPr>
        <xdr:cNvSpPr txBox="1">
          <a:spLocks noChangeArrowheads="1"/>
        </xdr:cNvSpPr>
      </xdr:nvSpPr>
      <xdr:spPr bwMode="auto">
        <a:xfrm>
          <a:off x="9753600" y="726281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4" name="Text Box 15">
          <a:extLst>
            <a:ext uri="{FF2B5EF4-FFF2-40B4-BE49-F238E27FC236}">
              <a16:creationId xmlns:a16="http://schemas.microsoft.com/office/drawing/2014/main" id="{00000000-0008-0000-0800-000011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5" name="Text Box 15">
          <a:extLst>
            <a:ext uri="{FF2B5EF4-FFF2-40B4-BE49-F238E27FC236}">
              <a16:creationId xmlns:a16="http://schemas.microsoft.com/office/drawing/2014/main" id="{00000000-0008-0000-0800-000012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6"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7"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8"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89" name="Text Box 15">
          <a:extLst>
            <a:ext uri="{FF2B5EF4-FFF2-40B4-BE49-F238E27FC236}">
              <a16:creationId xmlns:a16="http://schemas.microsoft.com/office/drawing/2014/main" id="{00000000-0008-0000-0800-000016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90" name="Text Box 15">
          <a:extLst>
            <a:ext uri="{FF2B5EF4-FFF2-40B4-BE49-F238E27FC236}">
              <a16:creationId xmlns:a16="http://schemas.microsoft.com/office/drawing/2014/main" id="{00000000-0008-0000-0800-000017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351</xdr:row>
      <xdr:rowOff>0</xdr:rowOff>
    </xdr:from>
    <xdr:ext cx="95250" cy="295275"/>
    <xdr:sp macro="" textlink="">
      <xdr:nvSpPr>
        <xdr:cNvPr id="791"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9753600" y="726281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2"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3"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4"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5"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6"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7"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8"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799"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0"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1"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2"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3"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4"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5"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6"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07"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08"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09"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0"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1"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2"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3"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4"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7871"/>
    <xdr:sp macro="" textlink="">
      <xdr:nvSpPr>
        <xdr:cNvPr id="815"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9753600" y="727995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16"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17"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18"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19"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20"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21"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22"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352</xdr:row>
      <xdr:rowOff>0</xdr:rowOff>
    </xdr:from>
    <xdr:ext cx="95250" cy="295275"/>
    <xdr:sp macro="" textlink="">
      <xdr:nvSpPr>
        <xdr:cNvPr id="823"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9753600" y="727995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4"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5"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6"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7"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8"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29"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30"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7871"/>
    <xdr:sp macro="" textlink="">
      <xdr:nvSpPr>
        <xdr:cNvPr id="831"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9753600" y="729996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2"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3"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4" name="Text Box 15">
          <a:extLst>
            <a:ext uri="{FF2B5EF4-FFF2-40B4-BE49-F238E27FC236}">
              <a16:creationId xmlns:a16="http://schemas.microsoft.com/office/drawing/2014/main" id="{00000000-0008-0000-0800-000043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5" name="Text Box 15">
          <a:extLst>
            <a:ext uri="{FF2B5EF4-FFF2-40B4-BE49-F238E27FC236}">
              <a16:creationId xmlns:a16="http://schemas.microsoft.com/office/drawing/2014/main" id="{00000000-0008-0000-0800-000044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6" name="Text Box 15">
          <a:extLst>
            <a:ext uri="{FF2B5EF4-FFF2-40B4-BE49-F238E27FC236}">
              <a16:creationId xmlns:a16="http://schemas.microsoft.com/office/drawing/2014/main" id="{00000000-0008-0000-0800-000045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7" name="Text Box 15">
          <a:extLst>
            <a:ext uri="{FF2B5EF4-FFF2-40B4-BE49-F238E27FC236}">
              <a16:creationId xmlns:a16="http://schemas.microsoft.com/office/drawing/2014/main" id="{00000000-0008-0000-0800-000046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8" name="Text Box 15">
          <a:extLst>
            <a:ext uri="{FF2B5EF4-FFF2-40B4-BE49-F238E27FC236}">
              <a16:creationId xmlns:a16="http://schemas.microsoft.com/office/drawing/2014/main" id="{00000000-0008-0000-0800-000047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353</xdr:row>
      <xdr:rowOff>0</xdr:rowOff>
    </xdr:from>
    <xdr:ext cx="95250" cy="295275"/>
    <xdr:sp macro="" textlink="">
      <xdr:nvSpPr>
        <xdr:cNvPr id="839" name="Text Box 15">
          <a:extLst>
            <a:ext uri="{FF2B5EF4-FFF2-40B4-BE49-F238E27FC236}">
              <a16:creationId xmlns:a16="http://schemas.microsoft.com/office/drawing/2014/main" id="{00000000-0008-0000-0800-000048030000}"/>
            </a:ext>
          </a:extLst>
        </xdr:cNvPr>
        <xdr:cNvSpPr txBox="1">
          <a:spLocks noChangeArrowheads="1"/>
        </xdr:cNvSpPr>
      </xdr:nvSpPr>
      <xdr:spPr bwMode="auto">
        <a:xfrm>
          <a:off x="9753600" y="729996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0" name="Text Box 15">
          <a:extLst>
            <a:ext uri="{FF2B5EF4-FFF2-40B4-BE49-F238E27FC236}">
              <a16:creationId xmlns:a16="http://schemas.microsoft.com/office/drawing/2014/main" id="{00000000-0008-0000-0800-000049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1" name="Text Box 15">
          <a:extLst>
            <a:ext uri="{FF2B5EF4-FFF2-40B4-BE49-F238E27FC236}">
              <a16:creationId xmlns:a16="http://schemas.microsoft.com/office/drawing/2014/main" id="{00000000-0008-0000-0800-00004A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2" name="Text Box 15">
          <a:extLst>
            <a:ext uri="{FF2B5EF4-FFF2-40B4-BE49-F238E27FC236}">
              <a16:creationId xmlns:a16="http://schemas.microsoft.com/office/drawing/2014/main" id="{00000000-0008-0000-0800-00004B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3" name="Text Box 15">
          <a:extLst>
            <a:ext uri="{FF2B5EF4-FFF2-40B4-BE49-F238E27FC236}">
              <a16:creationId xmlns:a16="http://schemas.microsoft.com/office/drawing/2014/main" id="{00000000-0008-0000-0800-00004C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4" name="Text Box 15">
          <a:extLst>
            <a:ext uri="{FF2B5EF4-FFF2-40B4-BE49-F238E27FC236}">
              <a16:creationId xmlns:a16="http://schemas.microsoft.com/office/drawing/2014/main" id="{00000000-0008-0000-0800-00004D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5" name="Text Box 15">
          <a:extLst>
            <a:ext uri="{FF2B5EF4-FFF2-40B4-BE49-F238E27FC236}">
              <a16:creationId xmlns:a16="http://schemas.microsoft.com/office/drawing/2014/main" id="{00000000-0008-0000-0800-00004E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6" name="Text Box 15">
          <a:extLst>
            <a:ext uri="{FF2B5EF4-FFF2-40B4-BE49-F238E27FC236}">
              <a16:creationId xmlns:a16="http://schemas.microsoft.com/office/drawing/2014/main" id="{00000000-0008-0000-0800-00004F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7871"/>
    <xdr:sp macro="" textlink="">
      <xdr:nvSpPr>
        <xdr:cNvPr id="847" name="Text Box 15">
          <a:extLst>
            <a:ext uri="{FF2B5EF4-FFF2-40B4-BE49-F238E27FC236}">
              <a16:creationId xmlns:a16="http://schemas.microsoft.com/office/drawing/2014/main" id="{00000000-0008-0000-0800-000050030000}"/>
            </a:ext>
          </a:extLst>
        </xdr:cNvPr>
        <xdr:cNvSpPr txBox="1">
          <a:spLocks noChangeArrowheads="1"/>
        </xdr:cNvSpPr>
      </xdr:nvSpPr>
      <xdr:spPr bwMode="auto">
        <a:xfrm>
          <a:off x="9753600"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48" name="Text Box 15">
          <a:extLst>
            <a:ext uri="{FF2B5EF4-FFF2-40B4-BE49-F238E27FC236}">
              <a16:creationId xmlns:a16="http://schemas.microsoft.com/office/drawing/2014/main" id="{00000000-0008-0000-0800-000051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49" name="Text Box 15">
          <a:extLst>
            <a:ext uri="{FF2B5EF4-FFF2-40B4-BE49-F238E27FC236}">
              <a16:creationId xmlns:a16="http://schemas.microsoft.com/office/drawing/2014/main" id="{00000000-0008-0000-0800-000052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0" name="Text Box 15">
          <a:extLst>
            <a:ext uri="{FF2B5EF4-FFF2-40B4-BE49-F238E27FC236}">
              <a16:creationId xmlns:a16="http://schemas.microsoft.com/office/drawing/2014/main" id="{00000000-0008-0000-0800-000053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1" name="Text Box 15">
          <a:extLst>
            <a:ext uri="{FF2B5EF4-FFF2-40B4-BE49-F238E27FC236}">
              <a16:creationId xmlns:a16="http://schemas.microsoft.com/office/drawing/2014/main" id="{00000000-0008-0000-0800-000054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2" name="Text Box 15">
          <a:extLst>
            <a:ext uri="{FF2B5EF4-FFF2-40B4-BE49-F238E27FC236}">
              <a16:creationId xmlns:a16="http://schemas.microsoft.com/office/drawing/2014/main" id="{00000000-0008-0000-0800-000055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3" name="Text Box 15">
          <a:extLst>
            <a:ext uri="{FF2B5EF4-FFF2-40B4-BE49-F238E27FC236}">
              <a16:creationId xmlns:a16="http://schemas.microsoft.com/office/drawing/2014/main" id="{00000000-0008-0000-0800-000056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4" name="Text Box 15">
          <a:extLst>
            <a:ext uri="{FF2B5EF4-FFF2-40B4-BE49-F238E27FC236}">
              <a16:creationId xmlns:a16="http://schemas.microsoft.com/office/drawing/2014/main" id="{00000000-0008-0000-0800-000057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354</xdr:row>
      <xdr:rowOff>0</xdr:rowOff>
    </xdr:from>
    <xdr:ext cx="95250" cy="295275"/>
    <xdr:sp macro="" textlink="">
      <xdr:nvSpPr>
        <xdr:cNvPr id="855" name="Text Box 15">
          <a:extLst>
            <a:ext uri="{FF2B5EF4-FFF2-40B4-BE49-F238E27FC236}">
              <a16:creationId xmlns:a16="http://schemas.microsoft.com/office/drawing/2014/main" id="{00000000-0008-0000-0800-000058030000}"/>
            </a:ext>
          </a:extLst>
        </xdr:cNvPr>
        <xdr:cNvSpPr txBox="1">
          <a:spLocks noChangeArrowheads="1"/>
        </xdr:cNvSpPr>
      </xdr:nvSpPr>
      <xdr:spPr bwMode="auto">
        <a:xfrm>
          <a:off x="9753600"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56" name="Text Box 15">
          <a:extLst>
            <a:ext uri="{FF2B5EF4-FFF2-40B4-BE49-F238E27FC236}">
              <a16:creationId xmlns:a16="http://schemas.microsoft.com/office/drawing/2014/main" id="{00000000-0008-0000-0800-000059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57" name="Text Box 15">
          <a:extLst>
            <a:ext uri="{FF2B5EF4-FFF2-40B4-BE49-F238E27FC236}">
              <a16:creationId xmlns:a16="http://schemas.microsoft.com/office/drawing/2014/main" id="{00000000-0008-0000-0800-00005A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58" name="Text Box 15">
          <a:extLst>
            <a:ext uri="{FF2B5EF4-FFF2-40B4-BE49-F238E27FC236}">
              <a16:creationId xmlns:a16="http://schemas.microsoft.com/office/drawing/2014/main" id="{00000000-0008-0000-0800-00005B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59" name="Text Box 15">
          <a:extLst>
            <a:ext uri="{FF2B5EF4-FFF2-40B4-BE49-F238E27FC236}">
              <a16:creationId xmlns:a16="http://schemas.microsoft.com/office/drawing/2014/main" id="{00000000-0008-0000-0800-00005C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60" name="Text Box 15">
          <a:extLst>
            <a:ext uri="{FF2B5EF4-FFF2-40B4-BE49-F238E27FC236}">
              <a16:creationId xmlns:a16="http://schemas.microsoft.com/office/drawing/2014/main" id="{00000000-0008-0000-0800-00005D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61" name="Text Box 15">
          <a:extLst>
            <a:ext uri="{FF2B5EF4-FFF2-40B4-BE49-F238E27FC236}">
              <a16:creationId xmlns:a16="http://schemas.microsoft.com/office/drawing/2014/main" id="{00000000-0008-0000-0800-00005E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62" name="Text Box 15">
          <a:extLst>
            <a:ext uri="{FF2B5EF4-FFF2-40B4-BE49-F238E27FC236}">
              <a16:creationId xmlns:a16="http://schemas.microsoft.com/office/drawing/2014/main" id="{00000000-0008-0000-0800-00005F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7871"/>
    <xdr:sp macro="" textlink="">
      <xdr:nvSpPr>
        <xdr:cNvPr id="863" name="Text Box 15">
          <a:extLst>
            <a:ext uri="{FF2B5EF4-FFF2-40B4-BE49-F238E27FC236}">
              <a16:creationId xmlns:a16="http://schemas.microsoft.com/office/drawing/2014/main" id="{00000000-0008-0000-0800-000060030000}"/>
            </a:ext>
          </a:extLst>
        </xdr:cNvPr>
        <xdr:cNvSpPr txBox="1">
          <a:spLocks noChangeArrowheads="1"/>
        </xdr:cNvSpPr>
      </xdr:nvSpPr>
      <xdr:spPr bwMode="auto">
        <a:xfrm>
          <a:off x="9753600"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4" name="Text Box 15">
          <a:extLst>
            <a:ext uri="{FF2B5EF4-FFF2-40B4-BE49-F238E27FC236}">
              <a16:creationId xmlns:a16="http://schemas.microsoft.com/office/drawing/2014/main" id="{00000000-0008-0000-0800-000061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5" name="Text Box 15">
          <a:extLst>
            <a:ext uri="{FF2B5EF4-FFF2-40B4-BE49-F238E27FC236}">
              <a16:creationId xmlns:a16="http://schemas.microsoft.com/office/drawing/2014/main" id="{00000000-0008-0000-0800-000062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6" name="Text Box 15">
          <a:extLst>
            <a:ext uri="{FF2B5EF4-FFF2-40B4-BE49-F238E27FC236}">
              <a16:creationId xmlns:a16="http://schemas.microsoft.com/office/drawing/2014/main" id="{00000000-0008-0000-0800-000063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7" name="Text Box 15">
          <a:extLst>
            <a:ext uri="{FF2B5EF4-FFF2-40B4-BE49-F238E27FC236}">
              <a16:creationId xmlns:a16="http://schemas.microsoft.com/office/drawing/2014/main" id="{00000000-0008-0000-0800-000064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8" name="Text Box 15">
          <a:extLst>
            <a:ext uri="{FF2B5EF4-FFF2-40B4-BE49-F238E27FC236}">
              <a16:creationId xmlns:a16="http://schemas.microsoft.com/office/drawing/2014/main" id="{00000000-0008-0000-0800-000065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69" name="Text Box 15">
          <a:extLst>
            <a:ext uri="{FF2B5EF4-FFF2-40B4-BE49-F238E27FC236}">
              <a16:creationId xmlns:a16="http://schemas.microsoft.com/office/drawing/2014/main" id="{00000000-0008-0000-0800-000066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70" name="Text Box 15">
          <a:extLst>
            <a:ext uri="{FF2B5EF4-FFF2-40B4-BE49-F238E27FC236}">
              <a16:creationId xmlns:a16="http://schemas.microsoft.com/office/drawing/2014/main" id="{00000000-0008-0000-0800-000067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355</xdr:row>
      <xdr:rowOff>0</xdr:rowOff>
    </xdr:from>
    <xdr:ext cx="95250" cy="295275"/>
    <xdr:sp macro="" textlink="">
      <xdr:nvSpPr>
        <xdr:cNvPr id="871" name="Text Box 15">
          <a:extLst>
            <a:ext uri="{FF2B5EF4-FFF2-40B4-BE49-F238E27FC236}">
              <a16:creationId xmlns:a16="http://schemas.microsoft.com/office/drawing/2014/main" id="{00000000-0008-0000-0800-000068030000}"/>
            </a:ext>
          </a:extLst>
        </xdr:cNvPr>
        <xdr:cNvSpPr txBox="1">
          <a:spLocks noChangeArrowheads="1"/>
        </xdr:cNvSpPr>
      </xdr:nvSpPr>
      <xdr:spPr bwMode="auto">
        <a:xfrm>
          <a:off x="9753600"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2" name="Text Box 15">
          <a:extLst>
            <a:ext uri="{FF2B5EF4-FFF2-40B4-BE49-F238E27FC236}">
              <a16:creationId xmlns:a16="http://schemas.microsoft.com/office/drawing/2014/main" id="{00000000-0008-0000-0800-000069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3" name="Text Box 15">
          <a:extLst>
            <a:ext uri="{FF2B5EF4-FFF2-40B4-BE49-F238E27FC236}">
              <a16:creationId xmlns:a16="http://schemas.microsoft.com/office/drawing/2014/main" id="{00000000-0008-0000-0800-00006A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4" name="Text Box 15">
          <a:extLst>
            <a:ext uri="{FF2B5EF4-FFF2-40B4-BE49-F238E27FC236}">
              <a16:creationId xmlns:a16="http://schemas.microsoft.com/office/drawing/2014/main" id="{00000000-0008-0000-0800-00006B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5" name="Text Box 15">
          <a:extLst>
            <a:ext uri="{FF2B5EF4-FFF2-40B4-BE49-F238E27FC236}">
              <a16:creationId xmlns:a16="http://schemas.microsoft.com/office/drawing/2014/main" id="{00000000-0008-0000-0800-00006C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6" name="Text Box 15">
          <a:extLst>
            <a:ext uri="{FF2B5EF4-FFF2-40B4-BE49-F238E27FC236}">
              <a16:creationId xmlns:a16="http://schemas.microsoft.com/office/drawing/2014/main" id="{00000000-0008-0000-0800-00006D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7" name="Text Box 15">
          <a:extLst>
            <a:ext uri="{FF2B5EF4-FFF2-40B4-BE49-F238E27FC236}">
              <a16:creationId xmlns:a16="http://schemas.microsoft.com/office/drawing/2014/main" id="{00000000-0008-0000-0800-00006E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8" name="Text Box 15">
          <a:extLst>
            <a:ext uri="{FF2B5EF4-FFF2-40B4-BE49-F238E27FC236}">
              <a16:creationId xmlns:a16="http://schemas.microsoft.com/office/drawing/2014/main" id="{00000000-0008-0000-0800-00006F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7871"/>
    <xdr:sp macro="" textlink="">
      <xdr:nvSpPr>
        <xdr:cNvPr id="879" name="Text Box 15">
          <a:extLst>
            <a:ext uri="{FF2B5EF4-FFF2-40B4-BE49-F238E27FC236}">
              <a16:creationId xmlns:a16="http://schemas.microsoft.com/office/drawing/2014/main" id="{00000000-0008-0000-0800-000070030000}"/>
            </a:ext>
          </a:extLst>
        </xdr:cNvPr>
        <xdr:cNvSpPr txBox="1">
          <a:spLocks noChangeArrowheads="1"/>
        </xdr:cNvSpPr>
      </xdr:nvSpPr>
      <xdr:spPr bwMode="auto">
        <a:xfrm>
          <a:off x="9753600"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0" name="Text Box 15">
          <a:extLst>
            <a:ext uri="{FF2B5EF4-FFF2-40B4-BE49-F238E27FC236}">
              <a16:creationId xmlns:a16="http://schemas.microsoft.com/office/drawing/2014/main" id="{00000000-0008-0000-0800-000071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1" name="Text Box 15">
          <a:extLst>
            <a:ext uri="{FF2B5EF4-FFF2-40B4-BE49-F238E27FC236}">
              <a16:creationId xmlns:a16="http://schemas.microsoft.com/office/drawing/2014/main" id="{00000000-0008-0000-0800-000072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2" name="Text Box 15">
          <a:extLst>
            <a:ext uri="{FF2B5EF4-FFF2-40B4-BE49-F238E27FC236}">
              <a16:creationId xmlns:a16="http://schemas.microsoft.com/office/drawing/2014/main" id="{00000000-0008-0000-0800-000073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3" name="Text Box 15">
          <a:extLst>
            <a:ext uri="{FF2B5EF4-FFF2-40B4-BE49-F238E27FC236}">
              <a16:creationId xmlns:a16="http://schemas.microsoft.com/office/drawing/2014/main" id="{00000000-0008-0000-0800-000074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4" name="Text Box 15">
          <a:extLst>
            <a:ext uri="{FF2B5EF4-FFF2-40B4-BE49-F238E27FC236}">
              <a16:creationId xmlns:a16="http://schemas.microsoft.com/office/drawing/2014/main" id="{00000000-0008-0000-0800-000075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5" name="Text Box 15">
          <a:extLst>
            <a:ext uri="{FF2B5EF4-FFF2-40B4-BE49-F238E27FC236}">
              <a16:creationId xmlns:a16="http://schemas.microsoft.com/office/drawing/2014/main" id="{00000000-0008-0000-0800-000076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6" name="Text Box 15">
          <a:extLst>
            <a:ext uri="{FF2B5EF4-FFF2-40B4-BE49-F238E27FC236}">
              <a16:creationId xmlns:a16="http://schemas.microsoft.com/office/drawing/2014/main" id="{00000000-0008-0000-0800-000077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356</xdr:row>
      <xdr:rowOff>0</xdr:rowOff>
    </xdr:from>
    <xdr:ext cx="95250" cy="295275"/>
    <xdr:sp macro="" textlink="">
      <xdr:nvSpPr>
        <xdr:cNvPr id="887" name="Text Box 15">
          <a:extLst>
            <a:ext uri="{FF2B5EF4-FFF2-40B4-BE49-F238E27FC236}">
              <a16:creationId xmlns:a16="http://schemas.microsoft.com/office/drawing/2014/main" id="{00000000-0008-0000-0800-000078030000}"/>
            </a:ext>
          </a:extLst>
        </xdr:cNvPr>
        <xdr:cNvSpPr txBox="1">
          <a:spLocks noChangeArrowheads="1"/>
        </xdr:cNvSpPr>
      </xdr:nvSpPr>
      <xdr:spPr bwMode="auto">
        <a:xfrm>
          <a:off x="9753600"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88" name="Text Box 15">
          <a:extLst>
            <a:ext uri="{FF2B5EF4-FFF2-40B4-BE49-F238E27FC236}">
              <a16:creationId xmlns:a16="http://schemas.microsoft.com/office/drawing/2014/main" id="{00000000-0008-0000-0800-000079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89" name="Text Box 15">
          <a:extLst>
            <a:ext uri="{FF2B5EF4-FFF2-40B4-BE49-F238E27FC236}">
              <a16:creationId xmlns:a16="http://schemas.microsoft.com/office/drawing/2014/main" id="{00000000-0008-0000-0800-00007A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0" name="Text Box 15">
          <a:extLst>
            <a:ext uri="{FF2B5EF4-FFF2-40B4-BE49-F238E27FC236}">
              <a16:creationId xmlns:a16="http://schemas.microsoft.com/office/drawing/2014/main" id="{00000000-0008-0000-0800-00007B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1" name="Text Box 15">
          <a:extLst>
            <a:ext uri="{FF2B5EF4-FFF2-40B4-BE49-F238E27FC236}">
              <a16:creationId xmlns:a16="http://schemas.microsoft.com/office/drawing/2014/main" id="{00000000-0008-0000-0800-00007C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2" name="Text Box 15">
          <a:extLst>
            <a:ext uri="{FF2B5EF4-FFF2-40B4-BE49-F238E27FC236}">
              <a16:creationId xmlns:a16="http://schemas.microsoft.com/office/drawing/2014/main" id="{00000000-0008-0000-0800-00007D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3" name="Text Box 15">
          <a:extLst>
            <a:ext uri="{FF2B5EF4-FFF2-40B4-BE49-F238E27FC236}">
              <a16:creationId xmlns:a16="http://schemas.microsoft.com/office/drawing/2014/main" id="{00000000-0008-0000-0800-00007E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4" name="Text Box 15">
          <a:extLst>
            <a:ext uri="{FF2B5EF4-FFF2-40B4-BE49-F238E27FC236}">
              <a16:creationId xmlns:a16="http://schemas.microsoft.com/office/drawing/2014/main" id="{00000000-0008-0000-0800-00007F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895" name="Text Box 15">
          <a:extLst>
            <a:ext uri="{FF2B5EF4-FFF2-40B4-BE49-F238E27FC236}">
              <a16:creationId xmlns:a16="http://schemas.microsoft.com/office/drawing/2014/main" id="{00000000-0008-0000-0800-000080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896" name="Text Box 15">
          <a:extLst>
            <a:ext uri="{FF2B5EF4-FFF2-40B4-BE49-F238E27FC236}">
              <a16:creationId xmlns:a16="http://schemas.microsoft.com/office/drawing/2014/main" id="{00000000-0008-0000-0800-000081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897" name="Text Box 15">
          <a:extLst>
            <a:ext uri="{FF2B5EF4-FFF2-40B4-BE49-F238E27FC236}">
              <a16:creationId xmlns:a16="http://schemas.microsoft.com/office/drawing/2014/main" id="{00000000-0008-0000-0800-000082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898" name="Text Box 15">
          <a:extLst>
            <a:ext uri="{FF2B5EF4-FFF2-40B4-BE49-F238E27FC236}">
              <a16:creationId xmlns:a16="http://schemas.microsoft.com/office/drawing/2014/main" id="{00000000-0008-0000-0800-000083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899" name="Text Box 15">
          <a:extLst>
            <a:ext uri="{FF2B5EF4-FFF2-40B4-BE49-F238E27FC236}">
              <a16:creationId xmlns:a16="http://schemas.microsoft.com/office/drawing/2014/main" id="{00000000-0008-0000-0800-000084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00" name="Text Box 15">
          <a:extLst>
            <a:ext uri="{FF2B5EF4-FFF2-40B4-BE49-F238E27FC236}">
              <a16:creationId xmlns:a16="http://schemas.microsoft.com/office/drawing/2014/main" id="{00000000-0008-0000-0800-000085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01" name="Text Box 15">
          <a:extLst>
            <a:ext uri="{FF2B5EF4-FFF2-40B4-BE49-F238E27FC236}">
              <a16:creationId xmlns:a16="http://schemas.microsoft.com/office/drawing/2014/main" id="{00000000-0008-0000-0800-000086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02" name="Text Box 15">
          <a:extLst>
            <a:ext uri="{FF2B5EF4-FFF2-40B4-BE49-F238E27FC236}">
              <a16:creationId xmlns:a16="http://schemas.microsoft.com/office/drawing/2014/main" id="{00000000-0008-0000-0800-000087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03" name="Text Box 15">
          <a:extLst>
            <a:ext uri="{FF2B5EF4-FFF2-40B4-BE49-F238E27FC236}">
              <a16:creationId xmlns:a16="http://schemas.microsoft.com/office/drawing/2014/main" id="{00000000-0008-0000-0800-000088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4" name="Text Box 15">
          <a:extLst>
            <a:ext uri="{FF2B5EF4-FFF2-40B4-BE49-F238E27FC236}">
              <a16:creationId xmlns:a16="http://schemas.microsoft.com/office/drawing/2014/main" id="{00000000-0008-0000-0800-000089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5" name="Text Box 15">
          <a:extLst>
            <a:ext uri="{FF2B5EF4-FFF2-40B4-BE49-F238E27FC236}">
              <a16:creationId xmlns:a16="http://schemas.microsoft.com/office/drawing/2014/main" id="{00000000-0008-0000-0800-00008A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6" name="Text Box 15">
          <a:extLst>
            <a:ext uri="{FF2B5EF4-FFF2-40B4-BE49-F238E27FC236}">
              <a16:creationId xmlns:a16="http://schemas.microsoft.com/office/drawing/2014/main" id="{00000000-0008-0000-0800-00008B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7" name="Text Box 15">
          <a:extLst>
            <a:ext uri="{FF2B5EF4-FFF2-40B4-BE49-F238E27FC236}">
              <a16:creationId xmlns:a16="http://schemas.microsoft.com/office/drawing/2014/main" id="{00000000-0008-0000-0800-00008C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8" name="Text Box 15">
          <a:extLst>
            <a:ext uri="{FF2B5EF4-FFF2-40B4-BE49-F238E27FC236}">
              <a16:creationId xmlns:a16="http://schemas.microsoft.com/office/drawing/2014/main" id="{00000000-0008-0000-0800-00008D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09" name="Text Box 15">
          <a:extLst>
            <a:ext uri="{FF2B5EF4-FFF2-40B4-BE49-F238E27FC236}">
              <a16:creationId xmlns:a16="http://schemas.microsoft.com/office/drawing/2014/main" id="{00000000-0008-0000-0800-00008E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10" name="Text Box 15">
          <a:extLst>
            <a:ext uri="{FF2B5EF4-FFF2-40B4-BE49-F238E27FC236}">
              <a16:creationId xmlns:a16="http://schemas.microsoft.com/office/drawing/2014/main" id="{00000000-0008-0000-0800-00008F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11" name="Text Box 15">
          <a:extLst>
            <a:ext uri="{FF2B5EF4-FFF2-40B4-BE49-F238E27FC236}">
              <a16:creationId xmlns:a16="http://schemas.microsoft.com/office/drawing/2014/main" id="{00000000-0008-0000-0800-000090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2" name="Text Box 15">
          <a:extLst>
            <a:ext uri="{FF2B5EF4-FFF2-40B4-BE49-F238E27FC236}">
              <a16:creationId xmlns:a16="http://schemas.microsoft.com/office/drawing/2014/main" id="{00000000-0008-0000-0800-000091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3" name="Text Box 15">
          <a:extLst>
            <a:ext uri="{FF2B5EF4-FFF2-40B4-BE49-F238E27FC236}">
              <a16:creationId xmlns:a16="http://schemas.microsoft.com/office/drawing/2014/main" id="{00000000-0008-0000-0800-000092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4" name="Text Box 15">
          <a:extLst>
            <a:ext uri="{FF2B5EF4-FFF2-40B4-BE49-F238E27FC236}">
              <a16:creationId xmlns:a16="http://schemas.microsoft.com/office/drawing/2014/main" id="{00000000-0008-0000-0800-000093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5" name="Text Box 15">
          <a:extLst>
            <a:ext uri="{FF2B5EF4-FFF2-40B4-BE49-F238E27FC236}">
              <a16:creationId xmlns:a16="http://schemas.microsoft.com/office/drawing/2014/main" id="{00000000-0008-0000-0800-000094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6" name="Text Box 15">
          <a:extLst>
            <a:ext uri="{FF2B5EF4-FFF2-40B4-BE49-F238E27FC236}">
              <a16:creationId xmlns:a16="http://schemas.microsoft.com/office/drawing/2014/main" id="{00000000-0008-0000-0800-000095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7" name="Text Box 15">
          <a:extLst>
            <a:ext uri="{FF2B5EF4-FFF2-40B4-BE49-F238E27FC236}">
              <a16:creationId xmlns:a16="http://schemas.microsoft.com/office/drawing/2014/main" id="{00000000-0008-0000-0800-000096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8" name="Text Box 15">
          <a:extLst>
            <a:ext uri="{FF2B5EF4-FFF2-40B4-BE49-F238E27FC236}">
              <a16:creationId xmlns:a16="http://schemas.microsoft.com/office/drawing/2014/main" id="{00000000-0008-0000-0800-000097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19" name="Text Box 15">
          <a:extLst>
            <a:ext uri="{FF2B5EF4-FFF2-40B4-BE49-F238E27FC236}">
              <a16:creationId xmlns:a16="http://schemas.microsoft.com/office/drawing/2014/main" id="{00000000-0008-0000-0800-000098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0" name="Text Box 15">
          <a:extLst>
            <a:ext uri="{FF2B5EF4-FFF2-40B4-BE49-F238E27FC236}">
              <a16:creationId xmlns:a16="http://schemas.microsoft.com/office/drawing/2014/main" id="{00000000-0008-0000-0800-000099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1" name="Text Box 15">
          <a:extLst>
            <a:ext uri="{FF2B5EF4-FFF2-40B4-BE49-F238E27FC236}">
              <a16:creationId xmlns:a16="http://schemas.microsoft.com/office/drawing/2014/main" id="{00000000-0008-0000-0800-00009A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2" name="Text Box 15">
          <a:extLst>
            <a:ext uri="{FF2B5EF4-FFF2-40B4-BE49-F238E27FC236}">
              <a16:creationId xmlns:a16="http://schemas.microsoft.com/office/drawing/2014/main" id="{00000000-0008-0000-0800-00009B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3" name="Text Box 15">
          <a:extLst>
            <a:ext uri="{FF2B5EF4-FFF2-40B4-BE49-F238E27FC236}">
              <a16:creationId xmlns:a16="http://schemas.microsoft.com/office/drawing/2014/main" id="{00000000-0008-0000-0800-00009C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4" name="Text Box 15">
          <a:extLst>
            <a:ext uri="{FF2B5EF4-FFF2-40B4-BE49-F238E27FC236}">
              <a16:creationId xmlns:a16="http://schemas.microsoft.com/office/drawing/2014/main" id="{00000000-0008-0000-0800-00009D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5" name="Text Box 15">
          <a:extLst>
            <a:ext uri="{FF2B5EF4-FFF2-40B4-BE49-F238E27FC236}">
              <a16:creationId xmlns:a16="http://schemas.microsoft.com/office/drawing/2014/main" id="{00000000-0008-0000-0800-00009E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6" name="Text Box 15">
          <a:extLst>
            <a:ext uri="{FF2B5EF4-FFF2-40B4-BE49-F238E27FC236}">
              <a16:creationId xmlns:a16="http://schemas.microsoft.com/office/drawing/2014/main" id="{00000000-0008-0000-0800-00009F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7871"/>
    <xdr:sp macro="" textlink="">
      <xdr:nvSpPr>
        <xdr:cNvPr id="927" name="Text Box 15">
          <a:extLst>
            <a:ext uri="{FF2B5EF4-FFF2-40B4-BE49-F238E27FC236}">
              <a16:creationId xmlns:a16="http://schemas.microsoft.com/office/drawing/2014/main" id="{00000000-0008-0000-0800-0000A0030000}"/>
            </a:ext>
          </a:extLst>
        </xdr:cNvPr>
        <xdr:cNvSpPr txBox="1">
          <a:spLocks noChangeArrowheads="1"/>
        </xdr:cNvSpPr>
      </xdr:nvSpPr>
      <xdr:spPr bwMode="auto">
        <a:xfrm>
          <a:off x="9753600"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28" name="Text Box 15">
          <a:extLst>
            <a:ext uri="{FF2B5EF4-FFF2-40B4-BE49-F238E27FC236}">
              <a16:creationId xmlns:a16="http://schemas.microsoft.com/office/drawing/2014/main" id="{00000000-0008-0000-0800-0000A1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29" name="Text Box 15">
          <a:extLst>
            <a:ext uri="{FF2B5EF4-FFF2-40B4-BE49-F238E27FC236}">
              <a16:creationId xmlns:a16="http://schemas.microsoft.com/office/drawing/2014/main" id="{00000000-0008-0000-0800-0000A2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0" name="Text Box 15">
          <a:extLst>
            <a:ext uri="{FF2B5EF4-FFF2-40B4-BE49-F238E27FC236}">
              <a16:creationId xmlns:a16="http://schemas.microsoft.com/office/drawing/2014/main" id="{00000000-0008-0000-0800-0000A3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1" name="Text Box 15">
          <a:extLst>
            <a:ext uri="{FF2B5EF4-FFF2-40B4-BE49-F238E27FC236}">
              <a16:creationId xmlns:a16="http://schemas.microsoft.com/office/drawing/2014/main" id="{00000000-0008-0000-0800-0000A4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2" name="Text Box 15">
          <a:extLst>
            <a:ext uri="{FF2B5EF4-FFF2-40B4-BE49-F238E27FC236}">
              <a16:creationId xmlns:a16="http://schemas.microsoft.com/office/drawing/2014/main" id="{00000000-0008-0000-0800-0000A5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3" name="Text Box 15">
          <a:extLst>
            <a:ext uri="{FF2B5EF4-FFF2-40B4-BE49-F238E27FC236}">
              <a16:creationId xmlns:a16="http://schemas.microsoft.com/office/drawing/2014/main" id="{00000000-0008-0000-0800-0000A6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4" name="Text Box 15">
          <a:extLst>
            <a:ext uri="{FF2B5EF4-FFF2-40B4-BE49-F238E27FC236}">
              <a16:creationId xmlns:a16="http://schemas.microsoft.com/office/drawing/2014/main" id="{00000000-0008-0000-0800-0000A7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357</xdr:row>
      <xdr:rowOff>0</xdr:rowOff>
    </xdr:from>
    <xdr:ext cx="95250" cy="295275"/>
    <xdr:sp macro="" textlink="">
      <xdr:nvSpPr>
        <xdr:cNvPr id="935" name="Text Box 15">
          <a:extLst>
            <a:ext uri="{FF2B5EF4-FFF2-40B4-BE49-F238E27FC236}">
              <a16:creationId xmlns:a16="http://schemas.microsoft.com/office/drawing/2014/main" id="{00000000-0008-0000-0800-0000A8030000}"/>
            </a:ext>
          </a:extLst>
        </xdr:cNvPr>
        <xdr:cNvSpPr txBox="1">
          <a:spLocks noChangeArrowheads="1"/>
        </xdr:cNvSpPr>
      </xdr:nvSpPr>
      <xdr:spPr bwMode="auto">
        <a:xfrm>
          <a:off x="9753600"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36" name="Text Box 15">
          <a:extLst>
            <a:ext uri="{FF2B5EF4-FFF2-40B4-BE49-F238E27FC236}">
              <a16:creationId xmlns:a16="http://schemas.microsoft.com/office/drawing/2014/main" id="{00000000-0008-0000-0800-0000A9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37" name="Text Box 15">
          <a:extLst>
            <a:ext uri="{FF2B5EF4-FFF2-40B4-BE49-F238E27FC236}">
              <a16:creationId xmlns:a16="http://schemas.microsoft.com/office/drawing/2014/main" id="{00000000-0008-0000-0800-0000AA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38" name="Text Box 15">
          <a:extLst>
            <a:ext uri="{FF2B5EF4-FFF2-40B4-BE49-F238E27FC236}">
              <a16:creationId xmlns:a16="http://schemas.microsoft.com/office/drawing/2014/main" id="{00000000-0008-0000-0800-0000AB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39" name="Text Box 15">
          <a:extLst>
            <a:ext uri="{FF2B5EF4-FFF2-40B4-BE49-F238E27FC236}">
              <a16:creationId xmlns:a16="http://schemas.microsoft.com/office/drawing/2014/main" id="{00000000-0008-0000-0800-0000AC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40" name="Text Box 15">
          <a:extLst>
            <a:ext uri="{FF2B5EF4-FFF2-40B4-BE49-F238E27FC236}">
              <a16:creationId xmlns:a16="http://schemas.microsoft.com/office/drawing/2014/main" id="{00000000-0008-0000-0800-0000AD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41" name="Text Box 15">
          <a:extLst>
            <a:ext uri="{FF2B5EF4-FFF2-40B4-BE49-F238E27FC236}">
              <a16:creationId xmlns:a16="http://schemas.microsoft.com/office/drawing/2014/main" id="{00000000-0008-0000-0800-0000AE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42" name="Text Box 15">
          <a:extLst>
            <a:ext uri="{FF2B5EF4-FFF2-40B4-BE49-F238E27FC236}">
              <a16:creationId xmlns:a16="http://schemas.microsoft.com/office/drawing/2014/main" id="{00000000-0008-0000-0800-0000AF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7871"/>
    <xdr:sp macro="" textlink="">
      <xdr:nvSpPr>
        <xdr:cNvPr id="943" name="Text Box 15">
          <a:extLst>
            <a:ext uri="{FF2B5EF4-FFF2-40B4-BE49-F238E27FC236}">
              <a16:creationId xmlns:a16="http://schemas.microsoft.com/office/drawing/2014/main" id="{00000000-0008-0000-0800-0000B0030000}"/>
            </a:ext>
          </a:extLst>
        </xdr:cNvPr>
        <xdr:cNvSpPr txBox="1">
          <a:spLocks noChangeArrowheads="1"/>
        </xdr:cNvSpPr>
      </xdr:nvSpPr>
      <xdr:spPr bwMode="auto">
        <a:xfrm>
          <a:off x="9753600"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4" name="Text Box 15">
          <a:extLst>
            <a:ext uri="{FF2B5EF4-FFF2-40B4-BE49-F238E27FC236}">
              <a16:creationId xmlns:a16="http://schemas.microsoft.com/office/drawing/2014/main" id="{00000000-0008-0000-0800-0000B1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5" name="Text Box 15">
          <a:extLst>
            <a:ext uri="{FF2B5EF4-FFF2-40B4-BE49-F238E27FC236}">
              <a16:creationId xmlns:a16="http://schemas.microsoft.com/office/drawing/2014/main" id="{00000000-0008-0000-0800-0000B2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6" name="Text Box 15">
          <a:extLst>
            <a:ext uri="{FF2B5EF4-FFF2-40B4-BE49-F238E27FC236}">
              <a16:creationId xmlns:a16="http://schemas.microsoft.com/office/drawing/2014/main" id="{00000000-0008-0000-0800-0000B3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7" name="Text Box 15">
          <a:extLst>
            <a:ext uri="{FF2B5EF4-FFF2-40B4-BE49-F238E27FC236}">
              <a16:creationId xmlns:a16="http://schemas.microsoft.com/office/drawing/2014/main" id="{00000000-0008-0000-0800-0000B4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8" name="Text Box 15">
          <a:extLst>
            <a:ext uri="{FF2B5EF4-FFF2-40B4-BE49-F238E27FC236}">
              <a16:creationId xmlns:a16="http://schemas.microsoft.com/office/drawing/2014/main" id="{00000000-0008-0000-0800-0000B5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49" name="Text Box 15">
          <a:extLst>
            <a:ext uri="{FF2B5EF4-FFF2-40B4-BE49-F238E27FC236}">
              <a16:creationId xmlns:a16="http://schemas.microsoft.com/office/drawing/2014/main" id="{00000000-0008-0000-0800-0000B6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50" name="Text Box 15">
          <a:extLst>
            <a:ext uri="{FF2B5EF4-FFF2-40B4-BE49-F238E27FC236}">
              <a16:creationId xmlns:a16="http://schemas.microsoft.com/office/drawing/2014/main" id="{00000000-0008-0000-0800-0000B7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358</xdr:row>
      <xdr:rowOff>0</xdr:rowOff>
    </xdr:from>
    <xdr:ext cx="95250" cy="295275"/>
    <xdr:sp macro="" textlink="">
      <xdr:nvSpPr>
        <xdr:cNvPr id="951" name="Text Box 15">
          <a:extLst>
            <a:ext uri="{FF2B5EF4-FFF2-40B4-BE49-F238E27FC236}">
              <a16:creationId xmlns:a16="http://schemas.microsoft.com/office/drawing/2014/main" id="{00000000-0008-0000-0800-0000B8030000}"/>
            </a:ext>
          </a:extLst>
        </xdr:cNvPr>
        <xdr:cNvSpPr txBox="1">
          <a:spLocks noChangeArrowheads="1"/>
        </xdr:cNvSpPr>
      </xdr:nvSpPr>
      <xdr:spPr bwMode="auto">
        <a:xfrm>
          <a:off x="9753600"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2" name="Text Box 15">
          <a:extLst>
            <a:ext uri="{FF2B5EF4-FFF2-40B4-BE49-F238E27FC236}">
              <a16:creationId xmlns:a16="http://schemas.microsoft.com/office/drawing/2014/main" id="{00000000-0008-0000-0800-0000B9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3" name="Text Box 15">
          <a:extLst>
            <a:ext uri="{FF2B5EF4-FFF2-40B4-BE49-F238E27FC236}">
              <a16:creationId xmlns:a16="http://schemas.microsoft.com/office/drawing/2014/main" id="{00000000-0008-0000-0800-0000BA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4" name="Text Box 15">
          <a:extLst>
            <a:ext uri="{FF2B5EF4-FFF2-40B4-BE49-F238E27FC236}">
              <a16:creationId xmlns:a16="http://schemas.microsoft.com/office/drawing/2014/main" id="{00000000-0008-0000-0800-0000BB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5" name="Text Box 15">
          <a:extLst>
            <a:ext uri="{FF2B5EF4-FFF2-40B4-BE49-F238E27FC236}">
              <a16:creationId xmlns:a16="http://schemas.microsoft.com/office/drawing/2014/main" id="{00000000-0008-0000-0800-0000BC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6" name="Text Box 15">
          <a:extLst>
            <a:ext uri="{FF2B5EF4-FFF2-40B4-BE49-F238E27FC236}">
              <a16:creationId xmlns:a16="http://schemas.microsoft.com/office/drawing/2014/main" id="{00000000-0008-0000-0800-0000BD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7" name="Text Box 15">
          <a:extLst>
            <a:ext uri="{FF2B5EF4-FFF2-40B4-BE49-F238E27FC236}">
              <a16:creationId xmlns:a16="http://schemas.microsoft.com/office/drawing/2014/main" id="{00000000-0008-0000-0800-0000BE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8" name="Text Box 15">
          <a:extLst>
            <a:ext uri="{FF2B5EF4-FFF2-40B4-BE49-F238E27FC236}">
              <a16:creationId xmlns:a16="http://schemas.microsoft.com/office/drawing/2014/main" id="{00000000-0008-0000-0800-0000BF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7871"/>
    <xdr:sp macro="" textlink="">
      <xdr:nvSpPr>
        <xdr:cNvPr id="959" name="Text Box 15">
          <a:extLst>
            <a:ext uri="{FF2B5EF4-FFF2-40B4-BE49-F238E27FC236}">
              <a16:creationId xmlns:a16="http://schemas.microsoft.com/office/drawing/2014/main" id="{00000000-0008-0000-0800-0000C0030000}"/>
            </a:ext>
          </a:extLst>
        </xdr:cNvPr>
        <xdr:cNvSpPr txBox="1">
          <a:spLocks noChangeArrowheads="1"/>
        </xdr:cNvSpPr>
      </xdr:nvSpPr>
      <xdr:spPr bwMode="auto">
        <a:xfrm>
          <a:off x="9753600"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0" name="Text Box 15">
          <a:extLst>
            <a:ext uri="{FF2B5EF4-FFF2-40B4-BE49-F238E27FC236}">
              <a16:creationId xmlns:a16="http://schemas.microsoft.com/office/drawing/2014/main" id="{00000000-0008-0000-0800-0000C1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1" name="Text Box 15">
          <a:extLst>
            <a:ext uri="{FF2B5EF4-FFF2-40B4-BE49-F238E27FC236}">
              <a16:creationId xmlns:a16="http://schemas.microsoft.com/office/drawing/2014/main" id="{00000000-0008-0000-0800-0000C2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2" name="Text Box 15">
          <a:extLst>
            <a:ext uri="{FF2B5EF4-FFF2-40B4-BE49-F238E27FC236}">
              <a16:creationId xmlns:a16="http://schemas.microsoft.com/office/drawing/2014/main" id="{00000000-0008-0000-0800-0000C3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3" name="Text Box 15">
          <a:extLst>
            <a:ext uri="{FF2B5EF4-FFF2-40B4-BE49-F238E27FC236}">
              <a16:creationId xmlns:a16="http://schemas.microsoft.com/office/drawing/2014/main" id="{00000000-0008-0000-0800-0000C4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4" name="Text Box 15">
          <a:extLst>
            <a:ext uri="{FF2B5EF4-FFF2-40B4-BE49-F238E27FC236}">
              <a16:creationId xmlns:a16="http://schemas.microsoft.com/office/drawing/2014/main" id="{00000000-0008-0000-0800-0000C5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5" name="Text Box 15">
          <a:extLst>
            <a:ext uri="{FF2B5EF4-FFF2-40B4-BE49-F238E27FC236}">
              <a16:creationId xmlns:a16="http://schemas.microsoft.com/office/drawing/2014/main" id="{00000000-0008-0000-0800-0000C6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6" name="Text Box 15">
          <a:extLst>
            <a:ext uri="{FF2B5EF4-FFF2-40B4-BE49-F238E27FC236}">
              <a16:creationId xmlns:a16="http://schemas.microsoft.com/office/drawing/2014/main" id="{00000000-0008-0000-0800-0000C7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359</xdr:row>
      <xdr:rowOff>0</xdr:rowOff>
    </xdr:from>
    <xdr:ext cx="95250" cy="295275"/>
    <xdr:sp macro="" textlink="">
      <xdr:nvSpPr>
        <xdr:cNvPr id="967" name="Text Box 15">
          <a:extLst>
            <a:ext uri="{FF2B5EF4-FFF2-40B4-BE49-F238E27FC236}">
              <a16:creationId xmlns:a16="http://schemas.microsoft.com/office/drawing/2014/main" id="{00000000-0008-0000-0800-0000C8030000}"/>
            </a:ext>
          </a:extLst>
        </xdr:cNvPr>
        <xdr:cNvSpPr txBox="1">
          <a:spLocks noChangeArrowheads="1"/>
        </xdr:cNvSpPr>
      </xdr:nvSpPr>
      <xdr:spPr bwMode="auto">
        <a:xfrm>
          <a:off x="9753600"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68" name="Text Box 15">
          <a:extLst>
            <a:ext uri="{FF2B5EF4-FFF2-40B4-BE49-F238E27FC236}">
              <a16:creationId xmlns:a16="http://schemas.microsoft.com/office/drawing/2014/main" id="{00000000-0008-0000-0800-0000C9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69" name="Text Box 15">
          <a:extLst>
            <a:ext uri="{FF2B5EF4-FFF2-40B4-BE49-F238E27FC236}">
              <a16:creationId xmlns:a16="http://schemas.microsoft.com/office/drawing/2014/main" id="{00000000-0008-0000-0800-0000CA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0" name="Text Box 15">
          <a:extLst>
            <a:ext uri="{FF2B5EF4-FFF2-40B4-BE49-F238E27FC236}">
              <a16:creationId xmlns:a16="http://schemas.microsoft.com/office/drawing/2014/main" id="{00000000-0008-0000-0800-0000CB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1" name="Text Box 15">
          <a:extLst>
            <a:ext uri="{FF2B5EF4-FFF2-40B4-BE49-F238E27FC236}">
              <a16:creationId xmlns:a16="http://schemas.microsoft.com/office/drawing/2014/main" id="{00000000-0008-0000-0800-0000CC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2" name="Text Box 15">
          <a:extLst>
            <a:ext uri="{FF2B5EF4-FFF2-40B4-BE49-F238E27FC236}">
              <a16:creationId xmlns:a16="http://schemas.microsoft.com/office/drawing/2014/main" id="{00000000-0008-0000-0800-0000CD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3" name="Text Box 15">
          <a:extLst>
            <a:ext uri="{FF2B5EF4-FFF2-40B4-BE49-F238E27FC236}">
              <a16:creationId xmlns:a16="http://schemas.microsoft.com/office/drawing/2014/main" id="{00000000-0008-0000-0800-0000CE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4" name="Text Box 15">
          <a:extLst>
            <a:ext uri="{FF2B5EF4-FFF2-40B4-BE49-F238E27FC236}">
              <a16:creationId xmlns:a16="http://schemas.microsoft.com/office/drawing/2014/main" id="{00000000-0008-0000-0800-0000CF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7871"/>
    <xdr:sp macro="" textlink="">
      <xdr:nvSpPr>
        <xdr:cNvPr id="975" name="Text Box 15">
          <a:extLst>
            <a:ext uri="{FF2B5EF4-FFF2-40B4-BE49-F238E27FC236}">
              <a16:creationId xmlns:a16="http://schemas.microsoft.com/office/drawing/2014/main" id="{00000000-0008-0000-0800-0000D0030000}"/>
            </a:ext>
          </a:extLst>
        </xdr:cNvPr>
        <xdr:cNvSpPr txBox="1">
          <a:spLocks noChangeArrowheads="1"/>
        </xdr:cNvSpPr>
      </xdr:nvSpPr>
      <xdr:spPr bwMode="auto">
        <a:xfrm>
          <a:off x="9753600" y="743521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76" name="Text Box 15">
          <a:extLst>
            <a:ext uri="{FF2B5EF4-FFF2-40B4-BE49-F238E27FC236}">
              <a16:creationId xmlns:a16="http://schemas.microsoft.com/office/drawing/2014/main" id="{00000000-0008-0000-0800-0000D1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77" name="Text Box 15">
          <a:extLst>
            <a:ext uri="{FF2B5EF4-FFF2-40B4-BE49-F238E27FC236}">
              <a16:creationId xmlns:a16="http://schemas.microsoft.com/office/drawing/2014/main" id="{00000000-0008-0000-0800-0000D2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78" name="Text Box 15">
          <a:extLst>
            <a:ext uri="{FF2B5EF4-FFF2-40B4-BE49-F238E27FC236}">
              <a16:creationId xmlns:a16="http://schemas.microsoft.com/office/drawing/2014/main" id="{00000000-0008-0000-0800-0000D3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79" name="Text Box 15">
          <a:extLst>
            <a:ext uri="{FF2B5EF4-FFF2-40B4-BE49-F238E27FC236}">
              <a16:creationId xmlns:a16="http://schemas.microsoft.com/office/drawing/2014/main" id="{00000000-0008-0000-0800-0000D4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80" name="Text Box 15">
          <a:extLst>
            <a:ext uri="{FF2B5EF4-FFF2-40B4-BE49-F238E27FC236}">
              <a16:creationId xmlns:a16="http://schemas.microsoft.com/office/drawing/2014/main" id="{00000000-0008-0000-0800-0000D5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81" name="Text Box 15">
          <a:extLst>
            <a:ext uri="{FF2B5EF4-FFF2-40B4-BE49-F238E27FC236}">
              <a16:creationId xmlns:a16="http://schemas.microsoft.com/office/drawing/2014/main" id="{00000000-0008-0000-0800-0000D6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82" name="Text Box 15">
          <a:extLst>
            <a:ext uri="{FF2B5EF4-FFF2-40B4-BE49-F238E27FC236}">
              <a16:creationId xmlns:a16="http://schemas.microsoft.com/office/drawing/2014/main" id="{00000000-0008-0000-0800-0000D7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360</xdr:row>
      <xdr:rowOff>0</xdr:rowOff>
    </xdr:from>
    <xdr:ext cx="95250" cy="295275"/>
    <xdr:sp macro="" textlink="">
      <xdr:nvSpPr>
        <xdr:cNvPr id="983" name="Text Box 15">
          <a:extLst>
            <a:ext uri="{FF2B5EF4-FFF2-40B4-BE49-F238E27FC236}">
              <a16:creationId xmlns:a16="http://schemas.microsoft.com/office/drawing/2014/main" id="{00000000-0008-0000-0800-0000D8030000}"/>
            </a:ext>
          </a:extLst>
        </xdr:cNvPr>
        <xdr:cNvSpPr txBox="1">
          <a:spLocks noChangeArrowheads="1"/>
        </xdr:cNvSpPr>
      </xdr:nvSpPr>
      <xdr:spPr bwMode="auto">
        <a:xfrm>
          <a:off x="9753600" y="743521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4" name="Text Box 15">
          <a:extLst>
            <a:ext uri="{FF2B5EF4-FFF2-40B4-BE49-F238E27FC236}">
              <a16:creationId xmlns:a16="http://schemas.microsoft.com/office/drawing/2014/main" id="{00000000-0008-0000-0800-0000D9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5" name="Text Box 15">
          <a:extLst>
            <a:ext uri="{FF2B5EF4-FFF2-40B4-BE49-F238E27FC236}">
              <a16:creationId xmlns:a16="http://schemas.microsoft.com/office/drawing/2014/main" id="{00000000-0008-0000-0800-0000DA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6" name="Text Box 15">
          <a:extLst>
            <a:ext uri="{FF2B5EF4-FFF2-40B4-BE49-F238E27FC236}">
              <a16:creationId xmlns:a16="http://schemas.microsoft.com/office/drawing/2014/main" id="{00000000-0008-0000-0800-0000DB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7" name="Text Box 15">
          <a:extLst>
            <a:ext uri="{FF2B5EF4-FFF2-40B4-BE49-F238E27FC236}">
              <a16:creationId xmlns:a16="http://schemas.microsoft.com/office/drawing/2014/main" id="{00000000-0008-0000-0800-0000DC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8" name="Text Box 15">
          <a:extLst>
            <a:ext uri="{FF2B5EF4-FFF2-40B4-BE49-F238E27FC236}">
              <a16:creationId xmlns:a16="http://schemas.microsoft.com/office/drawing/2014/main" id="{00000000-0008-0000-0800-0000DD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89" name="Text Box 15">
          <a:extLst>
            <a:ext uri="{FF2B5EF4-FFF2-40B4-BE49-F238E27FC236}">
              <a16:creationId xmlns:a16="http://schemas.microsoft.com/office/drawing/2014/main" id="{00000000-0008-0000-0800-0000DE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90" name="Text Box 15">
          <a:extLst>
            <a:ext uri="{FF2B5EF4-FFF2-40B4-BE49-F238E27FC236}">
              <a16:creationId xmlns:a16="http://schemas.microsoft.com/office/drawing/2014/main" id="{00000000-0008-0000-0800-0000DF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7871"/>
    <xdr:sp macro="" textlink="">
      <xdr:nvSpPr>
        <xdr:cNvPr id="991" name="Text Box 15">
          <a:extLst>
            <a:ext uri="{FF2B5EF4-FFF2-40B4-BE49-F238E27FC236}">
              <a16:creationId xmlns:a16="http://schemas.microsoft.com/office/drawing/2014/main" id="{00000000-0008-0000-0800-0000E0030000}"/>
            </a:ext>
          </a:extLst>
        </xdr:cNvPr>
        <xdr:cNvSpPr txBox="1">
          <a:spLocks noChangeArrowheads="1"/>
        </xdr:cNvSpPr>
      </xdr:nvSpPr>
      <xdr:spPr bwMode="auto">
        <a:xfrm>
          <a:off x="9753600"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2" name="Text Box 15">
          <a:extLst>
            <a:ext uri="{FF2B5EF4-FFF2-40B4-BE49-F238E27FC236}">
              <a16:creationId xmlns:a16="http://schemas.microsoft.com/office/drawing/2014/main" id="{00000000-0008-0000-0800-0000E1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3" name="Text Box 15">
          <a:extLst>
            <a:ext uri="{FF2B5EF4-FFF2-40B4-BE49-F238E27FC236}">
              <a16:creationId xmlns:a16="http://schemas.microsoft.com/office/drawing/2014/main" id="{00000000-0008-0000-0800-0000E2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4" name="Text Box 15">
          <a:extLst>
            <a:ext uri="{FF2B5EF4-FFF2-40B4-BE49-F238E27FC236}">
              <a16:creationId xmlns:a16="http://schemas.microsoft.com/office/drawing/2014/main" id="{00000000-0008-0000-0800-0000E3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5" name="Text Box 15">
          <a:extLst>
            <a:ext uri="{FF2B5EF4-FFF2-40B4-BE49-F238E27FC236}">
              <a16:creationId xmlns:a16="http://schemas.microsoft.com/office/drawing/2014/main" id="{00000000-0008-0000-0800-0000E4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6" name="Text Box 15">
          <a:extLst>
            <a:ext uri="{FF2B5EF4-FFF2-40B4-BE49-F238E27FC236}">
              <a16:creationId xmlns:a16="http://schemas.microsoft.com/office/drawing/2014/main" id="{00000000-0008-0000-0800-0000E5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7" name="Text Box 15">
          <a:extLst>
            <a:ext uri="{FF2B5EF4-FFF2-40B4-BE49-F238E27FC236}">
              <a16:creationId xmlns:a16="http://schemas.microsoft.com/office/drawing/2014/main" id="{00000000-0008-0000-0800-0000E6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8" name="Text Box 15">
          <a:extLst>
            <a:ext uri="{FF2B5EF4-FFF2-40B4-BE49-F238E27FC236}">
              <a16:creationId xmlns:a16="http://schemas.microsoft.com/office/drawing/2014/main" id="{00000000-0008-0000-0800-0000E7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361</xdr:row>
      <xdr:rowOff>0</xdr:rowOff>
    </xdr:from>
    <xdr:ext cx="95250" cy="295275"/>
    <xdr:sp macro="" textlink="">
      <xdr:nvSpPr>
        <xdr:cNvPr id="999" name="Text Box 15">
          <a:extLst>
            <a:ext uri="{FF2B5EF4-FFF2-40B4-BE49-F238E27FC236}">
              <a16:creationId xmlns:a16="http://schemas.microsoft.com/office/drawing/2014/main" id="{00000000-0008-0000-0800-0000E8030000}"/>
            </a:ext>
          </a:extLst>
        </xdr:cNvPr>
        <xdr:cNvSpPr txBox="1">
          <a:spLocks noChangeArrowheads="1"/>
        </xdr:cNvSpPr>
      </xdr:nvSpPr>
      <xdr:spPr bwMode="auto">
        <a:xfrm>
          <a:off x="9753600"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0" name="Text Box 15">
          <a:extLst>
            <a:ext uri="{FF2B5EF4-FFF2-40B4-BE49-F238E27FC236}">
              <a16:creationId xmlns:a16="http://schemas.microsoft.com/office/drawing/2014/main" id="{00000000-0008-0000-0800-0000E9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1" name="Text Box 15">
          <a:extLst>
            <a:ext uri="{FF2B5EF4-FFF2-40B4-BE49-F238E27FC236}">
              <a16:creationId xmlns:a16="http://schemas.microsoft.com/office/drawing/2014/main" id="{00000000-0008-0000-0800-0000EA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2" name="Text Box 15">
          <a:extLst>
            <a:ext uri="{FF2B5EF4-FFF2-40B4-BE49-F238E27FC236}">
              <a16:creationId xmlns:a16="http://schemas.microsoft.com/office/drawing/2014/main" id="{00000000-0008-0000-0800-0000EB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3" name="Text Box 15">
          <a:extLst>
            <a:ext uri="{FF2B5EF4-FFF2-40B4-BE49-F238E27FC236}">
              <a16:creationId xmlns:a16="http://schemas.microsoft.com/office/drawing/2014/main" id="{00000000-0008-0000-0800-0000EC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4" name="Text Box 15">
          <a:extLst>
            <a:ext uri="{FF2B5EF4-FFF2-40B4-BE49-F238E27FC236}">
              <a16:creationId xmlns:a16="http://schemas.microsoft.com/office/drawing/2014/main" id="{00000000-0008-0000-0800-0000ED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5" name="Text Box 15">
          <a:extLst>
            <a:ext uri="{FF2B5EF4-FFF2-40B4-BE49-F238E27FC236}">
              <a16:creationId xmlns:a16="http://schemas.microsoft.com/office/drawing/2014/main" id="{00000000-0008-0000-0800-0000EE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6" name="Text Box 15">
          <a:extLst>
            <a:ext uri="{FF2B5EF4-FFF2-40B4-BE49-F238E27FC236}">
              <a16:creationId xmlns:a16="http://schemas.microsoft.com/office/drawing/2014/main" id="{00000000-0008-0000-0800-0000EF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7871"/>
    <xdr:sp macro="" textlink="">
      <xdr:nvSpPr>
        <xdr:cNvPr id="1007" name="Text Box 15">
          <a:extLst>
            <a:ext uri="{FF2B5EF4-FFF2-40B4-BE49-F238E27FC236}">
              <a16:creationId xmlns:a16="http://schemas.microsoft.com/office/drawing/2014/main" id="{00000000-0008-0000-0800-0000F0030000}"/>
            </a:ext>
          </a:extLst>
        </xdr:cNvPr>
        <xdr:cNvSpPr txBox="1">
          <a:spLocks noChangeArrowheads="1"/>
        </xdr:cNvSpPr>
      </xdr:nvSpPr>
      <xdr:spPr bwMode="auto">
        <a:xfrm>
          <a:off x="9753600"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08" name="Text Box 15">
          <a:extLst>
            <a:ext uri="{FF2B5EF4-FFF2-40B4-BE49-F238E27FC236}">
              <a16:creationId xmlns:a16="http://schemas.microsoft.com/office/drawing/2014/main" id="{00000000-0008-0000-0800-0000F1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09" name="Text Box 15">
          <a:extLst>
            <a:ext uri="{FF2B5EF4-FFF2-40B4-BE49-F238E27FC236}">
              <a16:creationId xmlns:a16="http://schemas.microsoft.com/office/drawing/2014/main" id="{00000000-0008-0000-0800-0000F2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0" name="Text Box 15">
          <a:extLst>
            <a:ext uri="{FF2B5EF4-FFF2-40B4-BE49-F238E27FC236}">
              <a16:creationId xmlns:a16="http://schemas.microsoft.com/office/drawing/2014/main" id="{00000000-0008-0000-0800-0000F3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1" name="Text Box 15">
          <a:extLst>
            <a:ext uri="{FF2B5EF4-FFF2-40B4-BE49-F238E27FC236}">
              <a16:creationId xmlns:a16="http://schemas.microsoft.com/office/drawing/2014/main" id="{00000000-0008-0000-0800-0000F4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2" name="Text Box 15">
          <a:extLst>
            <a:ext uri="{FF2B5EF4-FFF2-40B4-BE49-F238E27FC236}">
              <a16:creationId xmlns:a16="http://schemas.microsoft.com/office/drawing/2014/main" id="{00000000-0008-0000-0800-0000F5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3" name="Text Box 15">
          <a:extLst>
            <a:ext uri="{FF2B5EF4-FFF2-40B4-BE49-F238E27FC236}">
              <a16:creationId xmlns:a16="http://schemas.microsoft.com/office/drawing/2014/main" id="{00000000-0008-0000-0800-0000F6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4" name="Text Box 15">
          <a:extLst>
            <a:ext uri="{FF2B5EF4-FFF2-40B4-BE49-F238E27FC236}">
              <a16:creationId xmlns:a16="http://schemas.microsoft.com/office/drawing/2014/main" id="{00000000-0008-0000-0800-0000F7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362</xdr:row>
      <xdr:rowOff>0</xdr:rowOff>
    </xdr:from>
    <xdr:ext cx="95250" cy="295275"/>
    <xdr:sp macro="" textlink="">
      <xdr:nvSpPr>
        <xdr:cNvPr id="1015" name="Text Box 15">
          <a:extLst>
            <a:ext uri="{FF2B5EF4-FFF2-40B4-BE49-F238E27FC236}">
              <a16:creationId xmlns:a16="http://schemas.microsoft.com/office/drawing/2014/main" id="{00000000-0008-0000-0800-0000F8030000}"/>
            </a:ext>
          </a:extLst>
        </xdr:cNvPr>
        <xdr:cNvSpPr txBox="1">
          <a:spLocks noChangeArrowheads="1"/>
        </xdr:cNvSpPr>
      </xdr:nvSpPr>
      <xdr:spPr bwMode="auto">
        <a:xfrm>
          <a:off x="9753600"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16" name="Text Box 15">
          <a:extLst>
            <a:ext uri="{FF2B5EF4-FFF2-40B4-BE49-F238E27FC236}">
              <a16:creationId xmlns:a16="http://schemas.microsoft.com/office/drawing/2014/main" id="{00000000-0008-0000-0800-0000F9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17" name="Text Box 15">
          <a:extLst>
            <a:ext uri="{FF2B5EF4-FFF2-40B4-BE49-F238E27FC236}">
              <a16:creationId xmlns:a16="http://schemas.microsoft.com/office/drawing/2014/main" id="{00000000-0008-0000-0800-0000FA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18" name="Text Box 15">
          <a:extLst>
            <a:ext uri="{FF2B5EF4-FFF2-40B4-BE49-F238E27FC236}">
              <a16:creationId xmlns:a16="http://schemas.microsoft.com/office/drawing/2014/main" id="{00000000-0008-0000-0800-0000FB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19" name="Text Box 15">
          <a:extLst>
            <a:ext uri="{FF2B5EF4-FFF2-40B4-BE49-F238E27FC236}">
              <a16:creationId xmlns:a16="http://schemas.microsoft.com/office/drawing/2014/main" id="{00000000-0008-0000-0800-0000FC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20" name="Text Box 15">
          <a:extLst>
            <a:ext uri="{FF2B5EF4-FFF2-40B4-BE49-F238E27FC236}">
              <a16:creationId xmlns:a16="http://schemas.microsoft.com/office/drawing/2014/main" id="{00000000-0008-0000-0800-0000FD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21" name="Text Box 15">
          <a:extLst>
            <a:ext uri="{FF2B5EF4-FFF2-40B4-BE49-F238E27FC236}">
              <a16:creationId xmlns:a16="http://schemas.microsoft.com/office/drawing/2014/main" id="{00000000-0008-0000-0800-0000FE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22" name="Text Box 15">
          <a:extLst>
            <a:ext uri="{FF2B5EF4-FFF2-40B4-BE49-F238E27FC236}">
              <a16:creationId xmlns:a16="http://schemas.microsoft.com/office/drawing/2014/main" id="{00000000-0008-0000-0800-0000FF03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7871"/>
    <xdr:sp macro="" textlink="">
      <xdr:nvSpPr>
        <xdr:cNvPr id="1023" name="Text Box 15">
          <a:extLst>
            <a:ext uri="{FF2B5EF4-FFF2-40B4-BE49-F238E27FC236}">
              <a16:creationId xmlns:a16="http://schemas.microsoft.com/office/drawing/2014/main" id="{00000000-0008-0000-0800-000000040000}"/>
            </a:ext>
          </a:extLst>
        </xdr:cNvPr>
        <xdr:cNvSpPr txBox="1">
          <a:spLocks noChangeArrowheads="1"/>
        </xdr:cNvSpPr>
      </xdr:nvSpPr>
      <xdr:spPr bwMode="auto">
        <a:xfrm>
          <a:off x="9753600"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4" name="Text Box 15">
          <a:extLst>
            <a:ext uri="{FF2B5EF4-FFF2-40B4-BE49-F238E27FC236}">
              <a16:creationId xmlns:a16="http://schemas.microsoft.com/office/drawing/2014/main" id="{00000000-0008-0000-0800-000001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5" name="Text Box 15">
          <a:extLst>
            <a:ext uri="{FF2B5EF4-FFF2-40B4-BE49-F238E27FC236}">
              <a16:creationId xmlns:a16="http://schemas.microsoft.com/office/drawing/2014/main" id="{00000000-0008-0000-0800-000002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6" name="Text Box 15">
          <a:extLst>
            <a:ext uri="{FF2B5EF4-FFF2-40B4-BE49-F238E27FC236}">
              <a16:creationId xmlns:a16="http://schemas.microsoft.com/office/drawing/2014/main" id="{00000000-0008-0000-0800-000003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7" name="Text Box 15">
          <a:extLst>
            <a:ext uri="{FF2B5EF4-FFF2-40B4-BE49-F238E27FC236}">
              <a16:creationId xmlns:a16="http://schemas.microsoft.com/office/drawing/2014/main" id="{00000000-0008-0000-0800-000004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8" name="Text Box 15">
          <a:extLst>
            <a:ext uri="{FF2B5EF4-FFF2-40B4-BE49-F238E27FC236}">
              <a16:creationId xmlns:a16="http://schemas.microsoft.com/office/drawing/2014/main" id="{00000000-0008-0000-0800-000005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29" name="Text Box 15">
          <a:extLst>
            <a:ext uri="{FF2B5EF4-FFF2-40B4-BE49-F238E27FC236}">
              <a16:creationId xmlns:a16="http://schemas.microsoft.com/office/drawing/2014/main" id="{00000000-0008-0000-0800-000006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30" name="Text Box 15">
          <a:extLst>
            <a:ext uri="{FF2B5EF4-FFF2-40B4-BE49-F238E27FC236}">
              <a16:creationId xmlns:a16="http://schemas.microsoft.com/office/drawing/2014/main" id="{00000000-0008-0000-0800-000007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363</xdr:row>
      <xdr:rowOff>0</xdr:rowOff>
    </xdr:from>
    <xdr:ext cx="95250" cy="295275"/>
    <xdr:sp macro="" textlink="">
      <xdr:nvSpPr>
        <xdr:cNvPr id="1031" name="Text Box 15">
          <a:extLst>
            <a:ext uri="{FF2B5EF4-FFF2-40B4-BE49-F238E27FC236}">
              <a16:creationId xmlns:a16="http://schemas.microsoft.com/office/drawing/2014/main" id="{00000000-0008-0000-0800-000008040000}"/>
            </a:ext>
          </a:extLst>
        </xdr:cNvPr>
        <xdr:cNvSpPr txBox="1">
          <a:spLocks noChangeArrowheads="1"/>
        </xdr:cNvSpPr>
      </xdr:nvSpPr>
      <xdr:spPr bwMode="auto">
        <a:xfrm>
          <a:off x="9753600"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2" name="Text Box 15">
          <a:extLst>
            <a:ext uri="{FF2B5EF4-FFF2-40B4-BE49-F238E27FC236}">
              <a16:creationId xmlns:a16="http://schemas.microsoft.com/office/drawing/2014/main" id="{00000000-0008-0000-0800-000009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3" name="Text Box 15">
          <a:extLst>
            <a:ext uri="{FF2B5EF4-FFF2-40B4-BE49-F238E27FC236}">
              <a16:creationId xmlns:a16="http://schemas.microsoft.com/office/drawing/2014/main" id="{00000000-0008-0000-0800-00000A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4" name="Text Box 15">
          <a:extLst>
            <a:ext uri="{FF2B5EF4-FFF2-40B4-BE49-F238E27FC236}">
              <a16:creationId xmlns:a16="http://schemas.microsoft.com/office/drawing/2014/main" id="{00000000-0008-0000-0800-00000B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5" name="Text Box 15">
          <a:extLst>
            <a:ext uri="{FF2B5EF4-FFF2-40B4-BE49-F238E27FC236}">
              <a16:creationId xmlns:a16="http://schemas.microsoft.com/office/drawing/2014/main" id="{00000000-0008-0000-0800-00000C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6" name="Text Box 15">
          <a:extLst>
            <a:ext uri="{FF2B5EF4-FFF2-40B4-BE49-F238E27FC236}">
              <a16:creationId xmlns:a16="http://schemas.microsoft.com/office/drawing/2014/main" id="{00000000-0008-0000-0800-00000D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7" name="Text Box 15">
          <a:extLst>
            <a:ext uri="{FF2B5EF4-FFF2-40B4-BE49-F238E27FC236}">
              <a16:creationId xmlns:a16="http://schemas.microsoft.com/office/drawing/2014/main" id="{00000000-0008-0000-0800-00000E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8" name="Text Box 15">
          <a:extLst>
            <a:ext uri="{FF2B5EF4-FFF2-40B4-BE49-F238E27FC236}">
              <a16:creationId xmlns:a16="http://schemas.microsoft.com/office/drawing/2014/main" id="{00000000-0008-0000-0800-00000F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7871"/>
    <xdr:sp macro="" textlink="">
      <xdr:nvSpPr>
        <xdr:cNvPr id="1039" name="Text Box 15">
          <a:extLst>
            <a:ext uri="{FF2B5EF4-FFF2-40B4-BE49-F238E27FC236}">
              <a16:creationId xmlns:a16="http://schemas.microsoft.com/office/drawing/2014/main" id="{00000000-0008-0000-0800-000010040000}"/>
            </a:ext>
          </a:extLst>
        </xdr:cNvPr>
        <xdr:cNvSpPr txBox="1">
          <a:spLocks noChangeArrowheads="1"/>
        </xdr:cNvSpPr>
      </xdr:nvSpPr>
      <xdr:spPr bwMode="auto">
        <a:xfrm>
          <a:off x="9753600"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0" name="Text Box 15">
          <a:extLst>
            <a:ext uri="{FF2B5EF4-FFF2-40B4-BE49-F238E27FC236}">
              <a16:creationId xmlns:a16="http://schemas.microsoft.com/office/drawing/2014/main" id="{00000000-0008-0000-0800-000011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1" name="Text Box 15">
          <a:extLst>
            <a:ext uri="{FF2B5EF4-FFF2-40B4-BE49-F238E27FC236}">
              <a16:creationId xmlns:a16="http://schemas.microsoft.com/office/drawing/2014/main" id="{00000000-0008-0000-0800-000012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2" name="Text Box 15">
          <a:extLst>
            <a:ext uri="{FF2B5EF4-FFF2-40B4-BE49-F238E27FC236}">
              <a16:creationId xmlns:a16="http://schemas.microsoft.com/office/drawing/2014/main" id="{00000000-0008-0000-0800-000013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3" name="Text Box 15">
          <a:extLst>
            <a:ext uri="{FF2B5EF4-FFF2-40B4-BE49-F238E27FC236}">
              <a16:creationId xmlns:a16="http://schemas.microsoft.com/office/drawing/2014/main" id="{00000000-0008-0000-0800-000014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4" name="Text Box 15">
          <a:extLst>
            <a:ext uri="{FF2B5EF4-FFF2-40B4-BE49-F238E27FC236}">
              <a16:creationId xmlns:a16="http://schemas.microsoft.com/office/drawing/2014/main" id="{00000000-0008-0000-0800-000015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5" name="Text Box 15">
          <a:extLst>
            <a:ext uri="{FF2B5EF4-FFF2-40B4-BE49-F238E27FC236}">
              <a16:creationId xmlns:a16="http://schemas.microsoft.com/office/drawing/2014/main" id="{00000000-0008-0000-0800-000016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0</xdr:rowOff>
    </xdr:from>
    <xdr:ext cx="95250" cy="295275"/>
    <xdr:sp macro="" textlink="">
      <xdr:nvSpPr>
        <xdr:cNvPr id="1046" name="Text Box 15">
          <a:extLst>
            <a:ext uri="{FF2B5EF4-FFF2-40B4-BE49-F238E27FC236}">
              <a16:creationId xmlns:a16="http://schemas.microsoft.com/office/drawing/2014/main" id="{00000000-0008-0000-0800-000017040000}"/>
            </a:ext>
          </a:extLst>
        </xdr:cNvPr>
        <xdr:cNvSpPr txBox="1">
          <a:spLocks noChangeArrowheads="1"/>
        </xdr:cNvSpPr>
      </xdr:nvSpPr>
      <xdr:spPr bwMode="auto">
        <a:xfrm>
          <a:off x="9753600"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364</xdr:row>
      <xdr:rowOff>38100</xdr:rowOff>
    </xdr:from>
    <xdr:ext cx="95250" cy="295275"/>
    <xdr:sp macro="" textlink="">
      <xdr:nvSpPr>
        <xdr:cNvPr id="1047" name="Text Box 15">
          <a:extLst>
            <a:ext uri="{FF2B5EF4-FFF2-40B4-BE49-F238E27FC236}">
              <a16:creationId xmlns:a16="http://schemas.microsoft.com/office/drawing/2014/main" id="{00000000-0008-0000-0800-000018040000}"/>
            </a:ext>
          </a:extLst>
        </xdr:cNvPr>
        <xdr:cNvSpPr txBox="1">
          <a:spLocks noChangeArrowheads="1"/>
        </xdr:cNvSpPr>
      </xdr:nvSpPr>
      <xdr:spPr bwMode="auto">
        <a:xfrm>
          <a:off x="9782175" y="74990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48" name="Text Box 15">
          <a:extLst>
            <a:ext uri="{FF2B5EF4-FFF2-40B4-BE49-F238E27FC236}">
              <a16:creationId xmlns:a16="http://schemas.microsoft.com/office/drawing/2014/main" id="{00000000-0008-0000-0800-000019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49" name="Text Box 15">
          <a:extLst>
            <a:ext uri="{FF2B5EF4-FFF2-40B4-BE49-F238E27FC236}">
              <a16:creationId xmlns:a16="http://schemas.microsoft.com/office/drawing/2014/main" id="{00000000-0008-0000-0800-00001A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0" name="Text Box 15">
          <a:extLst>
            <a:ext uri="{FF2B5EF4-FFF2-40B4-BE49-F238E27FC236}">
              <a16:creationId xmlns:a16="http://schemas.microsoft.com/office/drawing/2014/main" id="{00000000-0008-0000-0800-00001B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1" name="Text Box 15">
          <a:extLst>
            <a:ext uri="{FF2B5EF4-FFF2-40B4-BE49-F238E27FC236}">
              <a16:creationId xmlns:a16="http://schemas.microsoft.com/office/drawing/2014/main" id="{00000000-0008-0000-0800-00001C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2" name="Text Box 15">
          <a:extLst>
            <a:ext uri="{FF2B5EF4-FFF2-40B4-BE49-F238E27FC236}">
              <a16:creationId xmlns:a16="http://schemas.microsoft.com/office/drawing/2014/main" id="{00000000-0008-0000-0800-00001D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3" name="Text Box 15">
          <a:extLst>
            <a:ext uri="{FF2B5EF4-FFF2-40B4-BE49-F238E27FC236}">
              <a16:creationId xmlns:a16="http://schemas.microsoft.com/office/drawing/2014/main" id="{00000000-0008-0000-0800-00001E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4" name="Text Box 15">
          <a:extLst>
            <a:ext uri="{FF2B5EF4-FFF2-40B4-BE49-F238E27FC236}">
              <a16:creationId xmlns:a16="http://schemas.microsoft.com/office/drawing/2014/main" id="{00000000-0008-0000-0800-00001F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55" name="Text Box 15">
          <a:extLst>
            <a:ext uri="{FF2B5EF4-FFF2-40B4-BE49-F238E27FC236}">
              <a16:creationId xmlns:a16="http://schemas.microsoft.com/office/drawing/2014/main" id="{00000000-0008-0000-0800-000020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56" name="Text Box 15">
          <a:extLst>
            <a:ext uri="{FF2B5EF4-FFF2-40B4-BE49-F238E27FC236}">
              <a16:creationId xmlns:a16="http://schemas.microsoft.com/office/drawing/2014/main" id="{00000000-0008-0000-0800-000021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57" name="Text Box 15">
          <a:extLst>
            <a:ext uri="{FF2B5EF4-FFF2-40B4-BE49-F238E27FC236}">
              <a16:creationId xmlns:a16="http://schemas.microsoft.com/office/drawing/2014/main" id="{00000000-0008-0000-0800-000022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58" name="Text Box 15">
          <a:extLst>
            <a:ext uri="{FF2B5EF4-FFF2-40B4-BE49-F238E27FC236}">
              <a16:creationId xmlns:a16="http://schemas.microsoft.com/office/drawing/2014/main" id="{00000000-0008-0000-0800-000023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59" name="Text Box 15">
          <a:extLst>
            <a:ext uri="{FF2B5EF4-FFF2-40B4-BE49-F238E27FC236}">
              <a16:creationId xmlns:a16="http://schemas.microsoft.com/office/drawing/2014/main" id="{00000000-0008-0000-0800-000024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60" name="Text Box 15">
          <a:extLst>
            <a:ext uri="{FF2B5EF4-FFF2-40B4-BE49-F238E27FC236}">
              <a16:creationId xmlns:a16="http://schemas.microsoft.com/office/drawing/2014/main" id="{00000000-0008-0000-0800-000025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61" name="Text Box 15">
          <a:extLst>
            <a:ext uri="{FF2B5EF4-FFF2-40B4-BE49-F238E27FC236}">
              <a16:creationId xmlns:a16="http://schemas.microsoft.com/office/drawing/2014/main" id="{00000000-0008-0000-0800-000026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62" name="Text Box 15">
          <a:extLst>
            <a:ext uri="{FF2B5EF4-FFF2-40B4-BE49-F238E27FC236}">
              <a16:creationId xmlns:a16="http://schemas.microsoft.com/office/drawing/2014/main" id="{00000000-0008-0000-0800-000027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63" name="Text Box 15">
          <a:extLst>
            <a:ext uri="{FF2B5EF4-FFF2-40B4-BE49-F238E27FC236}">
              <a16:creationId xmlns:a16="http://schemas.microsoft.com/office/drawing/2014/main" id="{00000000-0008-0000-0800-000028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4" name="Text Box 15">
          <a:extLst>
            <a:ext uri="{FF2B5EF4-FFF2-40B4-BE49-F238E27FC236}">
              <a16:creationId xmlns:a16="http://schemas.microsoft.com/office/drawing/2014/main" id="{00000000-0008-0000-0800-000029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5" name="Text Box 15">
          <a:extLst>
            <a:ext uri="{FF2B5EF4-FFF2-40B4-BE49-F238E27FC236}">
              <a16:creationId xmlns:a16="http://schemas.microsoft.com/office/drawing/2014/main" id="{00000000-0008-0000-0800-00002A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6" name="Text Box 15">
          <a:extLst>
            <a:ext uri="{FF2B5EF4-FFF2-40B4-BE49-F238E27FC236}">
              <a16:creationId xmlns:a16="http://schemas.microsoft.com/office/drawing/2014/main" id="{00000000-0008-0000-0800-00002B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7" name="Text Box 15">
          <a:extLst>
            <a:ext uri="{FF2B5EF4-FFF2-40B4-BE49-F238E27FC236}">
              <a16:creationId xmlns:a16="http://schemas.microsoft.com/office/drawing/2014/main" id="{00000000-0008-0000-0800-00002C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8" name="Text Box 15">
          <a:extLst>
            <a:ext uri="{FF2B5EF4-FFF2-40B4-BE49-F238E27FC236}">
              <a16:creationId xmlns:a16="http://schemas.microsoft.com/office/drawing/2014/main" id="{00000000-0008-0000-0800-00002D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69" name="Text Box 15">
          <a:extLst>
            <a:ext uri="{FF2B5EF4-FFF2-40B4-BE49-F238E27FC236}">
              <a16:creationId xmlns:a16="http://schemas.microsoft.com/office/drawing/2014/main" id="{00000000-0008-0000-0800-00002E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70" name="Text Box 15">
          <a:extLst>
            <a:ext uri="{FF2B5EF4-FFF2-40B4-BE49-F238E27FC236}">
              <a16:creationId xmlns:a16="http://schemas.microsoft.com/office/drawing/2014/main" id="{00000000-0008-0000-0800-00002F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1071" name="Text Box 15">
          <a:extLst>
            <a:ext uri="{FF2B5EF4-FFF2-40B4-BE49-F238E27FC236}">
              <a16:creationId xmlns:a16="http://schemas.microsoft.com/office/drawing/2014/main" id="{00000000-0008-0000-0800-00003104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2" name="Text Box 15">
          <a:extLst>
            <a:ext uri="{FF2B5EF4-FFF2-40B4-BE49-F238E27FC236}">
              <a16:creationId xmlns:a16="http://schemas.microsoft.com/office/drawing/2014/main" id="{00000000-0008-0000-0800-000032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3" name="Text Box 15">
          <a:extLst>
            <a:ext uri="{FF2B5EF4-FFF2-40B4-BE49-F238E27FC236}">
              <a16:creationId xmlns:a16="http://schemas.microsoft.com/office/drawing/2014/main" id="{00000000-0008-0000-0800-000033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4" name="Text Box 15">
          <a:extLst>
            <a:ext uri="{FF2B5EF4-FFF2-40B4-BE49-F238E27FC236}">
              <a16:creationId xmlns:a16="http://schemas.microsoft.com/office/drawing/2014/main" id="{00000000-0008-0000-0800-000034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5" name="Text Box 15">
          <a:extLst>
            <a:ext uri="{FF2B5EF4-FFF2-40B4-BE49-F238E27FC236}">
              <a16:creationId xmlns:a16="http://schemas.microsoft.com/office/drawing/2014/main" id="{00000000-0008-0000-0800-000035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6" name="Text Box 15">
          <a:extLst>
            <a:ext uri="{FF2B5EF4-FFF2-40B4-BE49-F238E27FC236}">
              <a16:creationId xmlns:a16="http://schemas.microsoft.com/office/drawing/2014/main" id="{00000000-0008-0000-0800-000036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7" name="Text Box 15">
          <a:extLst>
            <a:ext uri="{FF2B5EF4-FFF2-40B4-BE49-F238E27FC236}">
              <a16:creationId xmlns:a16="http://schemas.microsoft.com/office/drawing/2014/main" id="{00000000-0008-0000-0800-000037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8" name="Text Box 15">
          <a:extLst>
            <a:ext uri="{FF2B5EF4-FFF2-40B4-BE49-F238E27FC236}">
              <a16:creationId xmlns:a16="http://schemas.microsoft.com/office/drawing/2014/main" id="{00000000-0008-0000-0800-000038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1079" name="Text Box 15">
          <a:extLst>
            <a:ext uri="{FF2B5EF4-FFF2-40B4-BE49-F238E27FC236}">
              <a16:creationId xmlns:a16="http://schemas.microsoft.com/office/drawing/2014/main" id="{00000000-0008-0000-0800-00003904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0" name="Text Box 15">
          <a:extLst>
            <a:ext uri="{FF2B5EF4-FFF2-40B4-BE49-F238E27FC236}">
              <a16:creationId xmlns:a16="http://schemas.microsoft.com/office/drawing/2014/main" id="{00000000-0008-0000-0800-00003A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1" name="Text Box 15">
          <a:extLst>
            <a:ext uri="{FF2B5EF4-FFF2-40B4-BE49-F238E27FC236}">
              <a16:creationId xmlns:a16="http://schemas.microsoft.com/office/drawing/2014/main" id="{00000000-0008-0000-0800-00003B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2" name="Text Box 15">
          <a:extLst>
            <a:ext uri="{FF2B5EF4-FFF2-40B4-BE49-F238E27FC236}">
              <a16:creationId xmlns:a16="http://schemas.microsoft.com/office/drawing/2014/main" id="{00000000-0008-0000-0800-00003C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3" name="Text Box 15">
          <a:extLst>
            <a:ext uri="{FF2B5EF4-FFF2-40B4-BE49-F238E27FC236}">
              <a16:creationId xmlns:a16="http://schemas.microsoft.com/office/drawing/2014/main" id="{00000000-0008-0000-0800-00003D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4" name="Text Box 15">
          <a:extLst>
            <a:ext uri="{FF2B5EF4-FFF2-40B4-BE49-F238E27FC236}">
              <a16:creationId xmlns:a16="http://schemas.microsoft.com/office/drawing/2014/main" id="{00000000-0008-0000-0800-00003E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5" name="Text Box 15">
          <a:extLst>
            <a:ext uri="{FF2B5EF4-FFF2-40B4-BE49-F238E27FC236}">
              <a16:creationId xmlns:a16="http://schemas.microsoft.com/office/drawing/2014/main" id="{00000000-0008-0000-0800-00003F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6" name="Text Box 15">
          <a:extLst>
            <a:ext uri="{FF2B5EF4-FFF2-40B4-BE49-F238E27FC236}">
              <a16:creationId xmlns:a16="http://schemas.microsoft.com/office/drawing/2014/main" id="{00000000-0008-0000-0800-000040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087" name="Text Box 15">
          <a:extLst>
            <a:ext uri="{FF2B5EF4-FFF2-40B4-BE49-F238E27FC236}">
              <a16:creationId xmlns:a16="http://schemas.microsoft.com/office/drawing/2014/main" id="{00000000-0008-0000-0800-000041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88" name="Text Box 15">
          <a:extLst>
            <a:ext uri="{FF2B5EF4-FFF2-40B4-BE49-F238E27FC236}">
              <a16:creationId xmlns:a16="http://schemas.microsoft.com/office/drawing/2014/main" id="{00000000-0008-0000-0800-000042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89" name="Text Box 15">
          <a:extLst>
            <a:ext uri="{FF2B5EF4-FFF2-40B4-BE49-F238E27FC236}">
              <a16:creationId xmlns:a16="http://schemas.microsoft.com/office/drawing/2014/main" id="{00000000-0008-0000-0800-000043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0" name="Text Box 15">
          <a:extLst>
            <a:ext uri="{FF2B5EF4-FFF2-40B4-BE49-F238E27FC236}">
              <a16:creationId xmlns:a16="http://schemas.microsoft.com/office/drawing/2014/main" id="{00000000-0008-0000-0800-000044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1" name="Text Box 15">
          <a:extLst>
            <a:ext uri="{FF2B5EF4-FFF2-40B4-BE49-F238E27FC236}">
              <a16:creationId xmlns:a16="http://schemas.microsoft.com/office/drawing/2014/main" id="{00000000-0008-0000-0800-000045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2" name="Text Box 15">
          <a:extLst>
            <a:ext uri="{FF2B5EF4-FFF2-40B4-BE49-F238E27FC236}">
              <a16:creationId xmlns:a16="http://schemas.microsoft.com/office/drawing/2014/main" id="{00000000-0008-0000-0800-000046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3" name="Text Box 15">
          <a:extLst>
            <a:ext uri="{FF2B5EF4-FFF2-40B4-BE49-F238E27FC236}">
              <a16:creationId xmlns:a16="http://schemas.microsoft.com/office/drawing/2014/main" id="{00000000-0008-0000-0800-000047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4" name="Text Box 15">
          <a:extLst>
            <a:ext uri="{FF2B5EF4-FFF2-40B4-BE49-F238E27FC236}">
              <a16:creationId xmlns:a16="http://schemas.microsoft.com/office/drawing/2014/main" id="{00000000-0008-0000-0800-000048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095" name="Text Box 15">
          <a:extLst>
            <a:ext uri="{FF2B5EF4-FFF2-40B4-BE49-F238E27FC236}">
              <a16:creationId xmlns:a16="http://schemas.microsoft.com/office/drawing/2014/main" id="{00000000-0008-0000-0800-000049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096" name="Text Box 15">
          <a:extLst>
            <a:ext uri="{FF2B5EF4-FFF2-40B4-BE49-F238E27FC236}">
              <a16:creationId xmlns:a16="http://schemas.microsoft.com/office/drawing/2014/main" id="{00000000-0008-0000-0800-00004A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097" name="Text Box 15">
          <a:extLst>
            <a:ext uri="{FF2B5EF4-FFF2-40B4-BE49-F238E27FC236}">
              <a16:creationId xmlns:a16="http://schemas.microsoft.com/office/drawing/2014/main" id="{00000000-0008-0000-0800-00004B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098" name="Text Box 15">
          <a:extLst>
            <a:ext uri="{FF2B5EF4-FFF2-40B4-BE49-F238E27FC236}">
              <a16:creationId xmlns:a16="http://schemas.microsoft.com/office/drawing/2014/main" id="{00000000-0008-0000-0800-00004C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099" name="Text Box 15">
          <a:extLst>
            <a:ext uri="{FF2B5EF4-FFF2-40B4-BE49-F238E27FC236}">
              <a16:creationId xmlns:a16="http://schemas.microsoft.com/office/drawing/2014/main" id="{00000000-0008-0000-0800-00004D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00" name="Text Box 15">
          <a:extLst>
            <a:ext uri="{FF2B5EF4-FFF2-40B4-BE49-F238E27FC236}">
              <a16:creationId xmlns:a16="http://schemas.microsoft.com/office/drawing/2014/main" id="{00000000-0008-0000-0800-00004E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01" name="Text Box 15">
          <a:extLst>
            <a:ext uri="{FF2B5EF4-FFF2-40B4-BE49-F238E27FC236}">
              <a16:creationId xmlns:a16="http://schemas.microsoft.com/office/drawing/2014/main" id="{00000000-0008-0000-0800-00004F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02" name="Text Box 15">
          <a:extLst>
            <a:ext uri="{FF2B5EF4-FFF2-40B4-BE49-F238E27FC236}">
              <a16:creationId xmlns:a16="http://schemas.microsoft.com/office/drawing/2014/main" id="{00000000-0008-0000-0800-000050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03" name="Text Box 15">
          <a:extLst>
            <a:ext uri="{FF2B5EF4-FFF2-40B4-BE49-F238E27FC236}">
              <a16:creationId xmlns:a16="http://schemas.microsoft.com/office/drawing/2014/main" id="{00000000-0008-0000-0800-000051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4" name="Text Box 15">
          <a:extLst>
            <a:ext uri="{FF2B5EF4-FFF2-40B4-BE49-F238E27FC236}">
              <a16:creationId xmlns:a16="http://schemas.microsoft.com/office/drawing/2014/main" id="{00000000-0008-0000-0800-000052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5" name="Text Box 15">
          <a:extLst>
            <a:ext uri="{FF2B5EF4-FFF2-40B4-BE49-F238E27FC236}">
              <a16:creationId xmlns:a16="http://schemas.microsoft.com/office/drawing/2014/main" id="{00000000-0008-0000-0800-000053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6" name="Text Box 15">
          <a:extLst>
            <a:ext uri="{FF2B5EF4-FFF2-40B4-BE49-F238E27FC236}">
              <a16:creationId xmlns:a16="http://schemas.microsoft.com/office/drawing/2014/main" id="{00000000-0008-0000-0800-000054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7" name="Text Box 15">
          <a:extLst>
            <a:ext uri="{FF2B5EF4-FFF2-40B4-BE49-F238E27FC236}">
              <a16:creationId xmlns:a16="http://schemas.microsoft.com/office/drawing/2014/main" id="{00000000-0008-0000-0800-000055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8" name="Text Box 15">
          <a:extLst>
            <a:ext uri="{FF2B5EF4-FFF2-40B4-BE49-F238E27FC236}">
              <a16:creationId xmlns:a16="http://schemas.microsoft.com/office/drawing/2014/main" id="{00000000-0008-0000-0800-000056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09" name="Text Box 15">
          <a:extLst>
            <a:ext uri="{FF2B5EF4-FFF2-40B4-BE49-F238E27FC236}">
              <a16:creationId xmlns:a16="http://schemas.microsoft.com/office/drawing/2014/main" id="{00000000-0008-0000-0800-000057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10" name="Text Box 15">
          <a:extLst>
            <a:ext uri="{FF2B5EF4-FFF2-40B4-BE49-F238E27FC236}">
              <a16:creationId xmlns:a16="http://schemas.microsoft.com/office/drawing/2014/main" id="{00000000-0008-0000-0800-000058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1111" name="Text Box 15">
          <a:extLst>
            <a:ext uri="{FF2B5EF4-FFF2-40B4-BE49-F238E27FC236}">
              <a16:creationId xmlns:a16="http://schemas.microsoft.com/office/drawing/2014/main" id="{00000000-0008-0000-0800-00005904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2" name="Text Box 15">
          <a:extLst>
            <a:ext uri="{FF2B5EF4-FFF2-40B4-BE49-F238E27FC236}">
              <a16:creationId xmlns:a16="http://schemas.microsoft.com/office/drawing/2014/main" id="{00000000-0008-0000-0800-00005A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3" name="Text Box 15">
          <a:extLst>
            <a:ext uri="{FF2B5EF4-FFF2-40B4-BE49-F238E27FC236}">
              <a16:creationId xmlns:a16="http://schemas.microsoft.com/office/drawing/2014/main" id="{00000000-0008-0000-0800-00005B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4" name="Text Box 15">
          <a:extLst>
            <a:ext uri="{FF2B5EF4-FFF2-40B4-BE49-F238E27FC236}">
              <a16:creationId xmlns:a16="http://schemas.microsoft.com/office/drawing/2014/main" id="{00000000-0008-0000-0800-00005C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5" name="Text Box 15">
          <a:extLst>
            <a:ext uri="{FF2B5EF4-FFF2-40B4-BE49-F238E27FC236}">
              <a16:creationId xmlns:a16="http://schemas.microsoft.com/office/drawing/2014/main" id="{00000000-0008-0000-0800-00005D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6" name="Text Box 15">
          <a:extLst>
            <a:ext uri="{FF2B5EF4-FFF2-40B4-BE49-F238E27FC236}">
              <a16:creationId xmlns:a16="http://schemas.microsoft.com/office/drawing/2014/main" id="{00000000-0008-0000-0800-00005E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7" name="Text Box 15">
          <a:extLst>
            <a:ext uri="{FF2B5EF4-FFF2-40B4-BE49-F238E27FC236}">
              <a16:creationId xmlns:a16="http://schemas.microsoft.com/office/drawing/2014/main" id="{00000000-0008-0000-0800-00005F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8" name="Text Box 15">
          <a:extLst>
            <a:ext uri="{FF2B5EF4-FFF2-40B4-BE49-F238E27FC236}">
              <a16:creationId xmlns:a16="http://schemas.microsoft.com/office/drawing/2014/main" id="{00000000-0008-0000-0800-000060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19" name="Text Box 15">
          <a:extLst>
            <a:ext uri="{FF2B5EF4-FFF2-40B4-BE49-F238E27FC236}">
              <a16:creationId xmlns:a16="http://schemas.microsoft.com/office/drawing/2014/main" id="{00000000-0008-0000-0800-000061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0" name="Text Box 15">
          <a:extLst>
            <a:ext uri="{FF2B5EF4-FFF2-40B4-BE49-F238E27FC236}">
              <a16:creationId xmlns:a16="http://schemas.microsoft.com/office/drawing/2014/main" id="{00000000-0008-0000-0800-000062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1" name="Text Box 15">
          <a:extLst>
            <a:ext uri="{FF2B5EF4-FFF2-40B4-BE49-F238E27FC236}">
              <a16:creationId xmlns:a16="http://schemas.microsoft.com/office/drawing/2014/main" id="{00000000-0008-0000-0800-000063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2" name="Text Box 15">
          <a:extLst>
            <a:ext uri="{FF2B5EF4-FFF2-40B4-BE49-F238E27FC236}">
              <a16:creationId xmlns:a16="http://schemas.microsoft.com/office/drawing/2014/main" id="{00000000-0008-0000-0800-000064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3" name="Text Box 15">
          <a:extLst>
            <a:ext uri="{FF2B5EF4-FFF2-40B4-BE49-F238E27FC236}">
              <a16:creationId xmlns:a16="http://schemas.microsoft.com/office/drawing/2014/main" id="{00000000-0008-0000-0800-000065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4" name="Text Box 15">
          <a:extLst>
            <a:ext uri="{FF2B5EF4-FFF2-40B4-BE49-F238E27FC236}">
              <a16:creationId xmlns:a16="http://schemas.microsoft.com/office/drawing/2014/main" id="{00000000-0008-0000-0800-000066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5" name="Text Box 15">
          <a:extLst>
            <a:ext uri="{FF2B5EF4-FFF2-40B4-BE49-F238E27FC236}">
              <a16:creationId xmlns:a16="http://schemas.microsoft.com/office/drawing/2014/main" id="{00000000-0008-0000-0800-000067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6" name="Text Box 15">
          <a:extLst>
            <a:ext uri="{FF2B5EF4-FFF2-40B4-BE49-F238E27FC236}">
              <a16:creationId xmlns:a16="http://schemas.microsoft.com/office/drawing/2014/main" id="{00000000-0008-0000-0800-000068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1127" name="Text Box 15">
          <a:extLst>
            <a:ext uri="{FF2B5EF4-FFF2-40B4-BE49-F238E27FC236}">
              <a16:creationId xmlns:a16="http://schemas.microsoft.com/office/drawing/2014/main" id="{00000000-0008-0000-0800-00006904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28" name="Text Box 15">
          <a:extLst>
            <a:ext uri="{FF2B5EF4-FFF2-40B4-BE49-F238E27FC236}">
              <a16:creationId xmlns:a16="http://schemas.microsoft.com/office/drawing/2014/main" id="{00000000-0008-0000-0800-00006A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29" name="Text Box 15">
          <a:extLst>
            <a:ext uri="{FF2B5EF4-FFF2-40B4-BE49-F238E27FC236}">
              <a16:creationId xmlns:a16="http://schemas.microsoft.com/office/drawing/2014/main" id="{00000000-0008-0000-0800-00006B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0" name="Text Box 15">
          <a:extLst>
            <a:ext uri="{FF2B5EF4-FFF2-40B4-BE49-F238E27FC236}">
              <a16:creationId xmlns:a16="http://schemas.microsoft.com/office/drawing/2014/main" id="{00000000-0008-0000-0800-00006C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1" name="Text Box 15">
          <a:extLst>
            <a:ext uri="{FF2B5EF4-FFF2-40B4-BE49-F238E27FC236}">
              <a16:creationId xmlns:a16="http://schemas.microsoft.com/office/drawing/2014/main" id="{00000000-0008-0000-0800-00006D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2" name="Text Box 15">
          <a:extLst>
            <a:ext uri="{FF2B5EF4-FFF2-40B4-BE49-F238E27FC236}">
              <a16:creationId xmlns:a16="http://schemas.microsoft.com/office/drawing/2014/main" id="{00000000-0008-0000-0800-00006E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3" name="Text Box 15">
          <a:extLst>
            <a:ext uri="{FF2B5EF4-FFF2-40B4-BE49-F238E27FC236}">
              <a16:creationId xmlns:a16="http://schemas.microsoft.com/office/drawing/2014/main" id="{00000000-0008-0000-0800-00006F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4" name="Text Box 15">
          <a:extLst>
            <a:ext uri="{FF2B5EF4-FFF2-40B4-BE49-F238E27FC236}">
              <a16:creationId xmlns:a16="http://schemas.microsoft.com/office/drawing/2014/main" id="{00000000-0008-0000-0800-000070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35" name="Text Box 15">
          <a:extLst>
            <a:ext uri="{FF2B5EF4-FFF2-40B4-BE49-F238E27FC236}">
              <a16:creationId xmlns:a16="http://schemas.microsoft.com/office/drawing/2014/main" id="{00000000-0008-0000-0800-000071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36" name="Text Box 15">
          <a:extLst>
            <a:ext uri="{FF2B5EF4-FFF2-40B4-BE49-F238E27FC236}">
              <a16:creationId xmlns:a16="http://schemas.microsoft.com/office/drawing/2014/main" id="{00000000-0008-0000-0800-000072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37" name="Text Box 15">
          <a:extLst>
            <a:ext uri="{FF2B5EF4-FFF2-40B4-BE49-F238E27FC236}">
              <a16:creationId xmlns:a16="http://schemas.microsoft.com/office/drawing/2014/main" id="{00000000-0008-0000-0800-000073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38" name="Text Box 15">
          <a:extLst>
            <a:ext uri="{FF2B5EF4-FFF2-40B4-BE49-F238E27FC236}">
              <a16:creationId xmlns:a16="http://schemas.microsoft.com/office/drawing/2014/main" id="{00000000-0008-0000-0800-000074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39" name="Text Box 15">
          <a:extLst>
            <a:ext uri="{FF2B5EF4-FFF2-40B4-BE49-F238E27FC236}">
              <a16:creationId xmlns:a16="http://schemas.microsoft.com/office/drawing/2014/main" id="{00000000-0008-0000-0800-000075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40" name="Text Box 15">
          <a:extLst>
            <a:ext uri="{FF2B5EF4-FFF2-40B4-BE49-F238E27FC236}">
              <a16:creationId xmlns:a16="http://schemas.microsoft.com/office/drawing/2014/main" id="{00000000-0008-0000-0800-000076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41" name="Text Box 15">
          <a:extLst>
            <a:ext uri="{FF2B5EF4-FFF2-40B4-BE49-F238E27FC236}">
              <a16:creationId xmlns:a16="http://schemas.microsoft.com/office/drawing/2014/main" id="{00000000-0008-0000-0800-000077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42" name="Text Box 15">
          <a:extLst>
            <a:ext uri="{FF2B5EF4-FFF2-40B4-BE49-F238E27FC236}">
              <a16:creationId xmlns:a16="http://schemas.microsoft.com/office/drawing/2014/main" id="{00000000-0008-0000-0800-000078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43" name="Text Box 15">
          <a:extLst>
            <a:ext uri="{FF2B5EF4-FFF2-40B4-BE49-F238E27FC236}">
              <a16:creationId xmlns:a16="http://schemas.microsoft.com/office/drawing/2014/main" id="{00000000-0008-0000-0800-000079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4" name="Text Box 15">
          <a:extLst>
            <a:ext uri="{FF2B5EF4-FFF2-40B4-BE49-F238E27FC236}">
              <a16:creationId xmlns:a16="http://schemas.microsoft.com/office/drawing/2014/main" id="{00000000-0008-0000-0800-00007A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5" name="Text Box 15">
          <a:extLst>
            <a:ext uri="{FF2B5EF4-FFF2-40B4-BE49-F238E27FC236}">
              <a16:creationId xmlns:a16="http://schemas.microsoft.com/office/drawing/2014/main" id="{00000000-0008-0000-0800-00007B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6" name="Text Box 15">
          <a:extLst>
            <a:ext uri="{FF2B5EF4-FFF2-40B4-BE49-F238E27FC236}">
              <a16:creationId xmlns:a16="http://schemas.microsoft.com/office/drawing/2014/main" id="{00000000-0008-0000-0800-00007C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7" name="Text Box 15">
          <a:extLst>
            <a:ext uri="{FF2B5EF4-FFF2-40B4-BE49-F238E27FC236}">
              <a16:creationId xmlns:a16="http://schemas.microsoft.com/office/drawing/2014/main" id="{00000000-0008-0000-0800-00007D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8" name="Text Box 15">
          <a:extLst>
            <a:ext uri="{FF2B5EF4-FFF2-40B4-BE49-F238E27FC236}">
              <a16:creationId xmlns:a16="http://schemas.microsoft.com/office/drawing/2014/main" id="{00000000-0008-0000-0800-00007E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49" name="Text Box 15">
          <a:extLst>
            <a:ext uri="{FF2B5EF4-FFF2-40B4-BE49-F238E27FC236}">
              <a16:creationId xmlns:a16="http://schemas.microsoft.com/office/drawing/2014/main" id="{00000000-0008-0000-0800-00007F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50" name="Text Box 15">
          <a:extLst>
            <a:ext uri="{FF2B5EF4-FFF2-40B4-BE49-F238E27FC236}">
              <a16:creationId xmlns:a16="http://schemas.microsoft.com/office/drawing/2014/main" id="{00000000-0008-0000-0800-000080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1151" name="Text Box 15">
          <a:extLst>
            <a:ext uri="{FF2B5EF4-FFF2-40B4-BE49-F238E27FC236}">
              <a16:creationId xmlns:a16="http://schemas.microsoft.com/office/drawing/2014/main" id="{00000000-0008-0000-0800-00008104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2" name="Text Box 15">
          <a:extLst>
            <a:ext uri="{FF2B5EF4-FFF2-40B4-BE49-F238E27FC236}">
              <a16:creationId xmlns:a16="http://schemas.microsoft.com/office/drawing/2014/main" id="{00000000-0008-0000-0800-000082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3" name="Text Box 15">
          <a:extLst>
            <a:ext uri="{FF2B5EF4-FFF2-40B4-BE49-F238E27FC236}">
              <a16:creationId xmlns:a16="http://schemas.microsoft.com/office/drawing/2014/main" id="{00000000-0008-0000-0800-000083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4" name="Text Box 15">
          <a:extLst>
            <a:ext uri="{FF2B5EF4-FFF2-40B4-BE49-F238E27FC236}">
              <a16:creationId xmlns:a16="http://schemas.microsoft.com/office/drawing/2014/main" id="{00000000-0008-0000-0800-000084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5" name="Text Box 15">
          <a:extLst>
            <a:ext uri="{FF2B5EF4-FFF2-40B4-BE49-F238E27FC236}">
              <a16:creationId xmlns:a16="http://schemas.microsoft.com/office/drawing/2014/main" id="{00000000-0008-0000-0800-000085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6" name="Text Box 15">
          <a:extLst>
            <a:ext uri="{FF2B5EF4-FFF2-40B4-BE49-F238E27FC236}">
              <a16:creationId xmlns:a16="http://schemas.microsoft.com/office/drawing/2014/main" id="{00000000-0008-0000-0800-000086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7" name="Text Box 15">
          <a:extLst>
            <a:ext uri="{FF2B5EF4-FFF2-40B4-BE49-F238E27FC236}">
              <a16:creationId xmlns:a16="http://schemas.microsoft.com/office/drawing/2014/main" id="{00000000-0008-0000-0800-000087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8" name="Text Box 15">
          <a:extLst>
            <a:ext uri="{FF2B5EF4-FFF2-40B4-BE49-F238E27FC236}">
              <a16:creationId xmlns:a16="http://schemas.microsoft.com/office/drawing/2014/main" id="{00000000-0008-0000-0800-000088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1159" name="Text Box 15">
          <a:extLst>
            <a:ext uri="{FF2B5EF4-FFF2-40B4-BE49-F238E27FC236}">
              <a16:creationId xmlns:a16="http://schemas.microsoft.com/office/drawing/2014/main" id="{00000000-0008-0000-0800-00008904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0" name="Text Box 15">
          <a:extLst>
            <a:ext uri="{FF2B5EF4-FFF2-40B4-BE49-F238E27FC236}">
              <a16:creationId xmlns:a16="http://schemas.microsoft.com/office/drawing/2014/main" id="{00000000-0008-0000-0800-00008A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1" name="Text Box 15">
          <a:extLst>
            <a:ext uri="{FF2B5EF4-FFF2-40B4-BE49-F238E27FC236}">
              <a16:creationId xmlns:a16="http://schemas.microsoft.com/office/drawing/2014/main" id="{00000000-0008-0000-0800-00008B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2" name="Text Box 15">
          <a:extLst>
            <a:ext uri="{FF2B5EF4-FFF2-40B4-BE49-F238E27FC236}">
              <a16:creationId xmlns:a16="http://schemas.microsoft.com/office/drawing/2014/main" id="{00000000-0008-0000-0800-00008C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3" name="Text Box 15">
          <a:extLst>
            <a:ext uri="{FF2B5EF4-FFF2-40B4-BE49-F238E27FC236}">
              <a16:creationId xmlns:a16="http://schemas.microsoft.com/office/drawing/2014/main" id="{00000000-0008-0000-0800-00008D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4" name="Text Box 15">
          <a:extLst>
            <a:ext uri="{FF2B5EF4-FFF2-40B4-BE49-F238E27FC236}">
              <a16:creationId xmlns:a16="http://schemas.microsoft.com/office/drawing/2014/main" id="{00000000-0008-0000-0800-00008E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5" name="Text Box 15">
          <a:extLst>
            <a:ext uri="{FF2B5EF4-FFF2-40B4-BE49-F238E27FC236}">
              <a16:creationId xmlns:a16="http://schemas.microsoft.com/office/drawing/2014/main" id="{00000000-0008-0000-0800-00008F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6" name="Text Box 15">
          <a:extLst>
            <a:ext uri="{FF2B5EF4-FFF2-40B4-BE49-F238E27FC236}">
              <a16:creationId xmlns:a16="http://schemas.microsoft.com/office/drawing/2014/main" id="{00000000-0008-0000-0800-000090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1167" name="Text Box 15">
          <a:extLst>
            <a:ext uri="{FF2B5EF4-FFF2-40B4-BE49-F238E27FC236}">
              <a16:creationId xmlns:a16="http://schemas.microsoft.com/office/drawing/2014/main" id="{00000000-0008-0000-0800-00009104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68" name="Text Box 15">
          <a:extLst>
            <a:ext uri="{FF2B5EF4-FFF2-40B4-BE49-F238E27FC236}">
              <a16:creationId xmlns:a16="http://schemas.microsoft.com/office/drawing/2014/main" id="{00000000-0008-0000-0800-000092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69" name="Text Box 15">
          <a:extLst>
            <a:ext uri="{FF2B5EF4-FFF2-40B4-BE49-F238E27FC236}">
              <a16:creationId xmlns:a16="http://schemas.microsoft.com/office/drawing/2014/main" id="{00000000-0008-0000-0800-000093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70" name="Text Box 15">
          <a:extLst>
            <a:ext uri="{FF2B5EF4-FFF2-40B4-BE49-F238E27FC236}">
              <a16:creationId xmlns:a16="http://schemas.microsoft.com/office/drawing/2014/main" id="{00000000-0008-0000-0800-000094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71" name="Text Box 15">
          <a:extLst>
            <a:ext uri="{FF2B5EF4-FFF2-40B4-BE49-F238E27FC236}">
              <a16:creationId xmlns:a16="http://schemas.microsoft.com/office/drawing/2014/main" id="{00000000-0008-0000-0800-000095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72" name="Text Box 15">
          <a:extLst>
            <a:ext uri="{FF2B5EF4-FFF2-40B4-BE49-F238E27FC236}">
              <a16:creationId xmlns:a16="http://schemas.microsoft.com/office/drawing/2014/main" id="{00000000-0008-0000-0800-000096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73" name="Text Box 15">
          <a:extLst>
            <a:ext uri="{FF2B5EF4-FFF2-40B4-BE49-F238E27FC236}">
              <a16:creationId xmlns:a16="http://schemas.microsoft.com/office/drawing/2014/main" id="{00000000-0008-0000-0800-000097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1174" name="Text Box 15">
          <a:extLst>
            <a:ext uri="{FF2B5EF4-FFF2-40B4-BE49-F238E27FC236}">
              <a16:creationId xmlns:a16="http://schemas.microsoft.com/office/drawing/2014/main" id="{00000000-0008-0000-0800-00009804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75" name="Text Box 15">
          <a:extLst>
            <a:ext uri="{FF2B5EF4-FFF2-40B4-BE49-F238E27FC236}">
              <a16:creationId xmlns:a16="http://schemas.microsoft.com/office/drawing/2014/main" id="{00000000-0008-0000-0800-000099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76" name="Text Box 15">
          <a:extLst>
            <a:ext uri="{FF2B5EF4-FFF2-40B4-BE49-F238E27FC236}">
              <a16:creationId xmlns:a16="http://schemas.microsoft.com/office/drawing/2014/main" id="{00000000-0008-0000-0800-00009A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77" name="Text Box 15">
          <a:extLst>
            <a:ext uri="{FF2B5EF4-FFF2-40B4-BE49-F238E27FC236}">
              <a16:creationId xmlns:a16="http://schemas.microsoft.com/office/drawing/2014/main" id="{00000000-0008-0000-0800-00009B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78" name="Text Box 15">
          <a:extLst>
            <a:ext uri="{FF2B5EF4-FFF2-40B4-BE49-F238E27FC236}">
              <a16:creationId xmlns:a16="http://schemas.microsoft.com/office/drawing/2014/main" id="{00000000-0008-0000-0800-00009C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79" name="Text Box 15">
          <a:extLst>
            <a:ext uri="{FF2B5EF4-FFF2-40B4-BE49-F238E27FC236}">
              <a16:creationId xmlns:a16="http://schemas.microsoft.com/office/drawing/2014/main" id="{00000000-0008-0000-0800-00009D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80" name="Text Box 15">
          <a:extLst>
            <a:ext uri="{FF2B5EF4-FFF2-40B4-BE49-F238E27FC236}">
              <a16:creationId xmlns:a16="http://schemas.microsoft.com/office/drawing/2014/main" id="{00000000-0008-0000-0800-00009E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81" name="Text Box 15">
          <a:extLst>
            <a:ext uri="{FF2B5EF4-FFF2-40B4-BE49-F238E27FC236}">
              <a16:creationId xmlns:a16="http://schemas.microsoft.com/office/drawing/2014/main" id="{00000000-0008-0000-0800-00009F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1182" name="Text Box 15">
          <a:extLst>
            <a:ext uri="{FF2B5EF4-FFF2-40B4-BE49-F238E27FC236}">
              <a16:creationId xmlns:a16="http://schemas.microsoft.com/office/drawing/2014/main" id="{00000000-0008-0000-0800-0000A004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83" name="Text Box 15">
          <a:extLst>
            <a:ext uri="{FF2B5EF4-FFF2-40B4-BE49-F238E27FC236}">
              <a16:creationId xmlns:a16="http://schemas.microsoft.com/office/drawing/2014/main" id="{00000000-0008-0000-0800-0000A1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84" name="Text Box 15">
          <a:extLst>
            <a:ext uri="{FF2B5EF4-FFF2-40B4-BE49-F238E27FC236}">
              <a16:creationId xmlns:a16="http://schemas.microsoft.com/office/drawing/2014/main" id="{00000000-0008-0000-0800-0000A2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85" name="Text Box 15">
          <a:extLst>
            <a:ext uri="{FF2B5EF4-FFF2-40B4-BE49-F238E27FC236}">
              <a16:creationId xmlns:a16="http://schemas.microsoft.com/office/drawing/2014/main" id="{00000000-0008-0000-0800-0000A3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86" name="Text Box 15">
          <a:extLst>
            <a:ext uri="{FF2B5EF4-FFF2-40B4-BE49-F238E27FC236}">
              <a16:creationId xmlns:a16="http://schemas.microsoft.com/office/drawing/2014/main" id="{00000000-0008-0000-0800-0000A4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1187" name="Text Box 15">
          <a:extLst>
            <a:ext uri="{FF2B5EF4-FFF2-40B4-BE49-F238E27FC236}">
              <a16:creationId xmlns:a16="http://schemas.microsoft.com/office/drawing/2014/main" id="{00000000-0008-0000-0800-0000A504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88" name="Text Box 15">
          <a:extLst>
            <a:ext uri="{FF2B5EF4-FFF2-40B4-BE49-F238E27FC236}">
              <a16:creationId xmlns:a16="http://schemas.microsoft.com/office/drawing/2014/main" id="{00000000-0008-0000-0800-0000A6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89" name="Text Box 15">
          <a:extLst>
            <a:ext uri="{FF2B5EF4-FFF2-40B4-BE49-F238E27FC236}">
              <a16:creationId xmlns:a16="http://schemas.microsoft.com/office/drawing/2014/main" id="{00000000-0008-0000-0800-0000A7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0" name="Text Box 15">
          <a:extLst>
            <a:ext uri="{FF2B5EF4-FFF2-40B4-BE49-F238E27FC236}">
              <a16:creationId xmlns:a16="http://schemas.microsoft.com/office/drawing/2014/main" id="{00000000-0008-0000-0800-0000A8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1" name="Text Box 15">
          <a:extLst>
            <a:ext uri="{FF2B5EF4-FFF2-40B4-BE49-F238E27FC236}">
              <a16:creationId xmlns:a16="http://schemas.microsoft.com/office/drawing/2014/main" id="{00000000-0008-0000-0800-0000A9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2" name="Text Box 15">
          <a:extLst>
            <a:ext uri="{FF2B5EF4-FFF2-40B4-BE49-F238E27FC236}">
              <a16:creationId xmlns:a16="http://schemas.microsoft.com/office/drawing/2014/main" id="{00000000-0008-0000-0800-0000AA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3" name="Text Box 15">
          <a:extLst>
            <a:ext uri="{FF2B5EF4-FFF2-40B4-BE49-F238E27FC236}">
              <a16:creationId xmlns:a16="http://schemas.microsoft.com/office/drawing/2014/main" id="{00000000-0008-0000-0800-0000AB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4" name="Text Box 15">
          <a:extLst>
            <a:ext uri="{FF2B5EF4-FFF2-40B4-BE49-F238E27FC236}">
              <a16:creationId xmlns:a16="http://schemas.microsoft.com/office/drawing/2014/main" id="{00000000-0008-0000-0800-0000AC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195" name="Text Box 15">
          <a:extLst>
            <a:ext uri="{FF2B5EF4-FFF2-40B4-BE49-F238E27FC236}">
              <a16:creationId xmlns:a16="http://schemas.microsoft.com/office/drawing/2014/main" id="{00000000-0008-0000-0800-0000AD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196" name="Text Box 15">
          <a:extLst>
            <a:ext uri="{FF2B5EF4-FFF2-40B4-BE49-F238E27FC236}">
              <a16:creationId xmlns:a16="http://schemas.microsoft.com/office/drawing/2014/main" id="{00000000-0008-0000-0800-0000AE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197" name="Text Box 15">
          <a:extLst>
            <a:ext uri="{FF2B5EF4-FFF2-40B4-BE49-F238E27FC236}">
              <a16:creationId xmlns:a16="http://schemas.microsoft.com/office/drawing/2014/main" id="{00000000-0008-0000-0800-0000AF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198" name="Text Box 15">
          <a:extLst>
            <a:ext uri="{FF2B5EF4-FFF2-40B4-BE49-F238E27FC236}">
              <a16:creationId xmlns:a16="http://schemas.microsoft.com/office/drawing/2014/main" id="{00000000-0008-0000-0800-0000B0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199" name="Text Box 15">
          <a:extLst>
            <a:ext uri="{FF2B5EF4-FFF2-40B4-BE49-F238E27FC236}">
              <a16:creationId xmlns:a16="http://schemas.microsoft.com/office/drawing/2014/main" id="{00000000-0008-0000-0800-0000B1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00" name="Text Box 15">
          <a:extLst>
            <a:ext uri="{FF2B5EF4-FFF2-40B4-BE49-F238E27FC236}">
              <a16:creationId xmlns:a16="http://schemas.microsoft.com/office/drawing/2014/main" id="{00000000-0008-0000-0800-0000B2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01" name="Text Box 15">
          <a:extLst>
            <a:ext uri="{FF2B5EF4-FFF2-40B4-BE49-F238E27FC236}">
              <a16:creationId xmlns:a16="http://schemas.microsoft.com/office/drawing/2014/main" id="{00000000-0008-0000-0800-0000B3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02" name="Text Box 15">
          <a:extLst>
            <a:ext uri="{FF2B5EF4-FFF2-40B4-BE49-F238E27FC236}">
              <a16:creationId xmlns:a16="http://schemas.microsoft.com/office/drawing/2014/main" id="{00000000-0008-0000-0800-0000B4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03" name="Text Box 15">
          <a:extLst>
            <a:ext uri="{FF2B5EF4-FFF2-40B4-BE49-F238E27FC236}">
              <a16:creationId xmlns:a16="http://schemas.microsoft.com/office/drawing/2014/main" id="{00000000-0008-0000-0800-0000B5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4" name="Text Box 15">
          <a:extLst>
            <a:ext uri="{FF2B5EF4-FFF2-40B4-BE49-F238E27FC236}">
              <a16:creationId xmlns:a16="http://schemas.microsoft.com/office/drawing/2014/main" id="{00000000-0008-0000-0800-0000B6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5" name="Text Box 15">
          <a:extLst>
            <a:ext uri="{FF2B5EF4-FFF2-40B4-BE49-F238E27FC236}">
              <a16:creationId xmlns:a16="http://schemas.microsoft.com/office/drawing/2014/main" id="{00000000-0008-0000-0800-0000B7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6" name="Text Box 15">
          <a:extLst>
            <a:ext uri="{FF2B5EF4-FFF2-40B4-BE49-F238E27FC236}">
              <a16:creationId xmlns:a16="http://schemas.microsoft.com/office/drawing/2014/main" id="{00000000-0008-0000-0800-0000B8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7" name="Text Box 15">
          <a:extLst>
            <a:ext uri="{FF2B5EF4-FFF2-40B4-BE49-F238E27FC236}">
              <a16:creationId xmlns:a16="http://schemas.microsoft.com/office/drawing/2014/main" id="{00000000-0008-0000-0800-0000B9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8" name="Text Box 15">
          <a:extLst>
            <a:ext uri="{FF2B5EF4-FFF2-40B4-BE49-F238E27FC236}">
              <a16:creationId xmlns:a16="http://schemas.microsoft.com/office/drawing/2014/main" id="{00000000-0008-0000-0800-0000BA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09" name="Text Box 15">
          <a:extLst>
            <a:ext uri="{FF2B5EF4-FFF2-40B4-BE49-F238E27FC236}">
              <a16:creationId xmlns:a16="http://schemas.microsoft.com/office/drawing/2014/main" id="{00000000-0008-0000-0800-0000BB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10" name="Text Box 15">
          <a:extLst>
            <a:ext uri="{FF2B5EF4-FFF2-40B4-BE49-F238E27FC236}">
              <a16:creationId xmlns:a16="http://schemas.microsoft.com/office/drawing/2014/main" id="{00000000-0008-0000-0800-0000BC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11" name="Text Box 15">
          <a:extLst>
            <a:ext uri="{FF2B5EF4-FFF2-40B4-BE49-F238E27FC236}">
              <a16:creationId xmlns:a16="http://schemas.microsoft.com/office/drawing/2014/main" id="{00000000-0008-0000-0800-0000BD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2" name="Text Box 15">
          <a:extLst>
            <a:ext uri="{FF2B5EF4-FFF2-40B4-BE49-F238E27FC236}">
              <a16:creationId xmlns:a16="http://schemas.microsoft.com/office/drawing/2014/main" id="{00000000-0008-0000-0800-0000BE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3" name="Text Box 15">
          <a:extLst>
            <a:ext uri="{FF2B5EF4-FFF2-40B4-BE49-F238E27FC236}">
              <a16:creationId xmlns:a16="http://schemas.microsoft.com/office/drawing/2014/main" id="{00000000-0008-0000-0800-0000BF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4" name="Text Box 15">
          <a:extLst>
            <a:ext uri="{FF2B5EF4-FFF2-40B4-BE49-F238E27FC236}">
              <a16:creationId xmlns:a16="http://schemas.microsoft.com/office/drawing/2014/main" id="{00000000-0008-0000-0800-0000C0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5" name="Text Box 15">
          <a:extLst>
            <a:ext uri="{FF2B5EF4-FFF2-40B4-BE49-F238E27FC236}">
              <a16:creationId xmlns:a16="http://schemas.microsoft.com/office/drawing/2014/main" id="{00000000-0008-0000-0800-0000C1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6" name="Text Box 15">
          <a:extLst>
            <a:ext uri="{FF2B5EF4-FFF2-40B4-BE49-F238E27FC236}">
              <a16:creationId xmlns:a16="http://schemas.microsoft.com/office/drawing/2014/main" id="{00000000-0008-0000-0800-0000C2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7" name="Text Box 15">
          <a:extLst>
            <a:ext uri="{FF2B5EF4-FFF2-40B4-BE49-F238E27FC236}">
              <a16:creationId xmlns:a16="http://schemas.microsoft.com/office/drawing/2014/main" id="{00000000-0008-0000-0800-0000C3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8" name="Text Box 15">
          <a:extLst>
            <a:ext uri="{FF2B5EF4-FFF2-40B4-BE49-F238E27FC236}">
              <a16:creationId xmlns:a16="http://schemas.microsoft.com/office/drawing/2014/main" id="{00000000-0008-0000-0800-0000C4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19" name="Text Box 15">
          <a:extLst>
            <a:ext uri="{FF2B5EF4-FFF2-40B4-BE49-F238E27FC236}">
              <a16:creationId xmlns:a16="http://schemas.microsoft.com/office/drawing/2014/main" id="{00000000-0008-0000-0800-0000C5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0" name="Text Box 15">
          <a:extLst>
            <a:ext uri="{FF2B5EF4-FFF2-40B4-BE49-F238E27FC236}">
              <a16:creationId xmlns:a16="http://schemas.microsoft.com/office/drawing/2014/main" id="{00000000-0008-0000-0800-0000C6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1" name="Text Box 15">
          <a:extLst>
            <a:ext uri="{FF2B5EF4-FFF2-40B4-BE49-F238E27FC236}">
              <a16:creationId xmlns:a16="http://schemas.microsoft.com/office/drawing/2014/main" id="{00000000-0008-0000-0800-0000C7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2" name="Text Box 15">
          <a:extLst>
            <a:ext uri="{FF2B5EF4-FFF2-40B4-BE49-F238E27FC236}">
              <a16:creationId xmlns:a16="http://schemas.microsoft.com/office/drawing/2014/main" id="{00000000-0008-0000-0800-0000C8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3" name="Text Box 15">
          <a:extLst>
            <a:ext uri="{FF2B5EF4-FFF2-40B4-BE49-F238E27FC236}">
              <a16:creationId xmlns:a16="http://schemas.microsoft.com/office/drawing/2014/main" id="{00000000-0008-0000-0800-0000C9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4" name="Text Box 15">
          <a:extLst>
            <a:ext uri="{FF2B5EF4-FFF2-40B4-BE49-F238E27FC236}">
              <a16:creationId xmlns:a16="http://schemas.microsoft.com/office/drawing/2014/main" id="{00000000-0008-0000-0800-0000CA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5" name="Text Box 15">
          <a:extLst>
            <a:ext uri="{FF2B5EF4-FFF2-40B4-BE49-F238E27FC236}">
              <a16:creationId xmlns:a16="http://schemas.microsoft.com/office/drawing/2014/main" id="{00000000-0008-0000-0800-0000CB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6" name="Text Box 15">
          <a:extLst>
            <a:ext uri="{FF2B5EF4-FFF2-40B4-BE49-F238E27FC236}">
              <a16:creationId xmlns:a16="http://schemas.microsoft.com/office/drawing/2014/main" id="{00000000-0008-0000-0800-0000CC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1227" name="Text Box 15">
          <a:extLst>
            <a:ext uri="{FF2B5EF4-FFF2-40B4-BE49-F238E27FC236}">
              <a16:creationId xmlns:a16="http://schemas.microsoft.com/office/drawing/2014/main" id="{00000000-0008-0000-0800-0000CD04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28" name="Text Box 15">
          <a:extLst>
            <a:ext uri="{FF2B5EF4-FFF2-40B4-BE49-F238E27FC236}">
              <a16:creationId xmlns:a16="http://schemas.microsoft.com/office/drawing/2014/main" id="{00000000-0008-0000-0800-0000CE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29" name="Text Box 15">
          <a:extLst>
            <a:ext uri="{FF2B5EF4-FFF2-40B4-BE49-F238E27FC236}">
              <a16:creationId xmlns:a16="http://schemas.microsoft.com/office/drawing/2014/main" id="{00000000-0008-0000-0800-0000CF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30" name="Text Box 15">
          <a:extLst>
            <a:ext uri="{FF2B5EF4-FFF2-40B4-BE49-F238E27FC236}">
              <a16:creationId xmlns:a16="http://schemas.microsoft.com/office/drawing/2014/main" id="{00000000-0008-0000-0800-0000D0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31" name="Text Box 15">
          <a:extLst>
            <a:ext uri="{FF2B5EF4-FFF2-40B4-BE49-F238E27FC236}">
              <a16:creationId xmlns:a16="http://schemas.microsoft.com/office/drawing/2014/main" id="{00000000-0008-0000-0800-0000D1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32" name="Text Box 15">
          <a:extLst>
            <a:ext uri="{FF2B5EF4-FFF2-40B4-BE49-F238E27FC236}">
              <a16:creationId xmlns:a16="http://schemas.microsoft.com/office/drawing/2014/main" id="{00000000-0008-0000-0800-0000D2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33" name="Text Box 15">
          <a:extLst>
            <a:ext uri="{FF2B5EF4-FFF2-40B4-BE49-F238E27FC236}">
              <a16:creationId xmlns:a16="http://schemas.microsoft.com/office/drawing/2014/main" id="{00000000-0008-0000-0800-0000D3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1234" name="Text Box 15">
          <a:extLst>
            <a:ext uri="{FF2B5EF4-FFF2-40B4-BE49-F238E27FC236}">
              <a16:creationId xmlns:a16="http://schemas.microsoft.com/office/drawing/2014/main" id="{00000000-0008-0000-0800-0000D404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35" name="Text Box 15">
          <a:extLst>
            <a:ext uri="{FF2B5EF4-FFF2-40B4-BE49-F238E27FC236}">
              <a16:creationId xmlns:a16="http://schemas.microsoft.com/office/drawing/2014/main" id="{00000000-0008-0000-0800-0000D5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36" name="Text Box 15">
          <a:extLst>
            <a:ext uri="{FF2B5EF4-FFF2-40B4-BE49-F238E27FC236}">
              <a16:creationId xmlns:a16="http://schemas.microsoft.com/office/drawing/2014/main" id="{00000000-0008-0000-0800-0000D6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37" name="Text Box 15">
          <a:extLst>
            <a:ext uri="{FF2B5EF4-FFF2-40B4-BE49-F238E27FC236}">
              <a16:creationId xmlns:a16="http://schemas.microsoft.com/office/drawing/2014/main" id="{00000000-0008-0000-0800-0000D7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38" name="Text Box 15">
          <a:extLst>
            <a:ext uri="{FF2B5EF4-FFF2-40B4-BE49-F238E27FC236}">
              <a16:creationId xmlns:a16="http://schemas.microsoft.com/office/drawing/2014/main" id="{00000000-0008-0000-0800-0000D8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39" name="Text Box 15">
          <a:extLst>
            <a:ext uri="{FF2B5EF4-FFF2-40B4-BE49-F238E27FC236}">
              <a16:creationId xmlns:a16="http://schemas.microsoft.com/office/drawing/2014/main" id="{00000000-0008-0000-0800-0000D9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40" name="Text Box 15">
          <a:extLst>
            <a:ext uri="{FF2B5EF4-FFF2-40B4-BE49-F238E27FC236}">
              <a16:creationId xmlns:a16="http://schemas.microsoft.com/office/drawing/2014/main" id="{00000000-0008-0000-0800-0000DA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41" name="Text Box 15">
          <a:extLst>
            <a:ext uri="{FF2B5EF4-FFF2-40B4-BE49-F238E27FC236}">
              <a16:creationId xmlns:a16="http://schemas.microsoft.com/office/drawing/2014/main" id="{00000000-0008-0000-0800-0000DB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1242" name="Text Box 15">
          <a:extLst>
            <a:ext uri="{FF2B5EF4-FFF2-40B4-BE49-F238E27FC236}">
              <a16:creationId xmlns:a16="http://schemas.microsoft.com/office/drawing/2014/main" id="{00000000-0008-0000-0800-0000DC04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3" name="Text Box 15">
          <a:extLst>
            <a:ext uri="{FF2B5EF4-FFF2-40B4-BE49-F238E27FC236}">
              <a16:creationId xmlns:a16="http://schemas.microsoft.com/office/drawing/2014/main" id="{00000000-0008-0000-0800-0000DD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4" name="Text Box 15">
          <a:extLst>
            <a:ext uri="{FF2B5EF4-FFF2-40B4-BE49-F238E27FC236}">
              <a16:creationId xmlns:a16="http://schemas.microsoft.com/office/drawing/2014/main" id="{00000000-0008-0000-0800-0000DE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5" name="Text Box 15">
          <a:extLst>
            <a:ext uri="{FF2B5EF4-FFF2-40B4-BE49-F238E27FC236}">
              <a16:creationId xmlns:a16="http://schemas.microsoft.com/office/drawing/2014/main" id="{00000000-0008-0000-0800-0000DF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6" name="Text Box 15">
          <a:extLst>
            <a:ext uri="{FF2B5EF4-FFF2-40B4-BE49-F238E27FC236}">
              <a16:creationId xmlns:a16="http://schemas.microsoft.com/office/drawing/2014/main" id="{00000000-0008-0000-0800-0000E0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7" name="Text Box 15">
          <a:extLst>
            <a:ext uri="{FF2B5EF4-FFF2-40B4-BE49-F238E27FC236}">
              <a16:creationId xmlns:a16="http://schemas.microsoft.com/office/drawing/2014/main" id="{00000000-0008-0000-0800-0000E1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8" name="Text Box 15">
          <a:extLst>
            <a:ext uri="{FF2B5EF4-FFF2-40B4-BE49-F238E27FC236}">
              <a16:creationId xmlns:a16="http://schemas.microsoft.com/office/drawing/2014/main" id="{00000000-0008-0000-0800-0000E2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49" name="Text Box 15">
          <a:extLst>
            <a:ext uri="{FF2B5EF4-FFF2-40B4-BE49-F238E27FC236}">
              <a16:creationId xmlns:a16="http://schemas.microsoft.com/office/drawing/2014/main" id="{00000000-0008-0000-0800-0000E3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1250" name="Text Box 15">
          <a:extLst>
            <a:ext uri="{FF2B5EF4-FFF2-40B4-BE49-F238E27FC236}">
              <a16:creationId xmlns:a16="http://schemas.microsoft.com/office/drawing/2014/main" id="{00000000-0008-0000-0800-0000E404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1" name="Text Box 15">
          <a:extLst>
            <a:ext uri="{FF2B5EF4-FFF2-40B4-BE49-F238E27FC236}">
              <a16:creationId xmlns:a16="http://schemas.microsoft.com/office/drawing/2014/main" id="{00000000-0008-0000-0800-0000E5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2" name="Text Box 15">
          <a:extLst>
            <a:ext uri="{FF2B5EF4-FFF2-40B4-BE49-F238E27FC236}">
              <a16:creationId xmlns:a16="http://schemas.microsoft.com/office/drawing/2014/main" id="{00000000-0008-0000-0800-0000E6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3" name="Text Box 15">
          <a:extLst>
            <a:ext uri="{FF2B5EF4-FFF2-40B4-BE49-F238E27FC236}">
              <a16:creationId xmlns:a16="http://schemas.microsoft.com/office/drawing/2014/main" id="{00000000-0008-0000-0800-0000E7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4" name="Text Box 15">
          <a:extLst>
            <a:ext uri="{FF2B5EF4-FFF2-40B4-BE49-F238E27FC236}">
              <a16:creationId xmlns:a16="http://schemas.microsoft.com/office/drawing/2014/main" id="{00000000-0008-0000-0800-0000E8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5" name="Text Box 15">
          <a:extLst>
            <a:ext uri="{FF2B5EF4-FFF2-40B4-BE49-F238E27FC236}">
              <a16:creationId xmlns:a16="http://schemas.microsoft.com/office/drawing/2014/main" id="{00000000-0008-0000-0800-0000E9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6" name="Text Box 15">
          <a:extLst>
            <a:ext uri="{FF2B5EF4-FFF2-40B4-BE49-F238E27FC236}">
              <a16:creationId xmlns:a16="http://schemas.microsoft.com/office/drawing/2014/main" id="{00000000-0008-0000-0800-0000EA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7" name="Text Box 15">
          <a:extLst>
            <a:ext uri="{FF2B5EF4-FFF2-40B4-BE49-F238E27FC236}">
              <a16:creationId xmlns:a16="http://schemas.microsoft.com/office/drawing/2014/main" id="{00000000-0008-0000-0800-0000EB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58" name="Text Box 15">
          <a:extLst>
            <a:ext uri="{FF2B5EF4-FFF2-40B4-BE49-F238E27FC236}">
              <a16:creationId xmlns:a16="http://schemas.microsoft.com/office/drawing/2014/main" id="{00000000-0008-0000-0800-0000EC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59" name="Text Box 15">
          <a:extLst>
            <a:ext uri="{FF2B5EF4-FFF2-40B4-BE49-F238E27FC236}">
              <a16:creationId xmlns:a16="http://schemas.microsoft.com/office/drawing/2014/main" id="{00000000-0008-0000-0800-0000ED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0" name="Text Box 15">
          <a:extLst>
            <a:ext uri="{FF2B5EF4-FFF2-40B4-BE49-F238E27FC236}">
              <a16:creationId xmlns:a16="http://schemas.microsoft.com/office/drawing/2014/main" id="{00000000-0008-0000-0800-0000EE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1" name="Text Box 15">
          <a:extLst>
            <a:ext uri="{FF2B5EF4-FFF2-40B4-BE49-F238E27FC236}">
              <a16:creationId xmlns:a16="http://schemas.microsoft.com/office/drawing/2014/main" id="{00000000-0008-0000-0800-0000EF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2" name="Text Box 15">
          <a:extLst>
            <a:ext uri="{FF2B5EF4-FFF2-40B4-BE49-F238E27FC236}">
              <a16:creationId xmlns:a16="http://schemas.microsoft.com/office/drawing/2014/main" id="{00000000-0008-0000-0800-0000F0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3" name="Text Box 15">
          <a:extLst>
            <a:ext uri="{FF2B5EF4-FFF2-40B4-BE49-F238E27FC236}">
              <a16:creationId xmlns:a16="http://schemas.microsoft.com/office/drawing/2014/main" id="{00000000-0008-0000-0800-0000F1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4" name="Text Box 15">
          <a:extLst>
            <a:ext uri="{FF2B5EF4-FFF2-40B4-BE49-F238E27FC236}">
              <a16:creationId xmlns:a16="http://schemas.microsoft.com/office/drawing/2014/main" id="{00000000-0008-0000-0800-0000F2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5" name="Text Box 15">
          <a:extLst>
            <a:ext uri="{FF2B5EF4-FFF2-40B4-BE49-F238E27FC236}">
              <a16:creationId xmlns:a16="http://schemas.microsoft.com/office/drawing/2014/main" id="{00000000-0008-0000-0800-0000F3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66" name="Text Box 15">
          <a:extLst>
            <a:ext uri="{FF2B5EF4-FFF2-40B4-BE49-F238E27FC236}">
              <a16:creationId xmlns:a16="http://schemas.microsoft.com/office/drawing/2014/main" id="{00000000-0008-0000-0800-0000F4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67" name="Text Box 15">
          <a:extLst>
            <a:ext uri="{FF2B5EF4-FFF2-40B4-BE49-F238E27FC236}">
              <a16:creationId xmlns:a16="http://schemas.microsoft.com/office/drawing/2014/main" id="{00000000-0008-0000-0800-0000F5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68" name="Text Box 15">
          <a:extLst>
            <a:ext uri="{FF2B5EF4-FFF2-40B4-BE49-F238E27FC236}">
              <a16:creationId xmlns:a16="http://schemas.microsoft.com/office/drawing/2014/main" id="{00000000-0008-0000-0800-0000F6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69" name="Text Box 15">
          <a:extLst>
            <a:ext uri="{FF2B5EF4-FFF2-40B4-BE49-F238E27FC236}">
              <a16:creationId xmlns:a16="http://schemas.microsoft.com/office/drawing/2014/main" id="{00000000-0008-0000-0800-0000F7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70" name="Text Box 15">
          <a:extLst>
            <a:ext uri="{FF2B5EF4-FFF2-40B4-BE49-F238E27FC236}">
              <a16:creationId xmlns:a16="http://schemas.microsoft.com/office/drawing/2014/main" id="{00000000-0008-0000-0800-0000F8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71" name="Text Box 15">
          <a:extLst>
            <a:ext uri="{FF2B5EF4-FFF2-40B4-BE49-F238E27FC236}">
              <a16:creationId xmlns:a16="http://schemas.microsoft.com/office/drawing/2014/main" id="{00000000-0008-0000-0800-0000F9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72" name="Text Box 15">
          <a:extLst>
            <a:ext uri="{FF2B5EF4-FFF2-40B4-BE49-F238E27FC236}">
              <a16:creationId xmlns:a16="http://schemas.microsoft.com/office/drawing/2014/main" id="{00000000-0008-0000-0800-0000FA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73" name="Text Box 15">
          <a:extLst>
            <a:ext uri="{FF2B5EF4-FFF2-40B4-BE49-F238E27FC236}">
              <a16:creationId xmlns:a16="http://schemas.microsoft.com/office/drawing/2014/main" id="{00000000-0008-0000-0800-0000FB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74" name="Text Box 15">
          <a:extLst>
            <a:ext uri="{FF2B5EF4-FFF2-40B4-BE49-F238E27FC236}">
              <a16:creationId xmlns:a16="http://schemas.microsoft.com/office/drawing/2014/main" id="{00000000-0008-0000-0800-0000FC04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75" name="Text Box 15">
          <a:extLst>
            <a:ext uri="{FF2B5EF4-FFF2-40B4-BE49-F238E27FC236}">
              <a16:creationId xmlns:a16="http://schemas.microsoft.com/office/drawing/2014/main" id="{00000000-0008-0000-0800-0000FD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76" name="Text Box 15">
          <a:extLst>
            <a:ext uri="{FF2B5EF4-FFF2-40B4-BE49-F238E27FC236}">
              <a16:creationId xmlns:a16="http://schemas.microsoft.com/office/drawing/2014/main" id="{00000000-0008-0000-0800-0000FE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77" name="Text Box 15">
          <a:extLst>
            <a:ext uri="{FF2B5EF4-FFF2-40B4-BE49-F238E27FC236}">
              <a16:creationId xmlns:a16="http://schemas.microsoft.com/office/drawing/2014/main" id="{00000000-0008-0000-0800-0000FF04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78" name="Text Box 15">
          <a:extLst>
            <a:ext uri="{FF2B5EF4-FFF2-40B4-BE49-F238E27FC236}">
              <a16:creationId xmlns:a16="http://schemas.microsoft.com/office/drawing/2014/main" id="{00000000-0008-0000-0800-000000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79" name="Text Box 15">
          <a:extLst>
            <a:ext uri="{FF2B5EF4-FFF2-40B4-BE49-F238E27FC236}">
              <a16:creationId xmlns:a16="http://schemas.microsoft.com/office/drawing/2014/main" id="{00000000-0008-0000-0800-000001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80" name="Text Box 15">
          <a:extLst>
            <a:ext uri="{FF2B5EF4-FFF2-40B4-BE49-F238E27FC236}">
              <a16:creationId xmlns:a16="http://schemas.microsoft.com/office/drawing/2014/main" id="{00000000-0008-0000-0800-000002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81" name="Text Box 15">
          <a:extLst>
            <a:ext uri="{FF2B5EF4-FFF2-40B4-BE49-F238E27FC236}">
              <a16:creationId xmlns:a16="http://schemas.microsoft.com/office/drawing/2014/main" id="{00000000-0008-0000-0800-000003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82" name="Text Box 15">
          <a:extLst>
            <a:ext uri="{FF2B5EF4-FFF2-40B4-BE49-F238E27FC236}">
              <a16:creationId xmlns:a16="http://schemas.microsoft.com/office/drawing/2014/main" id="{00000000-0008-0000-0800-000004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3" name="Text Box 15">
          <a:extLst>
            <a:ext uri="{FF2B5EF4-FFF2-40B4-BE49-F238E27FC236}">
              <a16:creationId xmlns:a16="http://schemas.microsoft.com/office/drawing/2014/main" id="{00000000-0008-0000-0800-000005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4" name="Text Box 15">
          <a:extLst>
            <a:ext uri="{FF2B5EF4-FFF2-40B4-BE49-F238E27FC236}">
              <a16:creationId xmlns:a16="http://schemas.microsoft.com/office/drawing/2014/main" id="{00000000-0008-0000-0800-000006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5" name="Text Box 15">
          <a:extLst>
            <a:ext uri="{FF2B5EF4-FFF2-40B4-BE49-F238E27FC236}">
              <a16:creationId xmlns:a16="http://schemas.microsoft.com/office/drawing/2014/main" id="{00000000-0008-0000-0800-000007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6" name="Text Box 15">
          <a:extLst>
            <a:ext uri="{FF2B5EF4-FFF2-40B4-BE49-F238E27FC236}">
              <a16:creationId xmlns:a16="http://schemas.microsoft.com/office/drawing/2014/main" id="{00000000-0008-0000-0800-000008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7" name="Text Box 15">
          <a:extLst>
            <a:ext uri="{FF2B5EF4-FFF2-40B4-BE49-F238E27FC236}">
              <a16:creationId xmlns:a16="http://schemas.microsoft.com/office/drawing/2014/main" id="{00000000-0008-0000-0800-000009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8" name="Text Box 15">
          <a:extLst>
            <a:ext uri="{FF2B5EF4-FFF2-40B4-BE49-F238E27FC236}">
              <a16:creationId xmlns:a16="http://schemas.microsoft.com/office/drawing/2014/main" id="{00000000-0008-0000-0800-00000A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89" name="Text Box 15">
          <a:extLst>
            <a:ext uri="{FF2B5EF4-FFF2-40B4-BE49-F238E27FC236}">
              <a16:creationId xmlns:a16="http://schemas.microsoft.com/office/drawing/2014/main" id="{00000000-0008-0000-0800-00000B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90" name="Text Box 15">
          <a:extLst>
            <a:ext uri="{FF2B5EF4-FFF2-40B4-BE49-F238E27FC236}">
              <a16:creationId xmlns:a16="http://schemas.microsoft.com/office/drawing/2014/main" id="{00000000-0008-0000-0800-00000C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1" name="Text Box 15">
          <a:extLst>
            <a:ext uri="{FF2B5EF4-FFF2-40B4-BE49-F238E27FC236}">
              <a16:creationId xmlns:a16="http://schemas.microsoft.com/office/drawing/2014/main" id="{00000000-0008-0000-0800-00000D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2" name="Text Box 15">
          <a:extLst>
            <a:ext uri="{FF2B5EF4-FFF2-40B4-BE49-F238E27FC236}">
              <a16:creationId xmlns:a16="http://schemas.microsoft.com/office/drawing/2014/main" id="{00000000-0008-0000-0800-00000E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3" name="Text Box 15">
          <a:extLst>
            <a:ext uri="{FF2B5EF4-FFF2-40B4-BE49-F238E27FC236}">
              <a16:creationId xmlns:a16="http://schemas.microsoft.com/office/drawing/2014/main" id="{00000000-0008-0000-0800-00000F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4" name="Text Box 15">
          <a:extLst>
            <a:ext uri="{FF2B5EF4-FFF2-40B4-BE49-F238E27FC236}">
              <a16:creationId xmlns:a16="http://schemas.microsoft.com/office/drawing/2014/main" id="{00000000-0008-0000-0800-000010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5" name="Text Box 15">
          <a:extLst>
            <a:ext uri="{FF2B5EF4-FFF2-40B4-BE49-F238E27FC236}">
              <a16:creationId xmlns:a16="http://schemas.microsoft.com/office/drawing/2014/main" id="{00000000-0008-0000-0800-000011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6" name="Text Box 15">
          <a:extLst>
            <a:ext uri="{FF2B5EF4-FFF2-40B4-BE49-F238E27FC236}">
              <a16:creationId xmlns:a16="http://schemas.microsoft.com/office/drawing/2014/main" id="{00000000-0008-0000-0800-000012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7" name="Text Box 15">
          <a:extLst>
            <a:ext uri="{FF2B5EF4-FFF2-40B4-BE49-F238E27FC236}">
              <a16:creationId xmlns:a16="http://schemas.microsoft.com/office/drawing/2014/main" id="{00000000-0008-0000-0800-000013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298" name="Text Box 15">
          <a:extLst>
            <a:ext uri="{FF2B5EF4-FFF2-40B4-BE49-F238E27FC236}">
              <a16:creationId xmlns:a16="http://schemas.microsoft.com/office/drawing/2014/main" id="{00000000-0008-0000-0800-000014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299" name="Text Box 15">
          <a:extLst>
            <a:ext uri="{FF2B5EF4-FFF2-40B4-BE49-F238E27FC236}">
              <a16:creationId xmlns:a16="http://schemas.microsoft.com/office/drawing/2014/main" id="{00000000-0008-0000-0800-000015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0" name="Text Box 15">
          <a:extLst>
            <a:ext uri="{FF2B5EF4-FFF2-40B4-BE49-F238E27FC236}">
              <a16:creationId xmlns:a16="http://schemas.microsoft.com/office/drawing/2014/main" id="{00000000-0008-0000-0800-000016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1" name="Text Box 15">
          <a:extLst>
            <a:ext uri="{FF2B5EF4-FFF2-40B4-BE49-F238E27FC236}">
              <a16:creationId xmlns:a16="http://schemas.microsoft.com/office/drawing/2014/main" id="{00000000-0008-0000-0800-000017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2" name="Text Box 15">
          <a:extLst>
            <a:ext uri="{FF2B5EF4-FFF2-40B4-BE49-F238E27FC236}">
              <a16:creationId xmlns:a16="http://schemas.microsoft.com/office/drawing/2014/main" id="{00000000-0008-0000-0800-000018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3" name="Text Box 15">
          <a:extLst>
            <a:ext uri="{FF2B5EF4-FFF2-40B4-BE49-F238E27FC236}">
              <a16:creationId xmlns:a16="http://schemas.microsoft.com/office/drawing/2014/main" id="{00000000-0008-0000-0800-000019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4" name="Text Box 15">
          <a:extLst>
            <a:ext uri="{FF2B5EF4-FFF2-40B4-BE49-F238E27FC236}">
              <a16:creationId xmlns:a16="http://schemas.microsoft.com/office/drawing/2014/main" id="{00000000-0008-0000-0800-00001A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5" name="Text Box 15">
          <a:extLst>
            <a:ext uri="{FF2B5EF4-FFF2-40B4-BE49-F238E27FC236}">
              <a16:creationId xmlns:a16="http://schemas.microsoft.com/office/drawing/2014/main" id="{00000000-0008-0000-0800-00001B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1306" name="Text Box 15">
          <a:extLst>
            <a:ext uri="{FF2B5EF4-FFF2-40B4-BE49-F238E27FC236}">
              <a16:creationId xmlns:a16="http://schemas.microsoft.com/office/drawing/2014/main" id="{00000000-0008-0000-0800-00001C05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07" name="Text Box 15">
          <a:extLst>
            <a:ext uri="{FF2B5EF4-FFF2-40B4-BE49-F238E27FC236}">
              <a16:creationId xmlns:a16="http://schemas.microsoft.com/office/drawing/2014/main" id="{00000000-0008-0000-0800-00001D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08" name="Text Box 15">
          <a:extLst>
            <a:ext uri="{FF2B5EF4-FFF2-40B4-BE49-F238E27FC236}">
              <a16:creationId xmlns:a16="http://schemas.microsoft.com/office/drawing/2014/main" id="{00000000-0008-0000-0800-00001E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09" name="Text Box 15">
          <a:extLst>
            <a:ext uri="{FF2B5EF4-FFF2-40B4-BE49-F238E27FC236}">
              <a16:creationId xmlns:a16="http://schemas.microsoft.com/office/drawing/2014/main" id="{00000000-0008-0000-0800-00001F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10" name="Text Box 15">
          <a:extLst>
            <a:ext uri="{FF2B5EF4-FFF2-40B4-BE49-F238E27FC236}">
              <a16:creationId xmlns:a16="http://schemas.microsoft.com/office/drawing/2014/main" id="{00000000-0008-0000-0800-000020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11" name="Text Box 15">
          <a:extLst>
            <a:ext uri="{FF2B5EF4-FFF2-40B4-BE49-F238E27FC236}">
              <a16:creationId xmlns:a16="http://schemas.microsoft.com/office/drawing/2014/main" id="{00000000-0008-0000-0800-000021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12" name="Text Box 15">
          <a:extLst>
            <a:ext uri="{FF2B5EF4-FFF2-40B4-BE49-F238E27FC236}">
              <a16:creationId xmlns:a16="http://schemas.microsoft.com/office/drawing/2014/main" id="{00000000-0008-0000-0800-000022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1313" name="Text Box 15">
          <a:extLst>
            <a:ext uri="{FF2B5EF4-FFF2-40B4-BE49-F238E27FC236}">
              <a16:creationId xmlns:a16="http://schemas.microsoft.com/office/drawing/2014/main" id="{00000000-0008-0000-0800-00002305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4" name="Text Box 15">
          <a:extLst>
            <a:ext uri="{FF2B5EF4-FFF2-40B4-BE49-F238E27FC236}">
              <a16:creationId xmlns:a16="http://schemas.microsoft.com/office/drawing/2014/main" id="{00000000-0008-0000-0800-000024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5" name="Text Box 15">
          <a:extLst>
            <a:ext uri="{FF2B5EF4-FFF2-40B4-BE49-F238E27FC236}">
              <a16:creationId xmlns:a16="http://schemas.microsoft.com/office/drawing/2014/main" id="{00000000-0008-0000-0800-000025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6" name="Text Box 15">
          <a:extLst>
            <a:ext uri="{FF2B5EF4-FFF2-40B4-BE49-F238E27FC236}">
              <a16:creationId xmlns:a16="http://schemas.microsoft.com/office/drawing/2014/main" id="{00000000-0008-0000-0800-000026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7" name="Text Box 15">
          <a:extLst>
            <a:ext uri="{FF2B5EF4-FFF2-40B4-BE49-F238E27FC236}">
              <a16:creationId xmlns:a16="http://schemas.microsoft.com/office/drawing/2014/main" id="{00000000-0008-0000-0800-000027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8" name="Text Box 15">
          <a:extLst>
            <a:ext uri="{FF2B5EF4-FFF2-40B4-BE49-F238E27FC236}">
              <a16:creationId xmlns:a16="http://schemas.microsoft.com/office/drawing/2014/main" id="{00000000-0008-0000-0800-000028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19" name="Text Box 15">
          <a:extLst>
            <a:ext uri="{FF2B5EF4-FFF2-40B4-BE49-F238E27FC236}">
              <a16:creationId xmlns:a16="http://schemas.microsoft.com/office/drawing/2014/main" id="{00000000-0008-0000-0800-000029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20" name="Text Box 15">
          <a:extLst>
            <a:ext uri="{FF2B5EF4-FFF2-40B4-BE49-F238E27FC236}">
              <a16:creationId xmlns:a16="http://schemas.microsoft.com/office/drawing/2014/main" id="{00000000-0008-0000-0800-00002A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21" name="Text Box 15">
          <a:extLst>
            <a:ext uri="{FF2B5EF4-FFF2-40B4-BE49-F238E27FC236}">
              <a16:creationId xmlns:a16="http://schemas.microsoft.com/office/drawing/2014/main" id="{00000000-0008-0000-0800-00002B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2" name="Text Box 15">
          <a:extLst>
            <a:ext uri="{FF2B5EF4-FFF2-40B4-BE49-F238E27FC236}">
              <a16:creationId xmlns:a16="http://schemas.microsoft.com/office/drawing/2014/main" id="{00000000-0008-0000-0800-00002C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3" name="Text Box 15">
          <a:extLst>
            <a:ext uri="{FF2B5EF4-FFF2-40B4-BE49-F238E27FC236}">
              <a16:creationId xmlns:a16="http://schemas.microsoft.com/office/drawing/2014/main" id="{00000000-0008-0000-0800-00002D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4" name="Text Box 15">
          <a:extLst>
            <a:ext uri="{FF2B5EF4-FFF2-40B4-BE49-F238E27FC236}">
              <a16:creationId xmlns:a16="http://schemas.microsoft.com/office/drawing/2014/main" id="{00000000-0008-0000-0800-00002E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5" name="Text Box 15">
          <a:extLst>
            <a:ext uri="{FF2B5EF4-FFF2-40B4-BE49-F238E27FC236}">
              <a16:creationId xmlns:a16="http://schemas.microsoft.com/office/drawing/2014/main" id="{00000000-0008-0000-0800-00002F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6" name="Text Box 15">
          <a:extLst>
            <a:ext uri="{FF2B5EF4-FFF2-40B4-BE49-F238E27FC236}">
              <a16:creationId xmlns:a16="http://schemas.microsoft.com/office/drawing/2014/main" id="{00000000-0008-0000-0800-000030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7" name="Text Box 15">
          <a:extLst>
            <a:ext uri="{FF2B5EF4-FFF2-40B4-BE49-F238E27FC236}">
              <a16:creationId xmlns:a16="http://schemas.microsoft.com/office/drawing/2014/main" id="{00000000-0008-0000-0800-000031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8" name="Text Box 15">
          <a:extLst>
            <a:ext uri="{FF2B5EF4-FFF2-40B4-BE49-F238E27FC236}">
              <a16:creationId xmlns:a16="http://schemas.microsoft.com/office/drawing/2014/main" id="{00000000-0008-0000-0800-000032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29" name="Text Box 15">
          <a:extLst>
            <a:ext uri="{FF2B5EF4-FFF2-40B4-BE49-F238E27FC236}">
              <a16:creationId xmlns:a16="http://schemas.microsoft.com/office/drawing/2014/main" id="{00000000-0008-0000-0800-000033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0" name="Text Box 15">
          <a:extLst>
            <a:ext uri="{FF2B5EF4-FFF2-40B4-BE49-F238E27FC236}">
              <a16:creationId xmlns:a16="http://schemas.microsoft.com/office/drawing/2014/main" id="{00000000-0008-0000-0800-000034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1" name="Text Box 15">
          <a:extLst>
            <a:ext uri="{FF2B5EF4-FFF2-40B4-BE49-F238E27FC236}">
              <a16:creationId xmlns:a16="http://schemas.microsoft.com/office/drawing/2014/main" id="{00000000-0008-0000-0800-000035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2" name="Text Box 15">
          <a:extLst>
            <a:ext uri="{FF2B5EF4-FFF2-40B4-BE49-F238E27FC236}">
              <a16:creationId xmlns:a16="http://schemas.microsoft.com/office/drawing/2014/main" id="{00000000-0008-0000-0800-000036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3" name="Text Box 15">
          <a:extLst>
            <a:ext uri="{FF2B5EF4-FFF2-40B4-BE49-F238E27FC236}">
              <a16:creationId xmlns:a16="http://schemas.microsoft.com/office/drawing/2014/main" id="{00000000-0008-0000-0800-000037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4" name="Text Box 15">
          <a:extLst>
            <a:ext uri="{FF2B5EF4-FFF2-40B4-BE49-F238E27FC236}">
              <a16:creationId xmlns:a16="http://schemas.microsoft.com/office/drawing/2014/main" id="{00000000-0008-0000-0800-000038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5" name="Text Box 15">
          <a:extLst>
            <a:ext uri="{FF2B5EF4-FFF2-40B4-BE49-F238E27FC236}">
              <a16:creationId xmlns:a16="http://schemas.microsoft.com/office/drawing/2014/main" id="{00000000-0008-0000-0800-000039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6" name="Text Box 15">
          <a:extLst>
            <a:ext uri="{FF2B5EF4-FFF2-40B4-BE49-F238E27FC236}">
              <a16:creationId xmlns:a16="http://schemas.microsoft.com/office/drawing/2014/main" id="{00000000-0008-0000-0800-00003A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37" name="Text Box 15">
          <a:extLst>
            <a:ext uri="{FF2B5EF4-FFF2-40B4-BE49-F238E27FC236}">
              <a16:creationId xmlns:a16="http://schemas.microsoft.com/office/drawing/2014/main" id="{00000000-0008-0000-0800-00003B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38" name="Text Box 15">
          <a:extLst>
            <a:ext uri="{FF2B5EF4-FFF2-40B4-BE49-F238E27FC236}">
              <a16:creationId xmlns:a16="http://schemas.microsoft.com/office/drawing/2014/main" id="{00000000-0008-0000-0800-00003C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39" name="Text Box 15">
          <a:extLst>
            <a:ext uri="{FF2B5EF4-FFF2-40B4-BE49-F238E27FC236}">
              <a16:creationId xmlns:a16="http://schemas.microsoft.com/office/drawing/2014/main" id="{00000000-0008-0000-0800-00003D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0" name="Text Box 15">
          <a:extLst>
            <a:ext uri="{FF2B5EF4-FFF2-40B4-BE49-F238E27FC236}">
              <a16:creationId xmlns:a16="http://schemas.microsoft.com/office/drawing/2014/main" id="{00000000-0008-0000-0800-00003E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1" name="Text Box 15">
          <a:extLst>
            <a:ext uri="{FF2B5EF4-FFF2-40B4-BE49-F238E27FC236}">
              <a16:creationId xmlns:a16="http://schemas.microsoft.com/office/drawing/2014/main" id="{00000000-0008-0000-0800-00003F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2" name="Text Box 15">
          <a:extLst>
            <a:ext uri="{FF2B5EF4-FFF2-40B4-BE49-F238E27FC236}">
              <a16:creationId xmlns:a16="http://schemas.microsoft.com/office/drawing/2014/main" id="{00000000-0008-0000-0800-000040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3" name="Text Box 15">
          <a:extLst>
            <a:ext uri="{FF2B5EF4-FFF2-40B4-BE49-F238E27FC236}">
              <a16:creationId xmlns:a16="http://schemas.microsoft.com/office/drawing/2014/main" id="{00000000-0008-0000-0800-000041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4" name="Text Box 15">
          <a:extLst>
            <a:ext uri="{FF2B5EF4-FFF2-40B4-BE49-F238E27FC236}">
              <a16:creationId xmlns:a16="http://schemas.microsoft.com/office/drawing/2014/main" id="{00000000-0008-0000-0800-000042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45" name="Text Box 15">
          <a:extLst>
            <a:ext uri="{FF2B5EF4-FFF2-40B4-BE49-F238E27FC236}">
              <a16:creationId xmlns:a16="http://schemas.microsoft.com/office/drawing/2014/main" id="{00000000-0008-0000-0800-000043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46" name="Text Box 15">
          <a:extLst>
            <a:ext uri="{FF2B5EF4-FFF2-40B4-BE49-F238E27FC236}">
              <a16:creationId xmlns:a16="http://schemas.microsoft.com/office/drawing/2014/main" id="{00000000-0008-0000-0800-000044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47" name="Text Box 15">
          <a:extLst>
            <a:ext uri="{FF2B5EF4-FFF2-40B4-BE49-F238E27FC236}">
              <a16:creationId xmlns:a16="http://schemas.microsoft.com/office/drawing/2014/main" id="{00000000-0008-0000-0800-000045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48" name="Text Box 15">
          <a:extLst>
            <a:ext uri="{FF2B5EF4-FFF2-40B4-BE49-F238E27FC236}">
              <a16:creationId xmlns:a16="http://schemas.microsoft.com/office/drawing/2014/main" id="{00000000-0008-0000-0800-000046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49" name="Text Box 15">
          <a:extLst>
            <a:ext uri="{FF2B5EF4-FFF2-40B4-BE49-F238E27FC236}">
              <a16:creationId xmlns:a16="http://schemas.microsoft.com/office/drawing/2014/main" id="{00000000-0008-0000-0800-000047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50" name="Text Box 15">
          <a:extLst>
            <a:ext uri="{FF2B5EF4-FFF2-40B4-BE49-F238E27FC236}">
              <a16:creationId xmlns:a16="http://schemas.microsoft.com/office/drawing/2014/main" id="{00000000-0008-0000-0800-000048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51" name="Text Box 15">
          <a:extLst>
            <a:ext uri="{FF2B5EF4-FFF2-40B4-BE49-F238E27FC236}">
              <a16:creationId xmlns:a16="http://schemas.microsoft.com/office/drawing/2014/main" id="{00000000-0008-0000-0800-000049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52" name="Text Box 15">
          <a:extLst>
            <a:ext uri="{FF2B5EF4-FFF2-40B4-BE49-F238E27FC236}">
              <a16:creationId xmlns:a16="http://schemas.microsoft.com/office/drawing/2014/main" id="{00000000-0008-0000-0800-00004A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53" name="Text Box 15">
          <a:extLst>
            <a:ext uri="{FF2B5EF4-FFF2-40B4-BE49-F238E27FC236}">
              <a16:creationId xmlns:a16="http://schemas.microsoft.com/office/drawing/2014/main" id="{00000000-0008-0000-0800-00004B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4" name="Text Box 15">
          <a:extLst>
            <a:ext uri="{FF2B5EF4-FFF2-40B4-BE49-F238E27FC236}">
              <a16:creationId xmlns:a16="http://schemas.microsoft.com/office/drawing/2014/main" id="{00000000-0008-0000-0800-00004C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5" name="Text Box 15">
          <a:extLst>
            <a:ext uri="{FF2B5EF4-FFF2-40B4-BE49-F238E27FC236}">
              <a16:creationId xmlns:a16="http://schemas.microsoft.com/office/drawing/2014/main" id="{00000000-0008-0000-0800-00004D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6" name="Text Box 15">
          <a:extLst>
            <a:ext uri="{FF2B5EF4-FFF2-40B4-BE49-F238E27FC236}">
              <a16:creationId xmlns:a16="http://schemas.microsoft.com/office/drawing/2014/main" id="{00000000-0008-0000-0800-00004E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7" name="Text Box 15">
          <a:extLst>
            <a:ext uri="{FF2B5EF4-FFF2-40B4-BE49-F238E27FC236}">
              <a16:creationId xmlns:a16="http://schemas.microsoft.com/office/drawing/2014/main" id="{00000000-0008-0000-0800-00004F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8" name="Text Box 15">
          <a:extLst>
            <a:ext uri="{FF2B5EF4-FFF2-40B4-BE49-F238E27FC236}">
              <a16:creationId xmlns:a16="http://schemas.microsoft.com/office/drawing/2014/main" id="{00000000-0008-0000-0800-000050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59" name="Text Box 15">
          <a:extLst>
            <a:ext uri="{FF2B5EF4-FFF2-40B4-BE49-F238E27FC236}">
              <a16:creationId xmlns:a16="http://schemas.microsoft.com/office/drawing/2014/main" id="{00000000-0008-0000-0800-000051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60" name="Text Box 15">
          <a:extLst>
            <a:ext uri="{FF2B5EF4-FFF2-40B4-BE49-F238E27FC236}">
              <a16:creationId xmlns:a16="http://schemas.microsoft.com/office/drawing/2014/main" id="{00000000-0008-0000-0800-000052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61" name="Text Box 15">
          <a:extLst>
            <a:ext uri="{FF2B5EF4-FFF2-40B4-BE49-F238E27FC236}">
              <a16:creationId xmlns:a16="http://schemas.microsoft.com/office/drawing/2014/main" id="{00000000-0008-0000-0800-000053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2" name="Text Box 15">
          <a:extLst>
            <a:ext uri="{FF2B5EF4-FFF2-40B4-BE49-F238E27FC236}">
              <a16:creationId xmlns:a16="http://schemas.microsoft.com/office/drawing/2014/main" id="{00000000-0008-0000-0800-000054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3" name="Text Box 15">
          <a:extLst>
            <a:ext uri="{FF2B5EF4-FFF2-40B4-BE49-F238E27FC236}">
              <a16:creationId xmlns:a16="http://schemas.microsoft.com/office/drawing/2014/main" id="{00000000-0008-0000-0800-000055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4" name="Text Box 15">
          <a:extLst>
            <a:ext uri="{FF2B5EF4-FFF2-40B4-BE49-F238E27FC236}">
              <a16:creationId xmlns:a16="http://schemas.microsoft.com/office/drawing/2014/main" id="{00000000-0008-0000-0800-000056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5" name="Text Box 15">
          <a:extLst>
            <a:ext uri="{FF2B5EF4-FFF2-40B4-BE49-F238E27FC236}">
              <a16:creationId xmlns:a16="http://schemas.microsoft.com/office/drawing/2014/main" id="{00000000-0008-0000-0800-000057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6" name="Text Box 15">
          <a:extLst>
            <a:ext uri="{FF2B5EF4-FFF2-40B4-BE49-F238E27FC236}">
              <a16:creationId xmlns:a16="http://schemas.microsoft.com/office/drawing/2014/main" id="{00000000-0008-0000-0800-000058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7" name="Text Box 15">
          <a:extLst>
            <a:ext uri="{FF2B5EF4-FFF2-40B4-BE49-F238E27FC236}">
              <a16:creationId xmlns:a16="http://schemas.microsoft.com/office/drawing/2014/main" id="{00000000-0008-0000-0800-000059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8" name="Text Box 15">
          <a:extLst>
            <a:ext uri="{FF2B5EF4-FFF2-40B4-BE49-F238E27FC236}">
              <a16:creationId xmlns:a16="http://schemas.microsoft.com/office/drawing/2014/main" id="{00000000-0008-0000-0800-00005A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369" name="Text Box 15">
          <a:extLst>
            <a:ext uri="{FF2B5EF4-FFF2-40B4-BE49-F238E27FC236}">
              <a16:creationId xmlns:a16="http://schemas.microsoft.com/office/drawing/2014/main" id="{00000000-0008-0000-0800-00005B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0" name="Text Box 15">
          <a:extLst>
            <a:ext uri="{FF2B5EF4-FFF2-40B4-BE49-F238E27FC236}">
              <a16:creationId xmlns:a16="http://schemas.microsoft.com/office/drawing/2014/main" id="{00000000-0008-0000-0800-00005C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1" name="Text Box 15">
          <a:extLst>
            <a:ext uri="{FF2B5EF4-FFF2-40B4-BE49-F238E27FC236}">
              <a16:creationId xmlns:a16="http://schemas.microsoft.com/office/drawing/2014/main" id="{00000000-0008-0000-0800-00005D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2" name="Text Box 15">
          <a:extLst>
            <a:ext uri="{FF2B5EF4-FFF2-40B4-BE49-F238E27FC236}">
              <a16:creationId xmlns:a16="http://schemas.microsoft.com/office/drawing/2014/main" id="{00000000-0008-0000-0800-00005E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3" name="Text Box 15">
          <a:extLst>
            <a:ext uri="{FF2B5EF4-FFF2-40B4-BE49-F238E27FC236}">
              <a16:creationId xmlns:a16="http://schemas.microsoft.com/office/drawing/2014/main" id="{00000000-0008-0000-0800-00005F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4" name="Text Box 15">
          <a:extLst>
            <a:ext uri="{FF2B5EF4-FFF2-40B4-BE49-F238E27FC236}">
              <a16:creationId xmlns:a16="http://schemas.microsoft.com/office/drawing/2014/main" id="{00000000-0008-0000-0800-000060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5" name="Text Box 15">
          <a:extLst>
            <a:ext uri="{FF2B5EF4-FFF2-40B4-BE49-F238E27FC236}">
              <a16:creationId xmlns:a16="http://schemas.microsoft.com/office/drawing/2014/main" id="{00000000-0008-0000-0800-000061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6" name="Text Box 15">
          <a:extLst>
            <a:ext uri="{FF2B5EF4-FFF2-40B4-BE49-F238E27FC236}">
              <a16:creationId xmlns:a16="http://schemas.microsoft.com/office/drawing/2014/main" id="{00000000-0008-0000-0800-000062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377" name="Text Box 15">
          <a:extLst>
            <a:ext uri="{FF2B5EF4-FFF2-40B4-BE49-F238E27FC236}">
              <a16:creationId xmlns:a16="http://schemas.microsoft.com/office/drawing/2014/main" id="{00000000-0008-0000-0800-000063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78" name="Text Box 15">
          <a:extLst>
            <a:ext uri="{FF2B5EF4-FFF2-40B4-BE49-F238E27FC236}">
              <a16:creationId xmlns:a16="http://schemas.microsoft.com/office/drawing/2014/main" id="{00000000-0008-0000-0800-000064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79" name="Text Box 15">
          <a:extLst>
            <a:ext uri="{FF2B5EF4-FFF2-40B4-BE49-F238E27FC236}">
              <a16:creationId xmlns:a16="http://schemas.microsoft.com/office/drawing/2014/main" id="{00000000-0008-0000-0800-000065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0" name="Text Box 15">
          <a:extLst>
            <a:ext uri="{FF2B5EF4-FFF2-40B4-BE49-F238E27FC236}">
              <a16:creationId xmlns:a16="http://schemas.microsoft.com/office/drawing/2014/main" id="{00000000-0008-0000-0800-000066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1" name="Text Box 15">
          <a:extLst>
            <a:ext uri="{FF2B5EF4-FFF2-40B4-BE49-F238E27FC236}">
              <a16:creationId xmlns:a16="http://schemas.microsoft.com/office/drawing/2014/main" id="{00000000-0008-0000-0800-000067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2" name="Text Box 15">
          <a:extLst>
            <a:ext uri="{FF2B5EF4-FFF2-40B4-BE49-F238E27FC236}">
              <a16:creationId xmlns:a16="http://schemas.microsoft.com/office/drawing/2014/main" id="{00000000-0008-0000-0800-000068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3" name="Text Box 15">
          <a:extLst>
            <a:ext uri="{FF2B5EF4-FFF2-40B4-BE49-F238E27FC236}">
              <a16:creationId xmlns:a16="http://schemas.microsoft.com/office/drawing/2014/main" id="{00000000-0008-0000-0800-000069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4" name="Text Box 15">
          <a:extLst>
            <a:ext uri="{FF2B5EF4-FFF2-40B4-BE49-F238E27FC236}">
              <a16:creationId xmlns:a16="http://schemas.microsoft.com/office/drawing/2014/main" id="{00000000-0008-0000-0800-00006A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85" name="Text Box 15">
          <a:extLst>
            <a:ext uri="{FF2B5EF4-FFF2-40B4-BE49-F238E27FC236}">
              <a16:creationId xmlns:a16="http://schemas.microsoft.com/office/drawing/2014/main" id="{00000000-0008-0000-0800-00006B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86" name="Text Box 15">
          <a:extLst>
            <a:ext uri="{FF2B5EF4-FFF2-40B4-BE49-F238E27FC236}">
              <a16:creationId xmlns:a16="http://schemas.microsoft.com/office/drawing/2014/main" id="{00000000-0008-0000-0800-00006C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87" name="Text Box 15">
          <a:extLst>
            <a:ext uri="{FF2B5EF4-FFF2-40B4-BE49-F238E27FC236}">
              <a16:creationId xmlns:a16="http://schemas.microsoft.com/office/drawing/2014/main" id="{00000000-0008-0000-0800-00006D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88" name="Text Box 15">
          <a:extLst>
            <a:ext uri="{FF2B5EF4-FFF2-40B4-BE49-F238E27FC236}">
              <a16:creationId xmlns:a16="http://schemas.microsoft.com/office/drawing/2014/main" id="{00000000-0008-0000-0800-00006E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89" name="Text Box 15">
          <a:extLst>
            <a:ext uri="{FF2B5EF4-FFF2-40B4-BE49-F238E27FC236}">
              <a16:creationId xmlns:a16="http://schemas.microsoft.com/office/drawing/2014/main" id="{00000000-0008-0000-0800-00006F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90" name="Text Box 15">
          <a:extLst>
            <a:ext uri="{FF2B5EF4-FFF2-40B4-BE49-F238E27FC236}">
              <a16:creationId xmlns:a16="http://schemas.microsoft.com/office/drawing/2014/main" id="{00000000-0008-0000-0800-000070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91" name="Text Box 15">
          <a:extLst>
            <a:ext uri="{FF2B5EF4-FFF2-40B4-BE49-F238E27FC236}">
              <a16:creationId xmlns:a16="http://schemas.microsoft.com/office/drawing/2014/main" id="{00000000-0008-0000-0800-000071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92" name="Text Box 15">
          <a:extLst>
            <a:ext uri="{FF2B5EF4-FFF2-40B4-BE49-F238E27FC236}">
              <a16:creationId xmlns:a16="http://schemas.microsoft.com/office/drawing/2014/main" id="{00000000-0008-0000-0800-000072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393" name="Text Box 15">
          <a:extLst>
            <a:ext uri="{FF2B5EF4-FFF2-40B4-BE49-F238E27FC236}">
              <a16:creationId xmlns:a16="http://schemas.microsoft.com/office/drawing/2014/main" id="{00000000-0008-0000-0800-000073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4" name="Text Box 15">
          <a:extLst>
            <a:ext uri="{FF2B5EF4-FFF2-40B4-BE49-F238E27FC236}">
              <a16:creationId xmlns:a16="http://schemas.microsoft.com/office/drawing/2014/main" id="{00000000-0008-0000-0800-000074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5" name="Text Box 15">
          <a:extLst>
            <a:ext uri="{FF2B5EF4-FFF2-40B4-BE49-F238E27FC236}">
              <a16:creationId xmlns:a16="http://schemas.microsoft.com/office/drawing/2014/main" id="{00000000-0008-0000-0800-000075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6" name="Text Box 15">
          <a:extLst>
            <a:ext uri="{FF2B5EF4-FFF2-40B4-BE49-F238E27FC236}">
              <a16:creationId xmlns:a16="http://schemas.microsoft.com/office/drawing/2014/main" id="{00000000-0008-0000-0800-000076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7" name="Text Box 15">
          <a:extLst>
            <a:ext uri="{FF2B5EF4-FFF2-40B4-BE49-F238E27FC236}">
              <a16:creationId xmlns:a16="http://schemas.microsoft.com/office/drawing/2014/main" id="{00000000-0008-0000-0800-000077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8" name="Text Box 15">
          <a:extLst>
            <a:ext uri="{FF2B5EF4-FFF2-40B4-BE49-F238E27FC236}">
              <a16:creationId xmlns:a16="http://schemas.microsoft.com/office/drawing/2014/main" id="{00000000-0008-0000-0800-000078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399" name="Text Box 15">
          <a:extLst>
            <a:ext uri="{FF2B5EF4-FFF2-40B4-BE49-F238E27FC236}">
              <a16:creationId xmlns:a16="http://schemas.microsoft.com/office/drawing/2014/main" id="{00000000-0008-0000-0800-000079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400" name="Text Box 15">
          <a:extLst>
            <a:ext uri="{FF2B5EF4-FFF2-40B4-BE49-F238E27FC236}">
              <a16:creationId xmlns:a16="http://schemas.microsoft.com/office/drawing/2014/main" id="{00000000-0008-0000-0800-00007A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1401" name="Text Box 15">
          <a:extLst>
            <a:ext uri="{FF2B5EF4-FFF2-40B4-BE49-F238E27FC236}">
              <a16:creationId xmlns:a16="http://schemas.microsoft.com/office/drawing/2014/main" id="{00000000-0008-0000-0800-00007B05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2" name="Text Box 15">
          <a:extLst>
            <a:ext uri="{FF2B5EF4-FFF2-40B4-BE49-F238E27FC236}">
              <a16:creationId xmlns:a16="http://schemas.microsoft.com/office/drawing/2014/main" id="{00000000-0008-0000-0800-00007C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3" name="Text Box 15">
          <a:extLst>
            <a:ext uri="{FF2B5EF4-FFF2-40B4-BE49-F238E27FC236}">
              <a16:creationId xmlns:a16="http://schemas.microsoft.com/office/drawing/2014/main" id="{00000000-0008-0000-0800-00007D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4" name="Text Box 15">
          <a:extLst>
            <a:ext uri="{FF2B5EF4-FFF2-40B4-BE49-F238E27FC236}">
              <a16:creationId xmlns:a16="http://schemas.microsoft.com/office/drawing/2014/main" id="{00000000-0008-0000-0800-00007E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5" name="Text Box 15">
          <a:extLst>
            <a:ext uri="{FF2B5EF4-FFF2-40B4-BE49-F238E27FC236}">
              <a16:creationId xmlns:a16="http://schemas.microsoft.com/office/drawing/2014/main" id="{00000000-0008-0000-0800-00007F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6" name="Text Box 15">
          <a:extLst>
            <a:ext uri="{FF2B5EF4-FFF2-40B4-BE49-F238E27FC236}">
              <a16:creationId xmlns:a16="http://schemas.microsoft.com/office/drawing/2014/main" id="{00000000-0008-0000-0800-000080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7" name="Text Box 15">
          <a:extLst>
            <a:ext uri="{FF2B5EF4-FFF2-40B4-BE49-F238E27FC236}">
              <a16:creationId xmlns:a16="http://schemas.microsoft.com/office/drawing/2014/main" id="{00000000-0008-0000-0800-000081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8" name="Text Box 15">
          <a:extLst>
            <a:ext uri="{FF2B5EF4-FFF2-40B4-BE49-F238E27FC236}">
              <a16:creationId xmlns:a16="http://schemas.microsoft.com/office/drawing/2014/main" id="{00000000-0008-0000-0800-000082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1409" name="Text Box 15">
          <a:extLst>
            <a:ext uri="{FF2B5EF4-FFF2-40B4-BE49-F238E27FC236}">
              <a16:creationId xmlns:a16="http://schemas.microsoft.com/office/drawing/2014/main" id="{00000000-0008-0000-0800-00008305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0" name="Text Box 15">
          <a:extLst>
            <a:ext uri="{FF2B5EF4-FFF2-40B4-BE49-F238E27FC236}">
              <a16:creationId xmlns:a16="http://schemas.microsoft.com/office/drawing/2014/main" id="{00000000-0008-0000-0800-000084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1" name="Text Box 15">
          <a:extLst>
            <a:ext uri="{FF2B5EF4-FFF2-40B4-BE49-F238E27FC236}">
              <a16:creationId xmlns:a16="http://schemas.microsoft.com/office/drawing/2014/main" id="{00000000-0008-0000-0800-000085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2" name="Text Box 15">
          <a:extLst>
            <a:ext uri="{FF2B5EF4-FFF2-40B4-BE49-F238E27FC236}">
              <a16:creationId xmlns:a16="http://schemas.microsoft.com/office/drawing/2014/main" id="{00000000-0008-0000-0800-000086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3" name="Text Box 15">
          <a:extLst>
            <a:ext uri="{FF2B5EF4-FFF2-40B4-BE49-F238E27FC236}">
              <a16:creationId xmlns:a16="http://schemas.microsoft.com/office/drawing/2014/main" id="{00000000-0008-0000-0800-000087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4" name="Text Box 15">
          <a:extLst>
            <a:ext uri="{FF2B5EF4-FFF2-40B4-BE49-F238E27FC236}">
              <a16:creationId xmlns:a16="http://schemas.microsoft.com/office/drawing/2014/main" id="{00000000-0008-0000-0800-000088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5" name="Text Box 15">
          <a:extLst>
            <a:ext uri="{FF2B5EF4-FFF2-40B4-BE49-F238E27FC236}">
              <a16:creationId xmlns:a16="http://schemas.microsoft.com/office/drawing/2014/main" id="{00000000-0008-0000-0800-000089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6" name="Text Box 15">
          <a:extLst>
            <a:ext uri="{FF2B5EF4-FFF2-40B4-BE49-F238E27FC236}">
              <a16:creationId xmlns:a16="http://schemas.microsoft.com/office/drawing/2014/main" id="{00000000-0008-0000-0800-00008A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17" name="Text Box 15">
          <a:extLst>
            <a:ext uri="{FF2B5EF4-FFF2-40B4-BE49-F238E27FC236}">
              <a16:creationId xmlns:a16="http://schemas.microsoft.com/office/drawing/2014/main" id="{00000000-0008-0000-0800-00008B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18" name="Text Box 15">
          <a:extLst>
            <a:ext uri="{FF2B5EF4-FFF2-40B4-BE49-F238E27FC236}">
              <a16:creationId xmlns:a16="http://schemas.microsoft.com/office/drawing/2014/main" id="{00000000-0008-0000-0800-00008C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19" name="Text Box 15">
          <a:extLst>
            <a:ext uri="{FF2B5EF4-FFF2-40B4-BE49-F238E27FC236}">
              <a16:creationId xmlns:a16="http://schemas.microsoft.com/office/drawing/2014/main" id="{00000000-0008-0000-0800-00008D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0" name="Text Box 15">
          <a:extLst>
            <a:ext uri="{FF2B5EF4-FFF2-40B4-BE49-F238E27FC236}">
              <a16:creationId xmlns:a16="http://schemas.microsoft.com/office/drawing/2014/main" id="{00000000-0008-0000-0800-00008E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1" name="Text Box 15">
          <a:extLst>
            <a:ext uri="{FF2B5EF4-FFF2-40B4-BE49-F238E27FC236}">
              <a16:creationId xmlns:a16="http://schemas.microsoft.com/office/drawing/2014/main" id="{00000000-0008-0000-0800-00008F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2" name="Text Box 15">
          <a:extLst>
            <a:ext uri="{FF2B5EF4-FFF2-40B4-BE49-F238E27FC236}">
              <a16:creationId xmlns:a16="http://schemas.microsoft.com/office/drawing/2014/main" id="{00000000-0008-0000-0800-000090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3" name="Text Box 15">
          <a:extLst>
            <a:ext uri="{FF2B5EF4-FFF2-40B4-BE49-F238E27FC236}">
              <a16:creationId xmlns:a16="http://schemas.microsoft.com/office/drawing/2014/main" id="{00000000-0008-0000-0800-000091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4" name="Text Box 15">
          <a:extLst>
            <a:ext uri="{FF2B5EF4-FFF2-40B4-BE49-F238E27FC236}">
              <a16:creationId xmlns:a16="http://schemas.microsoft.com/office/drawing/2014/main" id="{00000000-0008-0000-0800-000092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25" name="Text Box 15">
          <a:extLst>
            <a:ext uri="{FF2B5EF4-FFF2-40B4-BE49-F238E27FC236}">
              <a16:creationId xmlns:a16="http://schemas.microsoft.com/office/drawing/2014/main" id="{00000000-0008-0000-0800-000093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26" name="Text Box 15">
          <a:extLst>
            <a:ext uri="{FF2B5EF4-FFF2-40B4-BE49-F238E27FC236}">
              <a16:creationId xmlns:a16="http://schemas.microsoft.com/office/drawing/2014/main" id="{00000000-0008-0000-0800-000094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27" name="Text Box 15">
          <a:extLst>
            <a:ext uri="{FF2B5EF4-FFF2-40B4-BE49-F238E27FC236}">
              <a16:creationId xmlns:a16="http://schemas.microsoft.com/office/drawing/2014/main" id="{00000000-0008-0000-0800-000095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28" name="Text Box 15">
          <a:extLst>
            <a:ext uri="{FF2B5EF4-FFF2-40B4-BE49-F238E27FC236}">
              <a16:creationId xmlns:a16="http://schemas.microsoft.com/office/drawing/2014/main" id="{00000000-0008-0000-0800-000096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29" name="Text Box 15">
          <a:extLst>
            <a:ext uri="{FF2B5EF4-FFF2-40B4-BE49-F238E27FC236}">
              <a16:creationId xmlns:a16="http://schemas.microsoft.com/office/drawing/2014/main" id="{00000000-0008-0000-0800-000097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30" name="Text Box 15">
          <a:extLst>
            <a:ext uri="{FF2B5EF4-FFF2-40B4-BE49-F238E27FC236}">
              <a16:creationId xmlns:a16="http://schemas.microsoft.com/office/drawing/2014/main" id="{00000000-0008-0000-0800-000098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31" name="Text Box 15">
          <a:extLst>
            <a:ext uri="{FF2B5EF4-FFF2-40B4-BE49-F238E27FC236}">
              <a16:creationId xmlns:a16="http://schemas.microsoft.com/office/drawing/2014/main" id="{00000000-0008-0000-0800-000099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32" name="Text Box 15">
          <a:extLst>
            <a:ext uri="{FF2B5EF4-FFF2-40B4-BE49-F238E27FC236}">
              <a16:creationId xmlns:a16="http://schemas.microsoft.com/office/drawing/2014/main" id="{00000000-0008-0000-0800-00009A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433" name="Text Box 15">
          <a:extLst>
            <a:ext uri="{FF2B5EF4-FFF2-40B4-BE49-F238E27FC236}">
              <a16:creationId xmlns:a16="http://schemas.microsoft.com/office/drawing/2014/main" id="{00000000-0008-0000-0800-00009B05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4" name="Text Box 15">
          <a:extLst>
            <a:ext uri="{FF2B5EF4-FFF2-40B4-BE49-F238E27FC236}">
              <a16:creationId xmlns:a16="http://schemas.microsoft.com/office/drawing/2014/main" id="{00000000-0008-0000-0800-00009C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5" name="Text Box 15">
          <a:extLst>
            <a:ext uri="{FF2B5EF4-FFF2-40B4-BE49-F238E27FC236}">
              <a16:creationId xmlns:a16="http://schemas.microsoft.com/office/drawing/2014/main" id="{00000000-0008-0000-0800-00009D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6" name="Text Box 15">
          <a:extLst>
            <a:ext uri="{FF2B5EF4-FFF2-40B4-BE49-F238E27FC236}">
              <a16:creationId xmlns:a16="http://schemas.microsoft.com/office/drawing/2014/main" id="{00000000-0008-0000-0800-00009E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7" name="Text Box 15">
          <a:extLst>
            <a:ext uri="{FF2B5EF4-FFF2-40B4-BE49-F238E27FC236}">
              <a16:creationId xmlns:a16="http://schemas.microsoft.com/office/drawing/2014/main" id="{00000000-0008-0000-0800-00009F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8" name="Text Box 15">
          <a:extLst>
            <a:ext uri="{FF2B5EF4-FFF2-40B4-BE49-F238E27FC236}">
              <a16:creationId xmlns:a16="http://schemas.microsoft.com/office/drawing/2014/main" id="{00000000-0008-0000-0800-0000A0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39" name="Text Box 15">
          <a:extLst>
            <a:ext uri="{FF2B5EF4-FFF2-40B4-BE49-F238E27FC236}">
              <a16:creationId xmlns:a16="http://schemas.microsoft.com/office/drawing/2014/main" id="{00000000-0008-0000-0800-0000A1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40" name="Text Box 15">
          <a:extLst>
            <a:ext uri="{FF2B5EF4-FFF2-40B4-BE49-F238E27FC236}">
              <a16:creationId xmlns:a16="http://schemas.microsoft.com/office/drawing/2014/main" id="{00000000-0008-0000-0800-0000A2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441" name="Text Box 15">
          <a:extLst>
            <a:ext uri="{FF2B5EF4-FFF2-40B4-BE49-F238E27FC236}">
              <a16:creationId xmlns:a16="http://schemas.microsoft.com/office/drawing/2014/main" id="{00000000-0008-0000-0800-0000A305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2" name="Text Box 15">
          <a:extLst>
            <a:ext uri="{FF2B5EF4-FFF2-40B4-BE49-F238E27FC236}">
              <a16:creationId xmlns:a16="http://schemas.microsoft.com/office/drawing/2014/main" id="{00000000-0008-0000-0800-0000A4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3" name="Text Box 15">
          <a:extLst>
            <a:ext uri="{FF2B5EF4-FFF2-40B4-BE49-F238E27FC236}">
              <a16:creationId xmlns:a16="http://schemas.microsoft.com/office/drawing/2014/main" id="{00000000-0008-0000-0800-0000A5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4" name="Text Box 15">
          <a:extLst>
            <a:ext uri="{FF2B5EF4-FFF2-40B4-BE49-F238E27FC236}">
              <a16:creationId xmlns:a16="http://schemas.microsoft.com/office/drawing/2014/main" id="{00000000-0008-0000-0800-0000A6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5" name="Text Box 15">
          <a:extLst>
            <a:ext uri="{FF2B5EF4-FFF2-40B4-BE49-F238E27FC236}">
              <a16:creationId xmlns:a16="http://schemas.microsoft.com/office/drawing/2014/main" id="{00000000-0008-0000-0800-0000A7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6" name="Text Box 15">
          <a:extLst>
            <a:ext uri="{FF2B5EF4-FFF2-40B4-BE49-F238E27FC236}">
              <a16:creationId xmlns:a16="http://schemas.microsoft.com/office/drawing/2014/main" id="{00000000-0008-0000-0800-0000A8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7" name="Text Box 15">
          <a:extLst>
            <a:ext uri="{FF2B5EF4-FFF2-40B4-BE49-F238E27FC236}">
              <a16:creationId xmlns:a16="http://schemas.microsoft.com/office/drawing/2014/main" id="{00000000-0008-0000-0800-0000A9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8" name="Text Box 15">
          <a:extLst>
            <a:ext uri="{FF2B5EF4-FFF2-40B4-BE49-F238E27FC236}">
              <a16:creationId xmlns:a16="http://schemas.microsoft.com/office/drawing/2014/main" id="{00000000-0008-0000-0800-0000AA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49" name="Text Box 15">
          <a:extLst>
            <a:ext uri="{FF2B5EF4-FFF2-40B4-BE49-F238E27FC236}">
              <a16:creationId xmlns:a16="http://schemas.microsoft.com/office/drawing/2014/main" id="{00000000-0008-0000-0800-0000AB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0" name="Text Box 15">
          <a:extLst>
            <a:ext uri="{FF2B5EF4-FFF2-40B4-BE49-F238E27FC236}">
              <a16:creationId xmlns:a16="http://schemas.microsoft.com/office/drawing/2014/main" id="{00000000-0008-0000-0800-0000AC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1" name="Text Box 15">
          <a:extLst>
            <a:ext uri="{FF2B5EF4-FFF2-40B4-BE49-F238E27FC236}">
              <a16:creationId xmlns:a16="http://schemas.microsoft.com/office/drawing/2014/main" id="{00000000-0008-0000-0800-0000AD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2" name="Text Box 15">
          <a:extLst>
            <a:ext uri="{FF2B5EF4-FFF2-40B4-BE49-F238E27FC236}">
              <a16:creationId xmlns:a16="http://schemas.microsoft.com/office/drawing/2014/main" id="{00000000-0008-0000-0800-0000AE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3" name="Text Box 15">
          <a:extLst>
            <a:ext uri="{FF2B5EF4-FFF2-40B4-BE49-F238E27FC236}">
              <a16:creationId xmlns:a16="http://schemas.microsoft.com/office/drawing/2014/main" id="{00000000-0008-0000-0800-0000AF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4" name="Text Box 15">
          <a:extLst>
            <a:ext uri="{FF2B5EF4-FFF2-40B4-BE49-F238E27FC236}">
              <a16:creationId xmlns:a16="http://schemas.microsoft.com/office/drawing/2014/main" id="{00000000-0008-0000-0800-0000B0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5" name="Text Box 15">
          <a:extLst>
            <a:ext uri="{FF2B5EF4-FFF2-40B4-BE49-F238E27FC236}">
              <a16:creationId xmlns:a16="http://schemas.microsoft.com/office/drawing/2014/main" id="{00000000-0008-0000-0800-0000B1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6" name="Text Box 15">
          <a:extLst>
            <a:ext uri="{FF2B5EF4-FFF2-40B4-BE49-F238E27FC236}">
              <a16:creationId xmlns:a16="http://schemas.microsoft.com/office/drawing/2014/main" id="{00000000-0008-0000-0800-0000B2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57" name="Text Box 15">
          <a:extLst>
            <a:ext uri="{FF2B5EF4-FFF2-40B4-BE49-F238E27FC236}">
              <a16:creationId xmlns:a16="http://schemas.microsoft.com/office/drawing/2014/main" id="{00000000-0008-0000-0800-0000B3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58" name="Text Box 15">
          <a:extLst>
            <a:ext uri="{FF2B5EF4-FFF2-40B4-BE49-F238E27FC236}">
              <a16:creationId xmlns:a16="http://schemas.microsoft.com/office/drawing/2014/main" id="{00000000-0008-0000-0800-0000B4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59" name="Text Box 15">
          <a:extLst>
            <a:ext uri="{FF2B5EF4-FFF2-40B4-BE49-F238E27FC236}">
              <a16:creationId xmlns:a16="http://schemas.microsoft.com/office/drawing/2014/main" id="{00000000-0008-0000-0800-0000B5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0" name="Text Box 15">
          <a:extLst>
            <a:ext uri="{FF2B5EF4-FFF2-40B4-BE49-F238E27FC236}">
              <a16:creationId xmlns:a16="http://schemas.microsoft.com/office/drawing/2014/main" id="{00000000-0008-0000-0800-0000B6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1" name="Text Box 15">
          <a:extLst>
            <a:ext uri="{FF2B5EF4-FFF2-40B4-BE49-F238E27FC236}">
              <a16:creationId xmlns:a16="http://schemas.microsoft.com/office/drawing/2014/main" id="{00000000-0008-0000-0800-0000B7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2" name="Text Box 15">
          <a:extLst>
            <a:ext uri="{FF2B5EF4-FFF2-40B4-BE49-F238E27FC236}">
              <a16:creationId xmlns:a16="http://schemas.microsoft.com/office/drawing/2014/main" id="{00000000-0008-0000-0800-0000B8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3" name="Text Box 15">
          <a:extLst>
            <a:ext uri="{FF2B5EF4-FFF2-40B4-BE49-F238E27FC236}">
              <a16:creationId xmlns:a16="http://schemas.microsoft.com/office/drawing/2014/main" id="{00000000-0008-0000-0800-0000B9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4" name="Text Box 15">
          <a:extLst>
            <a:ext uri="{FF2B5EF4-FFF2-40B4-BE49-F238E27FC236}">
              <a16:creationId xmlns:a16="http://schemas.microsoft.com/office/drawing/2014/main" id="{00000000-0008-0000-0800-0000BA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65" name="Text Box 15">
          <a:extLst>
            <a:ext uri="{FF2B5EF4-FFF2-40B4-BE49-F238E27FC236}">
              <a16:creationId xmlns:a16="http://schemas.microsoft.com/office/drawing/2014/main" id="{00000000-0008-0000-0800-0000BB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66" name="Text Box 15">
          <a:extLst>
            <a:ext uri="{FF2B5EF4-FFF2-40B4-BE49-F238E27FC236}">
              <a16:creationId xmlns:a16="http://schemas.microsoft.com/office/drawing/2014/main" id="{00000000-0008-0000-0800-0000BC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67" name="Text Box 15">
          <a:extLst>
            <a:ext uri="{FF2B5EF4-FFF2-40B4-BE49-F238E27FC236}">
              <a16:creationId xmlns:a16="http://schemas.microsoft.com/office/drawing/2014/main" id="{00000000-0008-0000-0800-0000BD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68" name="Text Box 15">
          <a:extLst>
            <a:ext uri="{FF2B5EF4-FFF2-40B4-BE49-F238E27FC236}">
              <a16:creationId xmlns:a16="http://schemas.microsoft.com/office/drawing/2014/main" id="{00000000-0008-0000-0800-0000BE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69" name="Text Box 15">
          <a:extLst>
            <a:ext uri="{FF2B5EF4-FFF2-40B4-BE49-F238E27FC236}">
              <a16:creationId xmlns:a16="http://schemas.microsoft.com/office/drawing/2014/main" id="{00000000-0008-0000-0800-0000BF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70" name="Text Box 15">
          <a:extLst>
            <a:ext uri="{FF2B5EF4-FFF2-40B4-BE49-F238E27FC236}">
              <a16:creationId xmlns:a16="http://schemas.microsoft.com/office/drawing/2014/main" id="{00000000-0008-0000-0800-0000C0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71" name="Text Box 15">
          <a:extLst>
            <a:ext uri="{FF2B5EF4-FFF2-40B4-BE49-F238E27FC236}">
              <a16:creationId xmlns:a16="http://schemas.microsoft.com/office/drawing/2014/main" id="{00000000-0008-0000-0800-0000C1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72" name="Text Box 15">
          <a:extLst>
            <a:ext uri="{FF2B5EF4-FFF2-40B4-BE49-F238E27FC236}">
              <a16:creationId xmlns:a16="http://schemas.microsoft.com/office/drawing/2014/main" id="{00000000-0008-0000-0800-0000C2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73" name="Text Box 15">
          <a:extLst>
            <a:ext uri="{FF2B5EF4-FFF2-40B4-BE49-F238E27FC236}">
              <a16:creationId xmlns:a16="http://schemas.microsoft.com/office/drawing/2014/main" id="{00000000-0008-0000-0800-0000C3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4" name="Text Box 15">
          <a:extLst>
            <a:ext uri="{FF2B5EF4-FFF2-40B4-BE49-F238E27FC236}">
              <a16:creationId xmlns:a16="http://schemas.microsoft.com/office/drawing/2014/main" id="{00000000-0008-0000-0800-0000C4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5" name="Text Box 15">
          <a:extLst>
            <a:ext uri="{FF2B5EF4-FFF2-40B4-BE49-F238E27FC236}">
              <a16:creationId xmlns:a16="http://schemas.microsoft.com/office/drawing/2014/main" id="{00000000-0008-0000-0800-0000C5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6" name="Text Box 15">
          <a:extLst>
            <a:ext uri="{FF2B5EF4-FFF2-40B4-BE49-F238E27FC236}">
              <a16:creationId xmlns:a16="http://schemas.microsoft.com/office/drawing/2014/main" id="{00000000-0008-0000-0800-0000C6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7" name="Text Box 15">
          <a:extLst>
            <a:ext uri="{FF2B5EF4-FFF2-40B4-BE49-F238E27FC236}">
              <a16:creationId xmlns:a16="http://schemas.microsoft.com/office/drawing/2014/main" id="{00000000-0008-0000-0800-0000C7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8" name="Text Box 15">
          <a:extLst>
            <a:ext uri="{FF2B5EF4-FFF2-40B4-BE49-F238E27FC236}">
              <a16:creationId xmlns:a16="http://schemas.microsoft.com/office/drawing/2014/main" id="{00000000-0008-0000-0800-0000C8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79" name="Text Box 15">
          <a:extLst>
            <a:ext uri="{FF2B5EF4-FFF2-40B4-BE49-F238E27FC236}">
              <a16:creationId xmlns:a16="http://schemas.microsoft.com/office/drawing/2014/main" id="{00000000-0008-0000-0800-0000C9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80" name="Text Box 15">
          <a:extLst>
            <a:ext uri="{FF2B5EF4-FFF2-40B4-BE49-F238E27FC236}">
              <a16:creationId xmlns:a16="http://schemas.microsoft.com/office/drawing/2014/main" id="{00000000-0008-0000-0800-0000CA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481" name="Text Box 15">
          <a:extLst>
            <a:ext uri="{FF2B5EF4-FFF2-40B4-BE49-F238E27FC236}">
              <a16:creationId xmlns:a16="http://schemas.microsoft.com/office/drawing/2014/main" id="{00000000-0008-0000-0800-0000CB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2" name="Text Box 15">
          <a:extLst>
            <a:ext uri="{FF2B5EF4-FFF2-40B4-BE49-F238E27FC236}">
              <a16:creationId xmlns:a16="http://schemas.microsoft.com/office/drawing/2014/main" id="{00000000-0008-0000-0800-0000CC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3" name="Text Box 15">
          <a:extLst>
            <a:ext uri="{FF2B5EF4-FFF2-40B4-BE49-F238E27FC236}">
              <a16:creationId xmlns:a16="http://schemas.microsoft.com/office/drawing/2014/main" id="{00000000-0008-0000-0800-0000CD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4" name="Text Box 15">
          <a:extLst>
            <a:ext uri="{FF2B5EF4-FFF2-40B4-BE49-F238E27FC236}">
              <a16:creationId xmlns:a16="http://schemas.microsoft.com/office/drawing/2014/main" id="{00000000-0008-0000-0800-0000CE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5" name="Text Box 15">
          <a:extLst>
            <a:ext uri="{FF2B5EF4-FFF2-40B4-BE49-F238E27FC236}">
              <a16:creationId xmlns:a16="http://schemas.microsoft.com/office/drawing/2014/main" id="{00000000-0008-0000-0800-0000CF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6" name="Text Box 15">
          <a:extLst>
            <a:ext uri="{FF2B5EF4-FFF2-40B4-BE49-F238E27FC236}">
              <a16:creationId xmlns:a16="http://schemas.microsoft.com/office/drawing/2014/main" id="{00000000-0008-0000-0800-0000D0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7" name="Text Box 15">
          <a:extLst>
            <a:ext uri="{FF2B5EF4-FFF2-40B4-BE49-F238E27FC236}">
              <a16:creationId xmlns:a16="http://schemas.microsoft.com/office/drawing/2014/main" id="{00000000-0008-0000-0800-0000D1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8" name="Text Box 15">
          <a:extLst>
            <a:ext uri="{FF2B5EF4-FFF2-40B4-BE49-F238E27FC236}">
              <a16:creationId xmlns:a16="http://schemas.microsoft.com/office/drawing/2014/main" id="{00000000-0008-0000-0800-0000D2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489" name="Text Box 15">
          <a:extLst>
            <a:ext uri="{FF2B5EF4-FFF2-40B4-BE49-F238E27FC236}">
              <a16:creationId xmlns:a16="http://schemas.microsoft.com/office/drawing/2014/main" id="{00000000-0008-0000-0800-0000D3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0" name="Text Box 15">
          <a:extLst>
            <a:ext uri="{FF2B5EF4-FFF2-40B4-BE49-F238E27FC236}">
              <a16:creationId xmlns:a16="http://schemas.microsoft.com/office/drawing/2014/main" id="{00000000-0008-0000-0800-0000D4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1" name="Text Box 15">
          <a:extLst>
            <a:ext uri="{FF2B5EF4-FFF2-40B4-BE49-F238E27FC236}">
              <a16:creationId xmlns:a16="http://schemas.microsoft.com/office/drawing/2014/main" id="{00000000-0008-0000-0800-0000D5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2" name="Text Box 15">
          <a:extLst>
            <a:ext uri="{FF2B5EF4-FFF2-40B4-BE49-F238E27FC236}">
              <a16:creationId xmlns:a16="http://schemas.microsoft.com/office/drawing/2014/main" id="{00000000-0008-0000-0800-0000D6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3" name="Text Box 15">
          <a:extLst>
            <a:ext uri="{FF2B5EF4-FFF2-40B4-BE49-F238E27FC236}">
              <a16:creationId xmlns:a16="http://schemas.microsoft.com/office/drawing/2014/main" id="{00000000-0008-0000-0800-0000D7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4" name="Text Box 15">
          <a:extLst>
            <a:ext uri="{FF2B5EF4-FFF2-40B4-BE49-F238E27FC236}">
              <a16:creationId xmlns:a16="http://schemas.microsoft.com/office/drawing/2014/main" id="{00000000-0008-0000-0800-0000D8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5" name="Text Box 15">
          <a:extLst>
            <a:ext uri="{FF2B5EF4-FFF2-40B4-BE49-F238E27FC236}">
              <a16:creationId xmlns:a16="http://schemas.microsoft.com/office/drawing/2014/main" id="{00000000-0008-0000-0800-0000D9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6" name="Text Box 15">
          <a:extLst>
            <a:ext uri="{FF2B5EF4-FFF2-40B4-BE49-F238E27FC236}">
              <a16:creationId xmlns:a16="http://schemas.microsoft.com/office/drawing/2014/main" id="{00000000-0008-0000-0800-0000DA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497" name="Text Box 15">
          <a:extLst>
            <a:ext uri="{FF2B5EF4-FFF2-40B4-BE49-F238E27FC236}">
              <a16:creationId xmlns:a16="http://schemas.microsoft.com/office/drawing/2014/main" id="{00000000-0008-0000-0800-0000DB05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498" name="Text Box 15">
          <a:extLst>
            <a:ext uri="{FF2B5EF4-FFF2-40B4-BE49-F238E27FC236}">
              <a16:creationId xmlns:a16="http://schemas.microsoft.com/office/drawing/2014/main" id="{00000000-0008-0000-0800-0000DC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499" name="Text Box 15">
          <a:extLst>
            <a:ext uri="{FF2B5EF4-FFF2-40B4-BE49-F238E27FC236}">
              <a16:creationId xmlns:a16="http://schemas.microsoft.com/office/drawing/2014/main" id="{00000000-0008-0000-0800-0000DD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0" name="Text Box 15">
          <a:extLst>
            <a:ext uri="{FF2B5EF4-FFF2-40B4-BE49-F238E27FC236}">
              <a16:creationId xmlns:a16="http://schemas.microsoft.com/office/drawing/2014/main" id="{00000000-0008-0000-0800-0000DE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1" name="Text Box 15">
          <a:extLst>
            <a:ext uri="{FF2B5EF4-FFF2-40B4-BE49-F238E27FC236}">
              <a16:creationId xmlns:a16="http://schemas.microsoft.com/office/drawing/2014/main" id="{00000000-0008-0000-0800-0000DF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2" name="Text Box 15">
          <a:extLst>
            <a:ext uri="{FF2B5EF4-FFF2-40B4-BE49-F238E27FC236}">
              <a16:creationId xmlns:a16="http://schemas.microsoft.com/office/drawing/2014/main" id="{00000000-0008-0000-0800-0000E0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3" name="Text Box 15">
          <a:extLst>
            <a:ext uri="{FF2B5EF4-FFF2-40B4-BE49-F238E27FC236}">
              <a16:creationId xmlns:a16="http://schemas.microsoft.com/office/drawing/2014/main" id="{00000000-0008-0000-0800-0000E1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4" name="Text Box 15">
          <a:extLst>
            <a:ext uri="{FF2B5EF4-FFF2-40B4-BE49-F238E27FC236}">
              <a16:creationId xmlns:a16="http://schemas.microsoft.com/office/drawing/2014/main" id="{00000000-0008-0000-0800-0000E2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05" name="Text Box 15">
          <a:extLst>
            <a:ext uri="{FF2B5EF4-FFF2-40B4-BE49-F238E27FC236}">
              <a16:creationId xmlns:a16="http://schemas.microsoft.com/office/drawing/2014/main" id="{00000000-0008-0000-0800-0000E305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06" name="Text Box 15">
          <a:extLst>
            <a:ext uri="{FF2B5EF4-FFF2-40B4-BE49-F238E27FC236}">
              <a16:creationId xmlns:a16="http://schemas.microsoft.com/office/drawing/2014/main" id="{00000000-0008-0000-0800-0000E4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07" name="Text Box 15">
          <a:extLst>
            <a:ext uri="{FF2B5EF4-FFF2-40B4-BE49-F238E27FC236}">
              <a16:creationId xmlns:a16="http://schemas.microsoft.com/office/drawing/2014/main" id="{00000000-0008-0000-0800-0000E5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08" name="Text Box 15">
          <a:extLst>
            <a:ext uri="{FF2B5EF4-FFF2-40B4-BE49-F238E27FC236}">
              <a16:creationId xmlns:a16="http://schemas.microsoft.com/office/drawing/2014/main" id="{00000000-0008-0000-0800-0000E6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09" name="Text Box 15">
          <a:extLst>
            <a:ext uri="{FF2B5EF4-FFF2-40B4-BE49-F238E27FC236}">
              <a16:creationId xmlns:a16="http://schemas.microsoft.com/office/drawing/2014/main" id="{00000000-0008-0000-0800-0000E7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10" name="Text Box 15">
          <a:extLst>
            <a:ext uri="{FF2B5EF4-FFF2-40B4-BE49-F238E27FC236}">
              <a16:creationId xmlns:a16="http://schemas.microsoft.com/office/drawing/2014/main" id="{00000000-0008-0000-0800-0000E8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11" name="Text Box 15">
          <a:extLst>
            <a:ext uri="{FF2B5EF4-FFF2-40B4-BE49-F238E27FC236}">
              <a16:creationId xmlns:a16="http://schemas.microsoft.com/office/drawing/2014/main" id="{00000000-0008-0000-0800-0000E9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12" name="Text Box 15">
          <a:extLst>
            <a:ext uri="{FF2B5EF4-FFF2-40B4-BE49-F238E27FC236}">
              <a16:creationId xmlns:a16="http://schemas.microsoft.com/office/drawing/2014/main" id="{00000000-0008-0000-0800-0000EA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13" name="Text Box 15">
          <a:extLst>
            <a:ext uri="{FF2B5EF4-FFF2-40B4-BE49-F238E27FC236}">
              <a16:creationId xmlns:a16="http://schemas.microsoft.com/office/drawing/2014/main" id="{00000000-0008-0000-0800-0000EB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4" name="Text Box 15">
          <a:extLst>
            <a:ext uri="{FF2B5EF4-FFF2-40B4-BE49-F238E27FC236}">
              <a16:creationId xmlns:a16="http://schemas.microsoft.com/office/drawing/2014/main" id="{00000000-0008-0000-0800-0000EC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5" name="Text Box 15">
          <a:extLst>
            <a:ext uri="{FF2B5EF4-FFF2-40B4-BE49-F238E27FC236}">
              <a16:creationId xmlns:a16="http://schemas.microsoft.com/office/drawing/2014/main" id="{00000000-0008-0000-0800-0000ED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6" name="Text Box 15">
          <a:extLst>
            <a:ext uri="{FF2B5EF4-FFF2-40B4-BE49-F238E27FC236}">
              <a16:creationId xmlns:a16="http://schemas.microsoft.com/office/drawing/2014/main" id="{00000000-0008-0000-0800-0000EE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7" name="Text Box 15">
          <a:extLst>
            <a:ext uri="{FF2B5EF4-FFF2-40B4-BE49-F238E27FC236}">
              <a16:creationId xmlns:a16="http://schemas.microsoft.com/office/drawing/2014/main" id="{00000000-0008-0000-0800-0000EF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8" name="Text Box 15">
          <a:extLst>
            <a:ext uri="{FF2B5EF4-FFF2-40B4-BE49-F238E27FC236}">
              <a16:creationId xmlns:a16="http://schemas.microsoft.com/office/drawing/2014/main" id="{00000000-0008-0000-0800-0000F0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19" name="Text Box 15">
          <a:extLst>
            <a:ext uri="{FF2B5EF4-FFF2-40B4-BE49-F238E27FC236}">
              <a16:creationId xmlns:a16="http://schemas.microsoft.com/office/drawing/2014/main" id="{00000000-0008-0000-0800-0000F1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20" name="Text Box 15">
          <a:extLst>
            <a:ext uri="{FF2B5EF4-FFF2-40B4-BE49-F238E27FC236}">
              <a16:creationId xmlns:a16="http://schemas.microsoft.com/office/drawing/2014/main" id="{00000000-0008-0000-0800-0000F2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21" name="Text Box 15">
          <a:extLst>
            <a:ext uri="{FF2B5EF4-FFF2-40B4-BE49-F238E27FC236}">
              <a16:creationId xmlns:a16="http://schemas.microsoft.com/office/drawing/2014/main" id="{00000000-0008-0000-0800-0000F3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2" name="Text Box 15">
          <a:extLst>
            <a:ext uri="{FF2B5EF4-FFF2-40B4-BE49-F238E27FC236}">
              <a16:creationId xmlns:a16="http://schemas.microsoft.com/office/drawing/2014/main" id="{00000000-0008-0000-0800-0000F4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3" name="Text Box 15">
          <a:extLst>
            <a:ext uri="{FF2B5EF4-FFF2-40B4-BE49-F238E27FC236}">
              <a16:creationId xmlns:a16="http://schemas.microsoft.com/office/drawing/2014/main" id="{00000000-0008-0000-0800-0000F5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4" name="Text Box 15">
          <a:extLst>
            <a:ext uri="{FF2B5EF4-FFF2-40B4-BE49-F238E27FC236}">
              <a16:creationId xmlns:a16="http://schemas.microsoft.com/office/drawing/2014/main" id="{00000000-0008-0000-0800-0000F6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5" name="Text Box 15">
          <a:extLst>
            <a:ext uri="{FF2B5EF4-FFF2-40B4-BE49-F238E27FC236}">
              <a16:creationId xmlns:a16="http://schemas.microsoft.com/office/drawing/2014/main" id="{00000000-0008-0000-0800-0000F7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6" name="Text Box 15">
          <a:extLst>
            <a:ext uri="{FF2B5EF4-FFF2-40B4-BE49-F238E27FC236}">
              <a16:creationId xmlns:a16="http://schemas.microsoft.com/office/drawing/2014/main" id="{00000000-0008-0000-0800-0000F8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7" name="Text Box 15">
          <a:extLst>
            <a:ext uri="{FF2B5EF4-FFF2-40B4-BE49-F238E27FC236}">
              <a16:creationId xmlns:a16="http://schemas.microsoft.com/office/drawing/2014/main" id="{00000000-0008-0000-0800-0000F9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8" name="Text Box 15">
          <a:extLst>
            <a:ext uri="{FF2B5EF4-FFF2-40B4-BE49-F238E27FC236}">
              <a16:creationId xmlns:a16="http://schemas.microsoft.com/office/drawing/2014/main" id="{00000000-0008-0000-0800-0000FA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29" name="Text Box 15">
          <a:extLst>
            <a:ext uri="{FF2B5EF4-FFF2-40B4-BE49-F238E27FC236}">
              <a16:creationId xmlns:a16="http://schemas.microsoft.com/office/drawing/2014/main" id="{00000000-0008-0000-0800-0000FB05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0" name="Text Box 15">
          <a:extLst>
            <a:ext uri="{FF2B5EF4-FFF2-40B4-BE49-F238E27FC236}">
              <a16:creationId xmlns:a16="http://schemas.microsoft.com/office/drawing/2014/main" id="{00000000-0008-0000-0800-0000FC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1" name="Text Box 15">
          <a:extLst>
            <a:ext uri="{FF2B5EF4-FFF2-40B4-BE49-F238E27FC236}">
              <a16:creationId xmlns:a16="http://schemas.microsoft.com/office/drawing/2014/main" id="{00000000-0008-0000-0800-0000FD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2" name="Text Box 15">
          <a:extLst>
            <a:ext uri="{FF2B5EF4-FFF2-40B4-BE49-F238E27FC236}">
              <a16:creationId xmlns:a16="http://schemas.microsoft.com/office/drawing/2014/main" id="{00000000-0008-0000-0800-0000FE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3" name="Text Box 15">
          <a:extLst>
            <a:ext uri="{FF2B5EF4-FFF2-40B4-BE49-F238E27FC236}">
              <a16:creationId xmlns:a16="http://schemas.microsoft.com/office/drawing/2014/main" id="{00000000-0008-0000-0800-0000FF05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4" name="Text Box 15">
          <a:extLst>
            <a:ext uri="{FF2B5EF4-FFF2-40B4-BE49-F238E27FC236}">
              <a16:creationId xmlns:a16="http://schemas.microsoft.com/office/drawing/2014/main" id="{00000000-0008-0000-0800-000000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5" name="Text Box 15">
          <a:extLst>
            <a:ext uri="{FF2B5EF4-FFF2-40B4-BE49-F238E27FC236}">
              <a16:creationId xmlns:a16="http://schemas.microsoft.com/office/drawing/2014/main" id="{00000000-0008-0000-0800-000001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6" name="Text Box 15">
          <a:extLst>
            <a:ext uri="{FF2B5EF4-FFF2-40B4-BE49-F238E27FC236}">
              <a16:creationId xmlns:a16="http://schemas.microsoft.com/office/drawing/2014/main" id="{00000000-0008-0000-0800-000002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37" name="Text Box 15">
          <a:extLst>
            <a:ext uri="{FF2B5EF4-FFF2-40B4-BE49-F238E27FC236}">
              <a16:creationId xmlns:a16="http://schemas.microsoft.com/office/drawing/2014/main" id="{00000000-0008-0000-0800-000003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38" name="Text Box 15">
          <a:extLst>
            <a:ext uri="{FF2B5EF4-FFF2-40B4-BE49-F238E27FC236}">
              <a16:creationId xmlns:a16="http://schemas.microsoft.com/office/drawing/2014/main" id="{00000000-0008-0000-0800-000004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39" name="Text Box 15">
          <a:extLst>
            <a:ext uri="{FF2B5EF4-FFF2-40B4-BE49-F238E27FC236}">
              <a16:creationId xmlns:a16="http://schemas.microsoft.com/office/drawing/2014/main" id="{00000000-0008-0000-0800-000005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0" name="Text Box 15">
          <a:extLst>
            <a:ext uri="{FF2B5EF4-FFF2-40B4-BE49-F238E27FC236}">
              <a16:creationId xmlns:a16="http://schemas.microsoft.com/office/drawing/2014/main" id="{00000000-0008-0000-0800-000006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1" name="Text Box 15">
          <a:extLst>
            <a:ext uri="{FF2B5EF4-FFF2-40B4-BE49-F238E27FC236}">
              <a16:creationId xmlns:a16="http://schemas.microsoft.com/office/drawing/2014/main" id="{00000000-0008-0000-0800-000007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2" name="Text Box 15">
          <a:extLst>
            <a:ext uri="{FF2B5EF4-FFF2-40B4-BE49-F238E27FC236}">
              <a16:creationId xmlns:a16="http://schemas.microsoft.com/office/drawing/2014/main" id="{00000000-0008-0000-0800-000008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3" name="Text Box 15">
          <a:extLst>
            <a:ext uri="{FF2B5EF4-FFF2-40B4-BE49-F238E27FC236}">
              <a16:creationId xmlns:a16="http://schemas.microsoft.com/office/drawing/2014/main" id="{00000000-0008-0000-0800-000009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4" name="Text Box 15">
          <a:extLst>
            <a:ext uri="{FF2B5EF4-FFF2-40B4-BE49-F238E27FC236}">
              <a16:creationId xmlns:a16="http://schemas.microsoft.com/office/drawing/2014/main" id="{00000000-0008-0000-0800-00000A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545" name="Text Box 15">
          <a:extLst>
            <a:ext uri="{FF2B5EF4-FFF2-40B4-BE49-F238E27FC236}">
              <a16:creationId xmlns:a16="http://schemas.microsoft.com/office/drawing/2014/main" id="{00000000-0008-0000-0800-00000B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46" name="Text Box 15">
          <a:extLst>
            <a:ext uri="{FF2B5EF4-FFF2-40B4-BE49-F238E27FC236}">
              <a16:creationId xmlns:a16="http://schemas.microsoft.com/office/drawing/2014/main" id="{00000000-0008-0000-0800-00000C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47" name="Text Box 15">
          <a:extLst>
            <a:ext uri="{FF2B5EF4-FFF2-40B4-BE49-F238E27FC236}">
              <a16:creationId xmlns:a16="http://schemas.microsoft.com/office/drawing/2014/main" id="{00000000-0008-0000-0800-00000D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48" name="Text Box 15">
          <a:extLst>
            <a:ext uri="{FF2B5EF4-FFF2-40B4-BE49-F238E27FC236}">
              <a16:creationId xmlns:a16="http://schemas.microsoft.com/office/drawing/2014/main" id="{00000000-0008-0000-0800-00000E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49" name="Text Box 15">
          <a:extLst>
            <a:ext uri="{FF2B5EF4-FFF2-40B4-BE49-F238E27FC236}">
              <a16:creationId xmlns:a16="http://schemas.microsoft.com/office/drawing/2014/main" id="{00000000-0008-0000-0800-00000F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50" name="Text Box 15">
          <a:extLst>
            <a:ext uri="{FF2B5EF4-FFF2-40B4-BE49-F238E27FC236}">
              <a16:creationId xmlns:a16="http://schemas.microsoft.com/office/drawing/2014/main" id="{00000000-0008-0000-0800-000010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51" name="Text Box 15">
          <a:extLst>
            <a:ext uri="{FF2B5EF4-FFF2-40B4-BE49-F238E27FC236}">
              <a16:creationId xmlns:a16="http://schemas.microsoft.com/office/drawing/2014/main" id="{00000000-0008-0000-0800-000011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52" name="Text Box 15">
          <a:extLst>
            <a:ext uri="{FF2B5EF4-FFF2-40B4-BE49-F238E27FC236}">
              <a16:creationId xmlns:a16="http://schemas.microsoft.com/office/drawing/2014/main" id="{00000000-0008-0000-0800-000012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553" name="Text Box 15">
          <a:extLst>
            <a:ext uri="{FF2B5EF4-FFF2-40B4-BE49-F238E27FC236}">
              <a16:creationId xmlns:a16="http://schemas.microsoft.com/office/drawing/2014/main" id="{00000000-0008-0000-0800-000013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4" name="Text Box 15">
          <a:extLst>
            <a:ext uri="{FF2B5EF4-FFF2-40B4-BE49-F238E27FC236}">
              <a16:creationId xmlns:a16="http://schemas.microsoft.com/office/drawing/2014/main" id="{00000000-0008-0000-0800-000014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5" name="Text Box 15">
          <a:extLst>
            <a:ext uri="{FF2B5EF4-FFF2-40B4-BE49-F238E27FC236}">
              <a16:creationId xmlns:a16="http://schemas.microsoft.com/office/drawing/2014/main" id="{00000000-0008-0000-0800-000015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6" name="Text Box 15">
          <a:extLst>
            <a:ext uri="{FF2B5EF4-FFF2-40B4-BE49-F238E27FC236}">
              <a16:creationId xmlns:a16="http://schemas.microsoft.com/office/drawing/2014/main" id="{00000000-0008-0000-0800-000016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7" name="Text Box 15">
          <a:extLst>
            <a:ext uri="{FF2B5EF4-FFF2-40B4-BE49-F238E27FC236}">
              <a16:creationId xmlns:a16="http://schemas.microsoft.com/office/drawing/2014/main" id="{00000000-0008-0000-0800-000017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8" name="Text Box 15">
          <a:extLst>
            <a:ext uri="{FF2B5EF4-FFF2-40B4-BE49-F238E27FC236}">
              <a16:creationId xmlns:a16="http://schemas.microsoft.com/office/drawing/2014/main" id="{00000000-0008-0000-0800-000018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59" name="Text Box 15">
          <a:extLst>
            <a:ext uri="{FF2B5EF4-FFF2-40B4-BE49-F238E27FC236}">
              <a16:creationId xmlns:a16="http://schemas.microsoft.com/office/drawing/2014/main" id="{00000000-0008-0000-0800-000019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60" name="Text Box 15">
          <a:extLst>
            <a:ext uri="{FF2B5EF4-FFF2-40B4-BE49-F238E27FC236}">
              <a16:creationId xmlns:a16="http://schemas.microsoft.com/office/drawing/2014/main" id="{00000000-0008-0000-0800-00001A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61" name="Text Box 15">
          <a:extLst>
            <a:ext uri="{FF2B5EF4-FFF2-40B4-BE49-F238E27FC236}">
              <a16:creationId xmlns:a16="http://schemas.microsoft.com/office/drawing/2014/main" id="{00000000-0008-0000-0800-00001B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2" name="Text Box 15">
          <a:extLst>
            <a:ext uri="{FF2B5EF4-FFF2-40B4-BE49-F238E27FC236}">
              <a16:creationId xmlns:a16="http://schemas.microsoft.com/office/drawing/2014/main" id="{00000000-0008-0000-0800-00001C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3" name="Text Box 15">
          <a:extLst>
            <a:ext uri="{FF2B5EF4-FFF2-40B4-BE49-F238E27FC236}">
              <a16:creationId xmlns:a16="http://schemas.microsoft.com/office/drawing/2014/main" id="{00000000-0008-0000-0800-00001D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4" name="Text Box 15">
          <a:extLst>
            <a:ext uri="{FF2B5EF4-FFF2-40B4-BE49-F238E27FC236}">
              <a16:creationId xmlns:a16="http://schemas.microsoft.com/office/drawing/2014/main" id="{00000000-0008-0000-0800-00001E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5" name="Text Box 15">
          <a:extLst>
            <a:ext uri="{FF2B5EF4-FFF2-40B4-BE49-F238E27FC236}">
              <a16:creationId xmlns:a16="http://schemas.microsoft.com/office/drawing/2014/main" id="{00000000-0008-0000-0800-00001F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6" name="Text Box 15">
          <a:extLst>
            <a:ext uri="{FF2B5EF4-FFF2-40B4-BE49-F238E27FC236}">
              <a16:creationId xmlns:a16="http://schemas.microsoft.com/office/drawing/2014/main" id="{00000000-0008-0000-0800-000020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7" name="Text Box 15">
          <a:extLst>
            <a:ext uri="{FF2B5EF4-FFF2-40B4-BE49-F238E27FC236}">
              <a16:creationId xmlns:a16="http://schemas.microsoft.com/office/drawing/2014/main" id="{00000000-0008-0000-0800-000021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8" name="Text Box 15">
          <a:extLst>
            <a:ext uri="{FF2B5EF4-FFF2-40B4-BE49-F238E27FC236}">
              <a16:creationId xmlns:a16="http://schemas.microsoft.com/office/drawing/2014/main" id="{00000000-0008-0000-0800-000022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69" name="Text Box 15">
          <a:extLst>
            <a:ext uri="{FF2B5EF4-FFF2-40B4-BE49-F238E27FC236}">
              <a16:creationId xmlns:a16="http://schemas.microsoft.com/office/drawing/2014/main" id="{00000000-0008-0000-0800-000023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0" name="Text Box 15">
          <a:extLst>
            <a:ext uri="{FF2B5EF4-FFF2-40B4-BE49-F238E27FC236}">
              <a16:creationId xmlns:a16="http://schemas.microsoft.com/office/drawing/2014/main" id="{00000000-0008-0000-0800-000024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1" name="Text Box 15">
          <a:extLst>
            <a:ext uri="{FF2B5EF4-FFF2-40B4-BE49-F238E27FC236}">
              <a16:creationId xmlns:a16="http://schemas.microsoft.com/office/drawing/2014/main" id="{00000000-0008-0000-0800-000025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2" name="Text Box 15">
          <a:extLst>
            <a:ext uri="{FF2B5EF4-FFF2-40B4-BE49-F238E27FC236}">
              <a16:creationId xmlns:a16="http://schemas.microsoft.com/office/drawing/2014/main" id="{00000000-0008-0000-0800-000026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3" name="Text Box 15">
          <a:extLst>
            <a:ext uri="{FF2B5EF4-FFF2-40B4-BE49-F238E27FC236}">
              <a16:creationId xmlns:a16="http://schemas.microsoft.com/office/drawing/2014/main" id="{00000000-0008-0000-0800-000027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4" name="Text Box 15">
          <a:extLst>
            <a:ext uri="{FF2B5EF4-FFF2-40B4-BE49-F238E27FC236}">
              <a16:creationId xmlns:a16="http://schemas.microsoft.com/office/drawing/2014/main" id="{00000000-0008-0000-0800-000028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5" name="Text Box 15">
          <a:extLst>
            <a:ext uri="{FF2B5EF4-FFF2-40B4-BE49-F238E27FC236}">
              <a16:creationId xmlns:a16="http://schemas.microsoft.com/office/drawing/2014/main" id="{00000000-0008-0000-0800-000029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6" name="Text Box 15">
          <a:extLst>
            <a:ext uri="{FF2B5EF4-FFF2-40B4-BE49-F238E27FC236}">
              <a16:creationId xmlns:a16="http://schemas.microsoft.com/office/drawing/2014/main" id="{00000000-0008-0000-0800-00002A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577" name="Text Box 15">
          <a:extLst>
            <a:ext uri="{FF2B5EF4-FFF2-40B4-BE49-F238E27FC236}">
              <a16:creationId xmlns:a16="http://schemas.microsoft.com/office/drawing/2014/main" id="{00000000-0008-0000-0800-00002B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78" name="Text Box 15">
          <a:extLst>
            <a:ext uri="{FF2B5EF4-FFF2-40B4-BE49-F238E27FC236}">
              <a16:creationId xmlns:a16="http://schemas.microsoft.com/office/drawing/2014/main" id="{00000000-0008-0000-0800-00002C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79" name="Text Box 15">
          <a:extLst>
            <a:ext uri="{FF2B5EF4-FFF2-40B4-BE49-F238E27FC236}">
              <a16:creationId xmlns:a16="http://schemas.microsoft.com/office/drawing/2014/main" id="{00000000-0008-0000-0800-00002D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0" name="Text Box 15">
          <a:extLst>
            <a:ext uri="{FF2B5EF4-FFF2-40B4-BE49-F238E27FC236}">
              <a16:creationId xmlns:a16="http://schemas.microsoft.com/office/drawing/2014/main" id="{00000000-0008-0000-0800-00002E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1" name="Text Box 15">
          <a:extLst>
            <a:ext uri="{FF2B5EF4-FFF2-40B4-BE49-F238E27FC236}">
              <a16:creationId xmlns:a16="http://schemas.microsoft.com/office/drawing/2014/main" id="{00000000-0008-0000-0800-00002F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2" name="Text Box 15">
          <a:extLst>
            <a:ext uri="{FF2B5EF4-FFF2-40B4-BE49-F238E27FC236}">
              <a16:creationId xmlns:a16="http://schemas.microsoft.com/office/drawing/2014/main" id="{00000000-0008-0000-0800-000030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3" name="Text Box 15">
          <a:extLst>
            <a:ext uri="{FF2B5EF4-FFF2-40B4-BE49-F238E27FC236}">
              <a16:creationId xmlns:a16="http://schemas.microsoft.com/office/drawing/2014/main" id="{00000000-0008-0000-0800-000031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4" name="Text Box 15">
          <a:extLst>
            <a:ext uri="{FF2B5EF4-FFF2-40B4-BE49-F238E27FC236}">
              <a16:creationId xmlns:a16="http://schemas.microsoft.com/office/drawing/2014/main" id="{00000000-0008-0000-0800-000032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585" name="Text Box 15">
          <a:extLst>
            <a:ext uri="{FF2B5EF4-FFF2-40B4-BE49-F238E27FC236}">
              <a16:creationId xmlns:a16="http://schemas.microsoft.com/office/drawing/2014/main" id="{00000000-0008-0000-0800-000033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86" name="Text Box 15">
          <a:extLst>
            <a:ext uri="{FF2B5EF4-FFF2-40B4-BE49-F238E27FC236}">
              <a16:creationId xmlns:a16="http://schemas.microsoft.com/office/drawing/2014/main" id="{00000000-0008-0000-0800-000034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87" name="Text Box 15">
          <a:extLst>
            <a:ext uri="{FF2B5EF4-FFF2-40B4-BE49-F238E27FC236}">
              <a16:creationId xmlns:a16="http://schemas.microsoft.com/office/drawing/2014/main" id="{00000000-0008-0000-0800-000035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88" name="Text Box 15">
          <a:extLst>
            <a:ext uri="{FF2B5EF4-FFF2-40B4-BE49-F238E27FC236}">
              <a16:creationId xmlns:a16="http://schemas.microsoft.com/office/drawing/2014/main" id="{00000000-0008-0000-0800-000036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89" name="Text Box 15">
          <a:extLst>
            <a:ext uri="{FF2B5EF4-FFF2-40B4-BE49-F238E27FC236}">
              <a16:creationId xmlns:a16="http://schemas.microsoft.com/office/drawing/2014/main" id="{00000000-0008-0000-0800-000037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90" name="Text Box 15">
          <a:extLst>
            <a:ext uri="{FF2B5EF4-FFF2-40B4-BE49-F238E27FC236}">
              <a16:creationId xmlns:a16="http://schemas.microsoft.com/office/drawing/2014/main" id="{00000000-0008-0000-0800-000038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91" name="Text Box 15">
          <a:extLst>
            <a:ext uri="{FF2B5EF4-FFF2-40B4-BE49-F238E27FC236}">
              <a16:creationId xmlns:a16="http://schemas.microsoft.com/office/drawing/2014/main" id="{00000000-0008-0000-0800-000039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92" name="Text Box 15">
          <a:extLst>
            <a:ext uri="{FF2B5EF4-FFF2-40B4-BE49-F238E27FC236}">
              <a16:creationId xmlns:a16="http://schemas.microsoft.com/office/drawing/2014/main" id="{00000000-0008-0000-0800-00003A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593" name="Text Box 15">
          <a:extLst>
            <a:ext uri="{FF2B5EF4-FFF2-40B4-BE49-F238E27FC236}">
              <a16:creationId xmlns:a16="http://schemas.microsoft.com/office/drawing/2014/main" id="{00000000-0008-0000-0800-00003B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4" name="Text Box 15">
          <a:extLst>
            <a:ext uri="{FF2B5EF4-FFF2-40B4-BE49-F238E27FC236}">
              <a16:creationId xmlns:a16="http://schemas.microsoft.com/office/drawing/2014/main" id="{00000000-0008-0000-0800-00003C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5" name="Text Box 15">
          <a:extLst>
            <a:ext uri="{FF2B5EF4-FFF2-40B4-BE49-F238E27FC236}">
              <a16:creationId xmlns:a16="http://schemas.microsoft.com/office/drawing/2014/main" id="{00000000-0008-0000-0800-00003D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6" name="Text Box 15">
          <a:extLst>
            <a:ext uri="{FF2B5EF4-FFF2-40B4-BE49-F238E27FC236}">
              <a16:creationId xmlns:a16="http://schemas.microsoft.com/office/drawing/2014/main" id="{00000000-0008-0000-0800-00003E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7" name="Text Box 15">
          <a:extLst>
            <a:ext uri="{FF2B5EF4-FFF2-40B4-BE49-F238E27FC236}">
              <a16:creationId xmlns:a16="http://schemas.microsoft.com/office/drawing/2014/main" id="{00000000-0008-0000-0800-00003F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8" name="Text Box 15">
          <a:extLst>
            <a:ext uri="{FF2B5EF4-FFF2-40B4-BE49-F238E27FC236}">
              <a16:creationId xmlns:a16="http://schemas.microsoft.com/office/drawing/2014/main" id="{00000000-0008-0000-0800-000040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599" name="Text Box 15">
          <a:extLst>
            <a:ext uri="{FF2B5EF4-FFF2-40B4-BE49-F238E27FC236}">
              <a16:creationId xmlns:a16="http://schemas.microsoft.com/office/drawing/2014/main" id="{00000000-0008-0000-0800-000041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00" name="Text Box 15">
          <a:extLst>
            <a:ext uri="{FF2B5EF4-FFF2-40B4-BE49-F238E27FC236}">
              <a16:creationId xmlns:a16="http://schemas.microsoft.com/office/drawing/2014/main" id="{00000000-0008-0000-0800-000042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01" name="Text Box 15">
          <a:extLst>
            <a:ext uri="{FF2B5EF4-FFF2-40B4-BE49-F238E27FC236}">
              <a16:creationId xmlns:a16="http://schemas.microsoft.com/office/drawing/2014/main" id="{00000000-0008-0000-0800-000043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2" name="Text Box 15">
          <a:extLst>
            <a:ext uri="{FF2B5EF4-FFF2-40B4-BE49-F238E27FC236}">
              <a16:creationId xmlns:a16="http://schemas.microsoft.com/office/drawing/2014/main" id="{00000000-0008-0000-0800-000044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3" name="Text Box 15">
          <a:extLst>
            <a:ext uri="{FF2B5EF4-FFF2-40B4-BE49-F238E27FC236}">
              <a16:creationId xmlns:a16="http://schemas.microsoft.com/office/drawing/2014/main" id="{00000000-0008-0000-0800-000045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4" name="Text Box 15">
          <a:extLst>
            <a:ext uri="{FF2B5EF4-FFF2-40B4-BE49-F238E27FC236}">
              <a16:creationId xmlns:a16="http://schemas.microsoft.com/office/drawing/2014/main" id="{00000000-0008-0000-0800-000046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5" name="Text Box 15">
          <a:extLst>
            <a:ext uri="{FF2B5EF4-FFF2-40B4-BE49-F238E27FC236}">
              <a16:creationId xmlns:a16="http://schemas.microsoft.com/office/drawing/2014/main" id="{00000000-0008-0000-0800-000047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6" name="Text Box 15">
          <a:extLst>
            <a:ext uri="{FF2B5EF4-FFF2-40B4-BE49-F238E27FC236}">
              <a16:creationId xmlns:a16="http://schemas.microsoft.com/office/drawing/2014/main" id="{00000000-0008-0000-0800-000048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7" name="Text Box 15">
          <a:extLst>
            <a:ext uri="{FF2B5EF4-FFF2-40B4-BE49-F238E27FC236}">
              <a16:creationId xmlns:a16="http://schemas.microsoft.com/office/drawing/2014/main" id="{00000000-0008-0000-0800-000049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8" name="Text Box 15">
          <a:extLst>
            <a:ext uri="{FF2B5EF4-FFF2-40B4-BE49-F238E27FC236}">
              <a16:creationId xmlns:a16="http://schemas.microsoft.com/office/drawing/2014/main" id="{00000000-0008-0000-0800-00004A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1609" name="Text Box 15">
          <a:extLst>
            <a:ext uri="{FF2B5EF4-FFF2-40B4-BE49-F238E27FC236}">
              <a16:creationId xmlns:a16="http://schemas.microsoft.com/office/drawing/2014/main" id="{00000000-0008-0000-0800-00004B06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0" name="Text Box 15">
          <a:extLst>
            <a:ext uri="{FF2B5EF4-FFF2-40B4-BE49-F238E27FC236}">
              <a16:creationId xmlns:a16="http://schemas.microsoft.com/office/drawing/2014/main" id="{00000000-0008-0000-0800-00004C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1" name="Text Box 15">
          <a:extLst>
            <a:ext uri="{FF2B5EF4-FFF2-40B4-BE49-F238E27FC236}">
              <a16:creationId xmlns:a16="http://schemas.microsoft.com/office/drawing/2014/main" id="{00000000-0008-0000-0800-00004D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2" name="Text Box 15">
          <a:extLst>
            <a:ext uri="{FF2B5EF4-FFF2-40B4-BE49-F238E27FC236}">
              <a16:creationId xmlns:a16="http://schemas.microsoft.com/office/drawing/2014/main" id="{00000000-0008-0000-0800-00004E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3" name="Text Box 15">
          <a:extLst>
            <a:ext uri="{FF2B5EF4-FFF2-40B4-BE49-F238E27FC236}">
              <a16:creationId xmlns:a16="http://schemas.microsoft.com/office/drawing/2014/main" id="{00000000-0008-0000-0800-00004F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4" name="Text Box 15">
          <a:extLst>
            <a:ext uri="{FF2B5EF4-FFF2-40B4-BE49-F238E27FC236}">
              <a16:creationId xmlns:a16="http://schemas.microsoft.com/office/drawing/2014/main" id="{00000000-0008-0000-0800-000050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5" name="Text Box 15">
          <a:extLst>
            <a:ext uri="{FF2B5EF4-FFF2-40B4-BE49-F238E27FC236}">
              <a16:creationId xmlns:a16="http://schemas.microsoft.com/office/drawing/2014/main" id="{00000000-0008-0000-0800-000051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6" name="Text Box 15">
          <a:extLst>
            <a:ext uri="{FF2B5EF4-FFF2-40B4-BE49-F238E27FC236}">
              <a16:creationId xmlns:a16="http://schemas.microsoft.com/office/drawing/2014/main" id="{00000000-0008-0000-0800-000052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1617" name="Text Box 15">
          <a:extLst>
            <a:ext uri="{FF2B5EF4-FFF2-40B4-BE49-F238E27FC236}">
              <a16:creationId xmlns:a16="http://schemas.microsoft.com/office/drawing/2014/main" id="{00000000-0008-0000-0800-00005306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18" name="Text Box 15">
          <a:extLst>
            <a:ext uri="{FF2B5EF4-FFF2-40B4-BE49-F238E27FC236}">
              <a16:creationId xmlns:a16="http://schemas.microsoft.com/office/drawing/2014/main" id="{00000000-0008-0000-0800-000054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19" name="Text Box 15">
          <a:extLst>
            <a:ext uri="{FF2B5EF4-FFF2-40B4-BE49-F238E27FC236}">
              <a16:creationId xmlns:a16="http://schemas.microsoft.com/office/drawing/2014/main" id="{00000000-0008-0000-0800-000055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0" name="Text Box 15">
          <a:extLst>
            <a:ext uri="{FF2B5EF4-FFF2-40B4-BE49-F238E27FC236}">
              <a16:creationId xmlns:a16="http://schemas.microsoft.com/office/drawing/2014/main" id="{00000000-0008-0000-0800-000056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1" name="Text Box 15">
          <a:extLst>
            <a:ext uri="{FF2B5EF4-FFF2-40B4-BE49-F238E27FC236}">
              <a16:creationId xmlns:a16="http://schemas.microsoft.com/office/drawing/2014/main" id="{00000000-0008-0000-0800-000057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2" name="Text Box 15">
          <a:extLst>
            <a:ext uri="{FF2B5EF4-FFF2-40B4-BE49-F238E27FC236}">
              <a16:creationId xmlns:a16="http://schemas.microsoft.com/office/drawing/2014/main" id="{00000000-0008-0000-0800-000058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3" name="Text Box 15">
          <a:extLst>
            <a:ext uri="{FF2B5EF4-FFF2-40B4-BE49-F238E27FC236}">
              <a16:creationId xmlns:a16="http://schemas.microsoft.com/office/drawing/2014/main" id="{00000000-0008-0000-0800-000059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4" name="Text Box 15">
          <a:extLst>
            <a:ext uri="{FF2B5EF4-FFF2-40B4-BE49-F238E27FC236}">
              <a16:creationId xmlns:a16="http://schemas.microsoft.com/office/drawing/2014/main" id="{00000000-0008-0000-0800-00005A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1625" name="Text Box 15">
          <a:extLst>
            <a:ext uri="{FF2B5EF4-FFF2-40B4-BE49-F238E27FC236}">
              <a16:creationId xmlns:a16="http://schemas.microsoft.com/office/drawing/2014/main" id="{00000000-0008-0000-0800-00005B06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26" name="Text Box 15">
          <a:extLst>
            <a:ext uri="{FF2B5EF4-FFF2-40B4-BE49-F238E27FC236}">
              <a16:creationId xmlns:a16="http://schemas.microsoft.com/office/drawing/2014/main" id="{00000000-0008-0000-0800-00005C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27" name="Text Box 15">
          <a:extLst>
            <a:ext uri="{FF2B5EF4-FFF2-40B4-BE49-F238E27FC236}">
              <a16:creationId xmlns:a16="http://schemas.microsoft.com/office/drawing/2014/main" id="{00000000-0008-0000-0800-00005D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28" name="Text Box 15">
          <a:extLst>
            <a:ext uri="{FF2B5EF4-FFF2-40B4-BE49-F238E27FC236}">
              <a16:creationId xmlns:a16="http://schemas.microsoft.com/office/drawing/2014/main" id="{00000000-0008-0000-0800-00005E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1629" name="Text Box 15">
          <a:extLst>
            <a:ext uri="{FF2B5EF4-FFF2-40B4-BE49-F238E27FC236}">
              <a16:creationId xmlns:a16="http://schemas.microsoft.com/office/drawing/2014/main" id="{00000000-0008-0000-0800-00005F06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0" name="Text Box 15">
          <a:extLst>
            <a:ext uri="{FF2B5EF4-FFF2-40B4-BE49-F238E27FC236}">
              <a16:creationId xmlns:a16="http://schemas.microsoft.com/office/drawing/2014/main" id="{00000000-0008-0000-0800-000060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1" name="Text Box 15">
          <a:extLst>
            <a:ext uri="{FF2B5EF4-FFF2-40B4-BE49-F238E27FC236}">
              <a16:creationId xmlns:a16="http://schemas.microsoft.com/office/drawing/2014/main" id="{00000000-0008-0000-0800-000061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2" name="Text Box 15">
          <a:extLst>
            <a:ext uri="{FF2B5EF4-FFF2-40B4-BE49-F238E27FC236}">
              <a16:creationId xmlns:a16="http://schemas.microsoft.com/office/drawing/2014/main" id="{00000000-0008-0000-0800-000062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3" name="Text Box 15">
          <a:extLst>
            <a:ext uri="{FF2B5EF4-FFF2-40B4-BE49-F238E27FC236}">
              <a16:creationId xmlns:a16="http://schemas.microsoft.com/office/drawing/2014/main" id="{00000000-0008-0000-0800-000063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4" name="Text Box 15">
          <a:extLst>
            <a:ext uri="{FF2B5EF4-FFF2-40B4-BE49-F238E27FC236}">
              <a16:creationId xmlns:a16="http://schemas.microsoft.com/office/drawing/2014/main" id="{00000000-0008-0000-0800-000064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5" name="Text Box 15">
          <a:extLst>
            <a:ext uri="{FF2B5EF4-FFF2-40B4-BE49-F238E27FC236}">
              <a16:creationId xmlns:a16="http://schemas.microsoft.com/office/drawing/2014/main" id="{00000000-0008-0000-0800-000065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6" name="Text Box 15">
          <a:extLst>
            <a:ext uri="{FF2B5EF4-FFF2-40B4-BE49-F238E27FC236}">
              <a16:creationId xmlns:a16="http://schemas.microsoft.com/office/drawing/2014/main" id="{00000000-0008-0000-0800-000066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37" name="Text Box 15">
          <a:extLst>
            <a:ext uri="{FF2B5EF4-FFF2-40B4-BE49-F238E27FC236}">
              <a16:creationId xmlns:a16="http://schemas.microsoft.com/office/drawing/2014/main" id="{00000000-0008-0000-0800-000067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38" name="Text Box 15">
          <a:extLst>
            <a:ext uri="{FF2B5EF4-FFF2-40B4-BE49-F238E27FC236}">
              <a16:creationId xmlns:a16="http://schemas.microsoft.com/office/drawing/2014/main" id="{00000000-0008-0000-0800-000068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39" name="Text Box 15">
          <a:extLst>
            <a:ext uri="{FF2B5EF4-FFF2-40B4-BE49-F238E27FC236}">
              <a16:creationId xmlns:a16="http://schemas.microsoft.com/office/drawing/2014/main" id="{00000000-0008-0000-0800-000069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0" name="Text Box 15">
          <a:extLst>
            <a:ext uri="{FF2B5EF4-FFF2-40B4-BE49-F238E27FC236}">
              <a16:creationId xmlns:a16="http://schemas.microsoft.com/office/drawing/2014/main" id="{00000000-0008-0000-0800-00006A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1" name="Text Box 15">
          <a:extLst>
            <a:ext uri="{FF2B5EF4-FFF2-40B4-BE49-F238E27FC236}">
              <a16:creationId xmlns:a16="http://schemas.microsoft.com/office/drawing/2014/main" id="{00000000-0008-0000-0800-00006B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2" name="Text Box 15">
          <a:extLst>
            <a:ext uri="{FF2B5EF4-FFF2-40B4-BE49-F238E27FC236}">
              <a16:creationId xmlns:a16="http://schemas.microsoft.com/office/drawing/2014/main" id="{00000000-0008-0000-0800-00006C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3" name="Text Box 15">
          <a:extLst>
            <a:ext uri="{FF2B5EF4-FFF2-40B4-BE49-F238E27FC236}">
              <a16:creationId xmlns:a16="http://schemas.microsoft.com/office/drawing/2014/main" id="{00000000-0008-0000-0800-00006D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4" name="Text Box 15">
          <a:extLst>
            <a:ext uri="{FF2B5EF4-FFF2-40B4-BE49-F238E27FC236}">
              <a16:creationId xmlns:a16="http://schemas.microsoft.com/office/drawing/2014/main" id="{00000000-0008-0000-0800-00006E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645" name="Text Box 15">
          <a:extLst>
            <a:ext uri="{FF2B5EF4-FFF2-40B4-BE49-F238E27FC236}">
              <a16:creationId xmlns:a16="http://schemas.microsoft.com/office/drawing/2014/main" id="{00000000-0008-0000-0800-00006F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46" name="Text Box 15">
          <a:extLst>
            <a:ext uri="{FF2B5EF4-FFF2-40B4-BE49-F238E27FC236}">
              <a16:creationId xmlns:a16="http://schemas.microsoft.com/office/drawing/2014/main" id="{00000000-0008-0000-0800-000070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47" name="Text Box 15">
          <a:extLst>
            <a:ext uri="{FF2B5EF4-FFF2-40B4-BE49-F238E27FC236}">
              <a16:creationId xmlns:a16="http://schemas.microsoft.com/office/drawing/2014/main" id="{00000000-0008-0000-0800-000071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48" name="Text Box 15">
          <a:extLst>
            <a:ext uri="{FF2B5EF4-FFF2-40B4-BE49-F238E27FC236}">
              <a16:creationId xmlns:a16="http://schemas.microsoft.com/office/drawing/2014/main" id="{00000000-0008-0000-0800-000072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49" name="Text Box 15">
          <a:extLst>
            <a:ext uri="{FF2B5EF4-FFF2-40B4-BE49-F238E27FC236}">
              <a16:creationId xmlns:a16="http://schemas.microsoft.com/office/drawing/2014/main" id="{00000000-0008-0000-0800-000073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50" name="Text Box 15">
          <a:extLst>
            <a:ext uri="{FF2B5EF4-FFF2-40B4-BE49-F238E27FC236}">
              <a16:creationId xmlns:a16="http://schemas.microsoft.com/office/drawing/2014/main" id="{00000000-0008-0000-0800-000074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51" name="Text Box 15">
          <a:extLst>
            <a:ext uri="{FF2B5EF4-FFF2-40B4-BE49-F238E27FC236}">
              <a16:creationId xmlns:a16="http://schemas.microsoft.com/office/drawing/2014/main" id="{00000000-0008-0000-0800-000075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52" name="Text Box 15">
          <a:extLst>
            <a:ext uri="{FF2B5EF4-FFF2-40B4-BE49-F238E27FC236}">
              <a16:creationId xmlns:a16="http://schemas.microsoft.com/office/drawing/2014/main" id="{00000000-0008-0000-0800-000076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653" name="Text Box 15">
          <a:extLst>
            <a:ext uri="{FF2B5EF4-FFF2-40B4-BE49-F238E27FC236}">
              <a16:creationId xmlns:a16="http://schemas.microsoft.com/office/drawing/2014/main" id="{00000000-0008-0000-0800-000077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4" name="Text Box 15">
          <a:extLst>
            <a:ext uri="{FF2B5EF4-FFF2-40B4-BE49-F238E27FC236}">
              <a16:creationId xmlns:a16="http://schemas.microsoft.com/office/drawing/2014/main" id="{00000000-0008-0000-0800-000078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5" name="Text Box 15">
          <a:extLst>
            <a:ext uri="{FF2B5EF4-FFF2-40B4-BE49-F238E27FC236}">
              <a16:creationId xmlns:a16="http://schemas.microsoft.com/office/drawing/2014/main" id="{00000000-0008-0000-0800-000079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6" name="Text Box 15">
          <a:extLst>
            <a:ext uri="{FF2B5EF4-FFF2-40B4-BE49-F238E27FC236}">
              <a16:creationId xmlns:a16="http://schemas.microsoft.com/office/drawing/2014/main" id="{00000000-0008-0000-0800-00007A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7" name="Text Box 15">
          <a:extLst>
            <a:ext uri="{FF2B5EF4-FFF2-40B4-BE49-F238E27FC236}">
              <a16:creationId xmlns:a16="http://schemas.microsoft.com/office/drawing/2014/main" id="{00000000-0008-0000-0800-00007B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8" name="Text Box 15">
          <a:extLst>
            <a:ext uri="{FF2B5EF4-FFF2-40B4-BE49-F238E27FC236}">
              <a16:creationId xmlns:a16="http://schemas.microsoft.com/office/drawing/2014/main" id="{00000000-0008-0000-0800-00007C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59" name="Text Box 15">
          <a:extLst>
            <a:ext uri="{FF2B5EF4-FFF2-40B4-BE49-F238E27FC236}">
              <a16:creationId xmlns:a16="http://schemas.microsoft.com/office/drawing/2014/main" id="{00000000-0008-0000-0800-00007D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60" name="Text Box 15">
          <a:extLst>
            <a:ext uri="{FF2B5EF4-FFF2-40B4-BE49-F238E27FC236}">
              <a16:creationId xmlns:a16="http://schemas.microsoft.com/office/drawing/2014/main" id="{00000000-0008-0000-0800-00007E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661" name="Text Box 15">
          <a:extLst>
            <a:ext uri="{FF2B5EF4-FFF2-40B4-BE49-F238E27FC236}">
              <a16:creationId xmlns:a16="http://schemas.microsoft.com/office/drawing/2014/main" id="{00000000-0008-0000-0800-00007F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2" name="Text Box 15">
          <a:extLst>
            <a:ext uri="{FF2B5EF4-FFF2-40B4-BE49-F238E27FC236}">
              <a16:creationId xmlns:a16="http://schemas.microsoft.com/office/drawing/2014/main" id="{00000000-0008-0000-0800-000080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3" name="Text Box 15">
          <a:extLst>
            <a:ext uri="{FF2B5EF4-FFF2-40B4-BE49-F238E27FC236}">
              <a16:creationId xmlns:a16="http://schemas.microsoft.com/office/drawing/2014/main" id="{00000000-0008-0000-0800-000081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4" name="Text Box 15">
          <a:extLst>
            <a:ext uri="{FF2B5EF4-FFF2-40B4-BE49-F238E27FC236}">
              <a16:creationId xmlns:a16="http://schemas.microsoft.com/office/drawing/2014/main" id="{00000000-0008-0000-0800-000082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5" name="Text Box 15">
          <a:extLst>
            <a:ext uri="{FF2B5EF4-FFF2-40B4-BE49-F238E27FC236}">
              <a16:creationId xmlns:a16="http://schemas.microsoft.com/office/drawing/2014/main" id="{00000000-0008-0000-0800-000083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6" name="Text Box 15">
          <a:extLst>
            <a:ext uri="{FF2B5EF4-FFF2-40B4-BE49-F238E27FC236}">
              <a16:creationId xmlns:a16="http://schemas.microsoft.com/office/drawing/2014/main" id="{00000000-0008-0000-0800-000084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7" name="Text Box 15">
          <a:extLst>
            <a:ext uri="{FF2B5EF4-FFF2-40B4-BE49-F238E27FC236}">
              <a16:creationId xmlns:a16="http://schemas.microsoft.com/office/drawing/2014/main" id="{00000000-0008-0000-0800-000085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8" name="Text Box 15">
          <a:extLst>
            <a:ext uri="{FF2B5EF4-FFF2-40B4-BE49-F238E27FC236}">
              <a16:creationId xmlns:a16="http://schemas.microsoft.com/office/drawing/2014/main" id="{00000000-0008-0000-0800-000086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669" name="Text Box 15">
          <a:extLst>
            <a:ext uri="{FF2B5EF4-FFF2-40B4-BE49-F238E27FC236}">
              <a16:creationId xmlns:a16="http://schemas.microsoft.com/office/drawing/2014/main" id="{00000000-0008-0000-0800-000087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0" name="Text Box 15">
          <a:extLst>
            <a:ext uri="{FF2B5EF4-FFF2-40B4-BE49-F238E27FC236}">
              <a16:creationId xmlns:a16="http://schemas.microsoft.com/office/drawing/2014/main" id="{00000000-0008-0000-0800-000088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1" name="Text Box 15">
          <a:extLst>
            <a:ext uri="{FF2B5EF4-FFF2-40B4-BE49-F238E27FC236}">
              <a16:creationId xmlns:a16="http://schemas.microsoft.com/office/drawing/2014/main" id="{00000000-0008-0000-0800-000089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2" name="Text Box 15">
          <a:extLst>
            <a:ext uri="{FF2B5EF4-FFF2-40B4-BE49-F238E27FC236}">
              <a16:creationId xmlns:a16="http://schemas.microsoft.com/office/drawing/2014/main" id="{00000000-0008-0000-0800-00008A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3" name="Text Box 15">
          <a:extLst>
            <a:ext uri="{FF2B5EF4-FFF2-40B4-BE49-F238E27FC236}">
              <a16:creationId xmlns:a16="http://schemas.microsoft.com/office/drawing/2014/main" id="{00000000-0008-0000-0800-00008B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4" name="Text Box 15">
          <a:extLst>
            <a:ext uri="{FF2B5EF4-FFF2-40B4-BE49-F238E27FC236}">
              <a16:creationId xmlns:a16="http://schemas.microsoft.com/office/drawing/2014/main" id="{00000000-0008-0000-0800-00008C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5" name="Text Box 15">
          <a:extLst>
            <a:ext uri="{FF2B5EF4-FFF2-40B4-BE49-F238E27FC236}">
              <a16:creationId xmlns:a16="http://schemas.microsoft.com/office/drawing/2014/main" id="{00000000-0008-0000-0800-00008D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6" name="Text Box 15">
          <a:extLst>
            <a:ext uri="{FF2B5EF4-FFF2-40B4-BE49-F238E27FC236}">
              <a16:creationId xmlns:a16="http://schemas.microsoft.com/office/drawing/2014/main" id="{00000000-0008-0000-0800-00008E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677" name="Text Box 15">
          <a:extLst>
            <a:ext uri="{FF2B5EF4-FFF2-40B4-BE49-F238E27FC236}">
              <a16:creationId xmlns:a16="http://schemas.microsoft.com/office/drawing/2014/main" id="{00000000-0008-0000-0800-00008F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78" name="Text Box 15">
          <a:extLst>
            <a:ext uri="{FF2B5EF4-FFF2-40B4-BE49-F238E27FC236}">
              <a16:creationId xmlns:a16="http://schemas.microsoft.com/office/drawing/2014/main" id="{00000000-0008-0000-0800-000090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79" name="Text Box 15">
          <a:extLst>
            <a:ext uri="{FF2B5EF4-FFF2-40B4-BE49-F238E27FC236}">
              <a16:creationId xmlns:a16="http://schemas.microsoft.com/office/drawing/2014/main" id="{00000000-0008-0000-0800-000091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0" name="Text Box 15">
          <a:extLst>
            <a:ext uri="{FF2B5EF4-FFF2-40B4-BE49-F238E27FC236}">
              <a16:creationId xmlns:a16="http://schemas.microsoft.com/office/drawing/2014/main" id="{00000000-0008-0000-0800-000092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1" name="Text Box 15">
          <a:extLst>
            <a:ext uri="{FF2B5EF4-FFF2-40B4-BE49-F238E27FC236}">
              <a16:creationId xmlns:a16="http://schemas.microsoft.com/office/drawing/2014/main" id="{00000000-0008-0000-0800-000093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2" name="Text Box 15">
          <a:extLst>
            <a:ext uri="{FF2B5EF4-FFF2-40B4-BE49-F238E27FC236}">
              <a16:creationId xmlns:a16="http://schemas.microsoft.com/office/drawing/2014/main" id="{00000000-0008-0000-0800-000094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3" name="Text Box 15">
          <a:extLst>
            <a:ext uri="{FF2B5EF4-FFF2-40B4-BE49-F238E27FC236}">
              <a16:creationId xmlns:a16="http://schemas.microsoft.com/office/drawing/2014/main" id="{00000000-0008-0000-0800-000095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4" name="Text Box 15">
          <a:extLst>
            <a:ext uri="{FF2B5EF4-FFF2-40B4-BE49-F238E27FC236}">
              <a16:creationId xmlns:a16="http://schemas.microsoft.com/office/drawing/2014/main" id="{00000000-0008-0000-0800-000096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1685" name="Text Box 15">
          <a:extLst>
            <a:ext uri="{FF2B5EF4-FFF2-40B4-BE49-F238E27FC236}">
              <a16:creationId xmlns:a16="http://schemas.microsoft.com/office/drawing/2014/main" id="{00000000-0008-0000-0800-00009706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86" name="Text Box 15">
          <a:extLst>
            <a:ext uri="{FF2B5EF4-FFF2-40B4-BE49-F238E27FC236}">
              <a16:creationId xmlns:a16="http://schemas.microsoft.com/office/drawing/2014/main" id="{00000000-0008-0000-0800-000098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87" name="Text Box 15">
          <a:extLst>
            <a:ext uri="{FF2B5EF4-FFF2-40B4-BE49-F238E27FC236}">
              <a16:creationId xmlns:a16="http://schemas.microsoft.com/office/drawing/2014/main" id="{00000000-0008-0000-0800-000099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88" name="Text Box 15">
          <a:extLst>
            <a:ext uri="{FF2B5EF4-FFF2-40B4-BE49-F238E27FC236}">
              <a16:creationId xmlns:a16="http://schemas.microsoft.com/office/drawing/2014/main" id="{00000000-0008-0000-0800-00009A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89" name="Text Box 15">
          <a:extLst>
            <a:ext uri="{FF2B5EF4-FFF2-40B4-BE49-F238E27FC236}">
              <a16:creationId xmlns:a16="http://schemas.microsoft.com/office/drawing/2014/main" id="{00000000-0008-0000-0800-00009B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90" name="Text Box 15">
          <a:extLst>
            <a:ext uri="{FF2B5EF4-FFF2-40B4-BE49-F238E27FC236}">
              <a16:creationId xmlns:a16="http://schemas.microsoft.com/office/drawing/2014/main" id="{00000000-0008-0000-0800-00009C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91" name="Text Box 15">
          <a:extLst>
            <a:ext uri="{FF2B5EF4-FFF2-40B4-BE49-F238E27FC236}">
              <a16:creationId xmlns:a16="http://schemas.microsoft.com/office/drawing/2014/main" id="{00000000-0008-0000-0800-00009D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92" name="Text Box 15">
          <a:extLst>
            <a:ext uri="{FF2B5EF4-FFF2-40B4-BE49-F238E27FC236}">
              <a16:creationId xmlns:a16="http://schemas.microsoft.com/office/drawing/2014/main" id="{00000000-0008-0000-0800-00009E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1693" name="Text Box 15">
          <a:extLst>
            <a:ext uri="{FF2B5EF4-FFF2-40B4-BE49-F238E27FC236}">
              <a16:creationId xmlns:a16="http://schemas.microsoft.com/office/drawing/2014/main" id="{00000000-0008-0000-0800-00009F06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4" name="Text Box 15">
          <a:extLst>
            <a:ext uri="{FF2B5EF4-FFF2-40B4-BE49-F238E27FC236}">
              <a16:creationId xmlns:a16="http://schemas.microsoft.com/office/drawing/2014/main" id="{00000000-0008-0000-0800-0000A0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5" name="Text Box 15">
          <a:extLst>
            <a:ext uri="{FF2B5EF4-FFF2-40B4-BE49-F238E27FC236}">
              <a16:creationId xmlns:a16="http://schemas.microsoft.com/office/drawing/2014/main" id="{00000000-0008-0000-0800-0000A1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6" name="Text Box 15">
          <a:extLst>
            <a:ext uri="{FF2B5EF4-FFF2-40B4-BE49-F238E27FC236}">
              <a16:creationId xmlns:a16="http://schemas.microsoft.com/office/drawing/2014/main" id="{00000000-0008-0000-0800-0000A2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7" name="Text Box 15">
          <a:extLst>
            <a:ext uri="{FF2B5EF4-FFF2-40B4-BE49-F238E27FC236}">
              <a16:creationId xmlns:a16="http://schemas.microsoft.com/office/drawing/2014/main" id="{00000000-0008-0000-0800-0000A3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8" name="Text Box 15">
          <a:extLst>
            <a:ext uri="{FF2B5EF4-FFF2-40B4-BE49-F238E27FC236}">
              <a16:creationId xmlns:a16="http://schemas.microsoft.com/office/drawing/2014/main" id="{00000000-0008-0000-0800-0000A4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699" name="Text Box 15">
          <a:extLst>
            <a:ext uri="{FF2B5EF4-FFF2-40B4-BE49-F238E27FC236}">
              <a16:creationId xmlns:a16="http://schemas.microsoft.com/office/drawing/2014/main" id="{00000000-0008-0000-0800-0000A5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700" name="Text Box 15">
          <a:extLst>
            <a:ext uri="{FF2B5EF4-FFF2-40B4-BE49-F238E27FC236}">
              <a16:creationId xmlns:a16="http://schemas.microsoft.com/office/drawing/2014/main" id="{00000000-0008-0000-0800-0000A6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1701" name="Text Box 15">
          <a:extLst>
            <a:ext uri="{FF2B5EF4-FFF2-40B4-BE49-F238E27FC236}">
              <a16:creationId xmlns:a16="http://schemas.microsoft.com/office/drawing/2014/main" id="{00000000-0008-0000-0800-0000A706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2" name="Text Box 15">
          <a:extLst>
            <a:ext uri="{FF2B5EF4-FFF2-40B4-BE49-F238E27FC236}">
              <a16:creationId xmlns:a16="http://schemas.microsoft.com/office/drawing/2014/main" id="{00000000-0008-0000-0800-0000A8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3" name="Text Box 15">
          <a:extLst>
            <a:ext uri="{FF2B5EF4-FFF2-40B4-BE49-F238E27FC236}">
              <a16:creationId xmlns:a16="http://schemas.microsoft.com/office/drawing/2014/main" id="{00000000-0008-0000-0800-0000A9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4" name="Text Box 15">
          <a:extLst>
            <a:ext uri="{FF2B5EF4-FFF2-40B4-BE49-F238E27FC236}">
              <a16:creationId xmlns:a16="http://schemas.microsoft.com/office/drawing/2014/main" id="{00000000-0008-0000-0800-0000AA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5" name="Text Box 15">
          <a:extLst>
            <a:ext uri="{FF2B5EF4-FFF2-40B4-BE49-F238E27FC236}">
              <a16:creationId xmlns:a16="http://schemas.microsoft.com/office/drawing/2014/main" id="{00000000-0008-0000-0800-0000AB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6" name="Text Box 15">
          <a:extLst>
            <a:ext uri="{FF2B5EF4-FFF2-40B4-BE49-F238E27FC236}">
              <a16:creationId xmlns:a16="http://schemas.microsoft.com/office/drawing/2014/main" id="{00000000-0008-0000-0800-0000AC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7" name="Text Box 15">
          <a:extLst>
            <a:ext uri="{FF2B5EF4-FFF2-40B4-BE49-F238E27FC236}">
              <a16:creationId xmlns:a16="http://schemas.microsoft.com/office/drawing/2014/main" id="{00000000-0008-0000-0800-0000AD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8" name="Text Box 15">
          <a:extLst>
            <a:ext uri="{FF2B5EF4-FFF2-40B4-BE49-F238E27FC236}">
              <a16:creationId xmlns:a16="http://schemas.microsoft.com/office/drawing/2014/main" id="{00000000-0008-0000-0800-0000AE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1709" name="Text Box 15">
          <a:extLst>
            <a:ext uri="{FF2B5EF4-FFF2-40B4-BE49-F238E27FC236}">
              <a16:creationId xmlns:a16="http://schemas.microsoft.com/office/drawing/2014/main" id="{00000000-0008-0000-0800-0000AF06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0" name="Text Box 15">
          <a:extLst>
            <a:ext uri="{FF2B5EF4-FFF2-40B4-BE49-F238E27FC236}">
              <a16:creationId xmlns:a16="http://schemas.microsoft.com/office/drawing/2014/main" id="{00000000-0008-0000-0800-0000B0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1" name="Text Box 15">
          <a:extLst>
            <a:ext uri="{FF2B5EF4-FFF2-40B4-BE49-F238E27FC236}">
              <a16:creationId xmlns:a16="http://schemas.microsoft.com/office/drawing/2014/main" id="{00000000-0008-0000-0800-0000B1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2" name="Text Box 15">
          <a:extLst>
            <a:ext uri="{FF2B5EF4-FFF2-40B4-BE49-F238E27FC236}">
              <a16:creationId xmlns:a16="http://schemas.microsoft.com/office/drawing/2014/main" id="{00000000-0008-0000-0800-0000B2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3" name="Text Box 15">
          <a:extLst>
            <a:ext uri="{FF2B5EF4-FFF2-40B4-BE49-F238E27FC236}">
              <a16:creationId xmlns:a16="http://schemas.microsoft.com/office/drawing/2014/main" id="{00000000-0008-0000-0800-0000B3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4" name="Text Box 15">
          <a:extLst>
            <a:ext uri="{FF2B5EF4-FFF2-40B4-BE49-F238E27FC236}">
              <a16:creationId xmlns:a16="http://schemas.microsoft.com/office/drawing/2014/main" id="{00000000-0008-0000-0800-0000B4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5" name="Text Box 15">
          <a:extLst>
            <a:ext uri="{FF2B5EF4-FFF2-40B4-BE49-F238E27FC236}">
              <a16:creationId xmlns:a16="http://schemas.microsoft.com/office/drawing/2014/main" id="{00000000-0008-0000-0800-0000B5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6" name="Text Box 15">
          <a:extLst>
            <a:ext uri="{FF2B5EF4-FFF2-40B4-BE49-F238E27FC236}">
              <a16:creationId xmlns:a16="http://schemas.microsoft.com/office/drawing/2014/main" id="{00000000-0008-0000-0800-0000B6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1717" name="Text Box 15">
          <a:extLst>
            <a:ext uri="{FF2B5EF4-FFF2-40B4-BE49-F238E27FC236}">
              <a16:creationId xmlns:a16="http://schemas.microsoft.com/office/drawing/2014/main" id="{00000000-0008-0000-0800-0000B706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18" name="Text Box 15">
          <a:extLst>
            <a:ext uri="{FF2B5EF4-FFF2-40B4-BE49-F238E27FC236}">
              <a16:creationId xmlns:a16="http://schemas.microsoft.com/office/drawing/2014/main" id="{00000000-0008-0000-0800-0000B8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19" name="Text Box 15">
          <a:extLst>
            <a:ext uri="{FF2B5EF4-FFF2-40B4-BE49-F238E27FC236}">
              <a16:creationId xmlns:a16="http://schemas.microsoft.com/office/drawing/2014/main" id="{00000000-0008-0000-0800-0000B9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20" name="Text Box 15">
          <a:extLst>
            <a:ext uri="{FF2B5EF4-FFF2-40B4-BE49-F238E27FC236}">
              <a16:creationId xmlns:a16="http://schemas.microsoft.com/office/drawing/2014/main" id="{00000000-0008-0000-0800-0000BA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21" name="Text Box 15">
          <a:extLst>
            <a:ext uri="{FF2B5EF4-FFF2-40B4-BE49-F238E27FC236}">
              <a16:creationId xmlns:a16="http://schemas.microsoft.com/office/drawing/2014/main" id="{00000000-0008-0000-0800-0000BB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22" name="Text Box 15">
          <a:extLst>
            <a:ext uri="{FF2B5EF4-FFF2-40B4-BE49-F238E27FC236}">
              <a16:creationId xmlns:a16="http://schemas.microsoft.com/office/drawing/2014/main" id="{00000000-0008-0000-0800-0000BC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23" name="Text Box 15">
          <a:extLst>
            <a:ext uri="{FF2B5EF4-FFF2-40B4-BE49-F238E27FC236}">
              <a16:creationId xmlns:a16="http://schemas.microsoft.com/office/drawing/2014/main" id="{00000000-0008-0000-0800-0000BD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1724" name="Text Box 15">
          <a:extLst>
            <a:ext uri="{FF2B5EF4-FFF2-40B4-BE49-F238E27FC236}">
              <a16:creationId xmlns:a16="http://schemas.microsoft.com/office/drawing/2014/main" id="{00000000-0008-0000-0800-0000BE06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25" name="Text Box 15">
          <a:extLst>
            <a:ext uri="{FF2B5EF4-FFF2-40B4-BE49-F238E27FC236}">
              <a16:creationId xmlns:a16="http://schemas.microsoft.com/office/drawing/2014/main" id="{00000000-0008-0000-0800-0000BF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26" name="Text Box 15">
          <a:extLst>
            <a:ext uri="{FF2B5EF4-FFF2-40B4-BE49-F238E27FC236}">
              <a16:creationId xmlns:a16="http://schemas.microsoft.com/office/drawing/2014/main" id="{00000000-0008-0000-0800-0000C0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27" name="Text Box 15">
          <a:extLst>
            <a:ext uri="{FF2B5EF4-FFF2-40B4-BE49-F238E27FC236}">
              <a16:creationId xmlns:a16="http://schemas.microsoft.com/office/drawing/2014/main" id="{00000000-0008-0000-0800-0000C1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28" name="Text Box 15">
          <a:extLst>
            <a:ext uri="{FF2B5EF4-FFF2-40B4-BE49-F238E27FC236}">
              <a16:creationId xmlns:a16="http://schemas.microsoft.com/office/drawing/2014/main" id="{00000000-0008-0000-0800-0000C2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29" name="Text Box 15">
          <a:extLst>
            <a:ext uri="{FF2B5EF4-FFF2-40B4-BE49-F238E27FC236}">
              <a16:creationId xmlns:a16="http://schemas.microsoft.com/office/drawing/2014/main" id="{00000000-0008-0000-0800-0000C3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30" name="Text Box 15">
          <a:extLst>
            <a:ext uri="{FF2B5EF4-FFF2-40B4-BE49-F238E27FC236}">
              <a16:creationId xmlns:a16="http://schemas.microsoft.com/office/drawing/2014/main" id="{00000000-0008-0000-0800-0000C4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31" name="Text Box 15">
          <a:extLst>
            <a:ext uri="{FF2B5EF4-FFF2-40B4-BE49-F238E27FC236}">
              <a16:creationId xmlns:a16="http://schemas.microsoft.com/office/drawing/2014/main" id="{00000000-0008-0000-0800-0000C5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1732" name="Text Box 15">
          <a:extLst>
            <a:ext uri="{FF2B5EF4-FFF2-40B4-BE49-F238E27FC236}">
              <a16:creationId xmlns:a16="http://schemas.microsoft.com/office/drawing/2014/main" id="{00000000-0008-0000-0800-0000C606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733" name="Text Box 15">
          <a:extLst>
            <a:ext uri="{FF2B5EF4-FFF2-40B4-BE49-F238E27FC236}">
              <a16:creationId xmlns:a16="http://schemas.microsoft.com/office/drawing/2014/main" id="{00000000-0008-0000-0800-0000C7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1734" name="Text Box 15">
          <a:extLst>
            <a:ext uri="{FF2B5EF4-FFF2-40B4-BE49-F238E27FC236}">
              <a16:creationId xmlns:a16="http://schemas.microsoft.com/office/drawing/2014/main" id="{00000000-0008-0000-0800-0000C806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35" name="Text Box 15">
          <a:extLst>
            <a:ext uri="{FF2B5EF4-FFF2-40B4-BE49-F238E27FC236}">
              <a16:creationId xmlns:a16="http://schemas.microsoft.com/office/drawing/2014/main" id="{00000000-0008-0000-0800-0000C9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36" name="Text Box 15">
          <a:extLst>
            <a:ext uri="{FF2B5EF4-FFF2-40B4-BE49-F238E27FC236}">
              <a16:creationId xmlns:a16="http://schemas.microsoft.com/office/drawing/2014/main" id="{00000000-0008-0000-0800-0000CA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37" name="Text Box 15">
          <a:extLst>
            <a:ext uri="{FF2B5EF4-FFF2-40B4-BE49-F238E27FC236}">
              <a16:creationId xmlns:a16="http://schemas.microsoft.com/office/drawing/2014/main" id="{00000000-0008-0000-0800-0000CB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38" name="Text Box 15">
          <a:extLst>
            <a:ext uri="{FF2B5EF4-FFF2-40B4-BE49-F238E27FC236}">
              <a16:creationId xmlns:a16="http://schemas.microsoft.com/office/drawing/2014/main" id="{00000000-0008-0000-0800-0000CC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39" name="Text Box 15">
          <a:extLst>
            <a:ext uri="{FF2B5EF4-FFF2-40B4-BE49-F238E27FC236}">
              <a16:creationId xmlns:a16="http://schemas.microsoft.com/office/drawing/2014/main" id="{00000000-0008-0000-0800-0000CD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40" name="Text Box 15">
          <a:extLst>
            <a:ext uri="{FF2B5EF4-FFF2-40B4-BE49-F238E27FC236}">
              <a16:creationId xmlns:a16="http://schemas.microsoft.com/office/drawing/2014/main" id="{00000000-0008-0000-0800-0000CE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41" name="Text Box 15">
          <a:extLst>
            <a:ext uri="{FF2B5EF4-FFF2-40B4-BE49-F238E27FC236}">
              <a16:creationId xmlns:a16="http://schemas.microsoft.com/office/drawing/2014/main" id="{00000000-0008-0000-0800-0000CF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42" name="Text Box 15">
          <a:extLst>
            <a:ext uri="{FF2B5EF4-FFF2-40B4-BE49-F238E27FC236}">
              <a16:creationId xmlns:a16="http://schemas.microsoft.com/office/drawing/2014/main" id="{00000000-0008-0000-0800-0000D006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3" name="Text Box 15">
          <a:extLst>
            <a:ext uri="{FF2B5EF4-FFF2-40B4-BE49-F238E27FC236}">
              <a16:creationId xmlns:a16="http://schemas.microsoft.com/office/drawing/2014/main" id="{00000000-0008-0000-0800-0000D1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4" name="Text Box 15">
          <a:extLst>
            <a:ext uri="{FF2B5EF4-FFF2-40B4-BE49-F238E27FC236}">
              <a16:creationId xmlns:a16="http://schemas.microsoft.com/office/drawing/2014/main" id="{00000000-0008-0000-0800-0000D2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5" name="Text Box 15">
          <a:extLst>
            <a:ext uri="{FF2B5EF4-FFF2-40B4-BE49-F238E27FC236}">
              <a16:creationId xmlns:a16="http://schemas.microsoft.com/office/drawing/2014/main" id="{00000000-0008-0000-0800-0000D3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6" name="Text Box 15">
          <a:extLst>
            <a:ext uri="{FF2B5EF4-FFF2-40B4-BE49-F238E27FC236}">
              <a16:creationId xmlns:a16="http://schemas.microsoft.com/office/drawing/2014/main" id="{00000000-0008-0000-0800-0000D4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7" name="Text Box 15">
          <a:extLst>
            <a:ext uri="{FF2B5EF4-FFF2-40B4-BE49-F238E27FC236}">
              <a16:creationId xmlns:a16="http://schemas.microsoft.com/office/drawing/2014/main" id="{00000000-0008-0000-0800-0000D5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8" name="Text Box 15">
          <a:extLst>
            <a:ext uri="{FF2B5EF4-FFF2-40B4-BE49-F238E27FC236}">
              <a16:creationId xmlns:a16="http://schemas.microsoft.com/office/drawing/2014/main" id="{00000000-0008-0000-0800-0000D6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49" name="Text Box 15">
          <a:extLst>
            <a:ext uri="{FF2B5EF4-FFF2-40B4-BE49-F238E27FC236}">
              <a16:creationId xmlns:a16="http://schemas.microsoft.com/office/drawing/2014/main" id="{00000000-0008-0000-0800-0000D7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750" name="Text Box 15">
          <a:extLst>
            <a:ext uri="{FF2B5EF4-FFF2-40B4-BE49-F238E27FC236}">
              <a16:creationId xmlns:a16="http://schemas.microsoft.com/office/drawing/2014/main" id="{00000000-0008-0000-0800-0000D806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1" name="Text Box 15">
          <a:extLst>
            <a:ext uri="{FF2B5EF4-FFF2-40B4-BE49-F238E27FC236}">
              <a16:creationId xmlns:a16="http://schemas.microsoft.com/office/drawing/2014/main" id="{00000000-0008-0000-0800-0000D9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2" name="Text Box 15">
          <a:extLst>
            <a:ext uri="{FF2B5EF4-FFF2-40B4-BE49-F238E27FC236}">
              <a16:creationId xmlns:a16="http://schemas.microsoft.com/office/drawing/2014/main" id="{00000000-0008-0000-0800-0000DA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3" name="Text Box 15">
          <a:extLst>
            <a:ext uri="{FF2B5EF4-FFF2-40B4-BE49-F238E27FC236}">
              <a16:creationId xmlns:a16="http://schemas.microsoft.com/office/drawing/2014/main" id="{00000000-0008-0000-0800-0000DB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4" name="Text Box 15">
          <a:extLst>
            <a:ext uri="{FF2B5EF4-FFF2-40B4-BE49-F238E27FC236}">
              <a16:creationId xmlns:a16="http://schemas.microsoft.com/office/drawing/2014/main" id="{00000000-0008-0000-0800-0000DC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5" name="Text Box 15">
          <a:extLst>
            <a:ext uri="{FF2B5EF4-FFF2-40B4-BE49-F238E27FC236}">
              <a16:creationId xmlns:a16="http://schemas.microsoft.com/office/drawing/2014/main" id="{00000000-0008-0000-0800-0000DD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6" name="Text Box 15">
          <a:extLst>
            <a:ext uri="{FF2B5EF4-FFF2-40B4-BE49-F238E27FC236}">
              <a16:creationId xmlns:a16="http://schemas.microsoft.com/office/drawing/2014/main" id="{00000000-0008-0000-0800-0000DE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7" name="Text Box 15">
          <a:extLst>
            <a:ext uri="{FF2B5EF4-FFF2-40B4-BE49-F238E27FC236}">
              <a16:creationId xmlns:a16="http://schemas.microsoft.com/office/drawing/2014/main" id="{00000000-0008-0000-0800-0000DF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58" name="Text Box 15">
          <a:extLst>
            <a:ext uri="{FF2B5EF4-FFF2-40B4-BE49-F238E27FC236}">
              <a16:creationId xmlns:a16="http://schemas.microsoft.com/office/drawing/2014/main" id="{00000000-0008-0000-0800-0000E0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59" name="Text Box 15">
          <a:extLst>
            <a:ext uri="{FF2B5EF4-FFF2-40B4-BE49-F238E27FC236}">
              <a16:creationId xmlns:a16="http://schemas.microsoft.com/office/drawing/2014/main" id="{00000000-0008-0000-0800-0000E1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0" name="Text Box 15">
          <a:extLst>
            <a:ext uri="{FF2B5EF4-FFF2-40B4-BE49-F238E27FC236}">
              <a16:creationId xmlns:a16="http://schemas.microsoft.com/office/drawing/2014/main" id="{00000000-0008-0000-0800-0000E2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1" name="Text Box 15">
          <a:extLst>
            <a:ext uri="{FF2B5EF4-FFF2-40B4-BE49-F238E27FC236}">
              <a16:creationId xmlns:a16="http://schemas.microsoft.com/office/drawing/2014/main" id="{00000000-0008-0000-0800-0000E3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2" name="Text Box 15">
          <a:extLst>
            <a:ext uri="{FF2B5EF4-FFF2-40B4-BE49-F238E27FC236}">
              <a16:creationId xmlns:a16="http://schemas.microsoft.com/office/drawing/2014/main" id="{00000000-0008-0000-0800-0000E4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3" name="Text Box 15">
          <a:extLst>
            <a:ext uri="{FF2B5EF4-FFF2-40B4-BE49-F238E27FC236}">
              <a16:creationId xmlns:a16="http://schemas.microsoft.com/office/drawing/2014/main" id="{00000000-0008-0000-0800-0000E5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4" name="Text Box 15">
          <a:extLst>
            <a:ext uri="{FF2B5EF4-FFF2-40B4-BE49-F238E27FC236}">
              <a16:creationId xmlns:a16="http://schemas.microsoft.com/office/drawing/2014/main" id="{00000000-0008-0000-0800-0000E6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5" name="Text Box 15">
          <a:extLst>
            <a:ext uri="{FF2B5EF4-FFF2-40B4-BE49-F238E27FC236}">
              <a16:creationId xmlns:a16="http://schemas.microsoft.com/office/drawing/2014/main" id="{00000000-0008-0000-0800-0000E7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66" name="Text Box 15">
          <a:extLst>
            <a:ext uri="{FF2B5EF4-FFF2-40B4-BE49-F238E27FC236}">
              <a16:creationId xmlns:a16="http://schemas.microsoft.com/office/drawing/2014/main" id="{00000000-0008-0000-0800-0000E8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67" name="Text Box 15">
          <a:extLst>
            <a:ext uri="{FF2B5EF4-FFF2-40B4-BE49-F238E27FC236}">
              <a16:creationId xmlns:a16="http://schemas.microsoft.com/office/drawing/2014/main" id="{00000000-0008-0000-0800-0000E9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68" name="Text Box 15">
          <a:extLst>
            <a:ext uri="{FF2B5EF4-FFF2-40B4-BE49-F238E27FC236}">
              <a16:creationId xmlns:a16="http://schemas.microsoft.com/office/drawing/2014/main" id="{00000000-0008-0000-0800-0000EA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69" name="Text Box 15">
          <a:extLst>
            <a:ext uri="{FF2B5EF4-FFF2-40B4-BE49-F238E27FC236}">
              <a16:creationId xmlns:a16="http://schemas.microsoft.com/office/drawing/2014/main" id="{00000000-0008-0000-0800-0000EB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70" name="Text Box 15">
          <a:extLst>
            <a:ext uri="{FF2B5EF4-FFF2-40B4-BE49-F238E27FC236}">
              <a16:creationId xmlns:a16="http://schemas.microsoft.com/office/drawing/2014/main" id="{00000000-0008-0000-0800-0000EC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71" name="Text Box 15">
          <a:extLst>
            <a:ext uri="{FF2B5EF4-FFF2-40B4-BE49-F238E27FC236}">
              <a16:creationId xmlns:a16="http://schemas.microsoft.com/office/drawing/2014/main" id="{00000000-0008-0000-0800-0000ED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72" name="Text Box 15">
          <a:extLst>
            <a:ext uri="{FF2B5EF4-FFF2-40B4-BE49-F238E27FC236}">
              <a16:creationId xmlns:a16="http://schemas.microsoft.com/office/drawing/2014/main" id="{00000000-0008-0000-0800-0000EE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73" name="Text Box 15">
          <a:extLst>
            <a:ext uri="{FF2B5EF4-FFF2-40B4-BE49-F238E27FC236}">
              <a16:creationId xmlns:a16="http://schemas.microsoft.com/office/drawing/2014/main" id="{00000000-0008-0000-0800-0000EF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74" name="Text Box 15">
          <a:extLst>
            <a:ext uri="{FF2B5EF4-FFF2-40B4-BE49-F238E27FC236}">
              <a16:creationId xmlns:a16="http://schemas.microsoft.com/office/drawing/2014/main" id="{00000000-0008-0000-0800-0000F0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75" name="Text Box 15">
          <a:extLst>
            <a:ext uri="{FF2B5EF4-FFF2-40B4-BE49-F238E27FC236}">
              <a16:creationId xmlns:a16="http://schemas.microsoft.com/office/drawing/2014/main" id="{00000000-0008-0000-0800-0000F1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76" name="Text Box 15">
          <a:extLst>
            <a:ext uri="{FF2B5EF4-FFF2-40B4-BE49-F238E27FC236}">
              <a16:creationId xmlns:a16="http://schemas.microsoft.com/office/drawing/2014/main" id="{00000000-0008-0000-0800-0000F2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77" name="Text Box 15">
          <a:extLst>
            <a:ext uri="{FF2B5EF4-FFF2-40B4-BE49-F238E27FC236}">
              <a16:creationId xmlns:a16="http://schemas.microsoft.com/office/drawing/2014/main" id="{00000000-0008-0000-0800-0000F3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78" name="Text Box 15">
          <a:extLst>
            <a:ext uri="{FF2B5EF4-FFF2-40B4-BE49-F238E27FC236}">
              <a16:creationId xmlns:a16="http://schemas.microsoft.com/office/drawing/2014/main" id="{00000000-0008-0000-0800-0000F4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79" name="Text Box 15">
          <a:extLst>
            <a:ext uri="{FF2B5EF4-FFF2-40B4-BE49-F238E27FC236}">
              <a16:creationId xmlns:a16="http://schemas.microsoft.com/office/drawing/2014/main" id="{00000000-0008-0000-0800-0000F5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80" name="Text Box 15">
          <a:extLst>
            <a:ext uri="{FF2B5EF4-FFF2-40B4-BE49-F238E27FC236}">
              <a16:creationId xmlns:a16="http://schemas.microsoft.com/office/drawing/2014/main" id="{00000000-0008-0000-0800-0000F6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81" name="Text Box 15">
          <a:extLst>
            <a:ext uri="{FF2B5EF4-FFF2-40B4-BE49-F238E27FC236}">
              <a16:creationId xmlns:a16="http://schemas.microsoft.com/office/drawing/2014/main" id="{00000000-0008-0000-0800-0000F7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82" name="Text Box 15">
          <a:extLst>
            <a:ext uri="{FF2B5EF4-FFF2-40B4-BE49-F238E27FC236}">
              <a16:creationId xmlns:a16="http://schemas.microsoft.com/office/drawing/2014/main" id="{00000000-0008-0000-0800-0000F806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3" name="Text Box 15">
          <a:extLst>
            <a:ext uri="{FF2B5EF4-FFF2-40B4-BE49-F238E27FC236}">
              <a16:creationId xmlns:a16="http://schemas.microsoft.com/office/drawing/2014/main" id="{00000000-0008-0000-0800-0000F9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4" name="Text Box 15">
          <a:extLst>
            <a:ext uri="{FF2B5EF4-FFF2-40B4-BE49-F238E27FC236}">
              <a16:creationId xmlns:a16="http://schemas.microsoft.com/office/drawing/2014/main" id="{00000000-0008-0000-0800-0000FA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5" name="Text Box 15">
          <a:extLst>
            <a:ext uri="{FF2B5EF4-FFF2-40B4-BE49-F238E27FC236}">
              <a16:creationId xmlns:a16="http://schemas.microsoft.com/office/drawing/2014/main" id="{00000000-0008-0000-0800-0000FB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6" name="Text Box 15">
          <a:extLst>
            <a:ext uri="{FF2B5EF4-FFF2-40B4-BE49-F238E27FC236}">
              <a16:creationId xmlns:a16="http://schemas.microsoft.com/office/drawing/2014/main" id="{00000000-0008-0000-0800-0000FC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7" name="Text Box 15">
          <a:extLst>
            <a:ext uri="{FF2B5EF4-FFF2-40B4-BE49-F238E27FC236}">
              <a16:creationId xmlns:a16="http://schemas.microsoft.com/office/drawing/2014/main" id="{00000000-0008-0000-0800-0000FD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8" name="Text Box 15">
          <a:extLst>
            <a:ext uri="{FF2B5EF4-FFF2-40B4-BE49-F238E27FC236}">
              <a16:creationId xmlns:a16="http://schemas.microsoft.com/office/drawing/2014/main" id="{00000000-0008-0000-0800-0000FE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89" name="Text Box 15">
          <a:extLst>
            <a:ext uri="{FF2B5EF4-FFF2-40B4-BE49-F238E27FC236}">
              <a16:creationId xmlns:a16="http://schemas.microsoft.com/office/drawing/2014/main" id="{00000000-0008-0000-0800-0000FF06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790" name="Text Box 15">
          <a:extLst>
            <a:ext uri="{FF2B5EF4-FFF2-40B4-BE49-F238E27FC236}">
              <a16:creationId xmlns:a16="http://schemas.microsoft.com/office/drawing/2014/main" id="{00000000-0008-0000-0800-000000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1" name="Text Box 15">
          <a:extLst>
            <a:ext uri="{FF2B5EF4-FFF2-40B4-BE49-F238E27FC236}">
              <a16:creationId xmlns:a16="http://schemas.microsoft.com/office/drawing/2014/main" id="{00000000-0008-0000-0800-000001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2" name="Text Box 15">
          <a:extLst>
            <a:ext uri="{FF2B5EF4-FFF2-40B4-BE49-F238E27FC236}">
              <a16:creationId xmlns:a16="http://schemas.microsoft.com/office/drawing/2014/main" id="{00000000-0008-0000-0800-000002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3" name="Text Box 15">
          <a:extLst>
            <a:ext uri="{FF2B5EF4-FFF2-40B4-BE49-F238E27FC236}">
              <a16:creationId xmlns:a16="http://schemas.microsoft.com/office/drawing/2014/main" id="{00000000-0008-0000-0800-000003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4" name="Text Box 15">
          <a:extLst>
            <a:ext uri="{FF2B5EF4-FFF2-40B4-BE49-F238E27FC236}">
              <a16:creationId xmlns:a16="http://schemas.microsoft.com/office/drawing/2014/main" id="{00000000-0008-0000-0800-000004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5" name="Text Box 15">
          <a:extLst>
            <a:ext uri="{FF2B5EF4-FFF2-40B4-BE49-F238E27FC236}">
              <a16:creationId xmlns:a16="http://schemas.microsoft.com/office/drawing/2014/main" id="{00000000-0008-0000-0800-000005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6" name="Text Box 15">
          <a:extLst>
            <a:ext uri="{FF2B5EF4-FFF2-40B4-BE49-F238E27FC236}">
              <a16:creationId xmlns:a16="http://schemas.microsoft.com/office/drawing/2014/main" id="{00000000-0008-0000-0800-000006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7" name="Text Box 15">
          <a:extLst>
            <a:ext uri="{FF2B5EF4-FFF2-40B4-BE49-F238E27FC236}">
              <a16:creationId xmlns:a16="http://schemas.microsoft.com/office/drawing/2014/main" id="{00000000-0008-0000-0800-000007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798" name="Text Box 15">
          <a:extLst>
            <a:ext uri="{FF2B5EF4-FFF2-40B4-BE49-F238E27FC236}">
              <a16:creationId xmlns:a16="http://schemas.microsoft.com/office/drawing/2014/main" id="{00000000-0008-0000-0800-000008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799" name="Text Box 15">
          <a:extLst>
            <a:ext uri="{FF2B5EF4-FFF2-40B4-BE49-F238E27FC236}">
              <a16:creationId xmlns:a16="http://schemas.microsoft.com/office/drawing/2014/main" id="{00000000-0008-0000-0800-000009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0" name="Text Box 15">
          <a:extLst>
            <a:ext uri="{FF2B5EF4-FFF2-40B4-BE49-F238E27FC236}">
              <a16:creationId xmlns:a16="http://schemas.microsoft.com/office/drawing/2014/main" id="{00000000-0008-0000-0800-00000A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1" name="Text Box 15">
          <a:extLst>
            <a:ext uri="{FF2B5EF4-FFF2-40B4-BE49-F238E27FC236}">
              <a16:creationId xmlns:a16="http://schemas.microsoft.com/office/drawing/2014/main" id="{00000000-0008-0000-0800-00000B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2" name="Text Box 15">
          <a:extLst>
            <a:ext uri="{FF2B5EF4-FFF2-40B4-BE49-F238E27FC236}">
              <a16:creationId xmlns:a16="http://schemas.microsoft.com/office/drawing/2014/main" id="{00000000-0008-0000-0800-00000C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3" name="Text Box 15">
          <a:extLst>
            <a:ext uri="{FF2B5EF4-FFF2-40B4-BE49-F238E27FC236}">
              <a16:creationId xmlns:a16="http://schemas.microsoft.com/office/drawing/2014/main" id="{00000000-0008-0000-0800-00000D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4" name="Text Box 15">
          <a:extLst>
            <a:ext uri="{FF2B5EF4-FFF2-40B4-BE49-F238E27FC236}">
              <a16:creationId xmlns:a16="http://schemas.microsoft.com/office/drawing/2014/main" id="{00000000-0008-0000-0800-00000E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5" name="Text Box 15">
          <a:extLst>
            <a:ext uri="{FF2B5EF4-FFF2-40B4-BE49-F238E27FC236}">
              <a16:creationId xmlns:a16="http://schemas.microsoft.com/office/drawing/2014/main" id="{00000000-0008-0000-0800-00000F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06" name="Text Box 15">
          <a:extLst>
            <a:ext uri="{FF2B5EF4-FFF2-40B4-BE49-F238E27FC236}">
              <a16:creationId xmlns:a16="http://schemas.microsoft.com/office/drawing/2014/main" id="{00000000-0008-0000-0800-000010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07" name="Text Box 15">
          <a:extLst>
            <a:ext uri="{FF2B5EF4-FFF2-40B4-BE49-F238E27FC236}">
              <a16:creationId xmlns:a16="http://schemas.microsoft.com/office/drawing/2014/main" id="{00000000-0008-0000-0800-000011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08" name="Text Box 15">
          <a:extLst>
            <a:ext uri="{FF2B5EF4-FFF2-40B4-BE49-F238E27FC236}">
              <a16:creationId xmlns:a16="http://schemas.microsoft.com/office/drawing/2014/main" id="{00000000-0008-0000-0800-000012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09" name="Text Box 15">
          <a:extLst>
            <a:ext uri="{FF2B5EF4-FFF2-40B4-BE49-F238E27FC236}">
              <a16:creationId xmlns:a16="http://schemas.microsoft.com/office/drawing/2014/main" id="{00000000-0008-0000-0800-000013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10" name="Text Box 15">
          <a:extLst>
            <a:ext uri="{FF2B5EF4-FFF2-40B4-BE49-F238E27FC236}">
              <a16:creationId xmlns:a16="http://schemas.microsoft.com/office/drawing/2014/main" id="{00000000-0008-0000-0800-000014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11" name="Text Box 15">
          <a:extLst>
            <a:ext uri="{FF2B5EF4-FFF2-40B4-BE49-F238E27FC236}">
              <a16:creationId xmlns:a16="http://schemas.microsoft.com/office/drawing/2014/main" id="{00000000-0008-0000-0800-000015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12" name="Text Box 15">
          <a:extLst>
            <a:ext uri="{FF2B5EF4-FFF2-40B4-BE49-F238E27FC236}">
              <a16:creationId xmlns:a16="http://schemas.microsoft.com/office/drawing/2014/main" id="{00000000-0008-0000-0800-000016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13" name="Text Box 15">
          <a:extLst>
            <a:ext uri="{FF2B5EF4-FFF2-40B4-BE49-F238E27FC236}">
              <a16:creationId xmlns:a16="http://schemas.microsoft.com/office/drawing/2014/main" id="{00000000-0008-0000-0800-000017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14" name="Text Box 15">
          <a:extLst>
            <a:ext uri="{FF2B5EF4-FFF2-40B4-BE49-F238E27FC236}">
              <a16:creationId xmlns:a16="http://schemas.microsoft.com/office/drawing/2014/main" id="{00000000-0008-0000-0800-000018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15" name="Text Box 15">
          <a:extLst>
            <a:ext uri="{FF2B5EF4-FFF2-40B4-BE49-F238E27FC236}">
              <a16:creationId xmlns:a16="http://schemas.microsoft.com/office/drawing/2014/main" id="{00000000-0008-0000-0800-000019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16" name="Text Box 15">
          <a:extLst>
            <a:ext uri="{FF2B5EF4-FFF2-40B4-BE49-F238E27FC236}">
              <a16:creationId xmlns:a16="http://schemas.microsoft.com/office/drawing/2014/main" id="{00000000-0008-0000-0800-00001A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17" name="Text Box 15">
          <a:extLst>
            <a:ext uri="{FF2B5EF4-FFF2-40B4-BE49-F238E27FC236}">
              <a16:creationId xmlns:a16="http://schemas.microsoft.com/office/drawing/2014/main" id="{00000000-0008-0000-0800-00001B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18" name="Text Box 15">
          <a:extLst>
            <a:ext uri="{FF2B5EF4-FFF2-40B4-BE49-F238E27FC236}">
              <a16:creationId xmlns:a16="http://schemas.microsoft.com/office/drawing/2014/main" id="{00000000-0008-0000-0800-00001C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19" name="Text Box 15">
          <a:extLst>
            <a:ext uri="{FF2B5EF4-FFF2-40B4-BE49-F238E27FC236}">
              <a16:creationId xmlns:a16="http://schemas.microsoft.com/office/drawing/2014/main" id="{00000000-0008-0000-0800-00001D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20" name="Text Box 15">
          <a:extLst>
            <a:ext uri="{FF2B5EF4-FFF2-40B4-BE49-F238E27FC236}">
              <a16:creationId xmlns:a16="http://schemas.microsoft.com/office/drawing/2014/main" id="{00000000-0008-0000-0800-00001E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21" name="Text Box 15">
          <a:extLst>
            <a:ext uri="{FF2B5EF4-FFF2-40B4-BE49-F238E27FC236}">
              <a16:creationId xmlns:a16="http://schemas.microsoft.com/office/drawing/2014/main" id="{00000000-0008-0000-0800-00001F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22" name="Text Box 15">
          <a:extLst>
            <a:ext uri="{FF2B5EF4-FFF2-40B4-BE49-F238E27FC236}">
              <a16:creationId xmlns:a16="http://schemas.microsoft.com/office/drawing/2014/main" id="{00000000-0008-0000-0800-000020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3" name="Text Box 15">
          <a:extLst>
            <a:ext uri="{FF2B5EF4-FFF2-40B4-BE49-F238E27FC236}">
              <a16:creationId xmlns:a16="http://schemas.microsoft.com/office/drawing/2014/main" id="{00000000-0008-0000-0800-000021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4" name="Text Box 15">
          <a:extLst>
            <a:ext uri="{FF2B5EF4-FFF2-40B4-BE49-F238E27FC236}">
              <a16:creationId xmlns:a16="http://schemas.microsoft.com/office/drawing/2014/main" id="{00000000-0008-0000-0800-000022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5" name="Text Box 15">
          <a:extLst>
            <a:ext uri="{FF2B5EF4-FFF2-40B4-BE49-F238E27FC236}">
              <a16:creationId xmlns:a16="http://schemas.microsoft.com/office/drawing/2014/main" id="{00000000-0008-0000-0800-000023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6" name="Text Box 15">
          <a:extLst>
            <a:ext uri="{FF2B5EF4-FFF2-40B4-BE49-F238E27FC236}">
              <a16:creationId xmlns:a16="http://schemas.microsoft.com/office/drawing/2014/main" id="{00000000-0008-0000-0800-000024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7" name="Text Box 15">
          <a:extLst>
            <a:ext uri="{FF2B5EF4-FFF2-40B4-BE49-F238E27FC236}">
              <a16:creationId xmlns:a16="http://schemas.microsoft.com/office/drawing/2014/main" id="{00000000-0008-0000-0800-000025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8" name="Text Box 15">
          <a:extLst>
            <a:ext uri="{FF2B5EF4-FFF2-40B4-BE49-F238E27FC236}">
              <a16:creationId xmlns:a16="http://schemas.microsoft.com/office/drawing/2014/main" id="{00000000-0008-0000-0800-000026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29" name="Text Box 15">
          <a:extLst>
            <a:ext uri="{FF2B5EF4-FFF2-40B4-BE49-F238E27FC236}">
              <a16:creationId xmlns:a16="http://schemas.microsoft.com/office/drawing/2014/main" id="{00000000-0008-0000-0800-000027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30" name="Text Box 15">
          <a:extLst>
            <a:ext uri="{FF2B5EF4-FFF2-40B4-BE49-F238E27FC236}">
              <a16:creationId xmlns:a16="http://schemas.microsoft.com/office/drawing/2014/main" id="{00000000-0008-0000-0800-000028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1" name="Text Box 15">
          <a:extLst>
            <a:ext uri="{FF2B5EF4-FFF2-40B4-BE49-F238E27FC236}">
              <a16:creationId xmlns:a16="http://schemas.microsoft.com/office/drawing/2014/main" id="{00000000-0008-0000-0800-000029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2" name="Text Box 15">
          <a:extLst>
            <a:ext uri="{FF2B5EF4-FFF2-40B4-BE49-F238E27FC236}">
              <a16:creationId xmlns:a16="http://schemas.microsoft.com/office/drawing/2014/main" id="{00000000-0008-0000-0800-00002A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3" name="Text Box 15">
          <a:extLst>
            <a:ext uri="{FF2B5EF4-FFF2-40B4-BE49-F238E27FC236}">
              <a16:creationId xmlns:a16="http://schemas.microsoft.com/office/drawing/2014/main" id="{00000000-0008-0000-0800-00002B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4" name="Text Box 15">
          <a:extLst>
            <a:ext uri="{FF2B5EF4-FFF2-40B4-BE49-F238E27FC236}">
              <a16:creationId xmlns:a16="http://schemas.microsoft.com/office/drawing/2014/main" id="{00000000-0008-0000-0800-00002C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5" name="Text Box 15">
          <a:extLst>
            <a:ext uri="{FF2B5EF4-FFF2-40B4-BE49-F238E27FC236}">
              <a16:creationId xmlns:a16="http://schemas.microsoft.com/office/drawing/2014/main" id="{00000000-0008-0000-0800-00002D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6" name="Text Box 15">
          <a:extLst>
            <a:ext uri="{FF2B5EF4-FFF2-40B4-BE49-F238E27FC236}">
              <a16:creationId xmlns:a16="http://schemas.microsoft.com/office/drawing/2014/main" id="{00000000-0008-0000-0800-00002E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7" name="Text Box 15">
          <a:extLst>
            <a:ext uri="{FF2B5EF4-FFF2-40B4-BE49-F238E27FC236}">
              <a16:creationId xmlns:a16="http://schemas.microsoft.com/office/drawing/2014/main" id="{00000000-0008-0000-0800-00002F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38" name="Text Box 15">
          <a:extLst>
            <a:ext uri="{FF2B5EF4-FFF2-40B4-BE49-F238E27FC236}">
              <a16:creationId xmlns:a16="http://schemas.microsoft.com/office/drawing/2014/main" id="{00000000-0008-0000-0800-000030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39" name="Text Box 15">
          <a:extLst>
            <a:ext uri="{FF2B5EF4-FFF2-40B4-BE49-F238E27FC236}">
              <a16:creationId xmlns:a16="http://schemas.microsoft.com/office/drawing/2014/main" id="{00000000-0008-0000-0800-000031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0" name="Text Box 15">
          <a:extLst>
            <a:ext uri="{FF2B5EF4-FFF2-40B4-BE49-F238E27FC236}">
              <a16:creationId xmlns:a16="http://schemas.microsoft.com/office/drawing/2014/main" id="{00000000-0008-0000-0800-000032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1" name="Text Box 15">
          <a:extLst>
            <a:ext uri="{FF2B5EF4-FFF2-40B4-BE49-F238E27FC236}">
              <a16:creationId xmlns:a16="http://schemas.microsoft.com/office/drawing/2014/main" id="{00000000-0008-0000-0800-000033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2" name="Text Box 15">
          <a:extLst>
            <a:ext uri="{FF2B5EF4-FFF2-40B4-BE49-F238E27FC236}">
              <a16:creationId xmlns:a16="http://schemas.microsoft.com/office/drawing/2014/main" id="{00000000-0008-0000-0800-000034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3" name="Text Box 15">
          <a:extLst>
            <a:ext uri="{FF2B5EF4-FFF2-40B4-BE49-F238E27FC236}">
              <a16:creationId xmlns:a16="http://schemas.microsoft.com/office/drawing/2014/main" id="{00000000-0008-0000-0800-000035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4" name="Text Box 15">
          <a:extLst>
            <a:ext uri="{FF2B5EF4-FFF2-40B4-BE49-F238E27FC236}">
              <a16:creationId xmlns:a16="http://schemas.microsoft.com/office/drawing/2014/main" id="{00000000-0008-0000-0800-000036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5" name="Text Box 15">
          <a:extLst>
            <a:ext uri="{FF2B5EF4-FFF2-40B4-BE49-F238E27FC236}">
              <a16:creationId xmlns:a16="http://schemas.microsoft.com/office/drawing/2014/main" id="{00000000-0008-0000-0800-000037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46" name="Text Box 15">
          <a:extLst>
            <a:ext uri="{FF2B5EF4-FFF2-40B4-BE49-F238E27FC236}">
              <a16:creationId xmlns:a16="http://schemas.microsoft.com/office/drawing/2014/main" id="{00000000-0008-0000-0800-000038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47" name="Text Box 15">
          <a:extLst>
            <a:ext uri="{FF2B5EF4-FFF2-40B4-BE49-F238E27FC236}">
              <a16:creationId xmlns:a16="http://schemas.microsoft.com/office/drawing/2014/main" id="{00000000-0008-0000-0800-000039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48" name="Text Box 15">
          <a:extLst>
            <a:ext uri="{FF2B5EF4-FFF2-40B4-BE49-F238E27FC236}">
              <a16:creationId xmlns:a16="http://schemas.microsoft.com/office/drawing/2014/main" id="{00000000-0008-0000-0800-00003A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49" name="Text Box 15">
          <a:extLst>
            <a:ext uri="{FF2B5EF4-FFF2-40B4-BE49-F238E27FC236}">
              <a16:creationId xmlns:a16="http://schemas.microsoft.com/office/drawing/2014/main" id="{00000000-0008-0000-0800-00003B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50" name="Text Box 15">
          <a:extLst>
            <a:ext uri="{FF2B5EF4-FFF2-40B4-BE49-F238E27FC236}">
              <a16:creationId xmlns:a16="http://schemas.microsoft.com/office/drawing/2014/main" id="{00000000-0008-0000-0800-00003C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51" name="Text Box 15">
          <a:extLst>
            <a:ext uri="{FF2B5EF4-FFF2-40B4-BE49-F238E27FC236}">
              <a16:creationId xmlns:a16="http://schemas.microsoft.com/office/drawing/2014/main" id="{00000000-0008-0000-0800-00003D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52" name="Text Box 15">
          <a:extLst>
            <a:ext uri="{FF2B5EF4-FFF2-40B4-BE49-F238E27FC236}">
              <a16:creationId xmlns:a16="http://schemas.microsoft.com/office/drawing/2014/main" id="{00000000-0008-0000-0800-00003E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53" name="Text Box 15">
          <a:extLst>
            <a:ext uri="{FF2B5EF4-FFF2-40B4-BE49-F238E27FC236}">
              <a16:creationId xmlns:a16="http://schemas.microsoft.com/office/drawing/2014/main" id="{00000000-0008-0000-0800-00003F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1854" name="Text Box 15">
          <a:extLst>
            <a:ext uri="{FF2B5EF4-FFF2-40B4-BE49-F238E27FC236}">
              <a16:creationId xmlns:a16="http://schemas.microsoft.com/office/drawing/2014/main" id="{00000000-0008-0000-0800-00004007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55" name="Text Box 15">
          <a:extLst>
            <a:ext uri="{FF2B5EF4-FFF2-40B4-BE49-F238E27FC236}">
              <a16:creationId xmlns:a16="http://schemas.microsoft.com/office/drawing/2014/main" id="{00000000-0008-0000-0800-000041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56" name="Text Box 15">
          <a:extLst>
            <a:ext uri="{FF2B5EF4-FFF2-40B4-BE49-F238E27FC236}">
              <a16:creationId xmlns:a16="http://schemas.microsoft.com/office/drawing/2014/main" id="{00000000-0008-0000-0800-000042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57" name="Text Box 15">
          <a:extLst>
            <a:ext uri="{FF2B5EF4-FFF2-40B4-BE49-F238E27FC236}">
              <a16:creationId xmlns:a16="http://schemas.microsoft.com/office/drawing/2014/main" id="{00000000-0008-0000-0800-000043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58" name="Text Box 15">
          <a:extLst>
            <a:ext uri="{FF2B5EF4-FFF2-40B4-BE49-F238E27FC236}">
              <a16:creationId xmlns:a16="http://schemas.microsoft.com/office/drawing/2014/main" id="{00000000-0008-0000-0800-000044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59" name="Text Box 15">
          <a:extLst>
            <a:ext uri="{FF2B5EF4-FFF2-40B4-BE49-F238E27FC236}">
              <a16:creationId xmlns:a16="http://schemas.microsoft.com/office/drawing/2014/main" id="{00000000-0008-0000-0800-000045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60" name="Text Box 15">
          <a:extLst>
            <a:ext uri="{FF2B5EF4-FFF2-40B4-BE49-F238E27FC236}">
              <a16:creationId xmlns:a16="http://schemas.microsoft.com/office/drawing/2014/main" id="{00000000-0008-0000-0800-000046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61" name="Text Box 15">
          <a:extLst>
            <a:ext uri="{FF2B5EF4-FFF2-40B4-BE49-F238E27FC236}">
              <a16:creationId xmlns:a16="http://schemas.microsoft.com/office/drawing/2014/main" id="{00000000-0008-0000-0800-000047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1862" name="Text Box 15">
          <a:extLst>
            <a:ext uri="{FF2B5EF4-FFF2-40B4-BE49-F238E27FC236}">
              <a16:creationId xmlns:a16="http://schemas.microsoft.com/office/drawing/2014/main" id="{00000000-0008-0000-0800-00004807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3" name="Text Box 15">
          <a:extLst>
            <a:ext uri="{FF2B5EF4-FFF2-40B4-BE49-F238E27FC236}">
              <a16:creationId xmlns:a16="http://schemas.microsoft.com/office/drawing/2014/main" id="{00000000-0008-0000-0800-000049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4" name="Text Box 15">
          <a:extLst>
            <a:ext uri="{FF2B5EF4-FFF2-40B4-BE49-F238E27FC236}">
              <a16:creationId xmlns:a16="http://schemas.microsoft.com/office/drawing/2014/main" id="{00000000-0008-0000-0800-00004A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5" name="Text Box 15">
          <a:extLst>
            <a:ext uri="{FF2B5EF4-FFF2-40B4-BE49-F238E27FC236}">
              <a16:creationId xmlns:a16="http://schemas.microsoft.com/office/drawing/2014/main" id="{00000000-0008-0000-0800-00004B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6" name="Text Box 15">
          <a:extLst>
            <a:ext uri="{FF2B5EF4-FFF2-40B4-BE49-F238E27FC236}">
              <a16:creationId xmlns:a16="http://schemas.microsoft.com/office/drawing/2014/main" id="{00000000-0008-0000-0800-00004C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7" name="Text Box 15">
          <a:extLst>
            <a:ext uri="{FF2B5EF4-FFF2-40B4-BE49-F238E27FC236}">
              <a16:creationId xmlns:a16="http://schemas.microsoft.com/office/drawing/2014/main" id="{00000000-0008-0000-0800-00004D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8" name="Text Box 15">
          <a:extLst>
            <a:ext uri="{FF2B5EF4-FFF2-40B4-BE49-F238E27FC236}">
              <a16:creationId xmlns:a16="http://schemas.microsoft.com/office/drawing/2014/main" id="{00000000-0008-0000-0800-00004E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69" name="Text Box 15">
          <a:extLst>
            <a:ext uri="{FF2B5EF4-FFF2-40B4-BE49-F238E27FC236}">
              <a16:creationId xmlns:a16="http://schemas.microsoft.com/office/drawing/2014/main" id="{00000000-0008-0000-0800-00004F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70" name="Text Box 15">
          <a:extLst>
            <a:ext uri="{FF2B5EF4-FFF2-40B4-BE49-F238E27FC236}">
              <a16:creationId xmlns:a16="http://schemas.microsoft.com/office/drawing/2014/main" id="{00000000-0008-0000-0800-000050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1" name="Text Box 15">
          <a:extLst>
            <a:ext uri="{FF2B5EF4-FFF2-40B4-BE49-F238E27FC236}">
              <a16:creationId xmlns:a16="http://schemas.microsoft.com/office/drawing/2014/main" id="{00000000-0008-0000-0800-000051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2" name="Text Box 15">
          <a:extLst>
            <a:ext uri="{FF2B5EF4-FFF2-40B4-BE49-F238E27FC236}">
              <a16:creationId xmlns:a16="http://schemas.microsoft.com/office/drawing/2014/main" id="{00000000-0008-0000-0800-000052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3" name="Text Box 15">
          <a:extLst>
            <a:ext uri="{FF2B5EF4-FFF2-40B4-BE49-F238E27FC236}">
              <a16:creationId xmlns:a16="http://schemas.microsoft.com/office/drawing/2014/main" id="{00000000-0008-0000-0800-000053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4" name="Text Box 15">
          <a:extLst>
            <a:ext uri="{FF2B5EF4-FFF2-40B4-BE49-F238E27FC236}">
              <a16:creationId xmlns:a16="http://schemas.microsoft.com/office/drawing/2014/main" id="{00000000-0008-0000-0800-000054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5" name="Text Box 15">
          <a:extLst>
            <a:ext uri="{FF2B5EF4-FFF2-40B4-BE49-F238E27FC236}">
              <a16:creationId xmlns:a16="http://schemas.microsoft.com/office/drawing/2014/main" id="{00000000-0008-0000-0800-000055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6" name="Text Box 15">
          <a:extLst>
            <a:ext uri="{FF2B5EF4-FFF2-40B4-BE49-F238E27FC236}">
              <a16:creationId xmlns:a16="http://schemas.microsoft.com/office/drawing/2014/main" id="{00000000-0008-0000-0800-000056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7" name="Text Box 15">
          <a:extLst>
            <a:ext uri="{FF2B5EF4-FFF2-40B4-BE49-F238E27FC236}">
              <a16:creationId xmlns:a16="http://schemas.microsoft.com/office/drawing/2014/main" id="{00000000-0008-0000-0800-000057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878" name="Text Box 15">
          <a:extLst>
            <a:ext uri="{FF2B5EF4-FFF2-40B4-BE49-F238E27FC236}">
              <a16:creationId xmlns:a16="http://schemas.microsoft.com/office/drawing/2014/main" id="{00000000-0008-0000-0800-000058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79" name="Text Box 15">
          <a:extLst>
            <a:ext uri="{FF2B5EF4-FFF2-40B4-BE49-F238E27FC236}">
              <a16:creationId xmlns:a16="http://schemas.microsoft.com/office/drawing/2014/main" id="{00000000-0008-0000-0800-000059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0" name="Text Box 15">
          <a:extLst>
            <a:ext uri="{FF2B5EF4-FFF2-40B4-BE49-F238E27FC236}">
              <a16:creationId xmlns:a16="http://schemas.microsoft.com/office/drawing/2014/main" id="{00000000-0008-0000-0800-00005A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1" name="Text Box 15">
          <a:extLst>
            <a:ext uri="{FF2B5EF4-FFF2-40B4-BE49-F238E27FC236}">
              <a16:creationId xmlns:a16="http://schemas.microsoft.com/office/drawing/2014/main" id="{00000000-0008-0000-0800-00005B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2" name="Text Box 15">
          <a:extLst>
            <a:ext uri="{FF2B5EF4-FFF2-40B4-BE49-F238E27FC236}">
              <a16:creationId xmlns:a16="http://schemas.microsoft.com/office/drawing/2014/main" id="{00000000-0008-0000-0800-00005C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3" name="Text Box 15">
          <a:extLst>
            <a:ext uri="{FF2B5EF4-FFF2-40B4-BE49-F238E27FC236}">
              <a16:creationId xmlns:a16="http://schemas.microsoft.com/office/drawing/2014/main" id="{00000000-0008-0000-0800-00005D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4" name="Text Box 15">
          <a:extLst>
            <a:ext uri="{FF2B5EF4-FFF2-40B4-BE49-F238E27FC236}">
              <a16:creationId xmlns:a16="http://schemas.microsoft.com/office/drawing/2014/main" id="{00000000-0008-0000-0800-00005E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5" name="Text Box 15">
          <a:extLst>
            <a:ext uri="{FF2B5EF4-FFF2-40B4-BE49-F238E27FC236}">
              <a16:creationId xmlns:a16="http://schemas.microsoft.com/office/drawing/2014/main" id="{00000000-0008-0000-0800-00005F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886" name="Text Box 15">
          <a:extLst>
            <a:ext uri="{FF2B5EF4-FFF2-40B4-BE49-F238E27FC236}">
              <a16:creationId xmlns:a16="http://schemas.microsoft.com/office/drawing/2014/main" id="{00000000-0008-0000-0800-000060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87" name="Text Box 15">
          <a:extLst>
            <a:ext uri="{FF2B5EF4-FFF2-40B4-BE49-F238E27FC236}">
              <a16:creationId xmlns:a16="http://schemas.microsoft.com/office/drawing/2014/main" id="{00000000-0008-0000-0800-000061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88" name="Text Box 15">
          <a:extLst>
            <a:ext uri="{FF2B5EF4-FFF2-40B4-BE49-F238E27FC236}">
              <a16:creationId xmlns:a16="http://schemas.microsoft.com/office/drawing/2014/main" id="{00000000-0008-0000-0800-000062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89" name="Text Box 15">
          <a:extLst>
            <a:ext uri="{FF2B5EF4-FFF2-40B4-BE49-F238E27FC236}">
              <a16:creationId xmlns:a16="http://schemas.microsoft.com/office/drawing/2014/main" id="{00000000-0008-0000-0800-000063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90" name="Text Box 15">
          <a:extLst>
            <a:ext uri="{FF2B5EF4-FFF2-40B4-BE49-F238E27FC236}">
              <a16:creationId xmlns:a16="http://schemas.microsoft.com/office/drawing/2014/main" id="{00000000-0008-0000-0800-000064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91" name="Text Box 15">
          <a:extLst>
            <a:ext uri="{FF2B5EF4-FFF2-40B4-BE49-F238E27FC236}">
              <a16:creationId xmlns:a16="http://schemas.microsoft.com/office/drawing/2014/main" id="{00000000-0008-0000-0800-000065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92" name="Text Box 15">
          <a:extLst>
            <a:ext uri="{FF2B5EF4-FFF2-40B4-BE49-F238E27FC236}">
              <a16:creationId xmlns:a16="http://schemas.microsoft.com/office/drawing/2014/main" id="{00000000-0008-0000-0800-000066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93" name="Text Box 15">
          <a:extLst>
            <a:ext uri="{FF2B5EF4-FFF2-40B4-BE49-F238E27FC236}">
              <a16:creationId xmlns:a16="http://schemas.microsoft.com/office/drawing/2014/main" id="{00000000-0008-0000-0800-000067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894" name="Text Box 15">
          <a:extLst>
            <a:ext uri="{FF2B5EF4-FFF2-40B4-BE49-F238E27FC236}">
              <a16:creationId xmlns:a16="http://schemas.microsoft.com/office/drawing/2014/main" id="{00000000-0008-0000-0800-000068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95" name="Text Box 15">
          <a:extLst>
            <a:ext uri="{FF2B5EF4-FFF2-40B4-BE49-F238E27FC236}">
              <a16:creationId xmlns:a16="http://schemas.microsoft.com/office/drawing/2014/main" id="{00000000-0008-0000-0800-000069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96" name="Text Box 15">
          <a:extLst>
            <a:ext uri="{FF2B5EF4-FFF2-40B4-BE49-F238E27FC236}">
              <a16:creationId xmlns:a16="http://schemas.microsoft.com/office/drawing/2014/main" id="{00000000-0008-0000-0800-00006A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97" name="Text Box 15">
          <a:extLst>
            <a:ext uri="{FF2B5EF4-FFF2-40B4-BE49-F238E27FC236}">
              <a16:creationId xmlns:a16="http://schemas.microsoft.com/office/drawing/2014/main" id="{00000000-0008-0000-0800-00006B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98" name="Text Box 15">
          <a:extLst>
            <a:ext uri="{FF2B5EF4-FFF2-40B4-BE49-F238E27FC236}">
              <a16:creationId xmlns:a16="http://schemas.microsoft.com/office/drawing/2014/main" id="{00000000-0008-0000-0800-00006C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899" name="Text Box 15">
          <a:extLst>
            <a:ext uri="{FF2B5EF4-FFF2-40B4-BE49-F238E27FC236}">
              <a16:creationId xmlns:a16="http://schemas.microsoft.com/office/drawing/2014/main" id="{00000000-0008-0000-0800-00006D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00" name="Text Box 15">
          <a:extLst>
            <a:ext uri="{FF2B5EF4-FFF2-40B4-BE49-F238E27FC236}">
              <a16:creationId xmlns:a16="http://schemas.microsoft.com/office/drawing/2014/main" id="{00000000-0008-0000-0800-00006E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01" name="Text Box 15">
          <a:extLst>
            <a:ext uri="{FF2B5EF4-FFF2-40B4-BE49-F238E27FC236}">
              <a16:creationId xmlns:a16="http://schemas.microsoft.com/office/drawing/2014/main" id="{00000000-0008-0000-0800-00006F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02" name="Text Box 15">
          <a:extLst>
            <a:ext uri="{FF2B5EF4-FFF2-40B4-BE49-F238E27FC236}">
              <a16:creationId xmlns:a16="http://schemas.microsoft.com/office/drawing/2014/main" id="{00000000-0008-0000-0800-000070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3" name="Text Box 15">
          <a:extLst>
            <a:ext uri="{FF2B5EF4-FFF2-40B4-BE49-F238E27FC236}">
              <a16:creationId xmlns:a16="http://schemas.microsoft.com/office/drawing/2014/main" id="{00000000-0008-0000-0800-000071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4" name="Text Box 15">
          <a:extLst>
            <a:ext uri="{FF2B5EF4-FFF2-40B4-BE49-F238E27FC236}">
              <a16:creationId xmlns:a16="http://schemas.microsoft.com/office/drawing/2014/main" id="{00000000-0008-0000-0800-000072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5" name="Text Box 15">
          <a:extLst>
            <a:ext uri="{FF2B5EF4-FFF2-40B4-BE49-F238E27FC236}">
              <a16:creationId xmlns:a16="http://schemas.microsoft.com/office/drawing/2014/main" id="{00000000-0008-0000-0800-000073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6" name="Text Box 15">
          <a:extLst>
            <a:ext uri="{FF2B5EF4-FFF2-40B4-BE49-F238E27FC236}">
              <a16:creationId xmlns:a16="http://schemas.microsoft.com/office/drawing/2014/main" id="{00000000-0008-0000-0800-000074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7" name="Text Box 15">
          <a:extLst>
            <a:ext uri="{FF2B5EF4-FFF2-40B4-BE49-F238E27FC236}">
              <a16:creationId xmlns:a16="http://schemas.microsoft.com/office/drawing/2014/main" id="{00000000-0008-0000-0800-000075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8" name="Text Box 15">
          <a:extLst>
            <a:ext uri="{FF2B5EF4-FFF2-40B4-BE49-F238E27FC236}">
              <a16:creationId xmlns:a16="http://schemas.microsoft.com/office/drawing/2014/main" id="{00000000-0008-0000-0800-000076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09" name="Text Box 15">
          <a:extLst>
            <a:ext uri="{FF2B5EF4-FFF2-40B4-BE49-F238E27FC236}">
              <a16:creationId xmlns:a16="http://schemas.microsoft.com/office/drawing/2014/main" id="{00000000-0008-0000-0800-000077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10" name="Text Box 15">
          <a:extLst>
            <a:ext uri="{FF2B5EF4-FFF2-40B4-BE49-F238E27FC236}">
              <a16:creationId xmlns:a16="http://schemas.microsoft.com/office/drawing/2014/main" id="{00000000-0008-0000-0800-000078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1" name="Text Box 15">
          <a:extLst>
            <a:ext uri="{FF2B5EF4-FFF2-40B4-BE49-F238E27FC236}">
              <a16:creationId xmlns:a16="http://schemas.microsoft.com/office/drawing/2014/main" id="{00000000-0008-0000-0800-000079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2" name="Text Box 15">
          <a:extLst>
            <a:ext uri="{FF2B5EF4-FFF2-40B4-BE49-F238E27FC236}">
              <a16:creationId xmlns:a16="http://schemas.microsoft.com/office/drawing/2014/main" id="{00000000-0008-0000-0800-00007A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3" name="Text Box 15">
          <a:extLst>
            <a:ext uri="{FF2B5EF4-FFF2-40B4-BE49-F238E27FC236}">
              <a16:creationId xmlns:a16="http://schemas.microsoft.com/office/drawing/2014/main" id="{00000000-0008-0000-0800-00007B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4" name="Text Box 15">
          <a:extLst>
            <a:ext uri="{FF2B5EF4-FFF2-40B4-BE49-F238E27FC236}">
              <a16:creationId xmlns:a16="http://schemas.microsoft.com/office/drawing/2014/main" id="{00000000-0008-0000-0800-00007C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5" name="Text Box 15">
          <a:extLst>
            <a:ext uri="{FF2B5EF4-FFF2-40B4-BE49-F238E27FC236}">
              <a16:creationId xmlns:a16="http://schemas.microsoft.com/office/drawing/2014/main" id="{00000000-0008-0000-0800-00007D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6" name="Text Box 15">
          <a:extLst>
            <a:ext uri="{FF2B5EF4-FFF2-40B4-BE49-F238E27FC236}">
              <a16:creationId xmlns:a16="http://schemas.microsoft.com/office/drawing/2014/main" id="{00000000-0008-0000-0800-00007E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7" name="Text Box 15">
          <a:extLst>
            <a:ext uri="{FF2B5EF4-FFF2-40B4-BE49-F238E27FC236}">
              <a16:creationId xmlns:a16="http://schemas.microsoft.com/office/drawing/2014/main" id="{00000000-0008-0000-0800-00007F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18" name="Text Box 15">
          <a:extLst>
            <a:ext uri="{FF2B5EF4-FFF2-40B4-BE49-F238E27FC236}">
              <a16:creationId xmlns:a16="http://schemas.microsoft.com/office/drawing/2014/main" id="{00000000-0008-0000-0800-000080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19" name="Text Box 15">
          <a:extLst>
            <a:ext uri="{FF2B5EF4-FFF2-40B4-BE49-F238E27FC236}">
              <a16:creationId xmlns:a16="http://schemas.microsoft.com/office/drawing/2014/main" id="{00000000-0008-0000-0800-000081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0" name="Text Box 15">
          <a:extLst>
            <a:ext uri="{FF2B5EF4-FFF2-40B4-BE49-F238E27FC236}">
              <a16:creationId xmlns:a16="http://schemas.microsoft.com/office/drawing/2014/main" id="{00000000-0008-0000-0800-000082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1" name="Text Box 15">
          <a:extLst>
            <a:ext uri="{FF2B5EF4-FFF2-40B4-BE49-F238E27FC236}">
              <a16:creationId xmlns:a16="http://schemas.microsoft.com/office/drawing/2014/main" id="{00000000-0008-0000-0800-000083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2" name="Text Box 15">
          <a:extLst>
            <a:ext uri="{FF2B5EF4-FFF2-40B4-BE49-F238E27FC236}">
              <a16:creationId xmlns:a16="http://schemas.microsoft.com/office/drawing/2014/main" id="{00000000-0008-0000-0800-000084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3" name="Text Box 15">
          <a:extLst>
            <a:ext uri="{FF2B5EF4-FFF2-40B4-BE49-F238E27FC236}">
              <a16:creationId xmlns:a16="http://schemas.microsoft.com/office/drawing/2014/main" id="{00000000-0008-0000-0800-000085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4" name="Text Box 15">
          <a:extLst>
            <a:ext uri="{FF2B5EF4-FFF2-40B4-BE49-F238E27FC236}">
              <a16:creationId xmlns:a16="http://schemas.microsoft.com/office/drawing/2014/main" id="{00000000-0008-0000-0800-000086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5" name="Text Box 15">
          <a:extLst>
            <a:ext uri="{FF2B5EF4-FFF2-40B4-BE49-F238E27FC236}">
              <a16:creationId xmlns:a16="http://schemas.microsoft.com/office/drawing/2014/main" id="{00000000-0008-0000-0800-000087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1926" name="Text Box 15">
          <a:extLst>
            <a:ext uri="{FF2B5EF4-FFF2-40B4-BE49-F238E27FC236}">
              <a16:creationId xmlns:a16="http://schemas.microsoft.com/office/drawing/2014/main" id="{00000000-0008-0000-0800-000088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27" name="Text Box 15">
          <a:extLst>
            <a:ext uri="{FF2B5EF4-FFF2-40B4-BE49-F238E27FC236}">
              <a16:creationId xmlns:a16="http://schemas.microsoft.com/office/drawing/2014/main" id="{00000000-0008-0000-0800-000089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28" name="Text Box 15">
          <a:extLst>
            <a:ext uri="{FF2B5EF4-FFF2-40B4-BE49-F238E27FC236}">
              <a16:creationId xmlns:a16="http://schemas.microsoft.com/office/drawing/2014/main" id="{00000000-0008-0000-0800-00008A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29" name="Text Box 15">
          <a:extLst>
            <a:ext uri="{FF2B5EF4-FFF2-40B4-BE49-F238E27FC236}">
              <a16:creationId xmlns:a16="http://schemas.microsoft.com/office/drawing/2014/main" id="{00000000-0008-0000-0800-00008B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0" name="Text Box 15">
          <a:extLst>
            <a:ext uri="{FF2B5EF4-FFF2-40B4-BE49-F238E27FC236}">
              <a16:creationId xmlns:a16="http://schemas.microsoft.com/office/drawing/2014/main" id="{00000000-0008-0000-0800-00008C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1" name="Text Box 15">
          <a:extLst>
            <a:ext uri="{FF2B5EF4-FFF2-40B4-BE49-F238E27FC236}">
              <a16:creationId xmlns:a16="http://schemas.microsoft.com/office/drawing/2014/main" id="{00000000-0008-0000-0800-00008D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2" name="Text Box 15">
          <a:extLst>
            <a:ext uri="{FF2B5EF4-FFF2-40B4-BE49-F238E27FC236}">
              <a16:creationId xmlns:a16="http://schemas.microsoft.com/office/drawing/2014/main" id="{00000000-0008-0000-0800-00008E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3" name="Text Box 15">
          <a:extLst>
            <a:ext uri="{FF2B5EF4-FFF2-40B4-BE49-F238E27FC236}">
              <a16:creationId xmlns:a16="http://schemas.microsoft.com/office/drawing/2014/main" id="{00000000-0008-0000-0800-00008F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4" name="Text Box 15">
          <a:extLst>
            <a:ext uri="{FF2B5EF4-FFF2-40B4-BE49-F238E27FC236}">
              <a16:creationId xmlns:a16="http://schemas.microsoft.com/office/drawing/2014/main" id="{00000000-0008-0000-0800-000090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5" name="Text Box 15">
          <a:extLst>
            <a:ext uri="{FF2B5EF4-FFF2-40B4-BE49-F238E27FC236}">
              <a16:creationId xmlns:a16="http://schemas.microsoft.com/office/drawing/2014/main" id="{00000000-0008-0000-0800-000091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36" name="Text Box 15">
          <a:extLst>
            <a:ext uri="{FF2B5EF4-FFF2-40B4-BE49-F238E27FC236}">
              <a16:creationId xmlns:a16="http://schemas.microsoft.com/office/drawing/2014/main" id="{00000000-0008-0000-0800-000092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37" name="Text Box 15">
          <a:extLst>
            <a:ext uri="{FF2B5EF4-FFF2-40B4-BE49-F238E27FC236}">
              <a16:creationId xmlns:a16="http://schemas.microsoft.com/office/drawing/2014/main" id="{00000000-0008-0000-0800-000093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1938" name="Text Box 15">
          <a:extLst>
            <a:ext uri="{FF2B5EF4-FFF2-40B4-BE49-F238E27FC236}">
              <a16:creationId xmlns:a16="http://schemas.microsoft.com/office/drawing/2014/main" id="{00000000-0008-0000-0800-00009407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39" name="Text Box 15">
          <a:extLst>
            <a:ext uri="{FF2B5EF4-FFF2-40B4-BE49-F238E27FC236}">
              <a16:creationId xmlns:a16="http://schemas.microsoft.com/office/drawing/2014/main" id="{00000000-0008-0000-0800-000095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40" name="Text Box 15">
          <a:extLst>
            <a:ext uri="{FF2B5EF4-FFF2-40B4-BE49-F238E27FC236}">
              <a16:creationId xmlns:a16="http://schemas.microsoft.com/office/drawing/2014/main" id="{00000000-0008-0000-0800-000096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41" name="Text Box 15">
          <a:extLst>
            <a:ext uri="{FF2B5EF4-FFF2-40B4-BE49-F238E27FC236}">
              <a16:creationId xmlns:a16="http://schemas.microsoft.com/office/drawing/2014/main" id="{00000000-0008-0000-0800-000097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42" name="Text Box 15">
          <a:extLst>
            <a:ext uri="{FF2B5EF4-FFF2-40B4-BE49-F238E27FC236}">
              <a16:creationId xmlns:a16="http://schemas.microsoft.com/office/drawing/2014/main" id="{00000000-0008-0000-0800-000098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43" name="Text Box 15">
          <a:extLst>
            <a:ext uri="{FF2B5EF4-FFF2-40B4-BE49-F238E27FC236}">
              <a16:creationId xmlns:a16="http://schemas.microsoft.com/office/drawing/2014/main" id="{00000000-0008-0000-0800-000099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1944" name="Text Box 15">
          <a:extLst>
            <a:ext uri="{FF2B5EF4-FFF2-40B4-BE49-F238E27FC236}">
              <a16:creationId xmlns:a16="http://schemas.microsoft.com/office/drawing/2014/main" id="{00000000-0008-0000-0800-00009A07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45" name="Text Box 15">
          <a:extLst>
            <a:ext uri="{FF2B5EF4-FFF2-40B4-BE49-F238E27FC236}">
              <a16:creationId xmlns:a16="http://schemas.microsoft.com/office/drawing/2014/main" id="{00000000-0008-0000-0800-00009B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46" name="Text Box 15">
          <a:extLst>
            <a:ext uri="{FF2B5EF4-FFF2-40B4-BE49-F238E27FC236}">
              <a16:creationId xmlns:a16="http://schemas.microsoft.com/office/drawing/2014/main" id="{00000000-0008-0000-0800-00009C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47" name="Text Box 15">
          <a:extLst>
            <a:ext uri="{FF2B5EF4-FFF2-40B4-BE49-F238E27FC236}">
              <a16:creationId xmlns:a16="http://schemas.microsoft.com/office/drawing/2014/main" id="{00000000-0008-0000-0800-00009D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48" name="Text Box 15">
          <a:extLst>
            <a:ext uri="{FF2B5EF4-FFF2-40B4-BE49-F238E27FC236}">
              <a16:creationId xmlns:a16="http://schemas.microsoft.com/office/drawing/2014/main" id="{00000000-0008-0000-0800-00009E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49" name="Text Box 15">
          <a:extLst>
            <a:ext uri="{FF2B5EF4-FFF2-40B4-BE49-F238E27FC236}">
              <a16:creationId xmlns:a16="http://schemas.microsoft.com/office/drawing/2014/main" id="{00000000-0008-0000-0800-00009F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50" name="Text Box 15">
          <a:extLst>
            <a:ext uri="{FF2B5EF4-FFF2-40B4-BE49-F238E27FC236}">
              <a16:creationId xmlns:a16="http://schemas.microsoft.com/office/drawing/2014/main" id="{00000000-0008-0000-0800-0000A0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51" name="Text Box 15">
          <a:extLst>
            <a:ext uri="{FF2B5EF4-FFF2-40B4-BE49-F238E27FC236}">
              <a16:creationId xmlns:a16="http://schemas.microsoft.com/office/drawing/2014/main" id="{00000000-0008-0000-0800-0000A1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1952" name="Text Box 15">
          <a:extLst>
            <a:ext uri="{FF2B5EF4-FFF2-40B4-BE49-F238E27FC236}">
              <a16:creationId xmlns:a16="http://schemas.microsoft.com/office/drawing/2014/main" id="{00000000-0008-0000-0800-0000A207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53" name="Text Box 15">
          <a:extLst>
            <a:ext uri="{FF2B5EF4-FFF2-40B4-BE49-F238E27FC236}">
              <a16:creationId xmlns:a16="http://schemas.microsoft.com/office/drawing/2014/main" id="{00000000-0008-0000-0800-0000A3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54" name="Text Box 15">
          <a:extLst>
            <a:ext uri="{FF2B5EF4-FFF2-40B4-BE49-F238E27FC236}">
              <a16:creationId xmlns:a16="http://schemas.microsoft.com/office/drawing/2014/main" id="{00000000-0008-0000-0800-0000A4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55" name="Text Box 15">
          <a:extLst>
            <a:ext uri="{FF2B5EF4-FFF2-40B4-BE49-F238E27FC236}">
              <a16:creationId xmlns:a16="http://schemas.microsoft.com/office/drawing/2014/main" id="{00000000-0008-0000-0800-0000A5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56" name="Text Box 15">
          <a:extLst>
            <a:ext uri="{FF2B5EF4-FFF2-40B4-BE49-F238E27FC236}">
              <a16:creationId xmlns:a16="http://schemas.microsoft.com/office/drawing/2014/main" id="{00000000-0008-0000-0800-0000A6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57" name="Text Box 15">
          <a:extLst>
            <a:ext uri="{FF2B5EF4-FFF2-40B4-BE49-F238E27FC236}">
              <a16:creationId xmlns:a16="http://schemas.microsoft.com/office/drawing/2014/main" id="{00000000-0008-0000-0800-0000A7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58" name="Text Box 15">
          <a:extLst>
            <a:ext uri="{FF2B5EF4-FFF2-40B4-BE49-F238E27FC236}">
              <a16:creationId xmlns:a16="http://schemas.microsoft.com/office/drawing/2014/main" id="{00000000-0008-0000-0800-0000A8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59" name="Text Box 15">
          <a:extLst>
            <a:ext uri="{FF2B5EF4-FFF2-40B4-BE49-F238E27FC236}">
              <a16:creationId xmlns:a16="http://schemas.microsoft.com/office/drawing/2014/main" id="{00000000-0008-0000-0800-0000A9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0" name="Text Box 15">
          <a:extLst>
            <a:ext uri="{FF2B5EF4-FFF2-40B4-BE49-F238E27FC236}">
              <a16:creationId xmlns:a16="http://schemas.microsoft.com/office/drawing/2014/main" id="{00000000-0008-0000-0800-0000AA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1" name="Text Box 15">
          <a:extLst>
            <a:ext uri="{FF2B5EF4-FFF2-40B4-BE49-F238E27FC236}">
              <a16:creationId xmlns:a16="http://schemas.microsoft.com/office/drawing/2014/main" id="{00000000-0008-0000-0800-0000AB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62" name="Text Box 15">
          <a:extLst>
            <a:ext uri="{FF2B5EF4-FFF2-40B4-BE49-F238E27FC236}">
              <a16:creationId xmlns:a16="http://schemas.microsoft.com/office/drawing/2014/main" id="{00000000-0008-0000-0800-0000AC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63" name="Text Box 15">
          <a:extLst>
            <a:ext uri="{FF2B5EF4-FFF2-40B4-BE49-F238E27FC236}">
              <a16:creationId xmlns:a16="http://schemas.microsoft.com/office/drawing/2014/main" id="{00000000-0008-0000-0800-0000AD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0500"/>
    <xdr:sp macro="" textlink="">
      <xdr:nvSpPr>
        <xdr:cNvPr id="1964" name="Text Box 15">
          <a:extLst>
            <a:ext uri="{FF2B5EF4-FFF2-40B4-BE49-F238E27FC236}">
              <a16:creationId xmlns:a16="http://schemas.microsoft.com/office/drawing/2014/main" id="{00000000-0008-0000-0800-0000AE070000}"/>
            </a:ext>
          </a:extLst>
        </xdr:cNvPr>
        <xdr:cNvSpPr txBox="1">
          <a:spLocks noChangeArrowheads="1"/>
        </xdr:cNvSpPr>
      </xdr:nvSpPr>
      <xdr:spPr bwMode="auto">
        <a:xfrm>
          <a:off x="110394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5" name="Text Box 15">
          <a:extLst>
            <a:ext uri="{FF2B5EF4-FFF2-40B4-BE49-F238E27FC236}">
              <a16:creationId xmlns:a16="http://schemas.microsoft.com/office/drawing/2014/main" id="{00000000-0008-0000-0800-0000AF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6" name="Text Box 15">
          <a:extLst>
            <a:ext uri="{FF2B5EF4-FFF2-40B4-BE49-F238E27FC236}">
              <a16:creationId xmlns:a16="http://schemas.microsoft.com/office/drawing/2014/main" id="{00000000-0008-0000-0800-0000B0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7" name="Text Box 15">
          <a:extLst>
            <a:ext uri="{FF2B5EF4-FFF2-40B4-BE49-F238E27FC236}">
              <a16:creationId xmlns:a16="http://schemas.microsoft.com/office/drawing/2014/main" id="{00000000-0008-0000-0800-0000B1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8" name="Text Box 15">
          <a:extLst>
            <a:ext uri="{FF2B5EF4-FFF2-40B4-BE49-F238E27FC236}">
              <a16:creationId xmlns:a16="http://schemas.microsoft.com/office/drawing/2014/main" id="{00000000-0008-0000-0800-0000B2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69" name="Text Box 15">
          <a:extLst>
            <a:ext uri="{FF2B5EF4-FFF2-40B4-BE49-F238E27FC236}">
              <a16:creationId xmlns:a16="http://schemas.microsoft.com/office/drawing/2014/main" id="{00000000-0008-0000-0800-0000B3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93098"/>
    <xdr:sp macro="" textlink="">
      <xdr:nvSpPr>
        <xdr:cNvPr id="1970" name="Text Box 15">
          <a:extLst>
            <a:ext uri="{FF2B5EF4-FFF2-40B4-BE49-F238E27FC236}">
              <a16:creationId xmlns:a16="http://schemas.microsoft.com/office/drawing/2014/main" id="{00000000-0008-0000-0800-0000B4070000}"/>
            </a:ext>
          </a:extLst>
        </xdr:cNvPr>
        <xdr:cNvSpPr txBox="1">
          <a:spLocks noChangeArrowheads="1"/>
        </xdr:cNvSpPr>
      </xdr:nvSpPr>
      <xdr:spPr bwMode="auto">
        <a:xfrm>
          <a:off x="110394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1" name="Text Box 15">
          <a:extLst>
            <a:ext uri="{FF2B5EF4-FFF2-40B4-BE49-F238E27FC236}">
              <a16:creationId xmlns:a16="http://schemas.microsoft.com/office/drawing/2014/main" id="{00000000-0008-0000-0800-0000B5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2" name="Text Box 15">
          <a:extLst>
            <a:ext uri="{FF2B5EF4-FFF2-40B4-BE49-F238E27FC236}">
              <a16:creationId xmlns:a16="http://schemas.microsoft.com/office/drawing/2014/main" id="{00000000-0008-0000-0800-0000B6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3" name="Text Box 15">
          <a:extLst>
            <a:ext uri="{FF2B5EF4-FFF2-40B4-BE49-F238E27FC236}">
              <a16:creationId xmlns:a16="http://schemas.microsoft.com/office/drawing/2014/main" id="{00000000-0008-0000-0800-0000B7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4" name="Text Box 15">
          <a:extLst>
            <a:ext uri="{FF2B5EF4-FFF2-40B4-BE49-F238E27FC236}">
              <a16:creationId xmlns:a16="http://schemas.microsoft.com/office/drawing/2014/main" id="{00000000-0008-0000-0800-0000B8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5" name="Text Box 15">
          <a:extLst>
            <a:ext uri="{FF2B5EF4-FFF2-40B4-BE49-F238E27FC236}">
              <a16:creationId xmlns:a16="http://schemas.microsoft.com/office/drawing/2014/main" id="{00000000-0008-0000-0800-0000B9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6" name="Text Box 15">
          <a:extLst>
            <a:ext uri="{FF2B5EF4-FFF2-40B4-BE49-F238E27FC236}">
              <a16:creationId xmlns:a16="http://schemas.microsoft.com/office/drawing/2014/main" id="{00000000-0008-0000-0800-0000BA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7" name="Text Box 15">
          <a:extLst>
            <a:ext uri="{FF2B5EF4-FFF2-40B4-BE49-F238E27FC236}">
              <a16:creationId xmlns:a16="http://schemas.microsoft.com/office/drawing/2014/main" id="{00000000-0008-0000-0800-0000BB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95250" cy="114300"/>
    <xdr:sp macro="" textlink="">
      <xdr:nvSpPr>
        <xdr:cNvPr id="1978" name="Text Box 15">
          <a:extLst>
            <a:ext uri="{FF2B5EF4-FFF2-40B4-BE49-F238E27FC236}">
              <a16:creationId xmlns:a16="http://schemas.microsoft.com/office/drawing/2014/main" id="{00000000-0008-0000-0800-0000BC070000}"/>
            </a:ext>
          </a:extLst>
        </xdr:cNvPr>
        <xdr:cNvSpPr txBox="1">
          <a:spLocks noChangeArrowheads="1"/>
        </xdr:cNvSpPr>
      </xdr:nvSpPr>
      <xdr:spPr bwMode="auto">
        <a:xfrm>
          <a:off x="110394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79" name="Text Box 15">
          <a:extLst>
            <a:ext uri="{FF2B5EF4-FFF2-40B4-BE49-F238E27FC236}">
              <a16:creationId xmlns:a16="http://schemas.microsoft.com/office/drawing/2014/main" id="{00000000-0008-0000-0800-0000BD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0" name="Text Box 15">
          <a:extLst>
            <a:ext uri="{FF2B5EF4-FFF2-40B4-BE49-F238E27FC236}">
              <a16:creationId xmlns:a16="http://schemas.microsoft.com/office/drawing/2014/main" id="{00000000-0008-0000-0800-0000BE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1" name="Text Box 15">
          <a:extLst>
            <a:ext uri="{FF2B5EF4-FFF2-40B4-BE49-F238E27FC236}">
              <a16:creationId xmlns:a16="http://schemas.microsoft.com/office/drawing/2014/main" id="{00000000-0008-0000-0800-0000BF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2" name="Text Box 15">
          <a:extLst>
            <a:ext uri="{FF2B5EF4-FFF2-40B4-BE49-F238E27FC236}">
              <a16:creationId xmlns:a16="http://schemas.microsoft.com/office/drawing/2014/main" id="{00000000-0008-0000-0800-0000C0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3" name="Text Box 15">
          <a:extLst>
            <a:ext uri="{FF2B5EF4-FFF2-40B4-BE49-F238E27FC236}">
              <a16:creationId xmlns:a16="http://schemas.microsoft.com/office/drawing/2014/main" id="{00000000-0008-0000-0800-0000C1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4" name="Text Box 15">
          <a:extLst>
            <a:ext uri="{FF2B5EF4-FFF2-40B4-BE49-F238E27FC236}">
              <a16:creationId xmlns:a16="http://schemas.microsoft.com/office/drawing/2014/main" id="{00000000-0008-0000-0800-0000C2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5" name="Text Box 15">
          <a:extLst>
            <a:ext uri="{FF2B5EF4-FFF2-40B4-BE49-F238E27FC236}">
              <a16:creationId xmlns:a16="http://schemas.microsoft.com/office/drawing/2014/main" id="{00000000-0008-0000-0800-0000C3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1986" name="Text Box 15">
          <a:extLst>
            <a:ext uri="{FF2B5EF4-FFF2-40B4-BE49-F238E27FC236}">
              <a16:creationId xmlns:a16="http://schemas.microsoft.com/office/drawing/2014/main" id="{00000000-0008-0000-0800-0000C4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87" name="Text Box 15">
          <a:extLst>
            <a:ext uri="{FF2B5EF4-FFF2-40B4-BE49-F238E27FC236}">
              <a16:creationId xmlns:a16="http://schemas.microsoft.com/office/drawing/2014/main" id="{00000000-0008-0000-0800-0000C5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88" name="Text Box 15">
          <a:extLst>
            <a:ext uri="{FF2B5EF4-FFF2-40B4-BE49-F238E27FC236}">
              <a16:creationId xmlns:a16="http://schemas.microsoft.com/office/drawing/2014/main" id="{00000000-0008-0000-0800-0000C6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89" name="Text Box 15">
          <a:extLst>
            <a:ext uri="{FF2B5EF4-FFF2-40B4-BE49-F238E27FC236}">
              <a16:creationId xmlns:a16="http://schemas.microsoft.com/office/drawing/2014/main" id="{00000000-0008-0000-0800-0000C7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90" name="Text Box 15">
          <a:extLst>
            <a:ext uri="{FF2B5EF4-FFF2-40B4-BE49-F238E27FC236}">
              <a16:creationId xmlns:a16="http://schemas.microsoft.com/office/drawing/2014/main" id="{00000000-0008-0000-0800-0000C8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91" name="Text Box 15">
          <a:extLst>
            <a:ext uri="{FF2B5EF4-FFF2-40B4-BE49-F238E27FC236}">
              <a16:creationId xmlns:a16="http://schemas.microsoft.com/office/drawing/2014/main" id="{00000000-0008-0000-0800-0000C9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92" name="Text Box 15">
          <a:extLst>
            <a:ext uri="{FF2B5EF4-FFF2-40B4-BE49-F238E27FC236}">
              <a16:creationId xmlns:a16="http://schemas.microsoft.com/office/drawing/2014/main" id="{00000000-0008-0000-0800-0000CA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93" name="Text Box 15">
          <a:extLst>
            <a:ext uri="{FF2B5EF4-FFF2-40B4-BE49-F238E27FC236}">
              <a16:creationId xmlns:a16="http://schemas.microsoft.com/office/drawing/2014/main" id="{00000000-0008-0000-0800-0000CB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1994" name="Text Box 15">
          <a:extLst>
            <a:ext uri="{FF2B5EF4-FFF2-40B4-BE49-F238E27FC236}">
              <a16:creationId xmlns:a16="http://schemas.microsoft.com/office/drawing/2014/main" id="{00000000-0008-0000-0800-0000CC07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95" name="Text Box 15">
          <a:extLst>
            <a:ext uri="{FF2B5EF4-FFF2-40B4-BE49-F238E27FC236}">
              <a16:creationId xmlns:a16="http://schemas.microsoft.com/office/drawing/2014/main" id="{00000000-0008-0000-0800-0000CD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96" name="Text Box 15">
          <a:extLst>
            <a:ext uri="{FF2B5EF4-FFF2-40B4-BE49-F238E27FC236}">
              <a16:creationId xmlns:a16="http://schemas.microsoft.com/office/drawing/2014/main" id="{00000000-0008-0000-0800-0000CE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97" name="Text Box 15">
          <a:extLst>
            <a:ext uri="{FF2B5EF4-FFF2-40B4-BE49-F238E27FC236}">
              <a16:creationId xmlns:a16="http://schemas.microsoft.com/office/drawing/2014/main" id="{00000000-0008-0000-0800-0000CF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98" name="Text Box 15">
          <a:extLst>
            <a:ext uri="{FF2B5EF4-FFF2-40B4-BE49-F238E27FC236}">
              <a16:creationId xmlns:a16="http://schemas.microsoft.com/office/drawing/2014/main" id="{00000000-0008-0000-0800-0000D0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1999" name="Text Box 15">
          <a:extLst>
            <a:ext uri="{FF2B5EF4-FFF2-40B4-BE49-F238E27FC236}">
              <a16:creationId xmlns:a16="http://schemas.microsoft.com/office/drawing/2014/main" id="{00000000-0008-0000-0800-0000D1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00" name="Text Box 15">
          <a:extLst>
            <a:ext uri="{FF2B5EF4-FFF2-40B4-BE49-F238E27FC236}">
              <a16:creationId xmlns:a16="http://schemas.microsoft.com/office/drawing/2014/main" id="{00000000-0008-0000-0800-0000D2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01" name="Text Box 15">
          <a:extLst>
            <a:ext uri="{FF2B5EF4-FFF2-40B4-BE49-F238E27FC236}">
              <a16:creationId xmlns:a16="http://schemas.microsoft.com/office/drawing/2014/main" id="{00000000-0008-0000-0800-0000D3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02" name="Text Box 15">
          <a:extLst>
            <a:ext uri="{FF2B5EF4-FFF2-40B4-BE49-F238E27FC236}">
              <a16:creationId xmlns:a16="http://schemas.microsoft.com/office/drawing/2014/main" id="{00000000-0008-0000-0800-0000D4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3" name="Text Box 15">
          <a:extLst>
            <a:ext uri="{FF2B5EF4-FFF2-40B4-BE49-F238E27FC236}">
              <a16:creationId xmlns:a16="http://schemas.microsoft.com/office/drawing/2014/main" id="{00000000-0008-0000-0800-0000D5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4" name="Text Box 15">
          <a:extLst>
            <a:ext uri="{FF2B5EF4-FFF2-40B4-BE49-F238E27FC236}">
              <a16:creationId xmlns:a16="http://schemas.microsoft.com/office/drawing/2014/main" id="{00000000-0008-0000-0800-0000D6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5" name="Text Box 15">
          <a:extLst>
            <a:ext uri="{FF2B5EF4-FFF2-40B4-BE49-F238E27FC236}">
              <a16:creationId xmlns:a16="http://schemas.microsoft.com/office/drawing/2014/main" id="{00000000-0008-0000-0800-0000D7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6" name="Text Box 15">
          <a:extLst>
            <a:ext uri="{FF2B5EF4-FFF2-40B4-BE49-F238E27FC236}">
              <a16:creationId xmlns:a16="http://schemas.microsoft.com/office/drawing/2014/main" id="{00000000-0008-0000-0800-0000D8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7" name="Text Box 15">
          <a:extLst>
            <a:ext uri="{FF2B5EF4-FFF2-40B4-BE49-F238E27FC236}">
              <a16:creationId xmlns:a16="http://schemas.microsoft.com/office/drawing/2014/main" id="{00000000-0008-0000-0800-0000D9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8" name="Text Box 15">
          <a:extLst>
            <a:ext uri="{FF2B5EF4-FFF2-40B4-BE49-F238E27FC236}">
              <a16:creationId xmlns:a16="http://schemas.microsoft.com/office/drawing/2014/main" id="{00000000-0008-0000-0800-0000DA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09" name="Text Box 15">
          <a:extLst>
            <a:ext uri="{FF2B5EF4-FFF2-40B4-BE49-F238E27FC236}">
              <a16:creationId xmlns:a16="http://schemas.microsoft.com/office/drawing/2014/main" id="{00000000-0008-0000-0800-0000DB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10" name="Text Box 15">
          <a:extLst>
            <a:ext uri="{FF2B5EF4-FFF2-40B4-BE49-F238E27FC236}">
              <a16:creationId xmlns:a16="http://schemas.microsoft.com/office/drawing/2014/main" id="{00000000-0008-0000-0800-0000DC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1" name="Text Box 15">
          <a:extLst>
            <a:ext uri="{FF2B5EF4-FFF2-40B4-BE49-F238E27FC236}">
              <a16:creationId xmlns:a16="http://schemas.microsoft.com/office/drawing/2014/main" id="{00000000-0008-0000-0800-0000DD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2" name="Text Box 15">
          <a:extLst>
            <a:ext uri="{FF2B5EF4-FFF2-40B4-BE49-F238E27FC236}">
              <a16:creationId xmlns:a16="http://schemas.microsoft.com/office/drawing/2014/main" id="{00000000-0008-0000-0800-0000DE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3" name="Text Box 15">
          <a:extLst>
            <a:ext uri="{FF2B5EF4-FFF2-40B4-BE49-F238E27FC236}">
              <a16:creationId xmlns:a16="http://schemas.microsoft.com/office/drawing/2014/main" id="{00000000-0008-0000-0800-0000DF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4" name="Text Box 15">
          <a:extLst>
            <a:ext uri="{FF2B5EF4-FFF2-40B4-BE49-F238E27FC236}">
              <a16:creationId xmlns:a16="http://schemas.microsoft.com/office/drawing/2014/main" id="{00000000-0008-0000-0800-0000E0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5" name="Text Box 15">
          <a:extLst>
            <a:ext uri="{FF2B5EF4-FFF2-40B4-BE49-F238E27FC236}">
              <a16:creationId xmlns:a16="http://schemas.microsoft.com/office/drawing/2014/main" id="{00000000-0008-0000-0800-0000E1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6" name="Text Box 15">
          <a:extLst>
            <a:ext uri="{FF2B5EF4-FFF2-40B4-BE49-F238E27FC236}">
              <a16:creationId xmlns:a16="http://schemas.microsoft.com/office/drawing/2014/main" id="{00000000-0008-0000-0800-0000E2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017" name="Text Box 15">
          <a:extLst>
            <a:ext uri="{FF2B5EF4-FFF2-40B4-BE49-F238E27FC236}">
              <a16:creationId xmlns:a16="http://schemas.microsoft.com/office/drawing/2014/main" id="{00000000-0008-0000-0800-0000E307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18" name="Text Box 15">
          <a:extLst>
            <a:ext uri="{FF2B5EF4-FFF2-40B4-BE49-F238E27FC236}">
              <a16:creationId xmlns:a16="http://schemas.microsoft.com/office/drawing/2014/main" id="{00000000-0008-0000-0800-0000E4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19" name="Text Box 15">
          <a:extLst>
            <a:ext uri="{FF2B5EF4-FFF2-40B4-BE49-F238E27FC236}">
              <a16:creationId xmlns:a16="http://schemas.microsoft.com/office/drawing/2014/main" id="{00000000-0008-0000-0800-0000E5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0" name="Text Box 15">
          <a:extLst>
            <a:ext uri="{FF2B5EF4-FFF2-40B4-BE49-F238E27FC236}">
              <a16:creationId xmlns:a16="http://schemas.microsoft.com/office/drawing/2014/main" id="{00000000-0008-0000-0800-0000E6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1" name="Text Box 15">
          <a:extLst>
            <a:ext uri="{FF2B5EF4-FFF2-40B4-BE49-F238E27FC236}">
              <a16:creationId xmlns:a16="http://schemas.microsoft.com/office/drawing/2014/main" id="{00000000-0008-0000-0800-0000E7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2" name="Text Box 15">
          <a:extLst>
            <a:ext uri="{FF2B5EF4-FFF2-40B4-BE49-F238E27FC236}">
              <a16:creationId xmlns:a16="http://schemas.microsoft.com/office/drawing/2014/main" id="{00000000-0008-0000-0800-0000E8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3" name="Text Box 15">
          <a:extLst>
            <a:ext uri="{FF2B5EF4-FFF2-40B4-BE49-F238E27FC236}">
              <a16:creationId xmlns:a16="http://schemas.microsoft.com/office/drawing/2014/main" id="{00000000-0008-0000-0800-0000E9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4" name="Text Box 15">
          <a:extLst>
            <a:ext uri="{FF2B5EF4-FFF2-40B4-BE49-F238E27FC236}">
              <a16:creationId xmlns:a16="http://schemas.microsoft.com/office/drawing/2014/main" id="{00000000-0008-0000-0800-0000EA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025" name="Text Box 15">
          <a:extLst>
            <a:ext uri="{FF2B5EF4-FFF2-40B4-BE49-F238E27FC236}">
              <a16:creationId xmlns:a16="http://schemas.microsoft.com/office/drawing/2014/main" id="{00000000-0008-0000-0800-0000EB07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26" name="Text Box 15">
          <a:extLst>
            <a:ext uri="{FF2B5EF4-FFF2-40B4-BE49-F238E27FC236}">
              <a16:creationId xmlns:a16="http://schemas.microsoft.com/office/drawing/2014/main" id="{00000000-0008-0000-0800-0000EC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27" name="Text Box 15">
          <a:extLst>
            <a:ext uri="{FF2B5EF4-FFF2-40B4-BE49-F238E27FC236}">
              <a16:creationId xmlns:a16="http://schemas.microsoft.com/office/drawing/2014/main" id="{00000000-0008-0000-0800-0000ED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28" name="Text Box 15">
          <a:extLst>
            <a:ext uri="{FF2B5EF4-FFF2-40B4-BE49-F238E27FC236}">
              <a16:creationId xmlns:a16="http://schemas.microsoft.com/office/drawing/2014/main" id="{00000000-0008-0000-0800-0000EE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29" name="Text Box 15">
          <a:extLst>
            <a:ext uri="{FF2B5EF4-FFF2-40B4-BE49-F238E27FC236}">
              <a16:creationId xmlns:a16="http://schemas.microsoft.com/office/drawing/2014/main" id="{00000000-0008-0000-0800-0000EF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030" name="Text Box 15">
          <a:extLst>
            <a:ext uri="{FF2B5EF4-FFF2-40B4-BE49-F238E27FC236}">
              <a16:creationId xmlns:a16="http://schemas.microsoft.com/office/drawing/2014/main" id="{00000000-0008-0000-0800-0000F007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1" name="Text Box 15">
          <a:extLst>
            <a:ext uri="{FF2B5EF4-FFF2-40B4-BE49-F238E27FC236}">
              <a16:creationId xmlns:a16="http://schemas.microsoft.com/office/drawing/2014/main" id="{00000000-0008-0000-0800-0000F1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2" name="Text Box 15">
          <a:extLst>
            <a:ext uri="{FF2B5EF4-FFF2-40B4-BE49-F238E27FC236}">
              <a16:creationId xmlns:a16="http://schemas.microsoft.com/office/drawing/2014/main" id="{00000000-0008-0000-0800-0000F2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3" name="Text Box 15">
          <a:extLst>
            <a:ext uri="{FF2B5EF4-FFF2-40B4-BE49-F238E27FC236}">
              <a16:creationId xmlns:a16="http://schemas.microsoft.com/office/drawing/2014/main" id="{00000000-0008-0000-0800-0000F3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4" name="Text Box 15">
          <a:extLst>
            <a:ext uri="{FF2B5EF4-FFF2-40B4-BE49-F238E27FC236}">
              <a16:creationId xmlns:a16="http://schemas.microsoft.com/office/drawing/2014/main" id="{00000000-0008-0000-0800-0000F4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5" name="Text Box 15">
          <a:extLst>
            <a:ext uri="{FF2B5EF4-FFF2-40B4-BE49-F238E27FC236}">
              <a16:creationId xmlns:a16="http://schemas.microsoft.com/office/drawing/2014/main" id="{00000000-0008-0000-0800-0000F5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6" name="Text Box 15">
          <a:extLst>
            <a:ext uri="{FF2B5EF4-FFF2-40B4-BE49-F238E27FC236}">
              <a16:creationId xmlns:a16="http://schemas.microsoft.com/office/drawing/2014/main" id="{00000000-0008-0000-0800-0000F6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7" name="Text Box 15">
          <a:extLst>
            <a:ext uri="{FF2B5EF4-FFF2-40B4-BE49-F238E27FC236}">
              <a16:creationId xmlns:a16="http://schemas.microsoft.com/office/drawing/2014/main" id="{00000000-0008-0000-0800-0000F7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38" name="Text Box 15">
          <a:extLst>
            <a:ext uri="{FF2B5EF4-FFF2-40B4-BE49-F238E27FC236}">
              <a16:creationId xmlns:a16="http://schemas.microsoft.com/office/drawing/2014/main" id="{00000000-0008-0000-0800-0000F807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39" name="Text Box 15">
          <a:extLst>
            <a:ext uri="{FF2B5EF4-FFF2-40B4-BE49-F238E27FC236}">
              <a16:creationId xmlns:a16="http://schemas.microsoft.com/office/drawing/2014/main" id="{00000000-0008-0000-0800-0000F9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0" name="Text Box 15">
          <a:extLst>
            <a:ext uri="{FF2B5EF4-FFF2-40B4-BE49-F238E27FC236}">
              <a16:creationId xmlns:a16="http://schemas.microsoft.com/office/drawing/2014/main" id="{00000000-0008-0000-0800-0000FA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1" name="Text Box 15">
          <a:extLst>
            <a:ext uri="{FF2B5EF4-FFF2-40B4-BE49-F238E27FC236}">
              <a16:creationId xmlns:a16="http://schemas.microsoft.com/office/drawing/2014/main" id="{00000000-0008-0000-0800-0000FB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2" name="Text Box 15">
          <a:extLst>
            <a:ext uri="{FF2B5EF4-FFF2-40B4-BE49-F238E27FC236}">
              <a16:creationId xmlns:a16="http://schemas.microsoft.com/office/drawing/2014/main" id="{00000000-0008-0000-0800-0000FC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3" name="Text Box 15">
          <a:extLst>
            <a:ext uri="{FF2B5EF4-FFF2-40B4-BE49-F238E27FC236}">
              <a16:creationId xmlns:a16="http://schemas.microsoft.com/office/drawing/2014/main" id="{00000000-0008-0000-0800-0000FD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4" name="Text Box 15">
          <a:extLst>
            <a:ext uri="{FF2B5EF4-FFF2-40B4-BE49-F238E27FC236}">
              <a16:creationId xmlns:a16="http://schemas.microsoft.com/office/drawing/2014/main" id="{00000000-0008-0000-0800-0000FE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5" name="Text Box 15">
          <a:extLst>
            <a:ext uri="{FF2B5EF4-FFF2-40B4-BE49-F238E27FC236}">
              <a16:creationId xmlns:a16="http://schemas.microsoft.com/office/drawing/2014/main" id="{00000000-0008-0000-0800-0000FF07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46" name="Text Box 15">
          <a:extLst>
            <a:ext uri="{FF2B5EF4-FFF2-40B4-BE49-F238E27FC236}">
              <a16:creationId xmlns:a16="http://schemas.microsoft.com/office/drawing/2014/main" id="{00000000-0008-0000-0800-000000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47" name="Text Box 15">
          <a:extLst>
            <a:ext uri="{FF2B5EF4-FFF2-40B4-BE49-F238E27FC236}">
              <a16:creationId xmlns:a16="http://schemas.microsoft.com/office/drawing/2014/main" id="{00000000-0008-0000-0800-000001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48" name="Text Box 15">
          <a:extLst>
            <a:ext uri="{FF2B5EF4-FFF2-40B4-BE49-F238E27FC236}">
              <a16:creationId xmlns:a16="http://schemas.microsoft.com/office/drawing/2014/main" id="{00000000-0008-0000-0800-000002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49" name="Text Box 15">
          <a:extLst>
            <a:ext uri="{FF2B5EF4-FFF2-40B4-BE49-F238E27FC236}">
              <a16:creationId xmlns:a16="http://schemas.microsoft.com/office/drawing/2014/main" id="{00000000-0008-0000-0800-000003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50" name="Text Box 15">
          <a:extLst>
            <a:ext uri="{FF2B5EF4-FFF2-40B4-BE49-F238E27FC236}">
              <a16:creationId xmlns:a16="http://schemas.microsoft.com/office/drawing/2014/main" id="{00000000-0008-0000-0800-000004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51" name="Text Box 15">
          <a:extLst>
            <a:ext uri="{FF2B5EF4-FFF2-40B4-BE49-F238E27FC236}">
              <a16:creationId xmlns:a16="http://schemas.microsoft.com/office/drawing/2014/main" id="{00000000-0008-0000-0800-000005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52" name="Text Box 15">
          <a:extLst>
            <a:ext uri="{FF2B5EF4-FFF2-40B4-BE49-F238E27FC236}">
              <a16:creationId xmlns:a16="http://schemas.microsoft.com/office/drawing/2014/main" id="{00000000-0008-0000-0800-000006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53" name="Text Box 15">
          <a:extLst>
            <a:ext uri="{FF2B5EF4-FFF2-40B4-BE49-F238E27FC236}">
              <a16:creationId xmlns:a16="http://schemas.microsoft.com/office/drawing/2014/main" id="{00000000-0008-0000-0800-000007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7871"/>
    <xdr:sp macro="" textlink="">
      <xdr:nvSpPr>
        <xdr:cNvPr id="2054" name="Text Box 15">
          <a:extLst>
            <a:ext uri="{FF2B5EF4-FFF2-40B4-BE49-F238E27FC236}">
              <a16:creationId xmlns:a16="http://schemas.microsoft.com/office/drawing/2014/main" id="{00000000-0008-0000-0800-000008080000}"/>
            </a:ext>
          </a:extLst>
        </xdr:cNvPr>
        <xdr:cNvSpPr txBox="1">
          <a:spLocks noChangeArrowheads="1"/>
        </xdr:cNvSpPr>
      </xdr:nvSpPr>
      <xdr:spPr bwMode="auto">
        <a:xfrm>
          <a:off x="1933575" y="699706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55" name="Text Box 15">
          <a:extLst>
            <a:ext uri="{FF2B5EF4-FFF2-40B4-BE49-F238E27FC236}">
              <a16:creationId xmlns:a16="http://schemas.microsoft.com/office/drawing/2014/main" id="{00000000-0008-0000-0800-000009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56" name="Text Box 15">
          <a:extLst>
            <a:ext uri="{FF2B5EF4-FFF2-40B4-BE49-F238E27FC236}">
              <a16:creationId xmlns:a16="http://schemas.microsoft.com/office/drawing/2014/main" id="{00000000-0008-0000-0800-00000A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57" name="Text Box 15">
          <a:extLst>
            <a:ext uri="{FF2B5EF4-FFF2-40B4-BE49-F238E27FC236}">
              <a16:creationId xmlns:a16="http://schemas.microsoft.com/office/drawing/2014/main" id="{00000000-0008-0000-0800-00000B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58" name="Text Box 15">
          <a:extLst>
            <a:ext uri="{FF2B5EF4-FFF2-40B4-BE49-F238E27FC236}">
              <a16:creationId xmlns:a16="http://schemas.microsoft.com/office/drawing/2014/main" id="{00000000-0008-0000-0800-00000C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59" name="Text Box 15">
          <a:extLst>
            <a:ext uri="{FF2B5EF4-FFF2-40B4-BE49-F238E27FC236}">
              <a16:creationId xmlns:a16="http://schemas.microsoft.com/office/drawing/2014/main" id="{00000000-0008-0000-0800-00000D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60" name="Text Box 15">
          <a:extLst>
            <a:ext uri="{FF2B5EF4-FFF2-40B4-BE49-F238E27FC236}">
              <a16:creationId xmlns:a16="http://schemas.microsoft.com/office/drawing/2014/main" id="{00000000-0008-0000-0800-00000E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61" name="Text Box 15">
          <a:extLst>
            <a:ext uri="{FF2B5EF4-FFF2-40B4-BE49-F238E27FC236}">
              <a16:creationId xmlns:a16="http://schemas.microsoft.com/office/drawing/2014/main" id="{00000000-0008-0000-0800-00000F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337</xdr:row>
      <xdr:rowOff>0</xdr:rowOff>
    </xdr:from>
    <xdr:ext cx="95250" cy="295275"/>
    <xdr:sp macro="" textlink="">
      <xdr:nvSpPr>
        <xdr:cNvPr id="2062" name="Text Box 15">
          <a:extLst>
            <a:ext uri="{FF2B5EF4-FFF2-40B4-BE49-F238E27FC236}">
              <a16:creationId xmlns:a16="http://schemas.microsoft.com/office/drawing/2014/main" id="{00000000-0008-0000-0800-000010080000}"/>
            </a:ext>
          </a:extLst>
        </xdr:cNvPr>
        <xdr:cNvSpPr txBox="1">
          <a:spLocks noChangeArrowheads="1"/>
        </xdr:cNvSpPr>
      </xdr:nvSpPr>
      <xdr:spPr bwMode="auto">
        <a:xfrm>
          <a:off x="1933575" y="699706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3" name="Text Box 15">
          <a:extLst>
            <a:ext uri="{FF2B5EF4-FFF2-40B4-BE49-F238E27FC236}">
              <a16:creationId xmlns:a16="http://schemas.microsoft.com/office/drawing/2014/main" id="{00000000-0008-0000-0800-000011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4" name="Text Box 15">
          <a:extLst>
            <a:ext uri="{FF2B5EF4-FFF2-40B4-BE49-F238E27FC236}">
              <a16:creationId xmlns:a16="http://schemas.microsoft.com/office/drawing/2014/main" id="{00000000-0008-0000-0800-000012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5" name="Text Box 15">
          <a:extLst>
            <a:ext uri="{FF2B5EF4-FFF2-40B4-BE49-F238E27FC236}">
              <a16:creationId xmlns:a16="http://schemas.microsoft.com/office/drawing/2014/main" id="{00000000-0008-0000-0800-000013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6" name="Text Box 15">
          <a:extLst>
            <a:ext uri="{FF2B5EF4-FFF2-40B4-BE49-F238E27FC236}">
              <a16:creationId xmlns:a16="http://schemas.microsoft.com/office/drawing/2014/main" id="{00000000-0008-0000-0800-000014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7" name="Text Box 15">
          <a:extLst>
            <a:ext uri="{FF2B5EF4-FFF2-40B4-BE49-F238E27FC236}">
              <a16:creationId xmlns:a16="http://schemas.microsoft.com/office/drawing/2014/main" id="{00000000-0008-0000-0800-000015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8" name="Text Box 15">
          <a:extLst>
            <a:ext uri="{FF2B5EF4-FFF2-40B4-BE49-F238E27FC236}">
              <a16:creationId xmlns:a16="http://schemas.microsoft.com/office/drawing/2014/main" id="{00000000-0008-0000-0800-000016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69" name="Text Box 15">
          <a:extLst>
            <a:ext uri="{FF2B5EF4-FFF2-40B4-BE49-F238E27FC236}">
              <a16:creationId xmlns:a16="http://schemas.microsoft.com/office/drawing/2014/main" id="{00000000-0008-0000-0800-000017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070" name="Text Box 15">
          <a:extLst>
            <a:ext uri="{FF2B5EF4-FFF2-40B4-BE49-F238E27FC236}">
              <a16:creationId xmlns:a16="http://schemas.microsoft.com/office/drawing/2014/main" id="{00000000-0008-0000-0800-000018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1" name="Text Box 15">
          <a:extLst>
            <a:ext uri="{FF2B5EF4-FFF2-40B4-BE49-F238E27FC236}">
              <a16:creationId xmlns:a16="http://schemas.microsoft.com/office/drawing/2014/main" id="{00000000-0008-0000-0800-000019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2" name="Text Box 15">
          <a:extLst>
            <a:ext uri="{FF2B5EF4-FFF2-40B4-BE49-F238E27FC236}">
              <a16:creationId xmlns:a16="http://schemas.microsoft.com/office/drawing/2014/main" id="{00000000-0008-0000-0800-00001A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3" name="Text Box 15">
          <a:extLst>
            <a:ext uri="{FF2B5EF4-FFF2-40B4-BE49-F238E27FC236}">
              <a16:creationId xmlns:a16="http://schemas.microsoft.com/office/drawing/2014/main" id="{00000000-0008-0000-0800-00001B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4" name="Text Box 15">
          <a:extLst>
            <a:ext uri="{FF2B5EF4-FFF2-40B4-BE49-F238E27FC236}">
              <a16:creationId xmlns:a16="http://schemas.microsoft.com/office/drawing/2014/main" id="{00000000-0008-0000-0800-00001C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5" name="Text Box 15">
          <a:extLst>
            <a:ext uri="{FF2B5EF4-FFF2-40B4-BE49-F238E27FC236}">
              <a16:creationId xmlns:a16="http://schemas.microsoft.com/office/drawing/2014/main" id="{00000000-0008-0000-0800-00001D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6" name="Text Box 15">
          <a:extLst>
            <a:ext uri="{FF2B5EF4-FFF2-40B4-BE49-F238E27FC236}">
              <a16:creationId xmlns:a16="http://schemas.microsoft.com/office/drawing/2014/main" id="{00000000-0008-0000-0800-00001E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7" name="Text Box 15">
          <a:extLst>
            <a:ext uri="{FF2B5EF4-FFF2-40B4-BE49-F238E27FC236}">
              <a16:creationId xmlns:a16="http://schemas.microsoft.com/office/drawing/2014/main" id="{00000000-0008-0000-0800-00001F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078" name="Text Box 15">
          <a:extLst>
            <a:ext uri="{FF2B5EF4-FFF2-40B4-BE49-F238E27FC236}">
              <a16:creationId xmlns:a16="http://schemas.microsoft.com/office/drawing/2014/main" id="{00000000-0008-0000-0800-000020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79" name="Text Box 15">
          <a:extLst>
            <a:ext uri="{FF2B5EF4-FFF2-40B4-BE49-F238E27FC236}">
              <a16:creationId xmlns:a16="http://schemas.microsoft.com/office/drawing/2014/main" id="{00000000-0008-0000-0800-000021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0" name="Text Box 15">
          <a:extLst>
            <a:ext uri="{FF2B5EF4-FFF2-40B4-BE49-F238E27FC236}">
              <a16:creationId xmlns:a16="http://schemas.microsoft.com/office/drawing/2014/main" id="{00000000-0008-0000-0800-000022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1" name="Text Box 15">
          <a:extLst>
            <a:ext uri="{FF2B5EF4-FFF2-40B4-BE49-F238E27FC236}">
              <a16:creationId xmlns:a16="http://schemas.microsoft.com/office/drawing/2014/main" id="{00000000-0008-0000-0800-000023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2" name="Text Box 15">
          <a:extLst>
            <a:ext uri="{FF2B5EF4-FFF2-40B4-BE49-F238E27FC236}">
              <a16:creationId xmlns:a16="http://schemas.microsoft.com/office/drawing/2014/main" id="{00000000-0008-0000-0800-000024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3" name="Text Box 15">
          <a:extLst>
            <a:ext uri="{FF2B5EF4-FFF2-40B4-BE49-F238E27FC236}">
              <a16:creationId xmlns:a16="http://schemas.microsoft.com/office/drawing/2014/main" id="{00000000-0008-0000-0800-000025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4" name="Text Box 15">
          <a:extLst>
            <a:ext uri="{FF2B5EF4-FFF2-40B4-BE49-F238E27FC236}">
              <a16:creationId xmlns:a16="http://schemas.microsoft.com/office/drawing/2014/main" id="{00000000-0008-0000-0800-000026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5" name="Text Box 15">
          <a:extLst>
            <a:ext uri="{FF2B5EF4-FFF2-40B4-BE49-F238E27FC236}">
              <a16:creationId xmlns:a16="http://schemas.microsoft.com/office/drawing/2014/main" id="{00000000-0008-0000-0800-000027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086" name="Text Box 15">
          <a:extLst>
            <a:ext uri="{FF2B5EF4-FFF2-40B4-BE49-F238E27FC236}">
              <a16:creationId xmlns:a16="http://schemas.microsoft.com/office/drawing/2014/main" id="{00000000-0008-0000-0800-000028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87" name="Text Box 15">
          <a:extLst>
            <a:ext uri="{FF2B5EF4-FFF2-40B4-BE49-F238E27FC236}">
              <a16:creationId xmlns:a16="http://schemas.microsoft.com/office/drawing/2014/main" id="{00000000-0008-0000-0800-000029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88" name="Text Box 15">
          <a:extLst>
            <a:ext uri="{FF2B5EF4-FFF2-40B4-BE49-F238E27FC236}">
              <a16:creationId xmlns:a16="http://schemas.microsoft.com/office/drawing/2014/main" id="{00000000-0008-0000-0800-00002A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89" name="Text Box 15">
          <a:extLst>
            <a:ext uri="{FF2B5EF4-FFF2-40B4-BE49-F238E27FC236}">
              <a16:creationId xmlns:a16="http://schemas.microsoft.com/office/drawing/2014/main" id="{00000000-0008-0000-0800-00002B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90" name="Text Box 15">
          <a:extLst>
            <a:ext uri="{FF2B5EF4-FFF2-40B4-BE49-F238E27FC236}">
              <a16:creationId xmlns:a16="http://schemas.microsoft.com/office/drawing/2014/main" id="{00000000-0008-0000-0800-00002C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91" name="Text Box 15">
          <a:extLst>
            <a:ext uri="{FF2B5EF4-FFF2-40B4-BE49-F238E27FC236}">
              <a16:creationId xmlns:a16="http://schemas.microsoft.com/office/drawing/2014/main" id="{00000000-0008-0000-0800-00002D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92" name="Text Box 15">
          <a:extLst>
            <a:ext uri="{FF2B5EF4-FFF2-40B4-BE49-F238E27FC236}">
              <a16:creationId xmlns:a16="http://schemas.microsoft.com/office/drawing/2014/main" id="{00000000-0008-0000-0800-00002E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93" name="Text Box 15">
          <a:extLst>
            <a:ext uri="{FF2B5EF4-FFF2-40B4-BE49-F238E27FC236}">
              <a16:creationId xmlns:a16="http://schemas.microsoft.com/office/drawing/2014/main" id="{00000000-0008-0000-0800-00002F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2094" name="Text Box 15">
          <a:extLst>
            <a:ext uri="{FF2B5EF4-FFF2-40B4-BE49-F238E27FC236}">
              <a16:creationId xmlns:a16="http://schemas.microsoft.com/office/drawing/2014/main" id="{00000000-0008-0000-0800-00003008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095" name="Text Box 15">
          <a:extLst>
            <a:ext uri="{FF2B5EF4-FFF2-40B4-BE49-F238E27FC236}">
              <a16:creationId xmlns:a16="http://schemas.microsoft.com/office/drawing/2014/main" id="{00000000-0008-0000-0800-000031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096" name="Text Box 15">
          <a:extLst>
            <a:ext uri="{FF2B5EF4-FFF2-40B4-BE49-F238E27FC236}">
              <a16:creationId xmlns:a16="http://schemas.microsoft.com/office/drawing/2014/main" id="{00000000-0008-0000-0800-000032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097" name="Text Box 15">
          <a:extLst>
            <a:ext uri="{FF2B5EF4-FFF2-40B4-BE49-F238E27FC236}">
              <a16:creationId xmlns:a16="http://schemas.microsoft.com/office/drawing/2014/main" id="{00000000-0008-0000-0800-000033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098" name="Text Box 15">
          <a:extLst>
            <a:ext uri="{FF2B5EF4-FFF2-40B4-BE49-F238E27FC236}">
              <a16:creationId xmlns:a16="http://schemas.microsoft.com/office/drawing/2014/main" id="{00000000-0008-0000-0800-000034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099" name="Text Box 15">
          <a:extLst>
            <a:ext uri="{FF2B5EF4-FFF2-40B4-BE49-F238E27FC236}">
              <a16:creationId xmlns:a16="http://schemas.microsoft.com/office/drawing/2014/main" id="{00000000-0008-0000-0800-000035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00" name="Text Box 15">
          <a:extLst>
            <a:ext uri="{FF2B5EF4-FFF2-40B4-BE49-F238E27FC236}">
              <a16:creationId xmlns:a16="http://schemas.microsoft.com/office/drawing/2014/main" id="{00000000-0008-0000-0800-000036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01" name="Text Box 15">
          <a:extLst>
            <a:ext uri="{FF2B5EF4-FFF2-40B4-BE49-F238E27FC236}">
              <a16:creationId xmlns:a16="http://schemas.microsoft.com/office/drawing/2014/main" id="{00000000-0008-0000-0800-000037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02" name="Text Box 15">
          <a:extLst>
            <a:ext uri="{FF2B5EF4-FFF2-40B4-BE49-F238E27FC236}">
              <a16:creationId xmlns:a16="http://schemas.microsoft.com/office/drawing/2014/main" id="{00000000-0008-0000-0800-000038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3" name="Text Box 15">
          <a:extLst>
            <a:ext uri="{FF2B5EF4-FFF2-40B4-BE49-F238E27FC236}">
              <a16:creationId xmlns:a16="http://schemas.microsoft.com/office/drawing/2014/main" id="{00000000-0008-0000-0800-000039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4" name="Text Box 15">
          <a:extLst>
            <a:ext uri="{FF2B5EF4-FFF2-40B4-BE49-F238E27FC236}">
              <a16:creationId xmlns:a16="http://schemas.microsoft.com/office/drawing/2014/main" id="{00000000-0008-0000-0800-00003A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5" name="Text Box 15">
          <a:extLst>
            <a:ext uri="{FF2B5EF4-FFF2-40B4-BE49-F238E27FC236}">
              <a16:creationId xmlns:a16="http://schemas.microsoft.com/office/drawing/2014/main" id="{00000000-0008-0000-0800-00003B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6" name="Text Box 15">
          <a:extLst>
            <a:ext uri="{FF2B5EF4-FFF2-40B4-BE49-F238E27FC236}">
              <a16:creationId xmlns:a16="http://schemas.microsoft.com/office/drawing/2014/main" id="{00000000-0008-0000-0800-00003C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7" name="Text Box 15">
          <a:extLst>
            <a:ext uri="{FF2B5EF4-FFF2-40B4-BE49-F238E27FC236}">
              <a16:creationId xmlns:a16="http://schemas.microsoft.com/office/drawing/2014/main" id="{00000000-0008-0000-0800-00003D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8" name="Text Box 15">
          <a:extLst>
            <a:ext uri="{FF2B5EF4-FFF2-40B4-BE49-F238E27FC236}">
              <a16:creationId xmlns:a16="http://schemas.microsoft.com/office/drawing/2014/main" id="{00000000-0008-0000-0800-00003E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09" name="Text Box 15">
          <a:extLst>
            <a:ext uri="{FF2B5EF4-FFF2-40B4-BE49-F238E27FC236}">
              <a16:creationId xmlns:a16="http://schemas.microsoft.com/office/drawing/2014/main" id="{00000000-0008-0000-0800-00003F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2110" name="Text Box 15">
          <a:extLst>
            <a:ext uri="{FF2B5EF4-FFF2-40B4-BE49-F238E27FC236}">
              <a16:creationId xmlns:a16="http://schemas.microsoft.com/office/drawing/2014/main" id="{00000000-0008-0000-0800-00004008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1" name="Text Box 15">
          <a:extLst>
            <a:ext uri="{FF2B5EF4-FFF2-40B4-BE49-F238E27FC236}">
              <a16:creationId xmlns:a16="http://schemas.microsoft.com/office/drawing/2014/main" id="{00000000-0008-0000-0800-000041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2" name="Text Box 15">
          <a:extLst>
            <a:ext uri="{FF2B5EF4-FFF2-40B4-BE49-F238E27FC236}">
              <a16:creationId xmlns:a16="http://schemas.microsoft.com/office/drawing/2014/main" id="{00000000-0008-0000-0800-000042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3" name="Text Box 15">
          <a:extLst>
            <a:ext uri="{FF2B5EF4-FFF2-40B4-BE49-F238E27FC236}">
              <a16:creationId xmlns:a16="http://schemas.microsoft.com/office/drawing/2014/main" id="{00000000-0008-0000-0800-000043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4" name="Text Box 15">
          <a:extLst>
            <a:ext uri="{FF2B5EF4-FFF2-40B4-BE49-F238E27FC236}">
              <a16:creationId xmlns:a16="http://schemas.microsoft.com/office/drawing/2014/main" id="{00000000-0008-0000-0800-000044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5" name="Text Box 15">
          <a:extLst>
            <a:ext uri="{FF2B5EF4-FFF2-40B4-BE49-F238E27FC236}">
              <a16:creationId xmlns:a16="http://schemas.microsoft.com/office/drawing/2014/main" id="{00000000-0008-0000-0800-000045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6" name="Text Box 15">
          <a:extLst>
            <a:ext uri="{FF2B5EF4-FFF2-40B4-BE49-F238E27FC236}">
              <a16:creationId xmlns:a16="http://schemas.microsoft.com/office/drawing/2014/main" id="{00000000-0008-0000-0800-000046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7" name="Text Box 15">
          <a:extLst>
            <a:ext uri="{FF2B5EF4-FFF2-40B4-BE49-F238E27FC236}">
              <a16:creationId xmlns:a16="http://schemas.microsoft.com/office/drawing/2014/main" id="{00000000-0008-0000-0800-000047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18" name="Text Box 15">
          <a:extLst>
            <a:ext uri="{FF2B5EF4-FFF2-40B4-BE49-F238E27FC236}">
              <a16:creationId xmlns:a16="http://schemas.microsoft.com/office/drawing/2014/main" id="{00000000-0008-0000-0800-000048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19" name="Text Box 15">
          <a:extLst>
            <a:ext uri="{FF2B5EF4-FFF2-40B4-BE49-F238E27FC236}">
              <a16:creationId xmlns:a16="http://schemas.microsoft.com/office/drawing/2014/main" id="{00000000-0008-0000-0800-000049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0" name="Text Box 15">
          <a:extLst>
            <a:ext uri="{FF2B5EF4-FFF2-40B4-BE49-F238E27FC236}">
              <a16:creationId xmlns:a16="http://schemas.microsoft.com/office/drawing/2014/main" id="{00000000-0008-0000-0800-00004A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1" name="Text Box 15">
          <a:extLst>
            <a:ext uri="{FF2B5EF4-FFF2-40B4-BE49-F238E27FC236}">
              <a16:creationId xmlns:a16="http://schemas.microsoft.com/office/drawing/2014/main" id="{00000000-0008-0000-0800-00004B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2" name="Text Box 15">
          <a:extLst>
            <a:ext uri="{FF2B5EF4-FFF2-40B4-BE49-F238E27FC236}">
              <a16:creationId xmlns:a16="http://schemas.microsoft.com/office/drawing/2014/main" id="{00000000-0008-0000-0800-00004C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3" name="Text Box 15">
          <a:extLst>
            <a:ext uri="{FF2B5EF4-FFF2-40B4-BE49-F238E27FC236}">
              <a16:creationId xmlns:a16="http://schemas.microsoft.com/office/drawing/2014/main" id="{00000000-0008-0000-0800-00004D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4" name="Text Box 15">
          <a:extLst>
            <a:ext uri="{FF2B5EF4-FFF2-40B4-BE49-F238E27FC236}">
              <a16:creationId xmlns:a16="http://schemas.microsoft.com/office/drawing/2014/main" id="{00000000-0008-0000-0800-00004E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5" name="Text Box 15">
          <a:extLst>
            <a:ext uri="{FF2B5EF4-FFF2-40B4-BE49-F238E27FC236}">
              <a16:creationId xmlns:a16="http://schemas.microsoft.com/office/drawing/2014/main" id="{00000000-0008-0000-0800-00004F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26" name="Text Box 15">
          <a:extLst>
            <a:ext uri="{FF2B5EF4-FFF2-40B4-BE49-F238E27FC236}">
              <a16:creationId xmlns:a16="http://schemas.microsoft.com/office/drawing/2014/main" id="{00000000-0008-0000-0800-000050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27" name="Text Box 15">
          <a:extLst>
            <a:ext uri="{FF2B5EF4-FFF2-40B4-BE49-F238E27FC236}">
              <a16:creationId xmlns:a16="http://schemas.microsoft.com/office/drawing/2014/main" id="{00000000-0008-0000-0800-000051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28" name="Text Box 15">
          <a:extLst>
            <a:ext uri="{FF2B5EF4-FFF2-40B4-BE49-F238E27FC236}">
              <a16:creationId xmlns:a16="http://schemas.microsoft.com/office/drawing/2014/main" id="{00000000-0008-0000-0800-000052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29" name="Text Box 15">
          <a:extLst>
            <a:ext uri="{FF2B5EF4-FFF2-40B4-BE49-F238E27FC236}">
              <a16:creationId xmlns:a16="http://schemas.microsoft.com/office/drawing/2014/main" id="{00000000-0008-0000-0800-000053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30" name="Text Box 15">
          <a:extLst>
            <a:ext uri="{FF2B5EF4-FFF2-40B4-BE49-F238E27FC236}">
              <a16:creationId xmlns:a16="http://schemas.microsoft.com/office/drawing/2014/main" id="{00000000-0008-0000-0800-000054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31" name="Text Box 15">
          <a:extLst>
            <a:ext uri="{FF2B5EF4-FFF2-40B4-BE49-F238E27FC236}">
              <a16:creationId xmlns:a16="http://schemas.microsoft.com/office/drawing/2014/main" id="{00000000-0008-0000-0800-000055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32" name="Text Box 15">
          <a:extLst>
            <a:ext uri="{FF2B5EF4-FFF2-40B4-BE49-F238E27FC236}">
              <a16:creationId xmlns:a16="http://schemas.microsoft.com/office/drawing/2014/main" id="{00000000-0008-0000-0800-000056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33" name="Text Box 15">
          <a:extLst>
            <a:ext uri="{FF2B5EF4-FFF2-40B4-BE49-F238E27FC236}">
              <a16:creationId xmlns:a16="http://schemas.microsoft.com/office/drawing/2014/main" id="{00000000-0008-0000-0800-000057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2134" name="Text Box 15">
          <a:extLst>
            <a:ext uri="{FF2B5EF4-FFF2-40B4-BE49-F238E27FC236}">
              <a16:creationId xmlns:a16="http://schemas.microsoft.com/office/drawing/2014/main" id="{00000000-0008-0000-0800-00005808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35" name="Text Box 15">
          <a:extLst>
            <a:ext uri="{FF2B5EF4-FFF2-40B4-BE49-F238E27FC236}">
              <a16:creationId xmlns:a16="http://schemas.microsoft.com/office/drawing/2014/main" id="{00000000-0008-0000-0800-000059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36" name="Text Box 15">
          <a:extLst>
            <a:ext uri="{FF2B5EF4-FFF2-40B4-BE49-F238E27FC236}">
              <a16:creationId xmlns:a16="http://schemas.microsoft.com/office/drawing/2014/main" id="{00000000-0008-0000-0800-00005A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37" name="Text Box 15">
          <a:extLst>
            <a:ext uri="{FF2B5EF4-FFF2-40B4-BE49-F238E27FC236}">
              <a16:creationId xmlns:a16="http://schemas.microsoft.com/office/drawing/2014/main" id="{00000000-0008-0000-0800-00005B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38" name="Text Box 15">
          <a:extLst>
            <a:ext uri="{FF2B5EF4-FFF2-40B4-BE49-F238E27FC236}">
              <a16:creationId xmlns:a16="http://schemas.microsoft.com/office/drawing/2014/main" id="{00000000-0008-0000-0800-00005C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39" name="Text Box 15">
          <a:extLst>
            <a:ext uri="{FF2B5EF4-FFF2-40B4-BE49-F238E27FC236}">
              <a16:creationId xmlns:a16="http://schemas.microsoft.com/office/drawing/2014/main" id="{00000000-0008-0000-0800-00005D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40" name="Text Box 15">
          <a:extLst>
            <a:ext uri="{FF2B5EF4-FFF2-40B4-BE49-F238E27FC236}">
              <a16:creationId xmlns:a16="http://schemas.microsoft.com/office/drawing/2014/main" id="{00000000-0008-0000-0800-00005E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41" name="Text Box 15">
          <a:extLst>
            <a:ext uri="{FF2B5EF4-FFF2-40B4-BE49-F238E27FC236}">
              <a16:creationId xmlns:a16="http://schemas.microsoft.com/office/drawing/2014/main" id="{00000000-0008-0000-0800-00005F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2142" name="Text Box 15">
          <a:extLst>
            <a:ext uri="{FF2B5EF4-FFF2-40B4-BE49-F238E27FC236}">
              <a16:creationId xmlns:a16="http://schemas.microsoft.com/office/drawing/2014/main" id="{00000000-0008-0000-0800-00006008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3" name="Text Box 15">
          <a:extLst>
            <a:ext uri="{FF2B5EF4-FFF2-40B4-BE49-F238E27FC236}">
              <a16:creationId xmlns:a16="http://schemas.microsoft.com/office/drawing/2014/main" id="{00000000-0008-0000-0800-000061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4" name="Text Box 15">
          <a:extLst>
            <a:ext uri="{FF2B5EF4-FFF2-40B4-BE49-F238E27FC236}">
              <a16:creationId xmlns:a16="http://schemas.microsoft.com/office/drawing/2014/main" id="{00000000-0008-0000-0800-000062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5" name="Text Box 15">
          <a:extLst>
            <a:ext uri="{FF2B5EF4-FFF2-40B4-BE49-F238E27FC236}">
              <a16:creationId xmlns:a16="http://schemas.microsoft.com/office/drawing/2014/main" id="{00000000-0008-0000-0800-000063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6" name="Text Box 15">
          <a:extLst>
            <a:ext uri="{FF2B5EF4-FFF2-40B4-BE49-F238E27FC236}">
              <a16:creationId xmlns:a16="http://schemas.microsoft.com/office/drawing/2014/main" id="{00000000-0008-0000-0800-000064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7" name="Text Box 15">
          <a:extLst>
            <a:ext uri="{FF2B5EF4-FFF2-40B4-BE49-F238E27FC236}">
              <a16:creationId xmlns:a16="http://schemas.microsoft.com/office/drawing/2014/main" id="{00000000-0008-0000-0800-000065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8" name="Text Box 15">
          <a:extLst>
            <a:ext uri="{FF2B5EF4-FFF2-40B4-BE49-F238E27FC236}">
              <a16:creationId xmlns:a16="http://schemas.microsoft.com/office/drawing/2014/main" id="{00000000-0008-0000-0800-000066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49" name="Text Box 15">
          <a:extLst>
            <a:ext uri="{FF2B5EF4-FFF2-40B4-BE49-F238E27FC236}">
              <a16:creationId xmlns:a16="http://schemas.microsoft.com/office/drawing/2014/main" id="{00000000-0008-0000-0800-000067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2150" name="Text Box 15">
          <a:extLst>
            <a:ext uri="{FF2B5EF4-FFF2-40B4-BE49-F238E27FC236}">
              <a16:creationId xmlns:a16="http://schemas.microsoft.com/office/drawing/2014/main" id="{00000000-0008-0000-0800-00006808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1" name="Text Box 15">
          <a:extLst>
            <a:ext uri="{FF2B5EF4-FFF2-40B4-BE49-F238E27FC236}">
              <a16:creationId xmlns:a16="http://schemas.microsoft.com/office/drawing/2014/main" id="{00000000-0008-0000-0800-000069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2" name="Text Box 15">
          <a:extLst>
            <a:ext uri="{FF2B5EF4-FFF2-40B4-BE49-F238E27FC236}">
              <a16:creationId xmlns:a16="http://schemas.microsoft.com/office/drawing/2014/main" id="{00000000-0008-0000-0800-00006A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3" name="Text Box 15">
          <a:extLst>
            <a:ext uri="{FF2B5EF4-FFF2-40B4-BE49-F238E27FC236}">
              <a16:creationId xmlns:a16="http://schemas.microsoft.com/office/drawing/2014/main" id="{00000000-0008-0000-0800-00006B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4" name="Text Box 15">
          <a:extLst>
            <a:ext uri="{FF2B5EF4-FFF2-40B4-BE49-F238E27FC236}">
              <a16:creationId xmlns:a16="http://schemas.microsoft.com/office/drawing/2014/main" id="{00000000-0008-0000-0800-00006C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5" name="Text Box 15">
          <a:extLst>
            <a:ext uri="{FF2B5EF4-FFF2-40B4-BE49-F238E27FC236}">
              <a16:creationId xmlns:a16="http://schemas.microsoft.com/office/drawing/2014/main" id="{00000000-0008-0000-0800-00006D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6" name="Text Box 15">
          <a:extLst>
            <a:ext uri="{FF2B5EF4-FFF2-40B4-BE49-F238E27FC236}">
              <a16:creationId xmlns:a16="http://schemas.microsoft.com/office/drawing/2014/main" id="{00000000-0008-0000-0800-00006E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2157" name="Text Box 15">
          <a:extLst>
            <a:ext uri="{FF2B5EF4-FFF2-40B4-BE49-F238E27FC236}">
              <a16:creationId xmlns:a16="http://schemas.microsoft.com/office/drawing/2014/main" id="{00000000-0008-0000-0800-00006F08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58" name="Text Box 15">
          <a:extLst>
            <a:ext uri="{FF2B5EF4-FFF2-40B4-BE49-F238E27FC236}">
              <a16:creationId xmlns:a16="http://schemas.microsoft.com/office/drawing/2014/main" id="{00000000-0008-0000-0800-000070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59" name="Text Box 15">
          <a:extLst>
            <a:ext uri="{FF2B5EF4-FFF2-40B4-BE49-F238E27FC236}">
              <a16:creationId xmlns:a16="http://schemas.microsoft.com/office/drawing/2014/main" id="{00000000-0008-0000-0800-000071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0" name="Text Box 15">
          <a:extLst>
            <a:ext uri="{FF2B5EF4-FFF2-40B4-BE49-F238E27FC236}">
              <a16:creationId xmlns:a16="http://schemas.microsoft.com/office/drawing/2014/main" id="{00000000-0008-0000-0800-000072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1" name="Text Box 15">
          <a:extLst>
            <a:ext uri="{FF2B5EF4-FFF2-40B4-BE49-F238E27FC236}">
              <a16:creationId xmlns:a16="http://schemas.microsoft.com/office/drawing/2014/main" id="{00000000-0008-0000-0800-000073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2" name="Text Box 15">
          <a:extLst>
            <a:ext uri="{FF2B5EF4-FFF2-40B4-BE49-F238E27FC236}">
              <a16:creationId xmlns:a16="http://schemas.microsoft.com/office/drawing/2014/main" id="{00000000-0008-0000-0800-000074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3" name="Text Box 15">
          <a:extLst>
            <a:ext uri="{FF2B5EF4-FFF2-40B4-BE49-F238E27FC236}">
              <a16:creationId xmlns:a16="http://schemas.microsoft.com/office/drawing/2014/main" id="{00000000-0008-0000-0800-000075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4" name="Text Box 15">
          <a:extLst>
            <a:ext uri="{FF2B5EF4-FFF2-40B4-BE49-F238E27FC236}">
              <a16:creationId xmlns:a16="http://schemas.microsoft.com/office/drawing/2014/main" id="{00000000-0008-0000-0800-000076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2165" name="Text Box 15">
          <a:extLst>
            <a:ext uri="{FF2B5EF4-FFF2-40B4-BE49-F238E27FC236}">
              <a16:creationId xmlns:a16="http://schemas.microsoft.com/office/drawing/2014/main" id="{00000000-0008-0000-0800-00007708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66" name="Text Box 15">
          <a:extLst>
            <a:ext uri="{FF2B5EF4-FFF2-40B4-BE49-F238E27FC236}">
              <a16:creationId xmlns:a16="http://schemas.microsoft.com/office/drawing/2014/main" id="{00000000-0008-0000-0800-000078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67" name="Text Box 15">
          <a:extLst>
            <a:ext uri="{FF2B5EF4-FFF2-40B4-BE49-F238E27FC236}">
              <a16:creationId xmlns:a16="http://schemas.microsoft.com/office/drawing/2014/main" id="{00000000-0008-0000-0800-000079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68" name="Text Box 15">
          <a:extLst>
            <a:ext uri="{FF2B5EF4-FFF2-40B4-BE49-F238E27FC236}">
              <a16:creationId xmlns:a16="http://schemas.microsoft.com/office/drawing/2014/main" id="{00000000-0008-0000-0800-00007A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69" name="Text Box 15">
          <a:extLst>
            <a:ext uri="{FF2B5EF4-FFF2-40B4-BE49-F238E27FC236}">
              <a16:creationId xmlns:a16="http://schemas.microsoft.com/office/drawing/2014/main" id="{00000000-0008-0000-0800-00007B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2170" name="Text Box 15">
          <a:extLst>
            <a:ext uri="{FF2B5EF4-FFF2-40B4-BE49-F238E27FC236}">
              <a16:creationId xmlns:a16="http://schemas.microsoft.com/office/drawing/2014/main" id="{00000000-0008-0000-0800-00007C08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1" name="Text Box 15">
          <a:extLst>
            <a:ext uri="{FF2B5EF4-FFF2-40B4-BE49-F238E27FC236}">
              <a16:creationId xmlns:a16="http://schemas.microsoft.com/office/drawing/2014/main" id="{00000000-0008-0000-0800-00007D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2" name="Text Box 15">
          <a:extLst>
            <a:ext uri="{FF2B5EF4-FFF2-40B4-BE49-F238E27FC236}">
              <a16:creationId xmlns:a16="http://schemas.microsoft.com/office/drawing/2014/main" id="{00000000-0008-0000-0800-00007E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3" name="Text Box 15">
          <a:extLst>
            <a:ext uri="{FF2B5EF4-FFF2-40B4-BE49-F238E27FC236}">
              <a16:creationId xmlns:a16="http://schemas.microsoft.com/office/drawing/2014/main" id="{00000000-0008-0000-0800-00007F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4" name="Text Box 15">
          <a:extLst>
            <a:ext uri="{FF2B5EF4-FFF2-40B4-BE49-F238E27FC236}">
              <a16:creationId xmlns:a16="http://schemas.microsoft.com/office/drawing/2014/main" id="{00000000-0008-0000-0800-000080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5" name="Text Box 15">
          <a:extLst>
            <a:ext uri="{FF2B5EF4-FFF2-40B4-BE49-F238E27FC236}">
              <a16:creationId xmlns:a16="http://schemas.microsoft.com/office/drawing/2014/main" id="{00000000-0008-0000-0800-000081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6" name="Text Box 15">
          <a:extLst>
            <a:ext uri="{FF2B5EF4-FFF2-40B4-BE49-F238E27FC236}">
              <a16:creationId xmlns:a16="http://schemas.microsoft.com/office/drawing/2014/main" id="{00000000-0008-0000-0800-000082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7" name="Text Box 15">
          <a:extLst>
            <a:ext uri="{FF2B5EF4-FFF2-40B4-BE49-F238E27FC236}">
              <a16:creationId xmlns:a16="http://schemas.microsoft.com/office/drawing/2014/main" id="{00000000-0008-0000-0800-000083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178" name="Text Box 15">
          <a:extLst>
            <a:ext uri="{FF2B5EF4-FFF2-40B4-BE49-F238E27FC236}">
              <a16:creationId xmlns:a16="http://schemas.microsoft.com/office/drawing/2014/main" id="{00000000-0008-0000-0800-000084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79" name="Text Box 15">
          <a:extLst>
            <a:ext uri="{FF2B5EF4-FFF2-40B4-BE49-F238E27FC236}">
              <a16:creationId xmlns:a16="http://schemas.microsoft.com/office/drawing/2014/main" id="{00000000-0008-0000-0800-000085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0" name="Text Box 15">
          <a:extLst>
            <a:ext uri="{FF2B5EF4-FFF2-40B4-BE49-F238E27FC236}">
              <a16:creationId xmlns:a16="http://schemas.microsoft.com/office/drawing/2014/main" id="{00000000-0008-0000-0800-000086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1" name="Text Box 15">
          <a:extLst>
            <a:ext uri="{FF2B5EF4-FFF2-40B4-BE49-F238E27FC236}">
              <a16:creationId xmlns:a16="http://schemas.microsoft.com/office/drawing/2014/main" id="{00000000-0008-0000-0800-000087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2" name="Text Box 15">
          <a:extLst>
            <a:ext uri="{FF2B5EF4-FFF2-40B4-BE49-F238E27FC236}">
              <a16:creationId xmlns:a16="http://schemas.microsoft.com/office/drawing/2014/main" id="{00000000-0008-0000-0800-000088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3" name="Text Box 15">
          <a:extLst>
            <a:ext uri="{FF2B5EF4-FFF2-40B4-BE49-F238E27FC236}">
              <a16:creationId xmlns:a16="http://schemas.microsoft.com/office/drawing/2014/main" id="{00000000-0008-0000-0800-000089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4" name="Text Box 15">
          <a:extLst>
            <a:ext uri="{FF2B5EF4-FFF2-40B4-BE49-F238E27FC236}">
              <a16:creationId xmlns:a16="http://schemas.microsoft.com/office/drawing/2014/main" id="{00000000-0008-0000-0800-00008A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5" name="Text Box 15">
          <a:extLst>
            <a:ext uri="{FF2B5EF4-FFF2-40B4-BE49-F238E27FC236}">
              <a16:creationId xmlns:a16="http://schemas.microsoft.com/office/drawing/2014/main" id="{00000000-0008-0000-0800-00008B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186" name="Text Box 15">
          <a:extLst>
            <a:ext uri="{FF2B5EF4-FFF2-40B4-BE49-F238E27FC236}">
              <a16:creationId xmlns:a16="http://schemas.microsoft.com/office/drawing/2014/main" id="{00000000-0008-0000-0800-00008C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87" name="Text Box 15">
          <a:extLst>
            <a:ext uri="{FF2B5EF4-FFF2-40B4-BE49-F238E27FC236}">
              <a16:creationId xmlns:a16="http://schemas.microsoft.com/office/drawing/2014/main" id="{00000000-0008-0000-0800-00008D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88" name="Text Box 15">
          <a:extLst>
            <a:ext uri="{FF2B5EF4-FFF2-40B4-BE49-F238E27FC236}">
              <a16:creationId xmlns:a16="http://schemas.microsoft.com/office/drawing/2014/main" id="{00000000-0008-0000-0800-00008E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89" name="Text Box 15">
          <a:extLst>
            <a:ext uri="{FF2B5EF4-FFF2-40B4-BE49-F238E27FC236}">
              <a16:creationId xmlns:a16="http://schemas.microsoft.com/office/drawing/2014/main" id="{00000000-0008-0000-0800-00008F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90" name="Text Box 15">
          <a:extLst>
            <a:ext uri="{FF2B5EF4-FFF2-40B4-BE49-F238E27FC236}">
              <a16:creationId xmlns:a16="http://schemas.microsoft.com/office/drawing/2014/main" id="{00000000-0008-0000-0800-000090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91" name="Text Box 15">
          <a:extLst>
            <a:ext uri="{FF2B5EF4-FFF2-40B4-BE49-F238E27FC236}">
              <a16:creationId xmlns:a16="http://schemas.microsoft.com/office/drawing/2014/main" id="{00000000-0008-0000-0800-000091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92" name="Text Box 15">
          <a:extLst>
            <a:ext uri="{FF2B5EF4-FFF2-40B4-BE49-F238E27FC236}">
              <a16:creationId xmlns:a16="http://schemas.microsoft.com/office/drawing/2014/main" id="{00000000-0008-0000-0800-000092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93" name="Text Box 15">
          <a:extLst>
            <a:ext uri="{FF2B5EF4-FFF2-40B4-BE49-F238E27FC236}">
              <a16:creationId xmlns:a16="http://schemas.microsoft.com/office/drawing/2014/main" id="{00000000-0008-0000-0800-000093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194" name="Text Box 15">
          <a:extLst>
            <a:ext uri="{FF2B5EF4-FFF2-40B4-BE49-F238E27FC236}">
              <a16:creationId xmlns:a16="http://schemas.microsoft.com/office/drawing/2014/main" id="{00000000-0008-0000-0800-000094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195" name="Text Box 15">
          <a:extLst>
            <a:ext uri="{FF2B5EF4-FFF2-40B4-BE49-F238E27FC236}">
              <a16:creationId xmlns:a16="http://schemas.microsoft.com/office/drawing/2014/main" id="{00000000-0008-0000-0800-000095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196" name="Text Box 15">
          <a:extLst>
            <a:ext uri="{FF2B5EF4-FFF2-40B4-BE49-F238E27FC236}">
              <a16:creationId xmlns:a16="http://schemas.microsoft.com/office/drawing/2014/main" id="{00000000-0008-0000-0800-000096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197" name="Text Box 15">
          <a:extLst>
            <a:ext uri="{FF2B5EF4-FFF2-40B4-BE49-F238E27FC236}">
              <a16:creationId xmlns:a16="http://schemas.microsoft.com/office/drawing/2014/main" id="{00000000-0008-0000-0800-000097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198" name="Text Box 15">
          <a:extLst>
            <a:ext uri="{FF2B5EF4-FFF2-40B4-BE49-F238E27FC236}">
              <a16:creationId xmlns:a16="http://schemas.microsoft.com/office/drawing/2014/main" id="{00000000-0008-0000-0800-000098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199" name="Text Box 15">
          <a:extLst>
            <a:ext uri="{FF2B5EF4-FFF2-40B4-BE49-F238E27FC236}">
              <a16:creationId xmlns:a16="http://schemas.microsoft.com/office/drawing/2014/main" id="{00000000-0008-0000-0800-000099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00" name="Text Box 15">
          <a:extLst>
            <a:ext uri="{FF2B5EF4-FFF2-40B4-BE49-F238E27FC236}">
              <a16:creationId xmlns:a16="http://schemas.microsoft.com/office/drawing/2014/main" id="{00000000-0008-0000-0800-00009A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01" name="Text Box 15">
          <a:extLst>
            <a:ext uri="{FF2B5EF4-FFF2-40B4-BE49-F238E27FC236}">
              <a16:creationId xmlns:a16="http://schemas.microsoft.com/office/drawing/2014/main" id="{00000000-0008-0000-0800-00009B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02" name="Text Box 15">
          <a:extLst>
            <a:ext uri="{FF2B5EF4-FFF2-40B4-BE49-F238E27FC236}">
              <a16:creationId xmlns:a16="http://schemas.microsoft.com/office/drawing/2014/main" id="{00000000-0008-0000-0800-00009C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3" name="Text Box 15">
          <a:extLst>
            <a:ext uri="{FF2B5EF4-FFF2-40B4-BE49-F238E27FC236}">
              <a16:creationId xmlns:a16="http://schemas.microsoft.com/office/drawing/2014/main" id="{00000000-0008-0000-0800-00009D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4" name="Text Box 15">
          <a:extLst>
            <a:ext uri="{FF2B5EF4-FFF2-40B4-BE49-F238E27FC236}">
              <a16:creationId xmlns:a16="http://schemas.microsoft.com/office/drawing/2014/main" id="{00000000-0008-0000-0800-00009E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5" name="Text Box 15">
          <a:extLst>
            <a:ext uri="{FF2B5EF4-FFF2-40B4-BE49-F238E27FC236}">
              <a16:creationId xmlns:a16="http://schemas.microsoft.com/office/drawing/2014/main" id="{00000000-0008-0000-0800-00009F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6" name="Text Box 15">
          <a:extLst>
            <a:ext uri="{FF2B5EF4-FFF2-40B4-BE49-F238E27FC236}">
              <a16:creationId xmlns:a16="http://schemas.microsoft.com/office/drawing/2014/main" id="{00000000-0008-0000-0800-0000A0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7" name="Text Box 15">
          <a:extLst>
            <a:ext uri="{FF2B5EF4-FFF2-40B4-BE49-F238E27FC236}">
              <a16:creationId xmlns:a16="http://schemas.microsoft.com/office/drawing/2014/main" id="{00000000-0008-0000-0800-0000A1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8" name="Text Box 15">
          <a:extLst>
            <a:ext uri="{FF2B5EF4-FFF2-40B4-BE49-F238E27FC236}">
              <a16:creationId xmlns:a16="http://schemas.microsoft.com/office/drawing/2014/main" id="{00000000-0008-0000-0800-0000A2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09" name="Text Box 15">
          <a:extLst>
            <a:ext uri="{FF2B5EF4-FFF2-40B4-BE49-F238E27FC236}">
              <a16:creationId xmlns:a16="http://schemas.microsoft.com/office/drawing/2014/main" id="{00000000-0008-0000-0800-0000A3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2210" name="Text Box 15">
          <a:extLst>
            <a:ext uri="{FF2B5EF4-FFF2-40B4-BE49-F238E27FC236}">
              <a16:creationId xmlns:a16="http://schemas.microsoft.com/office/drawing/2014/main" id="{00000000-0008-0000-0800-0000A408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1" name="Text Box 15">
          <a:extLst>
            <a:ext uri="{FF2B5EF4-FFF2-40B4-BE49-F238E27FC236}">
              <a16:creationId xmlns:a16="http://schemas.microsoft.com/office/drawing/2014/main" id="{00000000-0008-0000-0800-0000A5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2" name="Text Box 15">
          <a:extLst>
            <a:ext uri="{FF2B5EF4-FFF2-40B4-BE49-F238E27FC236}">
              <a16:creationId xmlns:a16="http://schemas.microsoft.com/office/drawing/2014/main" id="{00000000-0008-0000-0800-0000A6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3" name="Text Box 15">
          <a:extLst>
            <a:ext uri="{FF2B5EF4-FFF2-40B4-BE49-F238E27FC236}">
              <a16:creationId xmlns:a16="http://schemas.microsoft.com/office/drawing/2014/main" id="{00000000-0008-0000-0800-0000A7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4" name="Text Box 15">
          <a:extLst>
            <a:ext uri="{FF2B5EF4-FFF2-40B4-BE49-F238E27FC236}">
              <a16:creationId xmlns:a16="http://schemas.microsoft.com/office/drawing/2014/main" id="{00000000-0008-0000-0800-0000A8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5" name="Text Box 15">
          <a:extLst>
            <a:ext uri="{FF2B5EF4-FFF2-40B4-BE49-F238E27FC236}">
              <a16:creationId xmlns:a16="http://schemas.microsoft.com/office/drawing/2014/main" id="{00000000-0008-0000-0800-0000A9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6" name="Text Box 15">
          <a:extLst>
            <a:ext uri="{FF2B5EF4-FFF2-40B4-BE49-F238E27FC236}">
              <a16:creationId xmlns:a16="http://schemas.microsoft.com/office/drawing/2014/main" id="{00000000-0008-0000-0800-0000AA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2217" name="Text Box 15">
          <a:extLst>
            <a:ext uri="{FF2B5EF4-FFF2-40B4-BE49-F238E27FC236}">
              <a16:creationId xmlns:a16="http://schemas.microsoft.com/office/drawing/2014/main" id="{00000000-0008-0000-0800-0000AB08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18" name="Text Box 15">
          <a:extLst>
            <a:ext uri="{FF2B5EF4-FFF2-40B4-BE49-F238E27FC236}">
              <a16:creationId xmlns:a16="http://schemas.microsoft.com/office/drawing/2014/main" id="{00000000-0008-0000-0800-0000AC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19" name="Text Box 15">
          <a:extLst>
            <a:ext uri="{FF2B5EF4-FFF2-40B4-BE49-F238E27FC236}">
              <a16:creationId xmlns:a16="http://schemas.microsoft.com/office/drawing/2014/main" id="{00000000-0008-0000-0800-0000AD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0" name="Text Box 15">
          <a:extLst>
            <a:ext uri="{FF2B5EF4-FFF2-40B4-BE49-F238E27FC236}">
              <a16:creationId xmlns:a16="http://schemas.microsoft.com/office/drawing/2014/main" id="{00000000-0008-0000-0800-0000AE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1" name="Text Box 15">
          <a:extLst>
            <a:ext uri="{FF2B5EF4-FFF2-40B4-BE49-F238E27FC236}">
              <a16:creationId xmlns:a16="http://schemas.microsoft.com/office/drawing/2014/main" id="{00000000-0008-0000-0800-0000AF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2" name="Text Box 15">
          <a:extLst>
            <a:ext uri="{FF2B5EF4-FFF2-40B4-BE49-F238E27FC236}">
              <a16:creationId xmlns:a16="http://schemas.microsoft.com/office/drawing/2014/main" id="{00000000-0008-0000-0800-0000B0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3" name="Text Box 15">
          <a:extLst>
            <a:ext uri="{FF2B5EF4-FFF2-40B4-BE49-F238E27FC236}">
              <a16:creationId xmlns:a16="http://schemas.microsoft.com/office/drawing/2014/main" id="{00000000-0008-0000-0800-0000B1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4" name="Text Box 15">
          <a:extLst>
            <a:ext uri="{FF2B5EF4-FFF2-40B4-BE49-F238E27FC236}">
              <a16:creationId xmlns:a16="http://schemas.microsoft.com/office/drawing/2014/main" id="{00000000-0008-0000-0800-0000B2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2225" name="Text Box 15">
          <a:extLst>
            <a:ext uri="{FF2B5EF4-FFF2-40B4-BE49-F238E27FC236}">
              <a16:creationId xmlns:a16="http://schemas.microsoft.com/office/drawing/2014/main" id="{00000000-0008-0000-0800-0000B308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26" name="Text Box 15">
          <a:extLst>
            <a:ext uri="{FF2B5EF4-FFF2-40B4-BE49-F238E27FC236}">
              <a16:creationId xmlns:a16="http://schemas.microsoft.com/office/drawing/2014/main" id="{00000000-0008-0000-0800-0000B4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27" name="Text Box 15">
          <a:extLst>
            <a:ext uri="{FF2B5EF4-FFF2-40B4-BE49-F238E27FC236}">
              <a16:creationId xmlns:a16="http://schemas.microsoft.com/office/drawing/2014/main" id="{00000000-0008-0000-0800-0000B5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28" name="Text Box 15">
          <a:extLst>
            <a:ext uri="{FF2B5EF4-FFF2-40B4-BE49-F238E27FC236}">
              <a16:creationId xmlns:a16="http://schemas.microsoft.com/office/drawing/2014/main" id="{00000000-0008-0000-0800-0000B6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29" name="Text Box 15">
          <a:extLst>
            <a:ext uri="{FF2B5EF4-FFF2-40B4-BE49-F238E27FC236}">
              <a16:creationId xmlns:a16="http://schemas.microsoft.com/office/drawing/2014/main" id="{00000000-0008-0000-0800-0000B7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30" name="Text Box 15">
          <a:extLst>
            <a:ext uri="{FF2B5EF4-FFF2-40B4-BE49-F238E27FC236}">
              <a16:creationId xmlns:a16="http://schemas.microsoft.com/office/drawing/2014/main" id="{00000000-0008-0000-0800-0000B8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31" name="Text Box 15">
          <a:extLst>
            <a:ext uri="{FF2B5EF4-FFF2-40B4-BE49-F238E27FC236}">
              <a16:creationId xmlns:a16="http://schemas.microsoft.com/office/drawing/2014/main" id="{00000000-0008-0000-0800-0000B9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32" name="Text Box 15">
          <a:extLst>
            <a:ext uri="{FF2B5EF4-FFF2-40B4-BE49-F238E27FC236}">
              <a16:creationId xmlns:a16="http://schemas.microsoft.com/office/drawing/2014/main" id="{00000000-0008-0000-0800-0000BA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2233" name="Text Box 15">
          <a:extLst>
            <a:ext uri="{FF2B5EF4-FFF2-40B4-BE49-F238E27FC236}">
              <a16:creationId xmlns:a16="http://schemas.microsoft.com/office/drawing/2014/main" id="{00000000-0008-0000-0800-0000BB08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4" name="Text Box 15">
          <a:extLst>
            <a:ext uri="{FF2B5EF4-FFF2-40B4-BE49-F238E27FC236}">
              <a16:creationId xmlns:a16="http://schemas.microsoft.com/office/drawing/2014/main" id="{00000000-0008-0000-0800-0000BC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5" name="Text Box 15">
          <a:extLst>
            <a:ext uri="{FF2B5EF4-FFF2-40B4-BE49-F238E27FC236}">
              <a16:creationId xmlns:a16="http://schemas.microsoft.com/office/drawing/2014/main" id="{00000000-0008-0000-0800-0000BD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6" name="Text Box 15">
          <a:extLst>
            <a:ext uri="{FF2B5EF4-FFF2-40B4-BE49-F238E27FC236}">
              <a16:creationId xmlns:a16="http://schemas.microsoft.com/office/drawing/2014/main" id="{00000000-0008-0000-0800-0000BE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7" name="Text Box 15">
          <a:extLst>
            <a:ext uri="{FF2B5EF4-FFF2-40B4-BE49-F238E27FC236}">
              <a16:creationId xmlns:a16="http://schemas.microsoft.com/office/drawing/2014/main" id="{00000000-0008-0000-0800-0000BF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8" name="Text Box 15">
          <a:extLst>
            <a:ext uri="{FF2B5EF4-FFF2-40B4-BE49-F238E27FC236}">
              <a16:creationId xmlns:a16="http://schemas.microsoft.com/office/drawing/2014/main" id="{00000000-0008-0000-0800-0000C0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39" name="Text Box 15">
          <a:extLst>
            <a:ext uri="{FF2B5EF4-FFF2-40B4-BE49-F238E27FC236}">
              <a16:creationId xmlns:a16="http://schemas.microsoft.com/office/drawing/2014/main" id="{00000000-0008-0000-0800-0000C1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40" name="Text Box 15">
          <a:extLst>
            <a:ext uri="{FF2B5EF4-FFF2-40B4-BE49-F238E27FC236}">
              <a16:creationId xmlns:a16="http://schemas.microsoft.com/office/drawing/2014/main" id="{00000000-0008-0000-0800-0000C2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41" name="Text Box 15">
          <a:extLst>
            <a:ext uri="{FF2B5EF4-FFF2-40B4-BE49-F238E27FC236}">
              <a16:creationId xmlns:a16="http://schemas.microsoft.com/office/drawing/2014/main" id="{00000000-0008-0000-0800-0000C3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2" name="Text Box 15">
          <a:extLst>
            <a:ext uri="{FF2B5EF4-FFF2-40B4-BE49-F238E27FC236}">
              <a16:creationId xmlns:a16="http://schemas.microsoft.com/office/drawing/2014/main" id="{00000000-0008-0000-0800-0000C4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3" name="Text Box 15">
          <a:extLst>
            <a:ext uri="{FF2B5EF4-FFF2-40B4-BE49-F238E27FC236}">
              <a16:creationId xmlns:a16="http://schemas.microsoft.com/office/drawing/2014/main" id="{00000000-0008-0000-0800-0000C5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4" name="Text Box 15">
          <a:extLst>
            <a:ext uri="{FF2B5EF4-FFF2-40B4-BE49-F238E27FC236}">
              <a16:creationId xmlns:a16="http://schemas.microsoft.com/office/drawing/2014/main" id="{00000000-0008-0000-0800-0000C6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5" name="Text Box 15">
          <a:extLst>
            <a:ext uri="{FF2B5EF4-FFF2-40B4-BE49-F238E27FC236}">
              <a16:creationId xmlns:a16="http://schemas.microsoft.com/office/drawing/2014/main" id="{00000000-0008-0000-0800-0000C7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6" name="Text Box 15">
          <a:extLst>
            <a:ext uri="{FF2B5EF4-FFF2-40B4-BE49-F238E27FC236}">
              <a16:creationId xmlns:a16="http://schemas.microsoft.com/office/drawing/2014/main" id="{00000000-0008-0000-0800-0000C8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7" name="Text Box 15">
          <a:extLst>
            <a:ext uri="{FF2B5EF4-FFF2-40B4-BE49-F238E27FC236}">
              <a16:creationId xmlns:a16="http://schemas.microsoft.com/office/drawing/2014/main" id="{00000000-0008-0000-0800-0000C9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8" name="Text Box 15">
          <a:extLst>
            <a:ext uri="{FF2B5EF4-FFF2-40B4-BE49-F238E27FC236}">
              <a16:creationId xmlns:a16="http://schemas.microsoft.com/office/drawing/2014/main" id="{00000000-0008-0000-0800-0000CA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49" name="Text Box 15">
          <a:extLst>
            <a:ext uri="{FF2B5EF4-FFF2-40B4-BE49-F238E27FC236}">
              <a16:creationId xmlns:a16="http://schemas.microsoft.com/office/drawing/2014/main" id="{00000000-0008-0000-0800-0000CB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0" name="Text Box 15">
          <a:extLst>
            <a:ext uri="{FF2B5EF4-FFF2-40B4-BE49-F238E27FC236}">
              <a16:creationId xmlns:a16="http://schemas.microsoft.com/office/drawing/2014/main" id="{00000000-0008-0000-0800-0000CC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1" name="Text Box 15">
          <a:extLst>
            <a:ext uri="{FF2B5EF4-FFF2-40B4-BE49-F238E27FC236}">
              <a16:creationId xmlns:a16="http://schemas.microsoft.com/office/drawing/2014/main" id="{00000000-0008-0000-0800-0000CD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2" name="Text Box 15">
          <a:extLst>
            <a:ext uri="{FF2B5EF4-FFF2-40B4-BE49-F238E27FC236}">
              <a16:creationId xmlns:a16="http://schemas.microsoft.com/office/drawing/2014/main" id="{00000000-0008-0000-0800-0000CE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3" name="Text Box 15">
          <a:extLst>
            <a:ext uri="{FF2B5EF4-FFF2-40B4-BE49-F238E27FC236}">
              <a16:creationId xmlns:a16="http://schemas.microsoft.com/office/drawing/2014/main" id="{00000000-0008-0000-0800-0000CF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4" name="Text Box 15">
          <a:extLst>
            <a:ext uri="{FF2B5EF4-FFF2-40B4-BE49-F238E27FC236}">
              <a16:creationId xmlns:a16="http://schemas.microsoft.com/office/drawing/2014/main" id="{00000000-0008-0000-0800-0000D0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5" name="Text Box 15">
          <a:extLst>
            <a:ext uri="{FF2B5EF4-FFF2-40B4-BE49-F238E27FC236}">
              <a16:creationId xmlns:a16="http://schemas.microsoft.com/office/drawing/2014/main" id="{00000000-0008-0000-0800-0000D1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6" name="Text Box 15">
          <a:extLst>
            <a:ext uri="{FF2B5EF4-FFF2-40B4-BE49-F238E27FC236}">
              <a16:creationId xmlns:a16="http://schemas.microsoft.com/office/drawing/2014/main" id="{00000000-0008-0000-0800-0000D2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57" name="Text Box 15">
          <a:extLst>
            <a:ext uri="{FF2B5EF4-FFF2-40B4-BE49-F238E27FC236}">
              <a16:creationId xmlns:a16="http://schemas.microsoft.com/office/drawing/2014/main" id="{00000000-0008-0000-0800-0000D3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58" name="Text Box 15">
          <a:extLst>
            <a:ext uri="{FF2B5EF4-FFF2-40B4-BE49-F238E27FC236}">
              <a16:creationId xmlns:a16="http://schemas.microsoft.com/office/drawing/2014/main" id="{00000000-0008-0000-0800-0000D4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59" name="Text Box 15">
          <a:extLst>
            <a:ext uri="{FF2B5EF4-FFF2-40B4-BE49-F238E27FC236}">
              <a16:creationId xmlns:a16="http://schemas.microsoft.com/office/drawing/2014/main" id="{00000000-0008-0000-0800-0000D5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0" name="Text Box 15">
          <a:extLst>
            <a:ext uri="{FF2B5EF4-FFF2-40B4-BE49-F238E27FC236}">
              <a16:creationId xmlns:a16="http://schemas.microsoft.com/office/drawing/2014/main" id="{00000000-0008-0000-0800-0000D6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1" name="Text Box 15">
          <a:extLst>
            <a:ext uri="{FF2B5EF4-FFF2-40B4-BE49-F238E27FC236}">
              <a16:creationId xmlns:a16="http://schemas.microsoft.com/office/drawing/2014/main" id="{00000000-0008-0000-0800-0000D7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2" name="Text Box 15">
          <a:extLst>
            <a:ext uri="{FF2B5EF4-FFF2-40B4-BE49-F238E27FC236}">
              <a16:creationId xmlns:a16="http://schemas.microsoft.com/office/drawing/2014/main" id="{00000000-0008-0000-0800-0000D8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3" name="Text Box 15">
          <a:extLst>
            <a:ext uri="{FF2B5EF4-FFF2-40B4-BE49-F238E27FC236}">
              <a16:creationId xmlns:a16="http://schemas.microsoft.com/office/drawing/2014/main" id="{00000000-0008-0000-0800-0000D9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4" name="Text Box 15">
          <a:extLst>
            <a:ext uri="{FF2B5EF4-FFF2-40B4-BE49-F238E27FC236}">
              <a16:creationId xmlns:a16="http://schemas.microsoft.com/office/drawing/2014/main" id="{00000000-0008-0000-0800-0000DA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65" name="Text Box 15">
          <a:extLst>
            <a:ext uri="{FF2B5EF4-FFF2-40B4-BE49-F238E27FC236}">
              <a16:creationId xmlns:a16="http://schemas.microsoft.com/office/drawing/2014/main" id="{00000000-0008-0000-0800-0000DB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66" name="Text Box 15">
          <a:extLst>
            <a:ext uri="{FF2B5EF4-FFF2-40B4-BE49-F238E27FC236}">
              <a16:creationId xmlns:a16="http://schemas.microsoft.com/office/drawing/2014/main" id="{00000000-0008-0000-0800-0000DC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67" name="Text Box 15">
          <a:extLst>
            <a:ext uri="{FF2B5EF4-FFF2-40B4-BE49-F238E27FC236}">
              <a16:creationId xmlns:a16="http://schemas.microsoft.com/office/drawing/2014/main" id="{00000000-0008-0000-0800-0000DD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68" name="Text Box 15">
          <a:extLst>
            <a:ext uri="{FF2B5EF4-FFF2-40B4-BE49-F238E27FC236}">
              <a16:creationId xmlns:a16="http://schemas.microsoft.com/office/drawing/2014/main" id="{00000000-0008-0000-0800-0000DE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69" name="Text Box 15">
          <a:extLst>
            <a:ext uri="{FF2B5EF4-FFF2-40B4-BE49-F238E27FC236}">
              <a16:creationId xmlns:a16="http://schemas.microsoft.com/office/drawing/2014/main" id="{00000000-0008-0000-0800-0000DF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70" name="Text Box 15">
          <a:extLst>
            <a:ext uri="{FF2B5EF4-FFF2-40B4-BE49-F238E27FC236}">
              <a16:creationId xmlns:a16="http://schemas.microsoft.com/office/drawing/2014/main" id="{00000000-0008-0000-0800-0000E0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71" name="Text Box 15">
          <a:extLst>
            <a:ext uri="{FF2B5EF4-FFF2-40B4-BE49-F238E27FC236}">
              <a16:creationId xmlns:a16="http://schemas.microsoft.com/office/drawing/2014/main" id="{00000000-0008-0000-0800-0000E1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72" name="Text Box 15">
          <a:extLst>
            <a:ext uri="{FF2B5EF4-FFF2-40B4-BE49-F238E27FC236}">
              <a16:creationId xmlns:a16="http://schemas.microsoft.com/office/drawing/2014/main" id="{00000000-0008-0000-0800-0000E2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73" name="Text Box 15">
          <a:extLst>
            <a:ext uri="{FF2B5EF4-FFF2-40B4-BE49-F238E27FC236}">
              <a16:creationId xmlns:a16="http://schemas.microsoft.com/office/drawing/2014/main" id="{00000000-0008-0000-0800-0000E3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4" name="Text Box 15">
          <a:extLst>
            <a:ext uri="{FF2B5EF4-FFF2-40B4-BE49-F238E27FC236}">
              <a16:creationId xmlns:a16="http://schemas.microsoft.com/office/drawing/2014/main" id="{00000000-0008-0000-0800-0000E4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5" name="Text Box 15">
          <a:extLst>
            <a:ext uri="{FF2B5EF4-FFF2-40B4-BE49-F238E27FC236}">
              <a16:creationId xmlns:a16="http://schemas.microsoft.com/office/drawing/2014/main" id="{00000000-0008-0000-0800-0000E5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6" name="Text Box 15">
          <a:extLst>
            <a:ext uri="{FF2B5EF4-FFF2-40B4-BE49-F238E27FC236}">
              <a16:creationId xmlns:a16="http://schemas.microsoft.com/office/drawing/2014/main" id="{00000000-0008-0000-0800-0000E6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7" name="Text Box 15">
          <a:extLst>
            <a:ext uri="{FF2B5EF4-FFF2-40B4-BE49-F238E27FC236}">
              <a16:creationId xmlns:a16="http://schemas.microsoft.com/office/drawing/2014/main" id="{00000000-0008-0000-0800-0000E7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8" name="Text Box 15">
          <a:extLst>
            <a:ext uri="{FF2B5EF4-FFF2-40B4-BE49-F238E27FC236}">
              <a16:creationId xmlns:a16="http://schemas.microsoft.com/office/drawing/2014/main" id="{00000000-0008-0000-0800-0000E8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79" name="Text Box 15">
          <a:extLst>
            <a:ext uri="{FF2B5EF4-FFF2-40B4-BE49-F238E27FC236}">
              <a16:creationId xmlns:a16="http://schemas.microsoft.com/office/drawing/2014/main" id="{00000000-0008-0000-0800-0000E9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80" name="Text Box 15">
          <a:extLst>
            <a:ext uri="{FF2B5EF4-FFF2-40B4-BE49-F238E27FC236}">
              <a16:creationId xmlns:a16="http://schemas.microsoft.com/office/drawing/2014/main" id="{00000000-0008-0000-0800-0000EA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81" name="Text Box 15">
          <a:extLst>
            <a:ext uri="{FF2B5EF4-FFF2-40B4-BE49-F238E27FC236}">
              <a16:creationId xmlns:a16="http://schemas.microsoft.com/office/drawing/2014/main" id="{00000000-0008-0000-0800-0000EB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2" name="Text Box 15">
          <a:extLst>
            <a:ext uri="{FF2B5EF4-FFF2-40B4-BE49-F238E27FC236}">
              <a16:creationId xmlns:a16="http://schemas.microsoft.com/office/drawing/2014/main" id="{00000000-0008-0000-0800-0000EC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3" name="Text Box 15">
          <a:extLst>
            <a:ext uri="{FF2B5EF4-FFF2-40B4-BE49-F238E27FC236}">
              <a16:creationId xmlns:a16="http://schemas.microsoft.com/office/drawing/2014/main" id="{00000000-0008-0000-0800-0000ED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4" name="Text Box 15">
          <a:extLst>
            <a:ext uri="{FF2B5EF4-FFF2-40B4-BE49-F238E27FC236}">
              <a16:creationId xmlns:a16="http://schemas.microsoft.com/office/drawing/2014/main" id="{00000000-0008-0000-0800-0000EE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5" name="Text Box 15">
          <a:extLst>
            <a:ext uri="{FF2B5EF4-FFF2-40B4-BE49-F238E27FC236}">
              <a16:creationId xmlns:a16="http://schemas.microsoft.com/office/drawing/2014/main" id="{00000000-0008-0000-0800-0000EF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6" name="Text Box 15">
          <a:extLst>
            <a:ext uri="{FF2B5EF4-FFF2-40B4-BE49-F238E27FC236}">
              <a16:creationId xmlns:a16="http://schemas.microsoft.com/office/drawing/2014/main" id="{00000000-0008-0000-0800-0000F0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7" name="Text Box 15">
          <a:extLst>
            <a:ext uri="{FF2B5EF4-FFF2-40B4-BE49-F238E27FC236}">
              <a16:creationId xmlns:a16="http://schemas.microsoft.com/office/drawing/2014/main" id="{00000000-0008-0000-0800-0000F1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8" name="Text Box 15">
          <a:extLst>
            <a:ext uri="{FF2B5EF4-FFF2-40B4-BE49-F238E27FC236}">
              <a16:creationId xmlns:a16="http://schemas.microsoft.com/office/drawing/2014/main" id="{00000000-0008-0000-0800-0000F2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2289" name="Text Box 15">
          <a:extLst>
            <a:ext uri="{FF2B5EF4-FFF2-40B4-BE49-F238E27FC236}">
              <a16:creationId xmlns:a16="http://schemas.microsoft.com/office/drawing/2014/main" id="{00000000-0008-0000-0800-0000F308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0" name="Text Box 15">
          <a:extLst>
            <a:ext uri="{FF2B5EF4-FFF2-40B4-BE49-F238E27FC236}">
              <a16:creationId xmlns:a16="http://schemas.microsoft.com/office/drawing/2014/main" id="{00000000-0008-0000-0800-0000F4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1" name="Text Box 15">
          <a:extLst>
            <a:ext uri="{FF2B5EF4-FFF2-40B4-BE49-F238E27FC236}">
              <a16:creationId xmlns:a16="http://schemas.microsoft.com/office/drawing/2014/main" id="{00000000-0008-0000-0800-0000F5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2" name="Text Box 15">
          <a:extLst>
            <a:ext uri="{FF2B5EF4-FFF2-40B4-BE49-F238E27FC236}">
              <a16:creationId xmlns:a16="http://schemas.microsoft.com/office/drawing/2014/main" id="{00000000-0008-0000-0800-0000F6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3" name="Text Box 15">
          <a:extLst>
            <a:ext uri="{FF2B5EF4-FFF2-40B4-BE49-F238E27FC236}">
              <a16:creationId xmlns:a16="http://schemas.microsoft.com/office/drawing/2014/main" id="{00000000-0008-0000-0800-0000F7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4" name="Text Box 15">
          <a:extLst>
            <a:ext uri="{FF2B5EF4-FFF2-40B4-BE49-F238E27FC236}">
              <a16:creationId xmlns:a16="http://schemas.microsoft.com/office/drawing/2014/main" id="{00000000-0008-0000-0800-0000F8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5" name="Text Box 15">
          <a:extLst>
            <a:ext uri="{FF2B5EF4-FFF2-40B4-BE49-F238E27FC236}">
              <a16:creationId xmlns:a16="http://schemas.microsoft.com/office/drawing/2014/main" id="{00000000-0008-0000-0800-0000F9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2296" name="Text Box 15">
          <a:extLst>
            <a:ext uri="{FF2B5EF4-FFF2-40B4-BE49-F238E27FC236}">
              <a16:creationId xmlns:a16="http://schemas.microsoft.com/office/drawing/2014/main" id="{00000000-0008-0000-0800-0000FA08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297" name="Text Box 15">
          <a:extLst>
            <a:ext uri="{FF2B5EF4-FFF2-40B4-BE49-F238E27FC236}">
              <a16:creationId xmlns:a16="http://schemas.microsoft.com/office/drawing/2014/main" id="{00000000-0008-0000-0800-0000FB08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298" name="Text Box 15">
          <a:extLst>
            <a:ext uri="{FF2B5EF4-FFF2-40B4-BE49-F238E27FC236}">
              <a16:creationId xmlns:a16="http://schemas.microsoft.com/office/drawing/2014/main" id="{00000000-0008-0000-0800-0000FC08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299" name="Text Box 15">
          <a:extLst>
            <a:ext uri="{FF2B5EF4-FFF2-40B4-BE49-F238E27FC236}">
              <a16:creationId xmlns:a16="http://schemas.microsoft.com/office/drawing/2014/main" id="{00000000-0008-0000-0800-0000FD08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00" name="Text Box 15">
          <a:extLst>
            <a:ext uri="{FF2B5EF4-FFF2-40B4-BE49-F238E27FC236}">
              <a16:creationId xmlns:a16="http://schemas.microsoft.com/office/drawing/2014/main" id="{00000000-0008-0000-0800-0000FE08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01" name="Text Box 15">
          <a:extLst>
            <a:ext uri="{FF2B5EF4-FFF2-40B4-BE49-F238E27FC236}">
              <a16:creationId xmlns:a16="http://schemas.microsoft.com/office/drawing/2014/main" id="{00000000-0008-0000-0800-0000FF08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02" name="Text Box 15">
          <a:extLst>
            <a:ext uri="{FF2B5EF4-FFF2-40B4-BE49-F238E27FC236}">
              <a16:creationId xmlns:a16="http://schemas.microsoft.com/office/drawing/2014/main" id="{00000000-0008-0000-0800-000000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03" name="Text Box 15">
          <a:extLst>
            <a:ext uri="{FF2B5EF4-FFF2-40B4-BE49-F238E27FC236}">
              <a16:creationId xmlns:a16="http://schemas.microsoft.com/office/drawing/2014/main" id="{00000000-0008-0000-0800-000001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04" name="Text Box 15">
          <a:extLst>
            <a:ext uri="{FF2B5EF4-FFF2-40B4-BE49-F238E27FC236}">
              <a16:creationId xmlns:a16="http://schemas.microsoft.com/office/drawing/2014/main" id="{00000000-0008-0000-0800-000002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05" name="Text Box 15">
          <a:extLst>
            <a:ext uri="{FF2B5EF4-FFF2-40B4-BE49-F238E27FC236}">
              <a16:creationId xmlns:a16="http://schemas.microsoft.com/office/drawing/2014/main" id="{00000000-0008-0000-0800-000003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06" name="Text Box 15">
          <a:extLst>
            <a:ext uri="{FF2B5EF4-FFF2-40B4-BE49-F238E27FC236}">
              <a16:creationId xmlns:a16="http://schemas.microsoft.com/office/drawing/2014/main" id="{00000000-0008-0000-0800-000004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07" name="Text Box 15">
          <a:extLst>
            <a:ext uri="{FF2B5EF4-FFF2-40B4-BE49-F238E27FC236}">
              <a16:creationId xmlns:a16="http://schemas.microsoft.com/office/drawing/2014/main" id="{00000000-0008-0000-0800-000005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08" name="Text Box 15">
          <a:extLst>
            <a:ext uri="{FF2B5EF4-FFF2-40B4-BE49-F238E27FC236}">
              <a16:creationId xmlns:a16="http://schemas.microsoft.com/office/drawing/2014/main" id="{00000000-0008-0000-0800-000006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09" name="Text Box 15">
          <a:extLst>
            <a:ext uri="{FF2B5EF4-FFF2-40B4-BE49-F238E27FC236}">
              <a16:creationId xmlns:a16="http://schemas.microsoft.com/office/drawing/2014/main" id="{00000000-0008-0000-0800-000007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10" name="Text Box 15">
          <a:extLst>
            <a:ext uri="{FF2B5EF4-FFF2-40B4-BE49-F238E27FC236}">
              <a16:creationId xmlns:a16="http://schemas.microsoft.com/office/drawing/2014/main" id="{00000000-0008-0000-0800-000008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11" name="Text Box 15">
          <a:extLst>
            <a:ext uri="{FF2B5EF4-FFF2-40B4-BE49-F238E27FC236}">
              <a16:creationId xmlns:a16="http://schemas.microsoft.com/office/drawing/2014/main" id="{00000000-0008-0000-0800-000009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12" name="Text Box 15">
          <a:extLst>
            <a:ext uri="{FF2B5EF4-FFF2-40B4-BE49-F238E27FC236}">
              <a16:creationId xmlns:a16="http://schemas.microsoft.com/office/drawing/2014/main" id="{00000000-0008-0000-0800-00000A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3" name="Text Box 15">
          <a:extLst>
            <a:ext uri="{FF2B5EF4-FFF2-40B4-BE49-F238E27FC236}">
              <a16:creationId xmlns:a16="http://schemas.microsoft.com/office/drawing/2014/main" id="{00000000-0008-0000-0800-00000B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4" name="Text Box 15">
          <a:extLst>
            <a:ext uri="{FF2B5EF4-FFF2-40B4-BE49-F238E27FC236}">
              <a16:creationId xmlns:a16="http://schemas.microsoft.com/office/drawing/2014/main" id="{00000000-0008-0000-0800-00000C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5" name="Text Box 15">
          <a:extLst>
            <a:ext uri="{FF2B5EF4-FFF2-40B4-BE49-F238E27FC236}">
              <a16:creationId xmlns:a16="http://schemas.microsoft.com/office/drawing/2014/main" id="{00000000-0008-0000-0800-00000D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6" name="Text Box 15">
          <a:extLst>
            <a:ext uri="{FF2B5EF4-FFF2-40B4-BE49-F238E27FC236}">
              <a16:creationId xmlns:a16="http://schemas.microsoft.com/office/drawing/2014/main" id="{00000000-0008-0000-0800-00000E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7" name="Text Box 15">
          <a:extLst>
            <a:ext uri="{FF2B5EF4-FFF2-40B4-BE49-F238E27FC236}">
              <a16:creationId xmlns:a16="http://schemas.microsoft.com/office/drawing/2014/main" id="{00000000-0008-0000-0800-00000F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8" name="Text Box 15">
          <a:extLst>
            <a:ext uri="{FF2B5EF4-FFF2-40B4-BE49-F238E27FC236}">
              <a16:creationId xmlns:a16="http://schemas.microsoft.com/office/drawing/2014/main" id="{00000000-0008-0000-0800-000010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19" name="Text Box 15">
          <a:extLst>
            <a:ext uri="{FF2B5EF4-FFF2-40B4-BE49-F238E27FC236}">
              <a16:creationId xmlns:a16="http://schemas.microsoft.com/office/drawing/2014/main" id="{00000000-0008-0000-0800-000011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20" name="Text Box 15">
          <a:extLst>
            <a:ext uri="{FF2B5EF4-FFF2-40B4-BE49-F238E27FC236}">
              <a16:creationId xmlns:a16="http://schemas.microsoft.com/office/drawing/2014/main" id="{00000000-0008-0000-0800-000012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1" name="Text Box 15">
          <a:extLst>
            <a:ext uri="{FF2B5EF4-FFF2-40B4-BE49-F238E27FC236}">
              <a16:creationId xmlns:a16="http://schemas.microsoft.com/office/drawing/2014/main" id="{00000000-0008-0000-0800-000013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2" name="Text Box 15">
          <a:extLst>
            <a:ext uri="{FF2B5EF4-FFF2-40B4-BE49-F238E27FC236}">
              <a16:creationId xmlns:a16="http://schemas.microsoft.com/office/drawing/2014/main" id="{00000000-0008-0000-0800-000014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3" name="Text Box 15">
          <a:extLst>
            <a:ext uri="{FF2B5EF4-FFF2-40B4-BE49-F238E27FC236}">
              <a16:creationId xmlns:a16="http://schemas.microsoft.com/office/drawing/2014/main" id="{00000000-0008-0000-0800-000015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4" name="Text Box 15">
          <a:extLst>
            <a:ext uri="{FF2B5EF4-FFF2-40B4-BE49-F238E27FC236}">
              <a16:creationId xmlns:a16="http://schemas.microsoft.com/office/drawing/2014/main" id="{00000000-0008-0000-0800-000016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5" name="Text Box 15">
          <a:extLst>
            <a:ext uri="{FF2B5EF4-FFF2-40B4-BE49-F238E27FC236}">
              <a16:creationId xmlns:a16="http://schemas.microsoft.com/office/drawing/2014/main" id="{00000000-0008-0000-0800-000017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6" name="Text Box 15">
          <a:extLst>
            <a:ext uri="{FF2B5EF4-FFF2-40B4-BE49-F238E27FC236}">
              <a16:creationId xmlns:a16="http://schemas.microsoft.com/office/drawing/2014/main" id="{00000000-0008-0000-0800-000018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7" name="Text Box 15">
          <a:extLst>
            <a:ext uri="{FF2B5EF4-FFF2-40B4-BE49-F238E27FC236}">
              <a16:creationId xmlns:a16="http://schemas.microsoft.com/office/drawing/2014/main" id="{00000000-0008-0000-0800-000019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28" name="Text Box 15">
          <a:extLst>
            <a:ext uri="{FF2B5EF4-FFF2-40B4-BE49-F238E27FC236}">
              <a16:creationId xmlns:a16="http://schemas.microsoft.com/office/drawing/2014/main" id="{00000000-0008-0000-0800-00001A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29" name="Text Box 15">
          <a:extLst>
            <a:ext uri="{FF2B5EF4-FFF2-40B4-BE49-F238E27FC236}">
              <a16:creationId xmlns:a16="http://schemas.microsoft.com/office/drawing/2014/main" id="{00000000-0008-0000-0800-00001B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0" name="Text Box 15">
          <a:extLst>
            <a:ext uri="{FF2B5EF4-FFF2-40B4-BE49-F238E27FC236}">
              <a16:creationId xmlns:a16="http://schemas.microsoft.com/office/drawing/2014/main" id="{00000000-0008-0000-0800-00001C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1" name="Text Box 15">
          <a:extLst>
            <a:ext uri="{FF2B5EF4-FFF2-40B4-BE49-F238E27FC236}">
              <a16:creationId xmlns:a16="http://schemas.microsoft.com/office/drawing/2014/main" id="{00000000-0008-0000-0800-00001D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2" name="Text Box 15">
          <a:extLst>
            <a:ext uri="{FF2B5EF4-FFF2-40B4-BE49-F238E27FC236}">
              <a16:creationId xmlns:a16="http://schemas.microsoft.com/office/drawing/2014/main" id="{00000000-0008-0000-0800-00001E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3" name="Text Box 15">
          <a:extLst>
            <a:ext uri="{FF2B5EF4-FFF2-40B4-BE49-F238E27FC236}">
              <a16:creationId xmlns:a16="http://schemas.microsoft.com/office/drawing/2014/main" id="{00000000-0008-0000-0800-00001F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4" name="Text Box 15">
          <a:extLst>
            <a:ext uri="{FF2B5EF4-FFF2-40B4-BE49-F238E27FC236}">
              <a16:creationId xmlns:a16="http://schemas.microsoft.com/office/drawing/2014/main" id="{00000000-0008-0000-0800-000020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5" name="Text Box 15">
          <a:extLst>
            <a:ext uri="{FF2B5EF4-FFF2-40B4-BE49-F238E27FC236}">
              <a16:creationId xmlns:a16="http://schemas.microsoft.com/office/drawing/2014/main" id="{00000000-0008-0000-0800-000021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36" name="Text Box 15">
          <a:extLst>
            <a:ext uri="{FF2B5EF4-FFF2-40B4-BE49-F238E27FC236}">
              <a16:creationId xmlns:a16="http://schemas.microsoft.com/office/drawing/2014/main" id="{00000000-0008-0000-0800-000022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37" name="Text Box 15">
          <a:extLst>
            <a:ext uri="{FF2B5EF4-FFF2-40B4-BE49-F238E27FC236}">
              <a16:creationId xmlns:a16="http://schemas.microsoft.com/office/drawing/2014/main" id="{00000000-0008-0000-0800-000023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38" name="Text Box 15">
          <a:extLst>
            <a:ext uri="{FF2B5EF4-FFF2-40B4-BE49-F238E27FC236}">
              <a16:creationId xmlns:a16="http://schemas.microsoft.com/office/drawing/2014/main" id="{00000000-0008-0000-0800-000024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39" name="Text Box 15">
          <a:extLst>
            <a:ext uri="{FF2B5EF4-FFF2-40B4-BE49-F238E27FC236}">
              <a16:creationId xmlns:a16="http://schemas.microsoft.com/office/drawing/2014/main" id="{00000000-0008-0000-0800-000025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40" name="Text Box 15">
          <a:extLst>
            <a:ext uri="{FF2B5EF4-FFF2-40B4-BE49-F238E27FC236}">
              <a16:creationId xmlns:a16="http://schemas.microsoft.com/office/drawing/2014/main" id="{00000000-0008-0000-0800-000026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41" name="Text Box 15">
          <a:extLst>
            <a:ext uri="{FF2B5EF4-FFF2-40B4-BE49-F238E27FC236}">
              <a16:creationId xmlns:a16="http://schemas.microsoft.com/office/drawing/2014/main" id="{00000000-0008-0000-0800-000027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42" name="Text Box 15">
          <a:extLst>
            <a:ext uri="{FF2B5EF4-FFF2-40B4-BE49-F238E27FC236}">
              <a16:creationId xmlns:a16="http://schemas.microsoft.com/office/drawing/2014/main" id="{00000000-0008-0000-0800-000028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43" name="Text Box 15">
          <a:extLst>
            <a:ext uri="{FF2B5EF4-FFF2-40B4-BE49-F238E27FC236}">
              <a16:creationId xmlns:a16="http://schemas.microsoft.com/office/drawing/2014/main" id="{00000000-0008-0000-0800-000029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44" name="Text Box 15">
          <a:extLst>
            <a:ext uri="{FF2B5EF4-FFF2-40B4-BE49-F238E27FC236}">
              <a16:creationId xmlns:a16="http://schemas.microsoft.com/office/drawing/2014/main" id="{00000000-0008-0000-0800-00002A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45" name="Text Box 15">
          <a:extLst>
            <a:ext uri="{FF2B5EF4-FFF2-40B4-BE49-F238E27FC236}">
              <a16:creationId xmlns:a16="http://schemas.microsoft.com/office/drawing/2014/main" id="{00000000-0008-0000-0800-00002B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46" name="Text Box 15">
          <a:extLst>
            <a:ext uri="{FF2B5EF4-FFF2-40B4-BE49-F238E27FC236}">
              <a16:creationId xmlns:a16="http://schemas.microsoft.com/office/drawing/2014/main" id="{00000000-0008-0000-0800-00002C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47" name="Text Box 15">
          <a:extLst>
            <a:ext uri="{FF2B5EF4-FFF2-40B4-BE49-F238E27FC236}">
              <a16:creationId xmlns:a16="http://schemas.microsoft.com/office/drawing/2014/main" id="{00000000-0008-0000-0800-00002D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48" name="Text Box 15">
          <a:extLst>
            <a:ext uri="{FF2B5EF4-FFF2-40B4-BE49-F238E27FC236}">
              <a16:creationId xmlns:a16="http://schemas.microsoft.com/office/drawing/2014/main" id="{00000000-0008-0000-0800-00002E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49" name="Text Box 15">
          <a:extLst>
            <a:ext uri="{FF2B5EF4-FFF2-40B4-BE49-F238E27FC236}">
              <a16:creationId xmlns:a16="http://schemas.microsoft.com/office/drawing/2014/main" id="{00000000-0008-0000-0800-00002F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50" name="Text Box 15">
          <a:extLst>
            <a:ext uri="{FF2B5EF4-FFF2-40B4-BE49-F238E27FC236}">
              <a16:creationId xmlns:a16="http://schemas.microsoft.com/office/drawing/2014/main" id="{00000000-0008-0000-0800-000030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51" name="Text Box 15">
          <a:extLst>
            <a:ext uri="{FF2B5EF4-FFF2-40B4-BE49-F238E27FC236}">
              <a16:creationId xmlns:a16="http://schemas.microsoft.com/office/drawing/2014/main" id="{00000000-0008-0000-0800-000031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52" name="Text Box 15">
          <a:extLst>
            <a:ext uri="{FF2B5EF4-FFF2-40B4-BE49-F238E27FC236}">
              <a16:creationId xmlns:a16="http://schemas.microsoft.com/office/drawing/2014/main" id="{00000000-0008-0000-0800-000032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3" name="Text Box 15">
          <a:extLst>
            <a:ext uri="{FF2B5EF4-FFF2-40B4-BE49-F238E27FC236}">
              <a16:creationId xmlns:a16="http://schemas.microsoft.com/office/drawing/2014/main" id="{00000000-0008-0000-0800-000033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4" name="Text Box 15">
          <a:extLst>
            <a:ext uri="{FF2B5EF4-FFF2-40B4-BE49-F238E27FC236}">
              <a16:creationId xmlns:a16="http://schemas.microsoft.com/office/drawing/2014/main" id="{00000000-0008-0000-0800-000034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5" name="Text Box 15">
          <a:extLst>
            <a:ext uri="{FF2B5EF4-FFF2-40B4-BE49-F238E27FC236}">
              <a16:creationId xmlns:a16="http://schemas.microsoft.com/office/drawing/2014/main" id="{00000000-0008-0000-0800-000035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6" name="Text Box 15">
          <a:extLst>
            <a:ext uri="{FF2B5EF4-FFF2-40B4-BE49-F238E27FC236}">
              <a16:creationId xmlns:a16="http://schemas.microsoft.com/office/drawing/2014/main" id="{00000000-0008-0000-0800-000036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7" name="Text Box 15">
          <a:extLst>
            <a:ext uri="{FF2B5EF4-FFF2-40B4-BE49-F238E27FC236}">
              <a16:creationId xmlns:a16="http://schemas.microsoft.com/office/drawing/2014/main" id="{00000000-0008-0000-0800-000037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8" name="Text Box 15">
          <a:extLst>
            <a:ext uri="{FF2B5EF4-FFF2-40B4-BE49-F238E27FC236}">
              <a16:creationId xmlns:a16="http://schemas.microsoft.com/office/drawing/2014/main" id="{00000000-0008-0000-0800-000038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59" name="Text Box 15">
          <a:extLst>
            <a:ext uri="{FF2B5EF4-FFF2-40B4-BE49-F238E27FC236}">
              <a16:creationId xmlns:a16="http://schemas.microsoft.com/office/drawing/2014/main" id="{00000000-0008-0000-0800-000039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360" name="Text Box 15">
          <a:extLst>
            <a:ext uri="{FF2B5EF4-FFF2-40B4-BE49-F238E27FC236}">
              <a16:creationId xmlns:a16="http://schemas.microsoft.com/office/drawing/2014/main" id="{00000000-0008-0000-0800-00003A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1" name="Text Box 15">
          <a:extLst>
            <a:ext uri="{FF2B5EF4-FFF2-40B4-BE49-F238E27FC236}">
              <a16:creationId xmlns:a16="http://schemas.microsoft.com/office/drawing/2014/main" id="{00000000-0008-0000-0800-00003B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2" name="Text Box 15">
          <a:extLst>
            <a:ext uri="{FF2B5EF4-FFF2-40B4-BE49-F238E27FC236}">
              <a16:creationId xmlns:a16="http://schemas.microsoft.com/office/drawing/2014/main" id="{00000000-0008-0000-0800-00003C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3" name="Text Box 15">
          <a:extLst>
            <a:ext uri="{FF2B5EF4-FFF2-40B4-BE49-F238E27FC236}">
              <a16:creationId xmlns:a16="http://schemas.microsoft.com/office/drawing/2014/main" id="{00000000-0008-0000-0800-00003D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4" name="Text Box 15">
          <a:extLst>
            <a:ext uri="{FF2B5EF4-FFF2-40B4-BE49-F238E27FC236}">
              <a16:creationId xmlns:a16="http://schemas.microsoft.com/office/drawing/2014/main" id="{00000000-0008-0000-0800-00003E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5" name="Text Box 15">
          <a:extLst>
            <a:ext uri="{FF2B5EF4-FFF2-40B4-BE49-F238E27FC236}">
              <a16:creationId xmlns:a16="http://schemas.microsoft.com/office/drawing/2014/main" id="{00000000-0008-0000-0800-00003F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6" name="Text Box 15">
          <a:extLst>
            <a:ext uri="{FF2B5EF4-FFF2-40B4-BE49-F238E27FC236}">
              <a16:creationId xmlns:a16="http://schemas.microsoft.com/office/drawing/2014/main" id="{00000000-0008-0000-0800-000040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7" name="Text Box 15">
          <a:extLst>
            <a:ext uri="{FF2B5EF4-FFF2-40B4-BE49-F238E27FC236}">
              <a16:creationId xmlns:a16="http://schemas.microsoft.com/office/drawing/2014/main" id="{00000000-0008-0000-0800-000041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68" name="Text Box 15">
          <a:extLst>
            <a:ext uri="{FF2B5EF4-FFF2-40B4-BE49-F238E27FC236}">
              <a16:creationId xmlns:a16="http://schemas.microsoft.com/office/drawing/2014/main" id="{00000000-0008-0000-0800-000042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69" name="Text Box 15">
          <a:extLst>
            <a:ext uri="{FF2B5EF4-FFF2-40B4-BE49-F238E27FC236}">
              <a16:creationId xmlns:a16="http://schemas.microsoft.com/office/drawing/2014/main" id="{00000000-0008-0000-0800-000043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0" name="Text Box 15">
          <a:extLst>
            <a:ext uri="{FF2B5EF4-FFF2-40B4-BE49-F238E27FC236}">
              <a16:creationId xmlns:a16="http://schemas.microsoft.com/office/drawing/2014/main" id="{00000000-0008-0000-0800-000044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1" name="Text Box 15">
          <a:extLst>
            <a:ext uri="{FF2B5EF4-FFF2-40B4-BE49-F238E27FC236}">
              <a16:creationId xmlns:a16="http://schemas.microsoft.com/office/drawing/2014/main" id="{00000000-0008-0000-0800-000045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2" name="Text Box 15">
          <a:extLst>
            <a:ext uri="{FF2B5EF4-FFF2-40B4-BE49-F238E27FC236}">
              <a16:creationId xmlns:a16="http://schemas.microsoft.com/office/drawing/2014/main" id="{00000000-0008-0000-0800-000046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3" name="Text Box 15">
          <a:extLst>
            <a:ext uri="{FF2B5EF4-FFF2-40B4-BE49-F238E27FC236}">
              <a16:creationId xmlns:a16="http://schemas.microsoft.com/office/drawing/2014/main" id="{00000000-0008-0000-0800-000047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4" name="Text Box 15">
          <a:extLst>
            <a:ext uri="{FF2B5EF4-FFF2-40B4-BE49-F238E27FC236}">
              <a16:creationId xmlns:a16="http://schemas.microsoft.com/office/drawing/2014/main" id="{00000000-0008-0000-0800-000048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5" name="Text Box 15">
          <a:extLst>
            <a:ext uri="{FF2B5EF4-FFF2-40B4-BE49-F238E27FC236}">
              <a16:creationId xmlns:a16="http://schemas.microsoft.com/office/drawing/2014/main" id="{00000000-0008-0000-0800-000049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76" name="Text Box 15">
          <a:extLst>
            <a:ext uri="{FF2B5EF4-FFF2-40B4-BE49-F238E27FC236}">
              <a16:creationId xmlns:a16="http://schemas.microsoft.com/office/drawing/2014/main" id="{00000000-0008-0000-0800-00004A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77" name="Text Box 15">
          <a:extLst>
            <a:ext uri="{FF2B5EF4-FFF2-40B4-BE49-F238E27FC236}">
              <a16:creationId xmlns:a16="http://schemas.microsoft.com/office/drawing/2014/main" id="{00000000-0008-0000-0800-00004B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78" name="Text Box 15">
          <a:extLst>
            <a:ext uri="{FF2B5EF4-FFF2-40B4-BE49-F238E27FC236}">
              <a16:creationId xmlns:a16="http://schemas.microsoft.com/office/drawing/2014/main" id="{00000000-0008-0000-0800-00004C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79" name="Text Box 15">
          <a:extLst>
            <a:ext uri="{FF2B5EF4-FFF2-40B4-BE49-F238E27FC236}">
              <a16:creationId xmlns:a16="http://schemas.microsoft.com/office/drawing/2014/main" id="{00000000-0008-0000-0800-00004D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80" name="Text Box 15">
          <a:extLst>
            <a:ext uri="{FF2B5EF4-FFF2-40B4-BE49-F238E27FC236}">
              <a16:creationId xmlns:a16="http://schemas.microsoft.com/office/drawing/2014/main" id="{00000000-0008-0000-0800-00004E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81" name="Text Box 15">
          <a:extLst>
            <a:ext uri="{FF2B5EF4-FFF2-40B4-BE49-F238E27FC236}">
              <a16:creationId xmlns:a16="http://schemas.microsoft.com/office/drawing/2014/main" id="{00000000-0008-0000-0800-00004F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82" name="Text Box 15">
          <a:extLst>
            <a:ext uri="{FF2B5EF4-FFF2-40B4-BE49-F238E27FC236}">
              <a16:creationId xmlns:a16="http://schemas.microsoft.com/office/drawing/2014/main" id="{00000000-0008-0000-0800-000050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83" name="Text Box 15">
          <a:extLst>
            <a:ext uri="{FF2B5EF4-FFF2-40B4-BE49-F238E27FC236}">
              <a16:creationId xmlns:a16="http://schemas.microsoft.com/office/drawing/2014/main" id="{00000000-0008-0000-0800-000051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2384" name="Text Box 15">
          <a:extLst>
            <a:ext uri="{FF2B5EF4-FFF2-40B4-BE49-F238E27FC236}">
              <a16:creationId xmlns:a16="http://schemas.microsoft.com/office/drawing/2014/main" id="{00000000-0008-0000-0800-00005209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85" name="Text Box 15">
          <a:extLst>
            <a:ext uri="{FF2B5EF4-FFF2-40B4-BE49-F238E27FC236}">
              <a16:creationId xmlns:a16="http://schemas.microsoft.com/office/drawing/2014/main" id="{00000000-0008-0000-0800-000053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86" name="Text Box 15">
          <a:extLst>
            <a:ext uri="{FF2B5EF4-FFF2-40B4-BE49-F238E27FC236}">
              <a16:creationId xmlns:a16="http://schemas.microsoft.com/office/drawing/2014/main" id="{00000000-0008-0000-0800-000054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87" name="Text Box 15">
          <a:extLst>
            <a:ext uri="{FF2B5EF4-FFF2-40B4-BE49-F238E27FC236}">
              <a16:creationId xmlns:a16="http://schemas.microsoft.com/office/drawing/2014/main" id="{00000000-0008-0000-0800-000055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88" name="Text Box 15">
          <a:extLst>
            <a:ext uri="{FF2B5EF4-FFF2-40B4-BE49-F238E27FC236}">
              <a16:creationId xmlns:a16="http://schemas.microsoft.com/office/drawing/2014/main" id="{00000000-0008-0000-0800-000056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89" name="Text Box 15">
          <a:extLst>
            <a:ext uri="{FF2B5EF4-FFF2-40B4-BE49-F238E27FC236}">
              <a16:creationId xmlns:a16="http://schemas.microsoft.com/office/drawing/2014/main" id="{00000000-0008-0000-0800-000057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90" name="Text Box 15">
          <a:extLst>
            <a:ext uri="{FF2B5EF4-FFF2-40B4-BE49-F238E27FC236}">
              <a16:creationId xmlns:a16="http://schemas.microsoft.com/office/drawing/2014/main" id="{00000000-0008-0000-0800-000058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91" name="Text Box 15">
          <a:extLst>
            <a:ext uri="{FF2B5EF4-FFF2-40B4-BE49-F238E27FC236}">
              <a16:creationId xmlns:a16="http://schemas.microsoft.com/office/drawing/2014/main" id="{00000000-0008-0000-0800-000059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2392" name="Text Box 15">
          <a:extLst>
            <a:ext uri="{FF2B5EF4-FFF2-40B4-BE49-F238E27FC236}">
              <a16:creationId xmlns:a16="http://schemas.microsoft.com/office/drawing/2014/main" id="{00000000-0008-0000-0800-00005A09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3" name="Text Box 15">
          <a:extLst>
            <a:ext uri="{FF2B5EF4-FFF2-40B4-BE49-F238E27FC236}">
              <a16:creationId xmlns:a16="http://schemas.microsoft.com/office/drawing/2014/main" id="{00000000-0008-0000-0800-00005B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4" name="Text Box 15">
          <a:extLst>
            <a:ext uri="{FF2B5EF4-FFF2-40B4-BE49-F238E27FC236}">
              <a16:creationId xmlns:a16="http://schemas.microsoft.com/office/drawing/2014/main" id="{00000000-0008-0000-0800-00005C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5" name="Text Box 15">
          <a:extLst>
            <a:ext uri="{FF2B5EF4-FFF2-40B4-BE49-F238E27FC236}">
              <a16:creationId xmlns:a16="http://schemas.microsoft.com/office/drawing/2014/main" id="{00000000-0008-0000-0800-00005D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6" name="Text Box 15">
          <a:extLst>
            <a:ext uri="{FF2B5EF4-FFF2-40B4-BE49-F238E27FC236}">
              <a16:creationId xmlns:a16="http://schemas.microsoft.com/office/drawing/2014/main" id="{00000000-0008-0000-0800-00005E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7" name="Text Box 15">
          <a:extLst>
            <a:ext uri="{FF2B5EF4-FFF2-40B4-BE49-F238E27FC236}">
              <a16:creationId xmlns:a16="http://schemas.microsoft.com/office/drawing/2014/main" id="{00000000-0008-0000-0800-00005F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8" name="Text Box 15">
          <a:extLst>
            <a:ext uri="{FF2B5EF4-FFF2-40B4-BE49-F238E27FC236}">
              <a16:creationId xmlns:a16="http://schemas.microsoft.com/office/drawing/2014/main" id="{00000000-0008-0000-0800-000060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399" name="Text Box 15">
          <a:extLst>
            <a:ext uri="{FF2B5EF4-FFF2-40B4-BE49-F238E27FC236}">
              <a16:creationId xmlns:a16="http://schemas.microsoft.com/office/drawing/2014/main" id="{00000000-0008-0000-0800-000061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00" name="Text Box 15">
          <a:extLst>
            <a:ext uri="{FF2B5EF4-FFF2-40B4-BE49-F238E27FC236}">
              <a16:creationId xmlns:a16="http://schemas.microsoft.com/office/drawing/2014/main" id="{00000000-0008-0000-0800-000062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1" name="Text Box 15">
          <a:extLst>
            <a:ext uri="{FF2B5EF4-FFF2-40B4-BE49-F238E27FC236}">
              <a16:creationId xmlns:a16="http://schemas.microsoft.com/office/drawing/2014/main" id="{00000000-0008-0000-0800-000063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2" name="Text Box 15">
          <a:extLst>
            <a:ext uri="{FF2B5EF4-FFF2-40B4-BE49-F238E27FC236}">
              <a16:creationId xmlns:a16="http://schemas.microsoft.com/office/drawing/2014/main" id="{00000000-0008-0000-0800-000064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3" name="Text Box 15">
          <a:extLst>
            <a:ext uri="{FF2B5EF4-FFF2-40B4-BE49-F238E27FC236}">
              <a16:creationId xmlns:a16="http://schemas.microsoft.com/office/drawing/2014/main" id="{00000000-0008-0000-0800-000065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4" name="Text Box 15">
          <a:extLst>
            <a:ext uri="{FF2B5EF4-FFF2-40B4-BE49-F238E27FC236}">
              <a16:creationId xmlns:a16="http://schemas.microsoft.com/office/drawing/2014/main" id="{00000000-0008-0000-0800-000066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5" name="Text Box 15">
          <a:extLst>
            <a:ext uri="{FF2B5EF4-FFF2-40B4-BE49-F238E27FC236}">
              <a16:creationId xmlns:a16="http://schemas.microsoft.com/office/drawing/2014/main" id="{00000000-0008-0000-0800-000067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6" name="Text Box 15">
          <a:extLst>
            <a:ext uri="{FF2B5EF4-FFF2-40B4-BE49-F238E27FC236}">
              <a16:creationId xmlns:a16="http://schemas.microsoft.com/office/drawing/2014/main" id="{00000000-0008-0000-0800-000068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7" name="Text Box 15">
          <a:extLst>
            <a:ext uri="{FF2B5EF4-FFF2-40B4-BE49-F238E27FC236}">
              <a16:creationId xmlns:a16="http://schemas.microsoft.com/office/drawing/2014/main" id="{00000000-0008-0000-0800-000069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08" name="Text Box 15">
          <a:extLst>
            <a:ext uri="{FF2B5EF4-FFF2-40B4-BE49-F238E27FC236}">
              <a16:creationId xmlns:a16="http://schemas.microsoft.com/office/drawing/2014/main" id="{00000000-0008-0000-0800-00006A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09" name="Text Box 15">
          <a:extLst>
            <a:ext uri="{FF2B5EF4-FFF2-40B4-BE49-F238E27FC236}">
              <a16:creationId xmlns:a16="http://schemas.microsoft.com/office/drawing/2014/main" id="{00000000-0008-0000-0800-00006B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0" name="Text Box 15">
          <a:extLst>
            <a:ext uri="{FF2B5EF4-FFF2-40B4-BE49-F238E27FC236}">
              <a16:creationId xmlns:a16="http://schemas.microsoft.com/office/drawing/2014/main" id="{00000000-0008-0000-0800-00006C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1" name="Text Box 15">
          <a:extLst>
            <a:ext uri="{FF2B5EF4-FFF2-40B4-BE49-F238E27FC236}">
              <a16:creationId xmlns:a16="http://schemas.microsoft.com/office/drawing/2014/main" id="{00000000-0008-0000-0800-00006D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2" name="Text Box 15">
          <a:extLst>
            <a:ext uri="{FF2B5EF4-FFF2-40B4-BE49-F238E27FC236}">
              <a16:creationId xmlns:a16="http://schemas.microsoft.com/office/drawing/2014/main" id="{00000000-0008-0000-0800-00006E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3" name="Text Box 15">
          <a:extLst>
            <a:ext uri="{FF2B5EF4-FFF2-40B4-BE49-F238E27FC236}">
              <a16:creationId xmlns:a16="http://schemas.microsoft.com/office/drawing/2014/main" id="{00000000-0008-0000-0800-00006F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4" name="Text Box 15">
          <a:extLst>
            <a:ext uri="{FF2B5EF4-FFF2-40B4-BE49-F238E27FC236}">
              <a16:creationId xmlns:a16="http://schemas.microsoft.com/office/drawing/2014/main" id="{00000000-0008-0000-0800-000070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5" name="Text Box 15">
          <a:extLst>
            <a:ext uri="{FF2B5EF4-FFF2-40B4-BE49-F238E27FC236}">
              <a16:creationId xmlns:a16="http://schemas.microsoft.com/office/drawing/2014/main" id="{00000000-0008-0000-0800-000071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416" name="Text Box 15">
          <a:extLst>
            <a:ext uri="{FF2B5EF4-FFF2-40B4-BE49-F238E27FC236}">
              <a16:creationId xmlns:a16="http://schemas.microsoft.com/office/drawing/2014/main" id="{00000000-0008-0000-0800-00007209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17" name="Text Box 15">
          <a:extLst>
            <a:ext uri="{FF2B5EF4-FFF2-40B4-BE49-F238E27FC236}">
              <a16:creationId xmlns:a16="http://schemas.microsoft.com/office/drawing/2014/main" id="{00000000-0008-0000-0800-000073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18" name="Text Box 15">
          <a:extLst>
            <a:ext uri="{FF2B5EF4-FFF2-40B4-BE49-F238E27FC236}">
              <a16:creationId xmlns:a16="http://schemas.microsoft.com/office/drawing/2014/main" id="{00000000-0008-0000-0800-000074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19" name="Text Box 15">
          <a:extLst>
            <a:ext uri="{FF2B5EF4-FFF2-40B4-BE49-F238E27FC236}">
              <a16:creationId xmlns:a16="http://schemas.microsoft.com/office/drawing/2014/main" id="{00000000-0008-0000-0800-000075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20" name="Text Box 15">
          <a:extLst>
            <a:ext uri="{FF2B5EF4-FFF2-40B4-BE49-F238E27FC236}">
              <a16:creationId xmlns:a16="http://schemas.microsoft.com/office/drawing/2014/main" id="{00000000-0008-0000-0800-000076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21" name="Text Box 15">
          <a:extLst>
            <a:ext uri="{FF2B5EF4-FFF2-40B4-BE49-F238E27FC236}">
              <a16:creationId xmlns:a16="http://schemas.microsoft.com/office/drawing/2014/main" id="{00000000-0008-0000-0800-000077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22" name="Text Box 15">
          <a:extLst>
            <a:ext uri="{FF2B5EF4-FFF2-40B4-BE49-F238E27FC236}">
              <a16:creationId xmlns:a16="http://schemas.microsoft.com/office/drawing/2014/main" id="{00000000-0008-0000-0800-000078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23" name="Text Box 15">
          <a:extLst>
            <a:ext uri="{FF2B5EF4-FFF2-40B4-BE49-F238E27FC236}">
              <a16:creationId xmlns:a16="http://schemas.microsoft.com/office/drawing/2014/main" id="{00000000-0008-0000-0800-000079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424" name="Text Box 15">
          <a:extLst>
            <a:ext uri="{FF2B5EF4-FFF2-40B4-BE49-F238E27FC236}">
              <a16:creationId xmlns:a16="http://schemas.microsoft.com/office/drawing/2014/main" id="{00000000-0008-0000-0800-00007A09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25" name="Text Box 15">
          <a:extLst>
            <a:ext uri="{FF2B5EF4-FFF2-40B4-BE49-F238E27FC236}">
              <a16:creationId xmlns:a16="http://schemas.microsoft.com/office/drawing/2014/main" id="{00000000-0008-0000-0800-00007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26" name="Text Box 15">
          <a:extLst>
            <a:ext uri="{FF2B5EF4-FFF2-40B4-BE49-F238E27FC236}">
              <a16:creationId xmlns:a16="http://schemas.microsoft.com/office/drawing/2014/main" id="{00000000-0008-0000-0800-00007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27" name="Text Box 15">
          <a:extLst>
            <a:ext uri="{FF2B5EF4-FFF2-40B4-BE49-F238E27FC236}">
              <a16:creationId xmlns:a16="http://schemas.microsoft.com/office/drawing/2014/main" id="{00000000-0008-0000-0800-00007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28" name="Text Box 15">
          <a:extLst>
            <a:ext uri="{FF2B5EF4-FFF2-40B4-BE49-F238E27FC236}">
              <a16:creationId xmlns:a16="http://schemas.microsoft.com/office/drawing/2014/main" id="{00000000-0008-0000-0800-00007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29" name="Text Box 15">
          <a:extLst>
            <a:ext uri="{FF2B5EF4-FFF2-40B4-BE49-F238E27FC236}">
              <a16:creationId xmlns:a16="http://schemas.microsoft.com/office/drawing/2014/main" id="{00000000-0008-0000-0800-00007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30" name="Text Box 15">
          <a:extLst>
            <a:ext uri="{FF2B5EF4-FFF2-40B4-BE49-F238E27FC236}">
              <a16:creationId xmlns:a16="http://schemas.microsoft.com/office/drawing/2014/main" id="{00000000-0008-0000-0800-00008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31" name="Text Box 15">
          <a:extLst>
            <a:ext uri="{FF2B5EF4-FFF2-40B4-BE49-F238E27FC236}">
              <a16:creationId xmlns:a16="http://schemas.microsoft.com/office/drawing/2014/main" id="{00000000-0008-0000-0800-00008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32" name="Text Box 15">
          <a:extLst>
            <a:ext uri="{FF2B5EF4-FFF2-40B4-BE49-F238E27FC236}">
              <a16:creationId xmlns:a16="http://schemas.microsoft.com/office/drawing/2014/main" id="{00000000-0008-0000-0800-00008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3" name="Text Box 15">
          <a:extLst>
            <a:ext uri="{FF2B5EF4-FFF2-40B4-BE49-F238E27FC236}">
              <a16:creationId xmlns:a16="http://schemas.microsoft.com/office/drawing/2014/main" id="{00000000-0008-0000-0800-00008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4" name="Text Box 15">
          <a:extLst>
            <a:ext uri="{FF2B5EF4-FFF2-40B4-BE49-F238E27FC236}">
              <a16:creationId xmlns:a16="http://schemas.microsoft.com/office/drawing/2014/main" id="{00000000-0008-0000-0800-00008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5" name="Text Box 15">
          <a:extLst>
            <a:ext uri="{FF2B5EF4-FFF2-40B4-BE49-F238E27FC236}">
              <a16:creationId xmlns:a16="http://schemas.microsoft.com/office/drawing/2014/main" id="{00000000-0008-0000-0800-00008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6" name="Text Box 15">
          <a:extLst>
            <a:ext uri="{FF2B5EF4-FFF2-40B4-BE49-F238E27FC236}">
              <a16:creationId xmlns:a16="http://schemas.microsoft.com/office/drawing/2014/main" id="{00000000-0008-0000-0800-00008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7" name="Text Box 15">
          <a:extLst>
            <a:ext uri="{FF2B5EF4-FFF2-40B4-BE49-F238E27FC236}">
              <a16:creationId xmlns:a16="http://schemas.microsoft.com/office/drawing/2014/main" id="{00000000-0008-0000-0800-00008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8" name="Text Box 15">
          <a:extLst>
            <a:ext uri="{FF2B5EF4-FFF2-40B4-BE49-F238E27FC236}">
              <a16:creationId xmlns:a16="http://schemas.microsoft.com/office/drawing/2014/main" id="{00000000-0008-0000-0800-00008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39" name="Text Box 15">
          <a:extLst>
            <a:ext uri="{FF2B5EF4-FFF2-40B4-BE49-F238E27FC236}">
              <a16:creationId xmlns:a16="http://schemas.microsoft.com/office/drawing/2014/main" id="{00000000-0008-0000-0800-00008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40" name="Text Box 15">
          <a:extLst>
            <a:ext uri="{FF2B5EF4-FFF2-40B4-BE49-F238E27FC236}">
              <a16:creationId xmlns:a16="http://schemas.microsoft.com/office/drawing/2014/main" id="{00000000-0008-0000-0800-00008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1" name="Text Box 15">
          <a:extLst>
            <a:ext uri="{FF2B5EF4-FFF2-40B4-BE49-F238E27FC236}">
              <a16:creationId xmlns:a16="http://schemas.microsoft.com/office/drawing/2014/main" id="{00000000-0008-0000-0800-00008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2" name="Text Box 15">
          <a:extLst>
            <a:ext uri="{FF2B5EF4-FFF2-40B4-BE49-F238E27FC236}">
              <a16:creationId xmlns:a16="http://schemas.microsoft.com/office/drawing/2014/main" id="{00000000-0008-0000-0800-00008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3" name="Text Box 15">
          <a:extLst>
            <a:ext uri="{FF2B5EF4-FFF2-40B4-BE49-F238E27FC236}">
              <a16:creationId xmlns:a16="http://schemas.microsoft.com/office/drawing/2014/main" id="{00000000-0008-0000-0800-00008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4" name="Text Box 15">
          <a:extLst>
            <a:ext uri="{FF2B5EF4-FFF2-40B4-BE49-F238E27FC236}">
              <a16:creationId xmlns:a16="http://schemas.microsoft.com/office/drawing/2014/main" id="{00000000-0008-0000-0800-00008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5" name="Text Box 15">
          <a:extLst>
            <a:ext uri="{FF2B5EF4-FFF2-40B4-BE49-F238E27FC236}">
              <a16:creationId xmlns:a16="http://schemas.microsoft.com/office/drawing/2014/main" id="{00000000-0008-0000-0800-00008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6" name="Text Box 15">
          <a:extLst>
            <a:ext uri="{FF2B5EF4-FFF2-40B4-BE49-F238E27FC236}">
              <a16:creationId xmlns:a16="http://schemas.microsoft.com/office/drawing/2014/main" id="{00000000-0008-0000-0800-00009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7" name="Text Box 15">
          <a:extLst>
            <a:ext uri="{FF2B5EF4-FFF2-40B4-BE49-F238E27FC236}">
              <a16:creationId xmlns:a16="http://schemas.microsoft.com/office/drawing/2014/main" id="{00000000-0008-0000-0800-00009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48" name="Text Box 15">
          <a:extLst>
            <a:ext uri="{FF2B5EF4-FFF2-40B4-BE49-F238E27FC236}">
              <a16:creationId xmlns:a16="http://schemas.microsoft.com/office/drawing/2014/main" id="{00000000-0008-0000-0800-00009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49" name="Text Box 15">
          <a:extLst>
            <a:ext uri="{FF2B5EF4-FFF2-40B4-BE49-F238E27FC236}">
              <a16:creationId xmlns:a16="http://schemas.microsoft.com/office/drawing/2014/main" id="{00000000-0008-0000-0800-00009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0" name="Text Box 15">
          <a:extLst>
            <a:ext uri="{FF2B5EF4-FFF2-40B4-BE49-F238E27FC236}">
              <a16:creationId xmlns:a16="http://schemas.microsoft.com/office/drawing/2014/main" id="{00000000-0008-0000-0800-00009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1" name="Text Box 15">
          <a:extLst>
            <a:ext uri="{FF2B5EF4-FFF2-40B4-BE49-F238E27FC236}">
              <a16:creationId xmlns:a16="http://schemas.microsoft.com/office/drawing/2014/main" id="{00000000-0008-0000-0800-00009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2" name="Text Box 15">
          <a:extLst>
            <a:ext uri="{FF2B5EF4-FFF2-40B4-BE49-F238E27FC236}">
              <a16:creationId xmlns:a16="http://schemas.microsoft.com/office/drawing/2014/main" id="{00000000-0008-0000-0800-00009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3" name="Text Box 15">
          <a:extLst>
            <a:ext uri="{FF2B5EF4-FFF2-40B4-BE49-F238E27FC236}">
              <a16:creationId xmlns:a16="http://schemas.microsoft.com/office/drawing/2014/main" id="{00000000-0008-0000-0800-00009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4" name="Text Box 15">
          <a:extLst>
            <a:ext uri="{FF2B5EF4-FFF2-40B4-BE49-F238E27FC236}">
              <a16:creationId xmlns:a16="http://schemas.microsoft.com/office/drawing/2014/main" id="{00000000-0008-0000-0800-00009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5" name="Text Box 15">
          <a:extLst>
            <a:ext uri="{FF2B5EF4-FFF2-40B4-BE49-F238E27FC236}">
              <a16:creationId xmlns:a16="http://schemas.microsoft.com/office/drawing/2014/main" id="{00000000-0008-0000-0800-00009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56" name="Text Box 15">
          <a:extLst>
            <a:ext uri="{FF2B5EF4-FFF2-40B4-BE49-F238E27FC236}">
              <a16:creationId xmlns:a16="http://schemas.microsoft.com/office/drawing/2014/main" id="{00000000-0008-0000-0800-00009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57" name="Text Box 15">
          <a:extLst>
            <a:ext uri="{FF2B5EF4-FFF2-40B4-BE49-F238E27FC236}">
              <a16:creationId xmlns:a16="http://schemas.microsoft.com/office/drawing/2014/main" id="{00000000-0008-0000-0800-00009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58" name="Text Box 15">
          <a:extLst>
            <a:ext uri="{FF2B5EF4-FFF2-40B4-BE49-F238E27FC236}">
              <a16:creationId xmlns:a16="http://schemas.microsoft.com/office/drawing/2014/main" id="{00000000-0008-0000-0800-00009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59" name="Text Box 15">
          <a:extLst>
            <a:ext uri="{FF2B5EF4-FFF2-40B4-BE49-F238E27FC236}">
              <a16:creationId xmlns:a16="http://schemas.microsoft.com/office/drawing/2014/main" id="{00000000-0008-0000-0800-00009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60" name="Text Box 15">
          <a:extLst>
            <a:ext uri="{FF2B5EF4-FFF2-40B4-BE49-F238E27FC236}">
              <a16:creationId xmlns:a16="http://schemas.microsoft.com/office/drawing/2014/main" id="{00000000-0008-0000-0800-00009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61" name="Text Box 15">
          <a:extLst>
            <a:ext uri="{FF2B5EF4-FFF2-40B4-BE49-F238E27FC236}">
              <a16:creationId xmlns:a16="http://schemas.microsoft.com/office/drawing/2014/main" id="{00000000-0008-0000-0800-00009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62" name="Text Box 15">
          <a:extLst>
            <a:ext uri="{FF2B5EF4-FFF2-40B4-BE49-F238E27FC236}">
              <a16:creationId xmlns:a16="http://schemas.microsoft.com/office/drawing/2014/main" id="{00000000-0008-0000-0800-0000A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63" name="Text Box 15">
          <a:extLst>
            <a:ext uri="{FF2B5EF4-FFF2-40B4-BE49-F238E27FC236}">
              <a16:creationId xmlns:a16="http://schemas.microsoft.com/office/drawing/2014/main" id="{00000000-0008-0000-0800-0000A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64" name="Text Box 15">
          <a:extLst>
            <a:ext uri="{FF2B5EF4-FFF2-40B4-BE49-F238E27FC236}">
              <a16:creationId xmlns:a16="http://schemas.microsoft.com/office/drawing/2014/main" id="{00000000-0008-0000-0800-0000A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65" name="Text Box 15">
          <a:extLst>
            <a:ext uri="{FF2B5EF4-FFF2-40B4-BE49-F238E27FC236}">
              <a16:creationId xmlns:a16="http://schemas.microsoft.com/office/drawing/2014/main" id="{00000000-0008-0000-0800-0000A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66" name="Text Box 15">
          <a:extLst>
            <a:ext uri="{FF2B5EF4-FFF2-40B4-BE49-F238E27FC236}">
              <a16:creationId xmlns:a16="http://schemas.microsoft.com/office/drawing/2014/main" id="{00000000-0008-0000-0800-0000A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67" name="Text Box 15">
          <a:extLst>
            <a:ext uri="{FF2B5EF4-FFF2-40B4-BE49-F238E27FC236}">
              <a16:creationId xmlns:a16="http://schemas.microsoft.com/office/drawing/2014/main" id="{00000000-0008-0000-0800-0000A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68" name="Text Box 15">
          <a:extLst>
            <a:ext uri="{FF2B5EF4-FFF2-40B4-BE49-F238E27FC236}">
              <a16:creationId xmlns:a16="http://schemas.microsoft.com/office/drawing/2014/main" id="{00000000-0008-0000-0800-0000A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69" name="Text Box 15">
          <a:extLst>
            <a:ext uri="{FF2B5EF4-FFF2-40B4-BE49-F238E27FC236}">
              <a16:creationId xmlns:a16="http://schemas.microsoft.com/office/drawing/2014/main" id="{00000000-0008-0000-0800-0000A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70" name="Text Box 15">
          <a:extLst>
            <a:ext uri="{FF2B5EF4-FFF2-40B4-BE49-F238E27FC236}">
              <a16:creationId xmlns:a16="http://schemas.microsoft.com/office/drawing/2014/main" id="{00000000-0008-0000-0800-0000A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71" name="Text Box 15">
          <a:extLst>
            <a:ext uri="{FF2B5EF4-FFF2-40B4-BE49-F238E27FC236}">
              <a16:creationId xmlns:a16="http://schemas.microsoft.com/office/drawing/2014/main" id="{00000000-0008-0000-0800-0000A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72" name="Text Box 15">
          <a:extLst>
            <a:ext uri="{FF2B5EF4-FFF2-40B4-BE49-F238E27FC236}">
              <a16:creationId xmlns:a16="http://schemas.microsoft.com/office/drawing/2014/main" id="{00000000-0008-0000-0800-0000A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3" name="Text Box 15">
          <a:extLst>
            <a:ext uri="{FF2B5EF4-FFF2-40B4-BE49-F238E27FC236}">
              <a16:creationId xmlns:a16="http://schemas.microsoft.com/office/drawing/2014/main" id="{00000000-0008-0000-0800-0000AB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4" name="Text Box 15">
          <a:extLst>
            <a:ext uri="{FF2B5EF4-FFF2-40B4-BE49-F238E27FC236}">
              <a16:creationId xmlns:a16="http://schemas.microsoft.com/office/drawing/2014/main" id="{00000000-0008-0000-0800-0000AC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5" name="Text Box 15">
          <a:extLst>
            <a:ext uri="{FF2B5EF4-FFF2-40B4-BE49-F238E27FC236}">
              <a16:creationId xmlns:a16="http://schemas.microsoft.com/office/drawing/2014/main" id="{00000000-0008-0000-0800-0000AD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6" name="Text Box 15">
          <a:extLst>
            <a:ext uri="{FF2B5EF4-FFF2-40B4-BE49-F238E27FC236}">
              <a16:creationId xmlns:a16="http://schemas.microsoft.com/office/drawing/2014/main" id="{00000000-0008-0000-0800-0000AE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7" name="Text Box 15">
          <a:extLst>
            <a:ext uri="{FF2B5EF4-FFF2-40B4-BE49-F238E27FC236}">
              <a16:creationId xmlns:a16="http://schemas.microsoft.com/office/drawing/2014/main" id="{00000000-0008-0000-0800-0000AF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8" name="Text Box 15">
          <a:extLst>
            <a:ext uri="{FF2B5EF4-FFF2-40B4-BE49-F238E27FC236}">
              <a16:creationId xmlns:a16="http://schemas.microsoft.com/office/drawing/2014/main" id="{00000000-0008-0000-0800-0000B0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79" name="Text Box 15">
          <a:extLst>
            <a:ext uri="{FF2B5EF4-FFF2-40B4-BE49-F238E27FC236}">
              <a16:creationId xmlns:a16="http://schemas.microsoft.com/office/drawing/2014/main" id="{00000000-0008-0000-0800-0000B1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480" name="Text Box 15">
          <a:extLst>
            <a:ext uri="{FF2B5EF4-FFF2-40B4-BE49-F238E27FC236}">
              <a16:creationId xmlns:a16="http://schemas.microsoft.com/office/drawing/2014/main" id="{00000000-0008-0000-0800-0000B2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1" name="Text Box 15">
          <a:extLst>
            <a:ext uri="{FF2B5EF4-FFF2-40B4-BE49-F238E27FC236}">
              <a16:creationId xmlns:a16="http://schemas.microsoft.com/office/drawing/2014/main" id="{00000000-0008-0000-0800-0000B3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2" name="Text Box 15">
          <a:extLst>
            <a:ext uri="{FF2B5EF4-FFF2-40B4-BE49-F238E27FC236}">
              <a16:creationId xmlns:a16="http://schemas.microsoft.com/office/drawing/2014/main" id="{00000000-0008-0000-0800-0000B4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3" name="Text Box 15">
          <a:extLst>
            <a:ext uri="{FF2B5EF4-FFF2-40B4-BE49-F238E27FC236}">
              <a16:creationId xmlns:a16="http://schemas.microsoft.com/office/drawing/2014/main" id="{00000000-0008-0000-0800-0000B5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4" name="Text Box 15">
          <a:extLst>
            <a:ext uri="{FF2B5EF4-FFF2-40B4-BE49-F238E27FC236}">
              <a16:creationId xmlns:a16="http://schemas.microsoft.com/office/drawing/2014/main" id="{00000000-0008-0000-0800-0000B6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5" name="Text Box 15">
          <a:extLst>
            <a:ext uri="{FF2B5EF4-FFF2-40B4-BE49-F238E27FC236}">
              <a16:creationId xmlns:a16="http://schemas.microsoft.com/office/drawing/2014/main" id="{00000000-0008-0000-0800-0000B7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6" name="Text Box 15">
          <a:extLst>
            <a:ext uri="{FF2B5EF4-FFF2-40B4-BE49-F238E27FC236}">
              <a16:creationId xmlns:a16="http://schemas.microsoft.com/office/drawing/2014/main" id="{00000000-0008-0000-0800-0000B8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7" name="Text Box 15">
          <a:extLst>
            <a:ext uri="{FF2B5EF4-FFF2-40B4-BE49-F238E27FC236}">
              <a16:creationId xmlns:a16="http://schemas.microsoft.com/office/drawing/2014/main" id="{00000000-0008-0000-0800-0000B9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488" name="Text Box 15">
          <a:extLst>
            <a:ext uri="{FF2B5EF4-FFF2-40B4-BE49-F238E27FC236}">
              <a16:creationId xmlns:a16="http://schemas.microsoft.com/office/drawing/2014/main" id="{00000000-0008-0000-0800-0000BA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89" name="Text Box 15">
          <a:extLst>
            <a:ext uri="{FF2B5EF4-FFF2-40B4-BE49-F238E27FC236}">
              <a16:creationId xmlns:a16="http://schemas.microsoft.com/office/drawing/2014/main" id="{00000000-0008-0000-0800-0000B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0" name="Text Box 15">
          <a:extLst>
            <a:ext uri="{FF2B5EF4-FFF2-40B4-BE49-F238E27FC236}">
              <a16:creationId xmlns:a16="http://schemas.microsoft.com/office/drawing/2014/main" id="{00000000-0008-0000-0800-0000B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1" name="Text Box 15">
          <a:extLst>
            <a:ext uri="{FF2B5EF4-FFF2-40B4-BE49-F238E27FC236}">
              <a16:creationId xmlns:a16="http://schemas.microsoft.com/office/drawing/2014/main" id="{00000000-0008-0000-0800-0000B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2" name="Text Box 15">
          <a:extLst>
            <a:ext uri="{FF2B5EF4-FFF2-40B4-BE49-F238E27FC236}">
              <a16:creationId xmlns:a16="http://schemas.microsoft.com/office/drawing/2014/main" id="{00000000-0008-0000-0800-0000B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3" name="Text Box 15">
          <a:extLst>
            <a:ext uri="{FF2B5EF4-FFF2-40B4-BE49-F238E27FC236}">
              <a16:creationId xmlns:a16="http://schemas.microsoft.com/office/drawing/2014/main" id="{00000000-0008-0000-0800-0000B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4" name="Text Box 15">
          <a:extLst>
            <a:ext uri="{FF2B5EF4-FFF2-40B4-BE49-F238E27FC236}">
              <a16:creationId xmlns:a16="http://schemas.microsoft.com/office/drawing/2014/main" id="{00000000-0008-0000-0800-0000C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5" name="Text Box 15">
          <a:extLst>
            <a:ext uri="{FF2B5EF4-FFF2-40B4-BE49-F238E27FC236}">
              <a16:creationId xmlns:a16="http://schemas.microsoft.com/office/drawing/2014/main" id="{00000000-0008-0000-0800-0000C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496" name="Text Box 15">
          <a:extLst>
            <a:ext uri="{FF2B5EF4-FFF2-40B4-BE49-F238E27FC236}">
              <a16:creationId xmlns:a16="http://schemas.microsoft.com/office/drawing/2014/main" id="{00000000-0008-0000-0800-0000C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97" name="Text Box 15">
          <a:extLst>
            <a:ext uri="{FF2B5EF4-FFF2-40B4-BE49-F238E27FC236}">
              <a16:creationId xmlns:a16="http://schemas.microsoft.com/office/drawing/2014/main" id="{00000000-0008-0000-0800-0000C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98" name="Text Box 15">
          <a:extLst>
            <a:ext uri="{FF2B5EF4-FFF2-40B4-BE49-F238E27FC236}">
              <a16:creationId xmlns:a16="http://schemas.microsoft.com/office/drawing/2014/main" id="{00000000-0008-0000-0800-0000C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499" name="Text Box 15">
          <a:extLst>
            <a:ext uri="{FF2B5EF4-FFF2-40B4-BE49-F238E27FC236}">
              <a16:creationId xmlns:a16="http://schemas.microsoft.com/office/drawing/2014/main" id="{00000000-0008-0000-0800-0000C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00" name="Text Box 15">
          <a:extLst>
            <a:ext uri="{FF2B5EF4-FFF2-40B4-BE49-F238E27FC236}">
              <a16:creationId xmlns:a16="http://schemas.microsoft.com/office/drawing/2014/main" id="{00000000-0008-0000-0800-0000C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01" name="Text Box 15">
          <a:extLst>
            <a:ext uri="{FF2B5EF4-FFF2-40B4-BE49-F238E27FC236}">
              <a16:creationId xmlns:a16="http://schemas.microsoft.com/office/drawing/2014/main" id="{00000000-0008-0000-0800-0000C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02" name="Text Box 15">
          <a:extLst>
            <a:ext uri="{FF2B5EF4-FFF2-40B4-BE49-F238E27FC236}">
              <a16:creationId xmlns:a16="http://schemas.microsoft.com/office/drawing/2014/main" id="{00000000-0008-0000-0800-0000C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03" name="Text Box 15">
          <a:extLst>
            <a:ext uri="{FF2B5EF4-FFF2-40B4-BE49-F238E27FC236}">
              <a16:creationId xmlns:a16="http://schemas.microsoft.com/office/drawing/2014/main" id="{00000000-0008-0000-0800-0000C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04" name="Text Box 15">
          <a:extLst>
            <a:ext uri="{FF2B5EF4-FFF2-40B4-BE49-F238E27FC236}">
              <a16:creationId xmlns:a16="http://schemas.microsoft.com/office/drawing/2014/main" id="{00000000-0008-0000-0800-0000C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05" name="Text Box 15">
          <a:extLst>
            <a:ext uri="{FF2B5EF4-FFF2-40B4-BE49-F238E27FC236}">
              <a16:creationId xmlns:a16="http://schemas.microsoft.com/office/drawing/2014/main" id="{00000000-0008-0000-0800-0000C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06" name="Text Box 15">
          <a:extLst>
            <a:ext uri="{FF2B5EF4-FFF2-40B4-BE49-F238E27FC236}">
              <a16:creationId xmlns:a16="http://schemas.microsoft.com/office/drawing/2014/main" id="{00000000-0008-0000-0800-0000C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07" name="Text Box 15">
          <a:extLst>
            <a:ext uri="{FF2B5EF4-FFF2-40B4-BE49-F238E27FC236}">
              <a16:creationId xmlns:a16="http://schemas.microsoft.com/office/drawing/2014/main" id="{00000000-0008-0000-0800-0000C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08" name="Text Box 15">
          <a:extLst>
            <a:ext uri="{FF2B5EF4-FFF2-40B4-BE49-F238E27FC236}">
              <a16:creationId xmlns:a16="http://schemas.microsoft.com/office/drawing/2014/main" id="{00000000-0008-0000-0800-0000C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09" name="Text Box 15">
          <a:extLst>
            <a:ext uri="{FF2B5EF4-FFF2-40B4-BE49-F238E27FC236}">
              <a16:creationId xmlns:a16="http://schemas.microsoft.com/office/drawing/2014/main" id="{00000000-0008-0000-0800-0000C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10" name="Text Box 15">
          <a:extLst>
            <a:ext uri="{FF2B5EF4-FFF2-40B4-BE49-F238E27FC236}">
              <a16:creationId xmlns:a16="http://schemas.microsoft.com/office/drawing/2014/main" id="{00000000-0008-0000-0800-0000D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11" name="Text Box 15">
          <a:extLst>
            <a:ext uri="{FF2B5EF4-FFF2-40B4-BE49-F238E27FC236}">
              <a16:creationId xmlns:a16="http://schemas.microsoft.com/office/drawing/2014/main" id="{00000000-0008-0000-0800-0000D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12" name="Text Box 15">
          <a:extLst>
            <a:ext uri="{FF2B5EF4-FFF2-40B4-BE49-F238E27FC236}">
              <a16:creationId xmlns:a16="http://schemas.microsoft.com/office/drawing/2014/main" id="{00000000-0008-0000-0800-0000D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3" name="Text Box 15">
          <a:extLst>
            <a:ext uri="{FF2B5EF4-FFF2-40B4-BE49-F238E27FC236}">
              <a16:creationId xmlns:a16="http://schemas.microsoft.com/office/drawing/2014/main" id="{00000000-0008-0000-0800-0000D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4" name="Text Box 15">
          <a:extLst>
            <a:ext uri="{FF2B5EF4-FFF2-40B4-BE49-F238E27FC236}">
              <a16:creationId xmlns:a16="http://schemas.microsoft.com/office/drawing/2014/main" id="{00000000-0008-0000-0800-0000D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5" name="Text Box 15">
          <a:extLst>
            <a:ext uri="{FF2B5EF4-FFF2-40B4-BE49-F238E27FC236}">
              <a16:creationId xmlns:a16="http://schemas.microsoft.com/office/drawing/2014/main" id="{00000000-0008-0000-0800-0000D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6" name="Text Box 15">
          <a:extLst>
            <a:ext uri="{FF2B5EF4-FFF2-40B4-BE49-F238E27FC236}">
              <a16:creationId xmlns:a16="http://schemas.microsoft.com/office/drawing/2014/main" id="{00000000-0008-0000-0800-0000D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7" name="Text Box 15">
          <a:extLst>
            <a:ext uri="{FF2B5EF4-FFF2-40B4-BE49-F238E27FC236}">
              <a16:creationId xmlns:a16="http://schemas.microsoft.com/office/drawing/2014/main" id="{00000000-0008-0000-0800-0000D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8" name="Text Box 15">
          <a:extLst>
            <a:ext uri="{FF2B5EF4-FFF2-40B4-BE49-F238E27FC236}">
              <a16:creationId xmlns:a16="http://schemas.microsoft.com/office/drawing/2014/main" id="{00000000-0008-0000-0800-0000D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19" name="Text Box 15">
          <a:extLst>
            <a:ext uri="{FF2B5EF4-FFF2-40B4-BE49-F238E27FC236}">
              <a16:creationId xmlns:a16="http://schemas.microsoft.com/office/drawing/2014/main" id="{00000000-0008-0000-0800-0000D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20" name="Text Box 15">
          <a:extLst>
            <a:ext uri="{FF2B5EF4-FFF2-40B4-BE49-F238E27FC236}">
              <a16:creationId xmlns:a16="http://schemas.microsoft.com/office/drawing/2014/main" id="{00000000-0008-0000-0800-0000D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1" name="Text Box 15">
          <a:extLst>
            <a:ext uri="{FF2B5EF4-FFF2-40B4-BE49-F238E27FC236}">
              <a16:creationId xmlns:a16="http://schemas.microsoft.com/office/drawing/2014/main" id="{00000000-0008-0000-0800-0000DB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2" name="Text Box 15">
          <a:extLst>
            <a:ext uri="{FF2B5EF4-FFF2-40B4-BE49-F238E27FC236}">
              <a16:creationId xmlns:a16="http://schemas.microsoft.com/office/drawing/2014/main" id="{00000000-0008-0000-0800-0000DC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3" name="Text Box 15">
          <a:extLst>
            <a:ext uri="{FF2B5EF4-FFF2-40B4-BE49-F238E27FC236}">
              <a16:creationId xmlns:a16="http://schemas.microsoft.com/office/drawing/2014/main" id="{00000000-0008-0000-0800-0000DD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4" name="Text Box 15">
          <a:extLst>
            <a:ext uri="{FF2B5EF4-FFF2-40B4-BE49-F238E27FC236}">
              <a16:creationId xmlns:a16="http://schemas.microsoft.com/office/drawing/2014/main" id="{00000000-0008-0000-0800-0000DE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5" name="Text Box 15">
          <a:extLst>
            <a:ext uri="{FF2B5EF4-FFF2-40B4-BE49-F238E27FC236}">
              <a16:creationId xmlns:a16="http://schemas.microsoft.com/office/drawing/2014/main" id="{00000000-0008-0000-0800-0000DF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6" name="Text Box 15">
          <a:extLst>
            <a:ext uri="{FF2B5EF4-FFF2-40B4-BE49-F238E27FC236}">
              <a16:creationId xmlns:a16="http://schemas.microsoft.com/office/drawing/2014/main" id="{00000000-0008-0000-0800-0000E0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7" name="Text Box 15">
          <a:extLst>
            <a:ext uri="{FF2B5EF4-FFF2-40B4-BE49-F238E27FC236}">
              <a16:creationId xmlns:a16="http://schemas.microsoft.com/office/drawing/2014/main" id="{00000000-0008-0000-0800-0000E1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528" name="Text Box 15">
          <a:extLst>
            <a:ext uri="{FF2B5EF4-FFF2-40B4-BE49-F238E27FC236}">
              <a16:creationId xmlns:a16="http://schemas.microsoft.com/office/drawing/2014/main" id="{00000000-0008-0000-0800-0000E209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29" name="Text Box 15">
          <a:extLst>
            <a:ext uri="{FF2B5EF4-FFF2-40B4-BE49-F238E27FC236}">
              <a16:creationId xmlns:a16="http://schemas.microsoft.com/office/drawing/2014/main" id="{00000000-0008-0000-0800-0000E3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0" name="Text Box 15">
          <a:extLst>
            <a:ext uri="{FF2B5EF4-FFF2-40B4-BE49-F238E27FC236}">
              <a16:creationId xmlns:a16="http://schemas.microsoft.com/office/drawing/2014/main" id="{00000000-0008-0000-0800-0000E4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1" name="Text Box 15">
          <a:extLst>
            <a:ext uri="{FF2B5EF4-FFF2-40B4-BE49-F238E27FC236}">
              <a16:creationId xmlns:a16="http://schemas.microsoft.com/office/drawing/2014/main" id="{00000000-0008-0000-0800-0000E5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2" name="Text Box 15">
          <a:extLst>
            <a:ext uri="{FF2B5EF4-FFF2-40B4-BE49-F238E27FC236}">
              <a16:creationId xmlns:a16="http://schemas.microsoft.com/office/drawing/2014/main" id="{00000000-0008-0000-0800-0000E6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3" name="Text Box 15">
          <a:extLst>
            <a:ext uri="{FF2B5EF4-FFF2-40B4-BE49-F238E27FC236}">
              <a16:creationId xmlns:a16="http://schemas.microsoft.com/office/drawing/2014/main" id="{00000000-0008-0000-0800-0000E7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4" name="Text Box 15">
          <a:extLst>
            <a:ext uri="{FF2B5EF4-FFF2-40B4-BE49-F238E27FC236}">
              <a16:creationId xmlns:a16="http://schemas.microsoft.com/office/drawing/2014/main" id="{00000000-0008-0000-0800-0000E8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5" name="Text Box 15">
          <a:extLst>
            <a:ext uri="{FF2B5EF4-FFF2-40B4-BE49-F238E27FC236}">
              <a16:creationId xmlns:a16="http://schemas.microsoft.com/office/drawing/2014/main" id="{00000000-0008-0000-0800-0000E9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536" name="Text Box 15">
          <a:extLst>
            <a:ext uri="{FF2B5EF4-FFF2-40B4-BE49-F238E27FC236}">
              <a16:creationId xmlns:a16="http://schemas.microsoft.com/office/drawing/2014/main" id="{00000000-0008-0000-0800-0000EA09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37" name="Text Box 15">
          <a:extLst>
            <a:ext uri="{FF2B5EF4-FFF2-40B4-BE49-F238E27FC236}">
              <a16:creationId xmlns:a16="http://schemas.microsoft.com/office/drawing/2014/main" id="{00000000-0008-0000-0800-0000EB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38" name="Text Box 15">
          <a:extLst>
            <a:ext uri="{FF2B5EF4-FFF2-40B4-BE49-F238E27FC236}">
              <a16:creationId xmlns:a16="http://schemas.microsoft.com/office/drawing/2014/main" id="{00000000-0008-0000-0800-0000EC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39" name="Text Box 15">
          <a:extLst>
            <a:ext uri="{FF2B5EF4-FFF2-40B4-BE49-F238E27FC236}">
              <a16:creationId xmlns:a16="http://schemas.microsoft.com/office/drawing/2014/main" id="{00000000-0008-0000-0800-0000ED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40" name="Text Box 15">
          <a:extLst>
            <a:ext uri="{FF2B5EF4-FFF2-40B4-BE49-F238E27FC236}">
              <a16:creationId xmlns:a16="http://schemas.microsoft.com/office/drawing/2014/main" id="{00000000-0008-0000-0800-0000EE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41" name="Text Box 15">
          <a:extLst>
            <a:ext uri="{FF2B5EF4-FFF2-40B4-BE49-F238E27FC236}">
              <a16:creationId xmlns:a16="http://schemas.microsoft.com/office/drawing/2014/main" id="{00000000-0008-0000-0800-0000EF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42" name="Text Box 15">
          <a:extLst>
            <a:ext uri="{FF2B5EF4-FFF2-40B4-BE49-F238E27FC236}">
              <a16:creationId xmlns:a16="http://schemas.microsoft.com/office/drawing/2014/main" id="{00000000-0008-0000-0800-0000F0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43" name="Text Box 15">
          <a:extLst>
            <a:ext uri="{FF2B5EF4-FFF2-40B4-BE49-F238E27FC236}">
              <a16:creationId xmlns:a16="http://schemas.microsoft.com/office/drawing/2014/main" id="{00000000-0008-0000-0800-0000F1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44" name="Text Box 15">
          <a:extLst>
            <a:ext uri="{FF2B5EF4-FFF2-40B4-BE49-F238E27FC236}">
              <a16:creationId xmlns:a16="http://schemas.microsoft.com/office/drawing/2014/main" id="{00000000-0008-0000-0800-0000F2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45" name="Text Box 15">
          <a:extLst>
            <a:ext uri="{FF2B5EF4-FFF2-40B4-BE49-F238E27FC236}">
              <a16:creationId xmlns:a16="http://schemas.microsoft.com/office/drawing/2014/main" id="{00000000-0008-0000-0800-0000F3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46" name="Text Box 15">
          <a:extLst>
            <a:ext uri="{FF2B5EF4-FFF2-40B4-BE49-F238E27FC236}">
              <a16:creationId xmlns:a16="http://schemas.microsoft.com/office/drawing/2014/main" id="{00000000-0008-0000-0800-0000F4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47" name="Text Box 15">
          <a:extLst>
            <a:ext uri="{FF2B5EF4-FFF2-40B4-BE49-F238E27FC236}">
              <a16:creationId xmlns:a16="http://schemas.microsoft.com/office/drawing/2014/main" id="{00000000-0008-0000-0800-0000F5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48" name="Text Box 15">
          <a:extLst>
            <a:ext uri="{FF2B5EF4-FFF2-40B4-BE49-F238E27FC236}">
              <a16:creationId xmlns:a16="http://schemas.microsoft.com/office/drawing/2014/main" id="{00000000-0008-0000-0800-0000F6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49" name="Text Box 15">
          <a:extLst>
            <a:ext uri="{FF2B5EF4-FFF2-40B4-BE49-F238E27FC236}">
              <a16:creationId xmlns:a16="http://schemas.microsoft.com/office/drawing/2014/main" id="{00000000-0008-0000-0800-0000F7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50" name="Text Box 15">
          <a:extLst>
            <a:ext uri="{FF2B5EF4-FFF2-40B4-BE49-F238E27FC236}">
              <a16:creationId xmlns:a16="http://schemas.microsoft.com/office/drawing/2014/main" id="{00000000-0008-0000-0800-0000F8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51" name="Text Box 15">
          <a:extLst>
            <a:ext uri="{FF2B5EF4-FFF2-40B4-BE49-F238E27FC236}">
              <a16:creationId xmlns:a16="http://schemas.microsoft.com/office/drawing/2014/main" id="{00000000-0008-0000-0800-0000F9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52" name="Text Box 15">
          <a:extLst>
            <a:ext uri="{FF2B5EF4-FFF2-40B4-BE49-F238E27FC236}">
              <a16:creationId xmlns:a16="http://schemas.microsoft.com/office/drawing/2014/main" id="{00000000-0008-0000-0800-0000FA09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3" name="Text Box 15">
          <a:extLst>
            <a:ext uri="{FF2B5EF4-FFF2-40B4-BE49-F238E27FC236}">
              <a16:creationId xmlns:a16="http://schemas.microsoft.com/office/drawing/2014/main" id="{00000000-0008-0000-0800-0000FB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4" name="Text Box 15">
          <a:extLst>
            <a:ext uri="{FF2B5EF4-FFF2-40B4-BE49-F238E27FC236}">
              <a16:creationId xmlns:a16="http://schemas.microsoft.com/office/drawing/2014/main" id="{00000000-0008-0000-0800-0000FC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5" name="Text Box 15">
          <a:extLst>
            <a:ext uri="{FF2B5EF4-FFF2-40B4-BE49-F238E27FC236}">
              <a16:creationId xmlns:a16="http://schemas.microsoft.com/office/drawing/2014/main" id="{00000000-0008-0000-0800-0000FD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6" name="Text Box 15">
          <a:extLst>
            <a:ext uri="{FF2B5EF4-FFF2-40B4-BE49-F238E27FC236}">
              <a16:creationId xmlns:a16="http://schemas.microsoft.com/office/drawing/2014/main" id="{00000000-0008-0000-0800-0000FE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7" name="Text Box 15">
          <a:extLst>
            <a:ext uri="{FF2B5EF4-FFF2-40B4-BE49-F238E27FC236}">
              <a16:creationId xmlns:a16="http://schemas.microsoft.com/office/drawing/2014/main" id="{00000000-0008-0000-0800-0000FF09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8" name="Text Box 15">
          <a:extLst>
            <a:ext uri="{FF2B5EF4-FFF2-40B4-BE49-F238E27FC236}">
              <a16:creationId xmlns:a16="http://schemas.microsoft.com/office/drawing/2014/main" id="{00000000-0008-0000-0800-000000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59" name="Text Box 15">
          <a:extLst>
            <a:ext uri="{FF2B5EF4-FFF2-40B4-BE49-F238E27FC236}">
              <a16:creationId xmlns:a16="http://schemas.microsoft.com/office/drawing/2014/main" id="{00000000-0008-0000-0800-000001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60" name="Text Box 15">
          <a:extLst>
            <a:ext uri="{FF2B5EF4-FFF2-40B4-BE49-F238E27FC236}">
              <a16:creationId xmlns:a16="http://schemas.microsoft.com/office/drawing/2014/main" id="{00000000-0008-0000-0800-000002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1" name="Text Box 15">
          <a:extLst>
            <a:ext uri="{FF2B5EF4-FFF2-40B4-BE49-F238E27FC236}">
              <a16:creationId xmlns:a16="http://schemas.microsoft.com/office/drawing/2014/main" id="{00000000-0008-0000-0800-000003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2" name="Text Box 15">
          <a:extLst>
            <a:ext uri="{FF2B5EF4-FFF2-40B4-BE49-F238E27FC236}">
              <a16:creationId xmlns:a16="http://schemas.microsoft.com/office/drawing/2014/main" id="{00000000-0008-0000-0800-000004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3" name="Text Box 15">
          <a:extLst>
            <a:ext uri="{FF2B5EF4-FFF2-40B4-BE49-F238E27FC236}">
              <a16:creationId xmlns:a16="http://schemas.microsoft.com/office/drawing/2014/main" id="{00000000-0008-0000-0800-000005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4" name="Text Box 15">
          <a:extLst>
            <a:ext uri="{FF2B5EF4-FFF2-40B4-BE49-F238E27FC236}">
              <a16:creationId xmlns:a16="http://schemas.microsoft.com/office/drawing/2014/main" id="{00000000-0008-0000-0800-000006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5" name="Text Box 15">
          <a:extLst>
            <a:ext uri="{FF2B5EF4-FFF2-40B4-BE49-F238E27FC236}">
              <a16:creationId xmlns:a16="http://schemas.microsoft.com/office/drawing/2014/main" id="{00000000-0008-0000-0800-000007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6" name="Text Box 15">
          <a:extLst>
            <a:ext uri="{FF2B5EF4-FFF2-40B4-BE49-F238E27FC236}">
              <a16:creationId xmlns:a16="http://schemas.microsoft.com/office/drawing/2014/main" id="{00000000-0008-0000-0800-000008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7" name="Text Box 15">
          <a:extLst>
            <a:ext uri="{FF2B5EF4-FFF2-40B4-BE49-F238E27FC236}">
              <a16:creationId xmlns:a16="http://schemas.microsoft.com/office/drawing/2014/main" id="{00000000-0008-0000-0800-000009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68" name="Text Box 15">
          <a:extLst>
            <a:ext uri="{FF2B5EF4-FFF2-40B4-BE49-F238E27FC236}">
              <a16:creationId xmlns:a16="http://schemas.microsoft.com/office/drawing/2014/main" id="{00000000-0008-0000-0800-00000A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69" name="Text Box 15">
          <a:extLst>
            <a:ext uri="{FF2B5EF4-FFF2-40B4-BE49-F238E27FC236}">
              <a16:creationId xmlns:a16="http://schemas.microsoft.com/office/drawing/2014/main" id="{00000000-0008-0000-0800-00000B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0" name="Text Box 15">
          <a:extLst>
            <a:ext uri="{FF2B5EF4-FFF2-40B4-BE49-F238E27FC236}">
              <a16:creationId xmlns:a16="http://schemas.microsoft.com/office/drawing/2014/main" id="{00000000-0008-0000-0800-00000C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1" name="Text Box 15">
          <a:extLst>
            <a:ext uri="{FF2B5EF4-FFF2-40B4-BE49-F238E27FC236}">
              <a16:creationId xmlns:a16="http://schemas.microsoft.com/office/drawing/2014/main" id="{00000000-0008-0000-0800-00000D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2" name="Text Box 15">
          <a:extLst>
            <a:ext uri="{FF2B5EF4-FFF2-40B4-BE49-F238E27FC236}">
              <a16:creationId xmlns:a16="http://schemas.microsoft.com/office/drawing/2014/main" id="{00000000-0008-0000-0800-00000E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3" name="Text Box 15">
          <a:extLst>
            <a:ext uri="{FF2B5EF4-FFF2-40B4-BE49-F238E27FC236}">
              <a16:creationId xmlns:a16="http://schemas.microsoft.com/office/drawing/2014/main" id="{00000000-0008-0000-0800-00000F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4" name="Text Box 15">
          <a:extLst>
            <a:ext uri="{FF2B5EF4-FFF2-40B4-BE49-F238E27FC236}">
              <a16:creationId xmlns:a16="http://schemas.microsoft.com/office/drawing/2014/main" id="{00000000-0008-0000-0800-000010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5" name="Text Box 15">
          <a:extLst>
            <a:ext uri="{FF2B5EF4-FFF2-40B4-BE49-F238E27FC236}">
              <a16:creationId xmlns:a16="http://schemas.microsoft.com/office/drawing/2014/main" id="{00000000-0008-0000-0800-000011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576" name="Text Box 15">
          <a:extLst>
            <a:ext uri="{FF2B5EF4-FFF2-40B4-BE49-F238E27FC236}">
              <a16:creationId xmlns:a16="http://schemas.microsoft.com/office/drawing/2014/main" id="{00000000-0008-0000-0800-000012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77" name="Text Box 15">
          <a:extLst>
            <a:ext uri="{FF2B5EF4-FFF2-40B4-BE49-F238E27FC236}">
              <a16:creationId xmlns:a16="http://schemas.microsoft.com/office/drawing/2014/main" id="{00000000-0008-0000-0800-000013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78" name="Text Box 15">
          <a:extLst>
            <a:ext uri="{FF2B5EF4-FFF2-40B4-BE49-F238E27FC236}">
              <a16:creationId xmlns:a16="http://schemas.microsoft.com/office/drawing/2014/main" id="{00000000-0008-0000-0800-000014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79" name="Text Box 15">
          <a:extLst>
            <a:ext uri="{FF2B5EF4-FFF2-40B4-BE49-F238E27FC236}">
              <a16:creationId xmlns:a16="http://schemas.microsoft.com/office/drawing/2014/main" id="{00000000-0008-0000-0800-000015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80" name="Text Box 15">
          <a:extLst>
            <a:ext uri="{FF2B5EF4-FFF2-40B4-BE49-F238E27FC236}">
              <a16:creationId xmlns:a16="http://schemas.microsoft.com/office/drawing/2014/main" id="{00000000-0008-0000-0800-000016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81" name="Text Box 15">
          <a:extLst>
            <a:ext uri="{FF2B5EF4-FFF2-40B4-BE49-F238E27FC236}">
              <a16:creationId xmlns:a16="http://schemas.microsoft.com/office/drawing/2014/main" id="{00000000-0008-0000-0800-000017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82" name="Text Box 15">
          <a:extLst>
            <a:ext uri="{FF2B5EF4-FFF2-40B4-BE49-F238E27FC236}">
              <a16:creationId xmlns:a16="http://schemas.microsoft.com/office/drawing/2014/main" id="{00000000-0008-0000-0800-000018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83" name="Text Box 15">
          <a:extLst>
            <a:ext uri="{FF2B5EF4-FFF2-40B4-BE49-F238E27FC236}">
              <a16:creationId xmlns:a16="http://schemas.microsoft.com/office/drawing/2014/main" id="{00000000-0008-0000-0800-000019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584" name="Text Box 15">
          <a:extLst>
            <a:ext uri="{FF2B5EF4-FFF2-40B4-BE49-F238E27FC236}">
              <a16:creationId xmlns:a16="http://schemas.microsoft.com/office/drawing/2014/main" id="{00000000-0008-0000-0800-00001A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85" name="Text Box 15">
          <a:extLst>
            <a:ext uri="{FF2B5EF4-FFF2-40B4-BE49-F238E27FC236}">
              <a16:creationId xmlns:a16="http://schemas.microsoft.com/office/drawing/2014/main" id="{00000000-0008-0000-0800-00001B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86" name="Text Box 15">
          <a:extLst>
            <a:ext uri="{FF2B5EF4-FFF2-40B4-BE49-F238E27FC236}">
              <a16:creationId xmlns:a16="http://schemas.microsoft.com/office/drawing/2014/main" id="{00000000-0008-0000-0800-00001C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87" name="Text Box 15">
          <a:extLst>
            <a:ext uri="{FF2B5EF4-FFF2-40B4-BE49-F238E27FC236}">
              <a16:creationId xmlns:a16="http://schemas.microsoft.com/office/drawing/2014/main" id="{00000000-0008-0000-0800-00001D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88" name="Text Box 15">
          <a:extLst>
            <a:ext uri="{FF2B5EF4-FFF2-40B4-BE49-F238E27FC236}">
              <a16:creationId xmlns:a16="http://schemas.microsoft.com/office/drawing/2014/main" id="{00000000-0008-0000-0800-00001E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89" name="Text Box 15">
          <a:extLst>
            <a:ext uri="{FF2B5EF4-FFF2-40B4-BE49-F238E27FC236}">
              <a16:creationId xmlns:a16="http://schemas.microsoft.com/office/drawing/2014/main" id="{00000000-0008-0000-0800-00001F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90" name="Text Box 15">
          <a:extLst>
            <a:ext uri="{FF2B5EF4-FFF2-40B4-BE49-F238E27FC236}">
              <a16:creationId xmlns:a16="http://schemas.microsoft.com/office/drawing/2014/main" id="{00000000-0008-0000-0800-000020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91" name="Text Box 15">
          <a:extLst>
            <a:ext uri="{FF2B5EF4-FFF2-40B4-BE49-F238E27FC236}">
              <a16:creationId xmlns:a16="http://schemas.microsoft.com/office/drawing/2014/main" id="{00000000-0008-0000-0800-000021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7871"/>
    <xdr:sp macro="" textlink="">
      <xdr:nvSpPr>
        <xdr:cNvPr id="2592" name="Text Box 15">
          <a:extLst>
            <a:ext uri="{FF2B5EF4-FFF2-40B4-BE49-F238E27FC236}">
              <a16:creationId xmlns:a16="http://schemas.microsoft.com/office/drawing/2014/main" id="{00000000-0008-0000-0800-0000220A0000}"/>
            </a:ext>
          </a:extLst>
        </xdr:cNvPr>
        <xdr:cNvSpPr txBox="1">
          <a:spLocks noChangeArrowheads="1"/>
        </xdr:cNvSpPr>
      </xdr:nvSpPr>
      <xdr:spPr bwMode="auto">
        <a:xfrm>
          <a:off x="1933575" y="74018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3" name="Text Box 15">
          <a:extLst>
            <a:ext uri="{FF2B5EF4-FFF2-40B4-BE49-F238E27FC236}">
              <a16:creationId xmlns:a16="http://schemas.microsoft.com/office/drawing/2014/main" id="{00000000-0008-0000-0800-000023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4" name="Text Box 15">
          <a:extLst>
            <a:ext uri="{FF2B5EF4-FFF2-40B4-BE49-F238E27FC236}">
              <a16:creationId xmlns:a16="http://schemas.microsoft.com/office/drawing/2014/main" id="{00000000-0008-0000-0800-000024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5" name="Text Box 15">
          <a:extLst>
            <a:ext uri="{FF2B5EF4-FFF2-40B4-BE49-F238E27FC236}">
              <a16:creationId xmlns:a16="http://schemas.microsoft.com/office/drawing/2014/main" id="{00000000-0008-0000-0800-000025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6" name="Text Box 15">
          <a:extLst>
            <a:ext uri="{FF2B5EF4-FFF2-40B4-BE49-F238E27FC236}">
              <a16:creationId xmlns:a16="http://schemas.microsoft.com/office/drawing/2014/main" id="{00000000-0008-0000-0800-000026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7" name="Text Box 15">
          <a:extLst>
            <a:ext uri="{FF2B5EF4-FFF2-40B4-BE49-F238E27FC236}">
              <a16:creationId xmlns:a16="http://schemas.microsoft.com/office/drawing/2014/main" id="{00000000-0008-0000-0800-000027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8" name="Text Box 15">
          <a:extLst>
            <a:ext uri="{FF2B5EF4-FFF2-40B4-BE49-F238E27FC236}">
              <a16:creationId xmlns:a16="http://schemas.microsoft.com/office/drawing/2014/main" id="{00000000-0008-0000-0800-000028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599" name="Text Box 15">
          <a:extLst>
            <a:ext uri="{FF2B5EF4-FFF2-40B4-BE49-F238E27FC236}">
              <a16:creationId xmlns:a16="http://schemas.microsoft.com/office/drawing/2014/main" id="{00000000-0008-0000-0800-000029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358</xdr:row>
      <xdr:rowOff>0</xdr:rowOff>
    </xdr:from>
    <xdr:ext cx="95250" cy="295275"/>
    <xdr:sp macro="" textlink="">
      <xdr:nvSpPr>
        <xdr:cNvPr id="2600" name="Text Box 15">
          <a:extLst>
            <a:ext uri="{FF2B5EF4-FFF2-40B4-BE49-F238E27FC236}">
              <a16:creationId xmlns:a16="http://schemas.microsoft.com/office/drawing/2014/main" id="{00000000-0008-0000-0800-00002A0A0000}"/>
            </a:ext>
          </a:extLst>
        </xdr:cNvPr>
        <xdr:cNvSpPr txBox="1">
          <a:spLocks noChangeArrowheads="1"/>
        </xdr:cNvSpPr>
      </xdr:nvSpPr>
      <xdr:spPr bwMode="auto">
        <a:xfrm>
          <a:off x="1933575" y="74018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1" name="Text Box 15">
          <a:extLst>
            <a:ext uri="{FF2B5EF4-FFF2-40B4-BE49-F238E27FC236}">
              <a16:creationId xmlns:a16="http://schemas.microsoft.com/office/drawing/2014/main" id="{00000000-0008-0000-0800-00002B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2" name="Text Box 15">
          <a:extLst>
            <a:ext uri="{FF2B5EF4-FFF2-40B4-BE49-F238E27FC236}">
              <a16:creationId xmlns:a16="http://schemas.microsoft.com/office/drawing/2014/main" id="{00000000-0008-0000-0800-00002C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3" name="Text Box 15">
          <a:extLst>
            <a:ext uri="{FF2B5EF4-FFF2-40B4-BE49-F238E27FC236}">
              <a16:creationId xmlns:a16="http://schemas.microsoft.com/office/drawing/2014/main" id="{00000000-0008-0000-0800-00002D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4" name="Text Box 15">
          <a:extLst>
            <a:ext uri="{FF2B5EF4-FFF2-40B4-BE49-F238E27FC236}">
              <a16:creationId xmlns:a16="http://schemas.microsoft.com/office/drawing/2014/main" id="{00000000-0008-0000-0800-00002E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5" name="Text Box 15">
          <a:extLst>
            <a:ext uri="{FF2B5EF4-FFF2-40B4-BE49-F238E27FC236}">
              <a16:creationId xmlns:a16="http://schemas.microsoft.com/office/drawing/2014/main" id="{00000000-0008-0000-0800-00002F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6" name="Text Box 15">
          <a:extLst>
            <a:ext uri="{FF2B5EF4-FFF2-40B4-BE49-F238E27FC236}">
              <a16:creationId xmlns:a16="http://schemas.microsoft.com/office/drawing/2014/main" id="{00000000-0008-0000-0800-000030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7" name="Text Box 15">
          <a:extLst>
            <a:ext uri="{FF2B5EF4-FFF2-40B4-BE49-F238E27FC236}">
              <a16:creationId xmlns:a16="http://schemas.microsoft.com/office/drawing/2014/main" id="{00000000-0008-0000-0800-000031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7871"/>
    <xdr:sp macro="" textlink="">
      <xdr:nvSpPr>
        <xdr:cNvPr id="2608" name="Text Box 15">
          <a:extLst>
            <a:ext uri="{FF2B5EF4-FFF2-40B4-BE49-F238E27FC236}">
              <a16:creationId xmlns:a16="http://schemas.microsoft.com/office/drawing/2014/main" id="{00000000-0008-0000-0800-0000320A0000}"/>
            </a:ext>
          </a:extLst>
        </xdr:cNvPr>
        <xdr:cNvSpPr txBox="1">
          <a:spLocks noChangeArrowheads="1"/>
        </xdr:cNvSpPr>
      </xdr:nvSpPr>
      <xdr:spPr bwMode="auto">
        <a:xfrm>
          <a:off x="1933575" y="741807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609" name="Text Box 15">
          <a:extLst>
            <a:ext uri="{FF2B5EF4-FFF2-40B4-BE49-F238E27FC236}">
              <a16:creationId xmlns:a16="http://schemas.microsoft.com/office/drawing/2014/main" id="{00000000-0008-0000-0800-000033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610" name="Text Box 15">
          <a:extLst>
            <a:ext uri="{FF2B5EF4-FFF2-40B4-BE49-F238E27FC236}">
              <a16:creationId xmlns:a16="http://schemas.microsoft.com/office/drawing/2014/main" id="{00000000-0008-0000-0800-000034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611" name="Text Box 15">
          <a:extLst>
            <a:ext uri="{FF2B5EF4-FFF2-40B4-BE49-F238E27FC236}">
              <a16:creationId xmlns:a16="http://schemas.microsoft.com/office/drawing/2014/main" id="{00000000-0008-0000-0800-000035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359</xdr:row>
      <xdr:rowOff>0</xdr:rowOff>
    </xdr:from>
    <xdr:ext cx="95250" cy="295275"/>
    <xdr:sp macro="" textlink="">
      <xdr:nvSpPr>
        <xdr:cNvPr id="2612" name="Text Box 15">
          <a:extLst>
            <a:ext uri="{FF2B5EF4-FFF2-40B4-BE49-F238E27FC236}">
              <a16:creationId xmlns:a16="http://schemas.microsoft.com/office/drawing/2014/main" id="{00000000-0008-0000-0800-0000360A0000}"/>
            </a:ext>
          </a:extLst>
        </xdr:cNvPr>
        <xdr:cNvSpPr txBox="1">
          <a:spLocks noChangeArrowheads="1"/>
        </xdr:cNvSpPr>
      </xdr:nvSpPr>
      <xdr:spPr bwMode="auto">
        <a:xfrm>
          <a:off x="1933575" y="741807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3" name="Text Box 15">
          <a:extLst>
            <a:ext uri="{FF2B5EF4-FFF2-40B4-BE49-F238E27FC236}">
              <a16:creationId xmlns:a16="http://schemas.microsoft.com/office/drawing/2014/main" id="{00000000-0008-0000-0800-000037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4" name="Text Box 15">
          <a:extLst>
            <a:ext uri="{FF2B5EF4-FFF2-40B4-BE49-F238E27FC236}">
              <a16:creationId xmlns:a16="http://schemas.microsoft.com/office/drawing/2014/main" id="{00000000-0008-0000-0800-000038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5" name="Text Box 15">
          <a:extLst>
            <a:ext uri="{FF2B5EF4-FFF2-40B4-BE49-F238E27FC236}">
              <a16:creationId xmlns:a16="http://schemas.microsoft.com/office/drawing/2014/main" id="{00000000-0008-0000-0800-000039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6" name="Text Box 15">
          <a:extLst>
            <a:ext uri="{FF2B5EF4-FFF2-40B4-BE49-F238E27FC236}">
              <a16:creationId xmlns:a16="http://schemas.microsoft.com/office/drawing/2014/main" id="{00000000-0008-0000-0800-00003A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7" name="Text Box 15">
          <a:extLst>
            <a:ext uri="{FF2B5EF4-FFF2-40B4-BE49-F238E27FC236}">
              <a16:creationId xmlns:a16="http://schemas.microsoft.com/office/drawing/2014/main" id="{00000000-0008-0000-0800-00003B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8" name="Text Box 15">
          <a:extLst>
            <a:ext uri="{FF2B5EF4-FFF2-40B4-BE49-F238E27FC236}">
              <a16:creationId xmlns:a16="http://schemas.microsoft.com/office/drawing/2014/main" id="{00000000-0008-0000-0800-00003C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19" name="Text Box 15">
          <a:extLst>
            <a:ext uri="{FF2B5EF4-FFF2-40B4-BE49-F238E27FC236}">
              <a16:creationId xmlns:a16="http://schemas.microsoft.com/office/drawing/2014/main" id="{00000000-0008-0000-0800-00003D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20" name="Text Box 15">
          <a:extLst>
            <a:ext uri="{FF2B5EF4-FFF2-40B4-BE49-F238E27FC236}">
              <a16:creationId xmlns:a16="http://schemas.microsoft.com/office/drawing/2014/main" id="{00000000-0008-0000-0800-00003E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1" name="Text Box 15">
          <a:extLst>
            <a:ext uri="{FF2B5EF4-FFF2-40B4-BE49-F238E27FC236}">
              <a16:creationId xmlns:a16="http://schemas.microsoft.com/office/drawing/2014/main" id="{00000000-0008-0000-0800-00003F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2" name="Text Box 15">
          <a:extLst>
            <a:ext uri="{FF2B5EF4-FFF2-40B4-BE49-F238E27FC236}">
              <a16:creationId xmlns:a16="http://schemas.microsoft.com/office/drawing/2014/main" id="{00000000-0008-0000-0800-000040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3" name="Text Box 15">
          <a:extLst>
            <a:ext uri="{FF2B5EF4-FFF2-40B4-BE49-F238E27FC236}">
              <a16:creationId xmlns:a16="http://schemas.microsoft.com/office/drawing/2014/main" id="{00000000-0008-0000-0800-000041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4" name="Text Box 15">
          <a:extLst>
            <a:ext uri="{FF2B5EF4-FFF2-40B4-BE49-F238E27FC236}">
              <a16:creationId xmlns:a16="http://schemas.microsoft.com/office/drawing/2014/main" id="{00000000-0008-0000-0800-000042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5" name="Text Box 15">
          <a:extLst>
            <a:ext uri="{FF2B5EF4-FFF2-40B4-BE49-F238E27FC236}">
              <a16:creationId xmlns:a16="http://schemas.microsoft.com/office/drawing/2014/main" id="{00000000-0008-0000-0800-000043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6" name="Text Box 15">
          <a:extLst>
            <a:ext uri="{FF2B5EF4-FFF2-40B4-BE49-F238E27FC236}">
              <a16:creationId xmlns:a16="http://schemas.microsoft.com/office/drawing/2014/main" id="{00000000-0008-0000-0800-000044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7" name="Text Box 15">
          <a:extLst>
            <a:ext uri="{FF2B5EF4-FFF2-40B4-BE49-F238E27FC236}">
              <a16:creationId xmlns:a16="http://schemas.microsoft.com/office/drawing/2014/main" id="{00000000-0008-0000-0800-000045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28" name="Text Box 15">
          <a:extLst>
            <a:ext uri="{FF2B5EF4-FFF2-40B4-BE49-F238E27FC236}">
              <a16:creationId xmlns:a16="http://schemas.microsoft.com/office/drawing/2014/main" id="{00000000-0008-0000-0800-000046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29" name="Text Box 15">
          <a:extLst>
            <a:ext uri="{FF2B5EF4-FFF2-40B4-BE49-F238E27FC236}">
              <a16:creationId xmlns:a16="http://schemas.microsoft.com/office/drawing/2014/main" id="{00000000-0008-0000-0800-000047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0" name="Text Box 15">
          <a:extLst>
            <a:ext uri="{FF2B5EF4-FFF2-40B4-BE49-F238E27FC236}">
              <a16:creationId xmlns:a16="http://schemas.microsoft.com/office/drawing/2014/main" id="{00000000-0008-0000-0800-000048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1" name="Text Box 15">
          <a:extLst>
            <a:ext uri="{FF2B5EF4-FFF2-40B4-BE49-F238E27FC236}">
              <a16:creationId xmlns:a16="http://schemas.microsoft.com/office/drawing/2014/main" id="{00000000-0008-0000-0800-000049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2" name="Text Box 15">
          <a:extLst>
            <a:ext uri="{FF2B5EF4-FFF2-40B4-BE49-F238E27FC236}">
              <a16:creationId xmlns:a16="http://schemas.microsoft.com/office/drawing/2014/main" id="{00000000-0008-0000-0800-00004A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3" name="Text Box 15">
          <a:extLst>
            <a:ext uri="{FF2B5EF4-FFF2-40B4-BE49-F238E27FC236}">
              <a16:creationId xmlns:a16="http://schemas.microsoft.com/office/drawing/2014/main" id="{00000000-0008-0000-0800-00004B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4" name="Text Box 15">
          <a:extLst>
            <a:ext uri="{FF2B5EF4-FFF2-40B4-BE49-F238E27FC236}">
              <a16:creationId xmlns:a16="http://schemas.microsoft.com/office/drawing/2014/main" id="{00000000-0008-0000-0800-00004C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5" name="Text Box 15">
          <a:extLst>
            <a:ext uri="{FF2B5EF4-FFF2-40B4-BE49-F238E27FC236}">
              <a16:creationId xmlns:a16="http://schemas.microsoft.com/office/drawing/2014/main" id="{00000000-0008-0000-0800-00004D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36" name="Text Box 15">
          <a:extLst>
            <a:ext uri="{FF2B5EF4-FFF2-40B4-BE49-F238E27FC236}">
              <a16:creationId xmlns:a16="http://schemas.microsoft.com/office/drawing/2014/main" id="{00000000-0008-0000-0800-00004E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37" name="Text Box 15">
          <a:extLst>
            <a:ext uri="{FF2B5EF4-FFF2-40B4-BE49-F238E27FC236}">
              <a16:creationId xmlns:a16="http://schemas.microsoft.com/office/drawing/2014/main" id="{00000000-0008-0000-0800-00004F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38" name="Text Box 15">
          <a:extLst>
            <a:ext uri="{FF2B5EF4-FFF2-40B4-BE49-F238E27FC236}">
              <a16:creationId xmlns:a16="http://schemas.microsoft.com/office/drawing/2014/main" id="{00000000-0008-0000-0800-000050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39" name="Text Box 15">
          <a:extLst>
            <a:ext uri="{FF2B5EF4-FFF2-40B4-BE49-F238E27FC236}">
              <a16:creationId xmlns:a16="http://schemas.microsoft.com/office/drawing/2014/main" id="{00000000-0008-0000-0800-000051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40" name="Text Box 15">
          <a:extLst>
            <a:ext uri="{FF2B5EF4-FFF2-40B4-BE49-F238E27FC236}">
              <a16:creationId xmlns:a16="http://schemas.microsoft.com/office/drawing/2014/main" id="{00000000-0008-0000-0800-000052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41" name="Text Box 15">
          <a:extLst>
            <a:ext uri="{FF2B5EF4-FFF2-40B4-BE49-F238E27FC236}">
              <a16:creationId xmlns:a16="http://schemas.microsoft.com/office/drawing/2014/main" id="{00000000-0008-0000-0800-000053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42" name="Text Box 15">
          <a:extLst>
            <a:ext uri="{FF2B5EF4-FFF2-40B4-BE49-F238E27FC236}">
              <a16:creationId xmlns:a16="http://schemas.microsoft.com/office/drawing/2014/main" id="{00000000-0008-0000-0800-000054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43" name="Text Box 15">
          <a:extLst>
            <a:ext uri="{FF2B5EF4-FFF2-40B4-BE49-F238E27FC236}">
              <a16:creationId xmlns:a16="http://schemas.microsoft.com/office/drawing/2014/main" id="{00000000-0008-0000-0800-000055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644" name="Text Box 15">
          <a:extLst>
            <a:ext uri="{FF2B5EF4-FFF2-40B4-BE49-F238E27FC236}">
              <a16:creationId xmlns:a16="http://schemas.microsoft.com/office/drawing/2014/main" id="{00000000-0008-0000-0800-000056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45" name="Text Box 15">
          <a:extLst>
            <a:ext uri="{FF2B5EF4-FFF2-40B4-BE49-F238E27FC236}">
              <a16:creationId xmlns:a16="http://schemas.microsoft.com/office/drawing/2014/main" id="{00000000-0008-0000-0800-000057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46" name="Text Box 15">
          <a:extLst>
            <a:ext uri="{FF2B5EF4-FFF2-40B4-BE49-F238E27FC236}">
              <a16:creationId xmlns:a16="http://schemas.microsoft.com/office/drawing/2014/main" id="{00000000-0008-0000-0800-000058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47" name="Text Box 15">
          <a:extLst>
            <a:ext uri="{FF2B5EF4-FFF2-40B4-BE49-F238E27FC236}">
              <a16:creationId xmlns:a16="http://schemas.microsoft.com/office/drawing/2014/main" id="{00000000-0008-0000-0800-000059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48" name="Text Box 15">
          <a:extLst>
            <a:ext uri="{FF2B5EF4-FFF2-40B4-BE49-F238E27FC236}">
              <a16:creationId xmlns:a16="http://schemas.microsoft.com/office/drawing/2014/main" id="{00000000-0008-0000-0800-00005A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49" name="Text Box 15">
          <a:extLst>
            <a:ext uri="{FF2B5EF4-FFF2-40B4-BE49-F238E27FC236}">
              <a16:creationId xmlns:a16="http://schemas.microsoft.com/office/drawing/2014/main" id="{00000000-0008-0000-0800-00005B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50" name="Text Box 15">
          <a:extLst>
            <a:ext uri="{FF2B5EF4-FFF2-40B4-BE49-F238E27FC236}">
              <a16:creationId xmlns:a16="http://schemas.microsoft.com/office/drawing/2014/main" id="{00000000-0008-0000-0800-00005C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51" name="Text Box 15">
          <a:extLst>
            <a:ext uri="{FF2B5EF4-FFF2-40B4-BE49-F238E27FC236}">
              <a16:creationId xmlns:a16="http://schemas.microsoft.com/office/drawing/2014/main" id="{00000000-0008-0000-0800-00005D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652" name="Text Box 15">
          <a:extLst>
            <a:ext uri="{FF2B5EF4-FFF2-40B4-BE49-F238E27FC236}">
              <a16:creationId xmlns:a16="http://schemas.microsoft.com/office/drawing/2014/main" id="{00000000-0008-0000-0800-00005E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3" name="Text Box 15">
          <a:extLst>
            <a:ext uri="{FF2B5EF4-FFF2-40B4-BE49-F238E27FC236}">
              <a16:creationId xmlns:a16="http://schemas.microsoft.com/office/drawing/2014/main" id="{00000000-0008-0000-0800-00005F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4" name="Text Box 15">
          <a:extLst>
            <a:ext uri="{FF2B5EF4-FFF2-40B4-BE49-F238E27FC236}">
              <a16:creationId xmlns:a16="http://schemas.microsoft.com/office/drawing/2014/main" id="{00000000-0008-0000-0800-000060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5" name="Text Box 15">
          <a:extLst>
            <a:ext uri="{FF2B5EF4-FFF2-40B4-BE49-F238E27FC236}">
              <a16:creationId xmlns:a16="http://schemas.microsoft.com/office/drawing/2014/main" id="{00000000-0008-0000-0800-000061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6" name="Text Box 15">
          <a:extLst>
            <a:ext uri="{FF2B5EF4-FFF2-40B4-BE49-F238E27FC236}">
              <a16:creationId xmlns:a16="http://schemas.microsoft.com/office/drawing/2014/main" id="{00000000-0008-0000-0800-000062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7" name="Text Box 15">
          <a:extLst>
            <a:ext uri="{FF2B5EF4-FFF2-40B4-BE49-F238E27FC236}">
              <a16:creationId xmlns:a16="http://schemas.microsoft.com/office/drawing/2014/main" id="{00000000-0008-0000-0800-000063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8" name="Text Box 15">
          <a:extLst>
            <a:ext uri="{FF2B5EF4-FFF2-40B4-BE49-F238E27FC236}">
              <a16:creationId xmlns:a16="http://schemas.microsoft.com/office/drawing/2014/main" id="{00000000-0008-0000-0800-000064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59" name="Text Box 15">
          <a:extLst>
            <a:ext uri="{FF2B5EF4-FFF2-40B4-BE49-F238E27FC236}">
              <a16:creationId xmlns:a16="http://schemas.microsoft.com/office/drawing/2014/main" id="{00000000-0008-0000-0800-000065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660" name="Text Box 15">
          <a:extLst>
            <a:ext uri="{FF2B5EF4-FFF2-40B4-BE49-F238E27FC236}">
              <a16:creationId xmlns:a16="http://schemas.microsoft.com/office/drawing/2014/main" id="{00000000-0008-0000-0800-000066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1" name="Text Box 15">
          <a:extLst>
            <a:ext uri="{FF2B5EF4-FFF2-40B4-BE49-F238E27FC236}">
              <a16:creationId xmlns:a16="http://schemas.microsoft.com/office/drawing/2014/main" id="{00000000-0008-0000-0800-000067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2" name="Text Box 15">
          <a:extLst>
            <a:ext uri="{FF2B5EF4-FFF2-40B4-BE49-F238E27FC236}">
              <a16:creationId xmlns:a16="http://schemas.microsoft.com/office/drawing/2014/main" id="{00000000-0008-0000-0800-000068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3" name="Text Box 15">
          <a:extLst>
            <a:ext uri="{FF2B5EF4-FFF2-40B4-BE49-F238E27FC236}">
              <a16:creationId xmlns:a16="http://schemas.microsoft.com/office/drawing/2014/main" id="{00000000-0008-0000-0800-000069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4" name="Text Box 15">
          <a:extLst>
            <a:ext uri="{FF2B5EF4-FFF2-40B4-BE49-F238E27FC236}">
              <a16:creationId xmlns:a16="http://schemas.microsoft.com/office/drawing/2014/main" id="{00000000-0008-0000-0800-00006A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5" name="Text Box 15">
          <a:extLst>
            <a:ext uri="{FF2B5EF4-FFF2-40B4-BE49-F238E27FC236}">
              <a16:creationId xmlns:a16="http://schemas.microsoft.com/office/drawing/2014/main" id="{00000000-0008-0000-0800-00006B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6" name="Text Box 15">
          <a:extLst>
            <a:ext uri="{FF2B5EF4-FFF2-40B4-BE49-F238E27FC236}">
              <a16:creationId xmlns:a16="http://schemas.microsoft.com/office/drawing/2014/main" id="{00000000-0008-0000-0800-00006C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7" name="Text Box 15">
          <a:extLst>
            <a:ext uri="{FF2B5EF4-FFF2-40B4-BE49-F238E27FC236}">
              <a16:creationId xmlns:a16="http://schemas.microsoft.com/office/drawing/2014/main" id="{00000000-0008-0000-0800-00006D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7871"/>
    <xdr:sp macro="" textlink="">
      <xdr:nvSpPr>
        <xdr:cNvPr id="2668" name="Text Box 15">
          <a:extLst>
            <a:ext uri="{FF2B5EF4-FFF2-40B4-BE49-F238E27FC236}">
              <a16:creationId xmlns:a16="http://schemas.microsoft.com/office/drawing/2014/main" id="{00000000-0008-0000-0800-00006E0A0000}"/>
            </a:ext>
          </a:extLst>
        </xdr:cNvPr>
        <xdr:cNvSpPr txBox="1">
          <a:spLocks noChangeArrowheads="1"/>
        </xdr:cNvSpPr>
      </xdr:nvSpPr>
      <xdr:spPr bwMode="auto">
        <a:xfrm>
          <a:off x="1933575" y="749522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69" name="Text Box 15">
          <a:extLst>
            <a:ext uri="{FF2B5EF4-FFF2-40B4-BE49-F238E27FC236}">
              <a16:creationId xmlns:a16="http://schemas.microsoft.com/office/drawing/2014/main" id="{00000000-0008-0000-0800-00006F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0" name="Text Box 15">
          <a:extLst>
            <a:ext uri="{FF2B5EF4-FFF2-40B4-BE49-F238E27FC236}">
              <a16:creationId xmlns:a16="http://schemas.microsoft.com/office/drawing/2014/main" id="{00000000-0008-0000-0800-000070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1" name="Text Box 15">
          <a:extLst>
            <a:ext uri="{FF2B5EF4-FFF2-40B4-BE49-F238E27FC236}">
              <a16:creationId xmlns:a16="http://schemas.microsoft.com/office/drawing/2014/main" id="{00000000-0008-0000-0800-000071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2" name="Text Box 15">
          <a:extLst>
            <a:ext uri="{FF2B5EF4-FFF2-40B4-BE49-F238E27FC236}">
              <a16:creationId xmlns:a16="http://schemas.microsoft.com/office/drawing/2014/main" id="{00000000-0008-0000-0800-000072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3" name="Text Box 15">
          <a:extLst>
            <a:ext uri="{FF2B5EF4-FFF2-40B4-BE49-F238E27FC236}">
              <a16:creationId xmlns:a16="http://schemas.microsoft.com/office/drawing/2014/main" id="{00000000-0008-0000-0800-000073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4" name="Text Box 15">
          <a:extLst>
            <a:ext uri="{FF2B5EF4-FFF2-40B4-BE49-F238E27FC236}">
              <a16:creationId xmlns:a16="http://schemas.microsoft.com/office/drawing/2014/main" id="{00000000-0008-0000-0800-000074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5" name="Text Box 15">
          <a:extLst>
            <a:ext uri="{FF2B5EF4-FFF2-40B4-BE49-F238E27FC236}">
              <a16:creationId xmlns:a16="http://schemas.microsoft.com/office/drawing/2014/main" id="{00000000-0008-0000-0800-000075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364</xdr:row>
      <xdr:rowOff>0</xdr:rowOff>
    </xdr:from>
    <xdr:ext cx="95250" cy="295275"/>
    <xdr:sp macro="" textlink="">
      <xdr:nvSpPr>
        <xdr:cNvPr id="2676" name="Text Box 15">
          <a:extLst>
            <a:ext uri="{FF2B5EF4-FFF2-40B4-BE49-F238E27FC236}">
              <a16:creationId xmlns:a16="http://schemas.microsoft.com/office/drawing/2014/main" id="{00000000-0008-0000-0800-0000760A0000}"/>
            </a:ext>
          </a:extLst>
        </xdr:cNvPr>
        <xdr:cNvSpPr txBox="1">
          <a:spLocks noChangeArrowheads="1"/>
        </xdr:cNvSpPr>
      </xdr:nvSpPr>
      <xdr:spPr bwMode="auto">
        <a:xfrm>
          <a:off x="1933575" y="749522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77" name="Text Box 15">
          <a:extLst>
            <a:ext uri="{FF2B5EF4-FFF2-40B4-BE49-F238E27FC236}">
              <a16:creationId xmlns:a16="http://schemas.microsoft.com/office/drawing/2014/main" id="{00000000-0008-0000-0800-000077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78" name="Text Box 15">
          <a:extLst>
            <a:ext uri="{FF2B5EF4-FFF2-40B4-BE49-F238E27FC236}">
              <a16:creationId xmlns:a16="http://schemas.microsoft.com/office/drawing/2014/main" id="{00000000-0008-0000-0800-000078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79" name="Text Box 15">
          <a:extLst>
            <a:ext uri="{FF2B5EF4-FFF2-40B4-BE49-F238E27FC236}">
              <a16:creationId xmlns:a16="http://schemas.microsoft.com/office/drawing/2014/main" id="{00000000-0008-0000-0800-000079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80" name="Text Box 15">
          <a:extLst>
            <a:ext uri="{FF2B5EF4-FFF2-40B4-BE49-F238E27FC236}">
              <a16:creationId xmlns:a16="http://schemas.microsoft.com/office/drawing/2014/main" id="{00000000-0008-0000-0800-00007A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81" name="Text Box 15">
          <a:extLst>
            <a:ext uri="{FF2B5EF4-FFF2-40B4-BE49-F238E27FC236}">
              <a16:creationId xmlns:a16="http://schemas.microsoft.com/office/drawing/2014/main" id="{00000000-0008-0000-0800-00007B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82" name="Text Box 15">
          <a:extLst>
            <a:ext uri="{FF2B5EF4-FFF2-40B4-BE49-F238E27FC236}">
              <a16:creationId xmlns:a16="http://schemas.microsoft.com/office/drawing/2014/main" id="{00000000-0008-0000-0800-00007C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83" name="Text Box 15">
          <a:extLst>
            <a:ext uri="{FF2B5EF4-FFF2-40B4-BE49-F238E27FC236}">
              <a16:creationId xmlns:a16="http://schemas.microsoft.com/office/drawing/2014/main" id="{00000000-0008-0000-0800-00007D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7871"/>
    <xdr:sp macro="" textlink="">
      <xdr:nvSpPr>
        <xdr:cNvPr id="2684" name="Text Box 15">
          <a:extLst>
            <a:ext uri="{FF2B5EF4-FFF2-40B4-BE49-F238E27FC236}">
              <a16:creationId xmlns:a16="http://schemas.microsoft.com/office/drawing/2014/main" id="{00000000-0008-0000-0800-00007E0A0000}"/>
            </a:ext>
          </a:extLst>
        </xdr:cNvPr>
        <xdr:cNvSpPr txBox="1">
          <a:spLocks noChangeArrowheads="1"/>
        </xdr:cNvSpPr>
      </xdr:nvSpPr>
      <xdr:spPr bwMode="auto">
        <a:xfrm>
          <a:off x="1933575" y="74447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85" name="Text Box 15">
          <a:extLst>
            <a:ext uri="{FF2B5EF4-FFF2-40B4-BE49-F238E27FC236}">
              <a16:creationId xmlns:a16="http://schemas.microsoft.com/office/drawing/2014/main" id="{00000000-0008-0000-0800-00007F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86" name="Text Box 15">
          <a:extLst>
            <a:ext uri="{FF2B5EF4-FFF2-40B4-BE49-F238E27FC236}">
              <a16:creationId xmlns:a16="http://schemas.microsoft.com/office/drawing/2014/main" id="{00000000-0008-0000-0800-000080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87" name="Text Box 15">
          <a:extLst>
            <a:ext uri="{FF2B5EF4-FFF2-40B4-BE49-F238E27FC236}">
              <a16:creationId xmlns:a16="http://schemas.microsoft.com/office/drawing/2014/main" id="{00000000-0008-0000-0800-000081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88" name="Text Box 15">
          <a:extLst>
            <a:ext uri="{FF2B5EF4-FFF2-40B4-BE49-F238E27FC236}">
              <a16:creationId xmlns:a16="http://schemas.microsoft.com/office/drawing/2014/main" id="{00000000-0008-0000-0800-000082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89" name="Text Box 15">
          <a:extLst>
            <a:ext uri="{FF2B5EF4-FFF2-40B4-BE49-F238E27FC236}">
              <a16:creationId xmlns:a16="http://schemas.microsoft.com/office/drawing/2014/main" id="{00000000-0008-0000-0800-000083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90" name="Text Box 15">
          <a:extLst>
            <a:ext uri="{FF2B5EF4-FFF2-40B4-BE49-F238E27FC236}">
              <a16:creationId xmlns:a16="http://schemas.microsoft.com/office/drawing/2014/main" id="{00000000-0008-0000-0800-000084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91" name="Text Box 15">
          <a:extLst>
            <a:ext uri="{FF2B5EF4-FFF2-40B4-BE49-F238E27FC236}">
              <a16:creationId xmlns:a16="http://schemas.microsoft.com/office/drawing/2014/main" id="{00000000-0008-0000-0800-000085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361</xdr:row>
      <xdr:rowOff>0</xdr:rowOff>
    </xdr:from>
    <xdr:ext cx="95250" cy="295275"/>
    <xdr:sp macro="" textlink="">
      <xdr:nvSpPr>
        <xdr:cNvPr id="2692" name="Text Box 15">
          <a:extLst>
            <a:ext uri="{FF2B5EF4-FFF2-40B4-BE49-F238E27FC236}">
              <a16:creationId xmlns:a16="http://schemas.microsoft.com/office/drawing/2014/main" id="{00000000-0008-0000-0800-0000860A0000}"/>
            </a:ext>
          </a:extLst>
        </xdr:cNvPr>
        <xdr:cNvSpPr txBox="1">
          <a:spLocks noChangeArrowheads="1"/>
        </xdr:cNvSpPr>
      </xdr:nvSpPr>
      <xdr:spPr bwMode="auto">
        <a:xfrm>
          <a:off x="1933575" y="74447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3" name="Text Box 15">
          <a:extLst>
            <a:ext uri="{FF2B5EF4-FFF2-40B4-BE49-F238E27FC236}">
              <a16:creationId xmlns:a16="http://schemas.microsoft.com/office/drawing/2014/main" id="{00000000-0008-0000-0800-000087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4" name="Text Box 15">
          <a:extLst>
            <a:ext uri="{FF2B5EF4-FFF2-40B4-BE49-F238E27FC236}">
              <a16:creationId xmlns:a16="http://schemas.microsoft.com/office/drawing/2014/main" id="{00000000-0008-0000-0800-000088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5" name="Text Box 15">
          <a:extLst>
            <a:ext uri="{FF2B5EF4-FFF2-40B4-BE49-F238E27FC236}">
              <a16:creationId xmlns:a16="http://schemas.microsoft.com/office/drawing/2014/main" id="{00000000-0008-0000-0800-000089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6" name="Text Box 15">
          <a:extLst>
            <a:ext uri="{FF2B5EF4-FFF2-40B4-BE49-F238E27FC236}">
              <a16:creationId xmlns:a16="http://schemas.microsoft.com/office/drawing/2014/main" id="{00000000-0008-0000-0800-00008A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7" name="Text Box 15">
          <a:extLst>
            <a:ext uri="{FF2B5EF4-FFF2-40B4-BE49-F238E27FC236}">
              <a16:creationId xmlns:a16="http://schemas.microsoft.com/office/drawing/2014/main" id="{00000000-0008-0000-0800-00008B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8" name="Text Box 15">
          <a:extLst>
            <a:ext uri="{FF2B5EF4-FFF2-40B4-BE49-F238E27FC236}">
              <a16:creationId xmlns:a16="http://schemas.microsoft.com/office/drawing/2014/main" id="{00000000-0008-0000-0800-00008C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699" name="Text Box 15">
          <a:extLst>
            <a:ext uri="{FF2B5EF4-FFF2-40B4-BE49-F238E27FC236}">
              <a16:creationId xmlns:a16="http://schemas.microsoft.com/office/drawing/2014/main" id="{00000000-0008-0000-0800-00008D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7871"/>
    <xdr:sp macro="" textlink="">
      <xdr:nvSpPr>
        <xdr:cNvPr id="2700" name="Text Box 15">
          <a:extLst>
            <a:ext uri="{FF2B5EF4-FFF2-40B4-BE49-F238E27FC236}">
              <a16:creationId xmlns:a16="http://schemas.microsoft.com/office/drawing/2014/main" id="{00000000-0008-0000-0800-00008E0A0000}"/>
            </a:ext>
          </a:extLst>
        </xdr:cNvPr>
        <xdr:cNvSpPr txBox="1">
          <a:spLocks noChangeArrowheads="1"/>
        </xdr:cNvSpPr>
      </xdr:nvSpPr>
      <xdr:spPr bwMode="auto">
        <a:xfrm>
          <a:off x="1933575" y="746093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1" name="Text Box 15">
          <a:extLst>
            <a:ext uri="{FF2B5EF4-FFF2-40B4-BE49-F238E27FC236}">
              <a16:creationId xmlns:a16="http://schemas.microsoft.com/office/drawing/2014/main" id="{00000000-0008-0000-0800-00008F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2" name="Text Box 15">
          <a:extLst>
            <a:ext uri="{FF2B5EF4-FFF2-40B4-BE49-F238E27FC236}">
              <a16:creationId xmlns:a16="http://schemas.microsoft.com/office/drawing/2014/main" id="{00000000-0008-0000-0800-000090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3" name="Text Box 15">
          <a:extLst>
            <a:ext uri="{FF2B5EF4-FFF2-40B4-BE49-F238E27FC236}">
              <a16:creationId xmlns:a16="http://schemas.microsoft.com/office/drawing/2014/main" id="{00000000-0008-0000-0800-000091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4" name="Text Box 15">
          <a:extLst>
            <a:ext uri="{FF2B5EF4-FFF2-40B4-BE49-F238E27FC236}">
              <a16:creationId xmlns:a16="http://schemas.microsoft.com/office/drawing/2014/main" id="{00000000-0008-0000-0800-000092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5" name="Text Box 15">
          <a:extLst>
            <a:ext uri="{FF2B5EF4-FFF2-40B4-BE49-F238E27FC236}">
              <a16:creationId xmlns:a16="http://schemas.microsoft.com/office/drawing/2014/main" id="{00000000-0008-0000-0800-000093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362</xdr:row>
      <xdr:rowOff>0</xdr:rowOff>
    </xdr:from>
    <xdr:ext cx="95250" cy="295275"/>
    <xdr:sp macro="" textlink="">
      <xdr:nvSpPr>
        <xdr:cNvPr id="2706" name="Text Box 15">
          <a:extLst>
            <a:ext uri="{FF2B5EF4-FFF2-40B4-BE49-F238E27FC236}">
              <a16:creationId xmlns:a16="http://schemas.microsoft.com/office/drawing/2014/main" id="{00000000-0008-0000-0800-0000940A0000}"/>
            </a:ext>
          </a:extLst>
        </xdr:cNvPr>
        <xdr:cNvSpPr txBox="1">
          <a:spLocks noChangeArrowheads="1"/>
        </xdr:cNvSpPr>
      </xdr:nvSpPr>
      <xdr:spPr bwMode="auto">
        <a:xfrm>
          <a:off x="1933575" y="746093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07" name="Text Box 15">
          <a:extLst>
            <a:ext uri="{FF2B5EF4-FFF2-40B4-BE49-F238E27FC236}">
              <a16:creationId xmlns:a16="http://schemas.microsoft.com/office/drawing/2014/main" id="{00000000-0008-0000-0800-000096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08" name="Text Box 15">
          <a:extLst>
            <a:ext uri="{FF2B5EF4-FFF2-40B4-BE49-F238E27FC236}">
              <a16:creationId xmlns:a16="http://schemas.microsoft.com/office/drawing/2014/main" id="{00000000-0008-0000-0800-000097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09" name="Text Box 15">
          <a:extLst>
            <a:ext uri="{FF2B5EF4-FFF2-40B4-BE49-F238E27FC236}">
              <a16:creationId xmlns:a16="http://schemas.microsoft.com/office/drawing/2014/main" id="{00000000-0008-0000-0800-000098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10" name="Text Box 15">
          <a:extLst>
            <a:ext uri="{FF2B5EF4-FFF2-40B4-BE49-F238E27FC236}">
              <a16:creationId xmlns:a16="http://schemas.microsoft.com/office/drawing/2014/main" id="{00000000-0008-0000-0800-000099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11" name="Text Box 15">
          <a:extLst>
            <a:ext uri="{FF2B5EF4-FFF2-40B4-BE49-F238E27FC236}">
              <a16:creationId xmlns:a16="http://schemas.microsoft.com/office/drawing/2014/main" id="{00000000-0008-0000-0800-00009A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12" name="Text Box 15">
          <a:extLst>
            <a:ext uri="{FF2B5EF4-FFF2-40B4-BE49-F238E27FC236}">
              <a16:creationId xmlns:a16="http://schemas.microsoft.com/office/drawing/2014/main" id="{00000000-0008-0000-0800-00009B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13" name="Text Box 15">
          <a:extLst>
            <a:ext uri="{FF2B5EF4-FFF2-40B4-BE49-F238E27FC236}">
              <a16:creationId xmlns:a16="http://schemas.microsoft.com/office/drawing/2014/main" id="{00000000-0008-0000-0800-00009C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7871"/>
    <xdr:sp macro="" textlink="">
      <xdr:nvSpPr>
        <xdr:cNvPr id="2714" name="Text Box 15">
          <a:extLst>
            <a:ext uri="{FF2B5EF4-FFF2-40B4-BE49-F238E27FC236}">
              <a16:creationId xmlns:a16="http://schemas.microsoft.com/office/drawing/2014/main" id="{00000000-0008-0000-0800-00009D0A0000}"/>
            </a:ext>
          </a:extLst>
        </xdr:cNvPr>
        <xdr:cNvSpPr txBox="1">
          <a:spLocks noChangeArrowheads="1"/>
        </xdr:cNvSpPr>
      </xdr:nvSpPr>
      <xdr:spPr bwMode="auto">
        <a:xfrm>
          <a:off x="1933575" y="747807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715" name="Text Box 15">
          <a:extLst>
            <a:ext uri="{FF2B5EF4-FFF2-40B4-BE49-F238E27FC236}">
              <a16:creationId xmlns:a16="http://schemas.microsoft.com/office/drawing/2014/main" id="{00000000-0008-0000-0800-00009E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363</xdr:row>
      <xdr:rowOff>0</xdr:rowOff>
    </xdr:from>
    <xdr:ext cx="95250" cy="295275"/>
    <xdr:sp macro="" textlink="">
      <xdr:nvSpPr>
        <xdr:cNvPr id="2716" name="Text Box 15">
          <a:extLst>
            <a:ext uri="{FF2B5EF4-FFF2-40B4-BE49-F238E27FC236}">
              <a16:creationId xmlns:a16="http://schemas.microsoft.com/office/drawing/2014/main" id="{00000000-0008-0000-0800-00009F0A0000}"/>
            </a:ext>
          </a:extLst>
        </xdr:cNvPr>
        <xdr:cNvSpPr txBox="1">
          <a:spLocks noChangeArrowheads="1"/>
        </xdr:cNvSpPr>
      </xdr:nvSpPr>
      <xdr:spPr bwMode="auto">
        <a:xfrm>
          <a:off x="1933575" y="747807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17" name="Text Box 15">
          <a:extLst>
            <a:ext uri="{FF2B5EF4-FFF2-40B4-BE49-F238E27FC236}">
              <a16:creationId xmlns:a16="http://schemas.microsoft.com/office/drawing/2014/main" id="{00000000-0008-0000-0800-0000A0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18" name="Text Box 15">
          <a:extLst>
            <a:ext uri="{FF2B5EF4-FFF2-40B4-BE49-F238E27FC236}">
              <a16:creationId xmlns:a16="http://schemas.microsoft.com/office/drawing/2014/main" id="{00000000-0008-0000-0800-0000A1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19" name="Text Box 15">
          <a:extLst>
            <a:ext uri="{FF2B5EF4-FFF2-40B4-BE49-F238E27FC236}">
              <a16:creationId xmlns:a16="http://schemas.microsoft.com/office/drawing/2014/main" id="{00000000-0008-0000-0800-0000A2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20" name="Text Box 15">
          <a:extLst>
            <a:ext uri="{FF2B5EF4-FFF2-40B4-BE49-F238E27FC236}">
              <a16:creationId xmlns:a16="http://schemas.microsoft.com/office/drawing/2014/main" id="{00000000-0008-0000-0800-0000A3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21" name="Text Box 15">
          <a:extLst>
            <a:ext uri="{FF2B5EF4-FFF2-40B4-BE49-F238E27FC236}">
              <a16:creationId xmlns:a16="http://schemas.microsoft.com/office/drawing/2014/main" id="{00000000-0008-0000-0800-0000A4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22" name="Text Box 15">
          <a:extLst>
            <a:ext uri="{FF2B5EF4-FFF2-40B4-BE49-F238E27FC236}">
              <a16:creationId xmlns:a16="http://schemas.microsoft.com/office/drawing/2014/main" id="{00000000-0008-0000-0800-0000A5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23" name="Text Box 15">
          <a:extLst>
            <a:ext uri="{FF2B5EF4-FFF2-40B4-BE49-F238E27FC236}">
              <a16:creationId xmlns:a16="http://schemas.microsoft.com/office/drawing/2014/main" id="{00000000-0008-0000-0800-0000A6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24" name="Text Box 15">
          <a:extLst>
            <a:ext uri="{FF2B5EF4-FFF2-40B4-BE49-F238E27FC236}">
              <a16:creationId xmlns:a16="http://schemas.microsoft.com/office/drawing/2014/main" id="{00000000-0008-0000-0800-0000A7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25" name="Text Box 15">
          <a:extLst>
            <a:ext uri="{FF2B5EF4-FFF2-40B4-BE49-F238E27FC236}">
              <a16:creationId xmlns:a16="http://schemas.microsoft.com/office/drawing/2014/main" id="{00000000-0008-0000-0800-0000A8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26" name="Text Box 15">
          <a:extLst>
            <a:ext uri="{FF2B5EF4-FFF2-40B4-BE49-F238E27FC236}">
              <a16:creationId xmlns:a16="http://schemas.microsoft.com/office/drawing/2014/main" id="{00000000-0008-0000-0800-0000A9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27" name="Text Box 15">
          <a:extLst>
            <a:ext uri="{FF2B5EF4-FFF2-40B4-BE49-F238E27FC236}">
              <a16:creationId xmlns:a16="http://schemas.microsoft.com/office/drawing/2014/main" id="{00000000-0008-0000-0800-0000AA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28" name="Text Box 15">
          <a:extLst>
            <a:ext uri="{FF2B5EF4-FFF2-40B4-BE49-F238E27FC236}">
              <a16:creationId xmlns:a16="http://schemas.microsoft.com/office/drawing/2014/main" id="{00000000-0008-0000-0800-0000AB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29" name="Text Box 15">
          <a:extLst>
            <a:ext uri="{FF2B5EF4-FFF2-40B4-BE49-F238E27FC236}">
              <a16:creationId xmlns:a16="http://schemas.microsoft.com/office/drawing/2014/main" id="{00000000-0008-0000-0800-0000AC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30" name="Text Box 15">
          <a:extLst>
            <a:ext uri="{FF2B5EF4-FFF2-40B4-BE49-F238E27FC236}">
              <a16:creationId xmlns:a16="http://schemas.microsoft.com/office/drawing/2014/main" id="{00000000-0008-0000-0800-0000AD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31" name="Text Box 15">
          <a:extLst>
            <a:ext uri="{FF2B5EF4-FFF2-40B4-BE49-F238E27FC236}">
              <a16:creationId xmlns:a16="http://schemas.microsoft.com/office/drawing/2014/main" id="{00000000-0008-0000-0800-0000AE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32" name="Text Box 15">
          <a:extLst>
            <a:ext uri="{FF2B5EF4-FFF2-40B4-BE49-F238E27FC236}">
              <a16:creationId xmlns:a16="http://schemas.microsoft.com/office/drawing/2014/main" id="{00000000-0008-0000-0800-0000AF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3" name="Text Box 15">
          <a:extLst>
            <a:ext uri="{FF2B5EF4-FFF2-40B4-BE49-F238E27FC236}">
              <a16:creationId xmlns:a16="http://schemas.microsoft.com/office/drawing/2014/main" id="{00000000-0008-0000-0800-0000B0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4" name="Text Box 15">
          <a:extLst>
            <a:ext uri="{FF2B5EF4-FFF2-40B4-BE49-F238E27FC236}">
              <a16:creationId xmlns:a16="http://schemas.microsoft.com/office/drawing/2014/main" id="{00000000-0008-0000-0800-0000B1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5" name="Text Box 15">
          <a:extLst>
            <a:ext uri="{FF2B5EF4-FFF2-40B4-BE49-F238E27FC236}">
              <a16:creationId xmlns:a16="http://schemas.microsoft.com/office/drawing/2014/main" id="{00000000-0008-0000-0800-0000B2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6" name="Text Box 15">
          <a:extLst>
            <a:ext uri="{FF2B5EF4-FFF2-40B4-BE49-F238E27FC236}">
              <a16:creationId xmlns:a16="http://schemas.microsoft.com/office/drawing/2014/main" id="{00000000-0008-0000-0800-0000B3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7" name="Text Box 15">
          <a:extLst>
            <a:ext uri="{FF2B5EF4-FFF2-40B4-BE49-F238E27FC236}">
              <a16:creationId xmlns:a16="http://schemas.microsoft.com/office/drawing/2014/main" id="{00000000-0008-0000-0800-0000B4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8" name="Text Box 15">
          <a:extLst>
            <a:ext uri="{FF2B5EF4-FFF2-40B4-BE49-F238E27FC236}">
              <a16:creationId xmlns:a16="http://schemas.microsoft.com/office/drawing/2014/main" id="{00000000-0008-0000-0800-0000B5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39" name="Text Box 15">
          <a:extLst>
            <a:ext uri="{FF2B5EF4-FFF2-40B4-BE49-F238E27FC236}">
              <a16:creationId xmlns:a16="http://schemas.microsoft.com/office/drawing/2014/main" id="{00000000-0008-0000-0800-0000B6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40" name="Text Box 15">
          <a:extLst>
            <a:ext uri="{FF2B5EF4-FFF2-40B4-BE49-F238E27FC236}">
              <a16:creationId xmlns:a16="http://schemas.microsoft.com/office/drawing/2014/main" id="{00000000-0008-0000-0800-0000B7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1" name="Text Box 15">
          <a:extLst>
            <a:ext uri="{FF2B5EF4-FFF2-40B4-BE49-F238E27FC236}">
              <a16:creationId xmlns:a16="http://schemas.microsoft.com/office/drawing/2014/main" id="{00000000-0008-0000-0800-0000B8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2" name="Text Box 15">
          <a:extLst>
            <a:ext uri="{FF2B5EF4-FFF2-40B4-BE49-F238E27FC236}">
              <a16:creationId xmlns:a16="http://schemas.microsoft.com/office/drawing/2014/main" id="{00000000-0008-0000-0800-0000B9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3" name="Text Box 15">
          <a:extLst>
            <a:ext uri="{FF2B5EF4-FFF2-40B4-BE49-F238E27FC236}">
              <a16:creationId xmlns:a16="http://schemas.microsoft.com/office/drawing/2014/main" id="{00000000-0008-0000-0800-0000BA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4" name="Text Box 15">
          <a:extLst>
            <a:ext uri="{FF2B5EF4-FFF2-40B4-BE49-F238E27FC236}">
              <a16:creationId xmlns:a16="http://schemas.microsoft.com/office/drawing/2014/main" id="{00000000-0008-0000-0800-0000BB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5" name="Text Box 15">
          <a:extLst>
            <a:ext uri="{FF2B5EF4-FFF2-40B4-BE49-F238E27FC236}">
              <a16:creationId xmlns:a16="http://schemas.microsoft.com/office/drawing/2014/main" id="{00000000-0008-0000-0800-0000BC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6" name="Text Box 15">
          <a:extLst>
            <a:ext uri="{FF2B5EF4-FFF2-40B4-BE49-F238E27FC236}">
              <a16:creationId xmlns:a16="http://schemas.microsoft.com/office/drawing/2014/main" id="{00000000-0008-0000-0800-0000BD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7" name="Text Box 15">
          <a:extLst>
            <a:ext uri="{FF2B5EF4-FFF2-40B4-BE49-F238E27FC236}">
              <a16:creationId xmlns:a16="http://schemas.microsoft.com/office/drawing/2014/main" id="{00000000-0008-0000-0800-0000BE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48" name="Text Box 15">
          <a:extLst>
            <a:ext uri="{FF2B5EF4-FFF2-40B4-BE49-F238E27FC236}">
              <a16:creationId xmlns:a16="http://schemas.microsoft.com/office/drawing/2014/main" id="{00000000-0008-0000-0800-0000BF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49" name="Text Box 15">
          <a:extLst>
            <a:ext uri="{FF2B5EF4-FFF2-40B4-BE49-F238E27FC236}">
              <a16:creationId xmlns:a16="http://schemas.microsoft.com/office/drawing/2014/main" id="{00000000-0008-0000-0800-0000C0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0" name="Text Box 15">
          <a:extLst>
            <a:ext uri="{FF2B5EF4-FFF2-40B4-BE49-F238E27FC236}">
              <a16:creationId xmlns:a16="http://schemas.microsoft.com/office/drawing/2014/main" id="{00000000-0008-0000-0800-0000C1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1" name="Text Box 15">
          <a:extLst>
            <a:ext uri="{FF2B5EF4-FFF2-40B4-BE49-F238E27FC236}">
              <a16:creationId xmlns:a16="http://schemas.microsoft.com/office/drawing/2014/main" id="{00000000-0008-0000-0800-0000C2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2" name="Text Box 15">
          <a:extLst>
            <a:ext uri="{FF2B5EF4-FFF2-40B4-BE49-F238E27FC236}">
              <a16:creationId xmlns:a16="http://schemas.microsoft.com/office/drawing/2014/main" id="{00000000-0008-0000-0800-0000C3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3" name="Text Box 15">
          <a:extLst>
            <a:ext uri="{FF2B5EF4-FFF2-40B4-BE49-F238E27FC236}">
              <a16:creationId xmlns:a16="http://schemas.microsoft.com/office/drawing/2014/main" id="{00000000-0008-0000-0800-0000C4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4" name="Text Box 15">
          <a:extLst>
            <a:ext uri="{FF2B5EF4-FFF2-40B4-BE49-F238E27FC236}">
              <a16:creationId xmlns:a16="http://schemas.microsoft.com/office/drawing/2014/main" id="{00000000-0008-0000-0800-0000C5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5" name="Text Box 15">
          <a:extLst>
            <a:ext uri="{FF2B5EF4-FFF2-40B4-BE49-F238E27FC236}">
              <a16:creationId xmlns:a16="http://schemas.microsoft.com/office/drawing/2014/main" id="{00000000-0008-0000-0800-0000C6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56" name="Text Box 15">
          <a:extLst>
            <a:ext uri="{FF2B5EF4-FFF2-40B4-BE49-F238E27FC236}">
              <a16:creationId xmlns:a16="http://schemas.microsoft.com/office/drawing/2014/main" id="{00000000-0008-0000-0800-0000C7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57" name="Text Box 15">
          <a:extLst>
            <a:ext uri="{FF2B5EF4-FFF2-40B4-BE49-F238E27FC236}">
              <a16:creationId xmlns:a16="http://schemas.microsoft.com/office/drawing/2014/main" id="{00000000-0008-0000-0800-0000C8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58" name="Text Box 15">
          <a:extLst>
            <a:ext uri="{FF2B5EF4-FFF2-40B4-BE49-F238E27FC236}">
              <a16:creationId xmlns:a16="http://schemas.microsoft.com/office/drawing/2014/main" id="{00000000-0008-0000-0800-0000C9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59" name="Text Box 15">
          <a:extLst>
            <a:ext uri="{FF2B5EF4-FFF2-40B4-BE49-F238E27FC236}">
              <a16:creationId xmlns:a16="http://schemas.microsoft.com/office/drawing/2014/main" id="{00000000-0008-0000-0800-0000CA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60" name="Text Box 15">
          <a:extLst>
            <a:ext uri="{FF2B5EF4-FFF2-40B4-BE49-F238E27FC236}">
              <a16:creationId xmlns:a16="http://schemas.microsoft.com/office/drawing/2014/main" id="{00000000-0008-0000-0800-0000CB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61" name="Text Box 15">
          <a:extLst>
            <a:ext uri="{FF2B5EF4-FFF2-40B4-BE49-F238E27FC236}">
              <a16:creationId xmlns:a16="http://schemas.microsoft.com/office/drawing/2014/main" id="{00000000-0008-0000-0800-0000CC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62" name="Text Box 15">
          <a:extLst>
            <a:ext uri="{FF2B5EF4-FFF2-40B4-BE49-F238E27FC236}">
              <a16:creationId xmlns:a16="http://schemas.microsoft.com/office/drawing/2014/main" id="{00000000-0008-0000-0800-0000CD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63" name="Text Box 15">
          <a:extLst>
            <a:ext uri="{FF2B5EF4-FFF2-40B4-BE49-F238E27FC236}">
              <a16:creationId xmlns:a16="http://schemas.microsoft.com/office/drawing/2014/main" id="{00000000-0008-0000-0800-0000CE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64" name="Text Box 15">
          <a:extLst>
            <a:ext uri="{FF2B5EF4-FFF2-40B4-BE49-F238E27FC236}">
              <a16:creationId xmlns:a16="http://schemas.microsoft.com/office/drawing/2014/main" id="{00000000-0008-0000-0800-0000CF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65" name="Text Box 15">
          <a:extLst>
            <a:ext uri="{FF2B5EF4-FFF2-40B4-BE49-F238E27FC236}">
              <a16:creationId xmlns:a16="http://schemas.microsoft.com/office/drawing/2014/main" id="{00000000-0008-0000-0800-0000D0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66" name="Text Box 15">
          <a:extLst>
            <a:ext uri="{FF2B5EF4-FFF2-40B4-BE49-F238E27FC236}">
              <a16:creationId xmlns:a16="http://schemas.microsoft.com/office/drawing/2014/main" id="{00000000-0008-0000-0800-0000D1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67" name="Text Box 15">
          <a:extLst>
            <a:ext uri="{FF2B5EF4-FFF2-40B4-BE49-F238E27FC236}">
              <a16:creationId xmlns:a16="http://schemas.microsoft.com/office/drawing/2014/main" id="{00000000-0008-0000-0800-0000D2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68" name="Text Box 15">
          <a:extLst>
            <a:ext uri="{FF2B5EF4-FFF2-40B4-BE49-F238E27FC236}">
              <a16:creationId xmlns:a16="http://schemas.microsoft.com/office/drawing/2014/main" id="{00000000-0008-0000-0800-0000D3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69" name="Text Box 15">
          <a:extLst>
            <a:ext uri="{FF2B5EF4-FFF2-40B4-BE49-F238E27FC236}">
              <a16:creationId xmlns:a16="http://schemas.microsoft.com/office/drawing/2014/main" id="{00000000-0008-0000-0800-0000D4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70" name="Text Box 15">
          <a:extLst>
            <a:ext uri="{FF2B5EF4-FFF2-40B4-BE49-F238E27FC236}">
              <a16:creationId xmlns:a16="http://schemas.microsoft.com/office/drawing/2014/main" id="{00000000-0008-0000-0800-0000D5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71" name="Text Box 15">
          <a:extLst>
            <a:ext uri="{FF2B5EF4-FFF2-40B4-BE49-F238E27FC236}">
              <a16:creationId xmlns:a16="http://schemas.microsoft.com/office/drawing/2014/main" id="{00000000-0008-0000-0800-0000D6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72" name="Text Box 15">
          <a:extLst>
            <a:ext uri="{FF2B5EF4-FFF2-40B4-BE49-F238E27FC236}">
              <a16:creationId xmlns:a16="http://schemas.microsoft.com/office/drawing/2014/main" id="{00000000-0008-0000-0800-0000D7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3" name="Text Box 15">
          <a:extLst>
            <a:ext uri="{FF2B5EF4-FFF2-40B4-BE49-F238E27FC236}">
              <a16:creationId xmlns:a16="http://schemas.microsoft.com/office/drawing/2014/main" id="{00000000-0008-0000-0800-0000D8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4" name="Text Box 15">
          <a:extLst>
            <a:ext uri="{FF2B5EF4-FFF2-40B4-BE49-F238E27FC236}">
              <a16:creationId xmlns:a16="http://schemas.microsoft.com/office/drawing/2014/main" id="{00000000-0008-0000-0800-0000D9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5" name="Text Box 15">
          <a:extLst>
            <a:ext uri="{FF2B5EF4-FFF2-40B4-BE49-F238E27FC236}">
              <a16:creationId xmlns:a16="http://schemas.microsoft.com/office/drawing/2014/main" id="{00000000-0008-0000-0800-0000DA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6" name="Text Box 15">
          <a:extLst>
            <a:ext uri="{FF2B5EF4-FFF2-40B4-BE49-F238E27FC236}">
              <a16:creationId xmlns:a16="http://schemas.microsoft.com/office/drawing/2014/main" id="{00000000-0008-0000-0800-0000DB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7" name="Text Box 15">
          <a:extLst>
            <a:ext uri="{FF2B5EF4-FFF2-40B4-BE49-F238E27FC236}">
              <a16:creationId xmlns:a16="http://schemas.microsoft.com/office/drawing/2014/main" id="{00000000-0008-0000-0800-0000DC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8" name="Text Box 15">
          <a:extLst>
            <a:ext uri="{FF2B5EF4-FFF2-40B4-BE49-F238E27FC236}">
              <a16:creationId xmlns:a16="http://schemas.microsoft.com/office/drawing/2014/main" id="{00000000-0008-0000-0800-0000DD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79" name="Text Box 15">
          <a:extLst>
            <a:ext uri="{FF2B5EF4-FFF2-40B4-BE49-F238E27FC236}">
              <a16:creationId xmlns:a16="http://schemas.microsoft.com/office/drawing/2014/main" id="{00000000-0008-0000-0800-0000DE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780" name="Text Box 15">
          <a:extLst>
            <a:ext uri="{FF2B5EF4-FFF2-40B4-BE49-F238E27FC236}">
              <a16:creationId xmlns:a16="http://schemas.microsoft.com/office/drawing/2014/main" id="{00000000-0008-0000-0800-0000DF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1" name="Text Box 15">
          <a:extLst>
            <a:ext uri="{FF2B5EF4-FFF2-40B4-BE49-F238E27FC236}">
              <a16:creationId xmlns:a16="http://schemas.microsoft.com/office/drawing/2014/main" id="{00000000-0008-0000-0800-0000E0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2" name="Text Box 15">
          <a:extLst>
            <a:ext uri="{FF2B5EF4-FFF2-40B4-BE49-F238E27FC236}">
              <a16:creationId xmlns:a16="http://schemas.microsoft.com/office/drawing/2014/main" id="{00000000-0008-0000-0800-0000E1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3" name="Text Box 15">
          <a:extLst>
            <a:ext uri="{FF2B5EF4-FFF2-40B4-BE49-F238E27FC236}">
              <a16:creationId xmlns:a16="http://schemas.microsoft.com/office/drawing/2014/main" id="{00000000-0008-0000-0800-0000E2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4" name="Text Box 15">
          <a:extLst>
            <a:ext uri="{FF2B5EF4-FFF2-40B4-BE49-F238E27FC236}">
              <a16:creationId xmlns:a16="http://schemas.microsoft.com/office/drawing/2014/main" id="{00000000-0008-0000-0800-0000E3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5" name="Text Box 15">
          <a:extLst>
            <a:ext uri="{FF2B5EF4-FFF2-40B4-BE49-F238E27FC236}">
              <a16:creationId xmlns:a16="http://schemas.microsoft.com/office/drawing/2014/main" id="{00000000-0008-0000-0800-0000E4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6" name="Text Box 15">
          <a:extLst>
            <a:ext uri="{FF2B5EF4-FFF2-40B4-BE49-F238E27FC236}">
              <a16:creationId xmlns:a16="http://schemas.microsoft.com/office/drawing/2014/main" id="{00000000-0008-0000-0800-0000E5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7" name="Text Box 15">
          <a:extLst>
            <a:ext uri="{FF2B5EF4-FFF2-40B4-BE49-F238E27FC236}">
              <a16:creationId xmlns:a16="http://schemas.microsoft.com/office/drawing/2014/main" id="{00000000-0008-0000-0800-0000E6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788" name="Text Box 15">
          <a:extLst>
            <a:ext uri="{FF2B5EF4-FFF2-40B4-BE49-F238E27FC236}">
              <a16:creationId xmlns:a16="http://schemas.microsoft.com/office/drawing/2014/main" id="{00000000-0008-0000-0800-0000E70A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89" name="Text Box 15">
          <a:extLst>
            <a:ext uri="{FF2B5EF4-FFF2-40B4-BE49-F238E27FC236}">
              <a16:creationId xmlns:a16="http://schemas.microsoft.com/office/drawing/2014/main" id="{00000000-0008-0000-0800-0000E8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0" name="Text Box 15">
          <a:extLst>
            <a:ext uri="{FF2B5EF4-FFF2-40B4-BE49-F238E27FC236}">
              <a16:creationId xmlns:a16="http://schemas.microsoft.com/office/drawing/2014/main" id="{00000000-0008-0000-0800-0000E9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1" name="Text Box 15">
          <a:extLst>
            <a:ext uri="{FF2B5EF4-FFF2-40B4-BE49-F238E27FC236}">
              <a16:creationId xmlns:a16="http://schemas.microsoft.com/office/drawing/2014/main" id="{00000000-0008-0000-0800-0000EA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2" name="Text Box 15">
          <a:extLst>
            <a:ext uri="{FF2B5EF4-FFF2-40B4-BE49-F238E27FC236}">
              <a16:creationId xmlns:a16="http://schemas.microsoft.com/office/drawing/2014/main" id="{00000000-0008-0000-0800-0000EB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3" name="Text Box 15">
          <a:extLst>
            <a:ext uri="{FF2B5EF4-FFF2-40B4-BE49-F238E27FC236}">
              <a16:creationId xmlns:a16="http://schemas.microsoft.com/office/drawing/2014/main" id="{00000000-0008-0000-0800-0000EC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4" name="Text Box 15">
          <a:extLst>
            <a:ext uri="{FF2B5EF4-FFF2-40B4-BE49-F238E27FC236}">
              <a16:creationId xmlns:a16="http://schemas.microsoft.com/office/drawing/2014/main" id="{00000000-0008-0000-0800-0000ED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5" name="Text Box 15">
          <a:extLst>
            <a:ext uri="{FF2B5EF4-FFF2-40B4-BE49-F238E27FC236}">
              <a16:creationId xmlns:a16="http://schemas.microsoft.com/office/drawing/2014/main" id="{00000000-0008-0000-0800-0000EE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796" name="Text Box 15">
          <a:extLst>
            <a:ext uri="{FF2B5EF4-FFF2-40B4-BE49-F238E27FC236}">
              <a16:creationId xmlns:a16="http://schemas.microsoft.com/office/drawing/2014/main" id="{00000000-0008-0000-0800-0000EF0A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97" name="Text Box 15">
          <a:extLst>
            <a:ext uri="{FF2B5EF4-FFF2-40B4-BE49-F238E27FC236}">
              <a16:creationId xmlns:a16="http://schemas.microsoft.com/office/drawing/2014/main" id="{00000000-0008-0000-0800-0000F0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98" name="Text Box 15">
          <a:extLst>
            <a:ext uri="{FF2B5EF4-FFF2-40B4-BE49-F238E27FC236}">
              <a16:creationId xmlns:a16="http://schemas.microsoft.com/office/drawing/2014/main" id="{00000000-0008-0000-0800-0000F1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799" name="Text Box 15">
          <a:extLst>
            <a:ext uri="{FF2B5EF4-FFF2-40B4-BE49-F238E27FC236}">
              <a16:creationId xmlns:a16="http://schemas.microsoft.com/office/drawing/2014/main" id="{00000000-0008-0000-0800-0000F2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00" name="Text Box 15">
          <a:extLst>
            <a:ext uri="{FF2B5EF4-FFF2-40B4-BE49-F238E27FC236}">
              <a16:creationId xmlns:a16="http://schemas.microsoft.com/office/drawing/2014/main" id="{00000000-0008-0000-0800-0000F3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01" name="Text Box 15">
          <a:extLst>
            <a:ext uri="{FF2B5EF4-FFF2-40B4-BE49-F238E27FC236}">
              <a16:creationId xmlns:a16="http://schemas.microsoft.com/office/drawing/2014/main" id="{00000000-0008-0000-0800-0000F4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02" name="Text Box 15">
          <a:extLst>
            <a:ext uri="{FF2B5EF4-FFF2-40B4-BE49-F238E27FC236}">
              <a16:creationId xmlns:a16="http://schemas.microsoft.com/office/drawing/2014/main" id="{00000000-0008-0000-0800-0000F5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03" name="Text Box 15">
          <a:extLst>
            <a:ext uri="{FF2B5EF4-FFF2-40B4-BE49-F238E27FC236}">
              <a16:creationId xmlns:a16="http://schemas.microsoft.com/office/drawing/2014/main" id="{00000000-0008-0000-0800-0000F6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04" name="Text Box 15">
          <a:extLst>
            <a:ext uri="{FF2B5EF4-FFF2-40B4-BE49-F238E27FC236}">
              <a16:creationId xmlns:a16="http://schemas.microsoft.com/office/drawing/2014/main" id="{00000000-0008-0000-0800-0000F70A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05" name="Text Box 15">
          <a:extLst>
            <a:ext uri="{FF2B5EF4-FFF2-40B4-BE49-F238E27FC236}">
              <a16:creationId xmlns:a16="http://schemas.microsoft.com/office/drawing/2014/main" id="{00000000-0008-0000-0800-0000F8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06" name="Text Box 15">
          <a:extLst>
            <a:ext uri="{FF2B5EF4-FFF2-40B4-BE49-F238E27FC236}">
              <a16:creationId xmlns:a16="http://schemas.microsoft.com/office/drawing/2014/main" id="{00000000-0008-0000-0800-0000F9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07" name="Text Box 15">
          <a:extLst>
            <a:ext uri="{FF2B5EF4-FFF2-40B4-BE49-F238E27FC236}">
              <a16:creationId xmlns:a16="http://schemas.microsoft.com/office/drawing/2014/main" id="{00000000-0008-0000-0800-0000FA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08" name="Text Box 15">
          <a:extLst>
            <a:ext uri="{FF2B5EF4-FFF2-40B4-BE49-F238E27FC236}">
              <a16:creationId xmlns:a16="http://schemas.microsoft.com/office/drawing/2014/main" id="{00000000-0008-0000-0800-0000FB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09" name="Text Box 15">
          <a:extLst>
            <a:ext uri="{FF2B5EF4-FFF2-40B4-BE49-F238E27FC236}">
              <a16:creationId xmlns:a16="http://schemas.microsoft.com/office/drawing/2014/main" id="{00000000-0008-0000-0800-0000FC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10" name="Text Box 15">
          <a:extLst>
            <a:ext uri="{FF2B5EF4-FFF2-40B4-BE49-F238E27FC236}">
              <a16:creationId xmlns:a16="http://schemas.microsoft.com/office/drawing/2014/main" id="{00000000-0008-0000-0800-0000FD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11" name="Text Box 15">
          <a:extLst>
            <a:ext uri="{FF2B5EF4-FFF2-40B4-BE49-F238E27FC236}">
              <a16:creationId xmlns:a16="http://schemas.microsoft.com/office/drawing/2014/main" id="{00000000-0008-0000-0800-0000FE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12" name="Text Box 15">
          <a:extLst>
            <a:ext uri="{FF2B5EF4-FFF2-40B4-BE49-F238E27FC236}">
              <a16:creationId xmlns:a16="http://schemas.microsoft.com/office/drawing/2014/main" id="{00000000-0008-0000-0800-0000FF0A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3" name="Text Box 15">
          <a:extLst>
            <a:ext uri="{FF2B5EF4-FFF2-40B4-BE49-F238E27FC236}">
              <a16:creationId xmlns:a16="http://schemas.microsoft.com/office/drawing/2014/main" id="{00000000-0008-0000-0800-000000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4" name="Text Box 15">
          <a:extLst>
            <a:ext uri="{FF2B5EF4-FFF2-40B4-BE49-F238E27FC236}">
              <a16:creationId xmlns:a16="http://schemas.microsoft.com/office/drawing/2014/main" id="{00000000-0008-0000-0800-000001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5" name="Text Box 15">
          <a:extLst>
            <a:ext uri="{FF2B5EF4-FFF2-40B4-BE49-F238E27FC236}">
              <a16:creationId xmlns:a16="http://schemas.microsoft.com/office/drawing/2014/main" id="{00000000-0008-0000-0800-000002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6" name="Text Box 15">
          <a:extLst>
            <a:ext uri="{FF2B5EF4-FFF2-40B4-BE49-F238E27FC236}">
              <a16:creationId xmlns:a16="http://schemas.microsoft.com/office/drawing/2014/main" id="{00000000-0008-0000-0800-000003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7" name="Text Box 15">
          <a:extLst>
            <a:ext uri="{FF2B5EF4-FFF2-40B4-BE49-F238E27FC236}">
              <a16:creationId xmlns:a16="http://schemas.microsoft.com/office/drawing/2014/main" id="{00000000-0008-0000-0800-000004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8" name="Text Box 15">
          <a:extLst>
            <a:ext uri="{FF2B5EF4-FFF2-40B4-BE49-F238E27FC236}">
              <a16:creationId xmlns:a16="http://schemas.microsoft.com/office/drawing/2014/main" id="{00000000-0008-0000-0800-000005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19" name="Text Box 15">
          <a:extLst>
            <a:ext uri="{FF2B5EF4-FFF2-40B4-BE49-F238E27FC236}">
              <a16:creationId xmlns:a16="http://schemas.microsoft.com/office/drawing/2014/main" id="{00000000-0008-0000-0800-000006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20" name="Text Box 15">
          <a:extLst>
            <a:ext uri="{FF2B5EF4-FFF2-40B4-BE49-F238E27FC236}">
              <a16:creationId xmlns:a16="http://schemas.microsoft.com/office/drawing/2014/main" id="{00000000-0008-0000-0800-000007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1" name="Text Box 15">
          <a:extLst>
            <a:ext uri="{FF2B5EF4-FFF2-40B4-BE49-F238E27FC236}">
              <a16:creationId xmlns:a16="http://schemas.microsoft.com/office/drawing/2014/main" id="{00000000-0008-0000-0800-000008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2" name="Text Box 15">
          <a:extLst>
            <a:ext uri="{FF2B5EF4-FFF2-40B4-BE49-F238E27FC236}">
              <a16:creationId xmlns:a16="http://schemas.microsoft.com/office/drawing/2014/main" id="{00000000-0008-0000-0800-000009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3" name="Text Box 15">
          <a:extLst>
            <a:ext uri="{FF2B5EF4-FFF2-40B4-BE49-F238E27FC236}">
              <a16:creationId xmlns:a16="http://schemas.microsoft.com/office/drawing/2014/main" id="{00000000-0008-0000-0800-00000A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4" name="Text Box 15">
          <a:extLst>
            <a:ext uri="{FF2B5EF4-FFF2-40B4-BE49-F238E27FC236}">
              <a16:creationId xmlns:a16="http://schemas.microsoft.com/office/drawing/2014/main" id="{00000000-0008-0000-0800-00000B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5" name="Text Box 15">
          <a:extLst>
            <a:ext uri="{FF2B5EF4-FFF2-40B4-BE49-F238E27FC236}">
              <a16:creationId xmlns:a16="http://schemas.microsoft.com/office/drawing/2014/main" id="{00000000-0008-0000-0800-00000C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6" name="Text Box 15">
          <a:extLst>
            <a:ext uri="{FF2B5EF4-FFF2-40B4-BE49-F238E27FC236}">
              <a16:creationId xmlns:a16="http://schemas.microsoft.com/office/drawing/2014/main" id="{00000000-0008-0000-0800-00000D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7" name="Text Box 15">
          <a:extLst>
            <a:ext uri="{FF2B5EF4-FFF2-40B4-BE49-F238E27FC236}">
              <a16:creationId xmlns:a16="http://schemas.microsoft.com/office/drawing/2014/main" id="{00000000-0008-0000-0800-00000E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28" name="Text Box 15">
          <a:extLst>
            <a:ext uri="{FF2B5EF4-FFF2-40B4-BE49-F238E27FC236}">
              <a16:creationId xmlns:a16="http://schemas.microsoft.com/office/drawing/2014/main" id="{00000000-0008-0000-0800-00000F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29" name="Text Box 15">
          <a:extLst>
            <a:ext uri="{FF2B5EF4-FFF2-40B4-BE49-F238E27FC236}">
              <a16:creationId xmlns:a16="http://schemas.microsoft.com/office/drawing/2014/main" id="{00000000-0008-0000-0800-000010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0" name="Text Box 15">
          <a:extLst>
            <a:ext uri="{FF2B5EF4-FFF2-40B4-BE49-F238E27FC236}">
              <a16:creationId xmlns:a16="http://schemas.microsoft.com/office/drawing/2014/main" id="{00000000-0008-0000-0800-000011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1" name="Text Box 15">
          <a:extLst>
            <a:ext uri="{FF2B5EF4-FFF2-40B4-BE49-F238E27FC236}">
              <a16:creationId xmlns:a16="http://schemas.microsoft.com/office/drawing/2014/main" id="{00000000-0008-0000-0800-000012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2" name="Text Box 15">
          <a:extLst>
            <a:ext uri="{FF2B5EF4-FFF2-40B4-BE49-F238E27FC236}">
              <a16:creationId xmlns:a16="http://schemas.microsoft.com/office/drawing/2014/main" id="{00000000-0008-0000-0800-000013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3" name="Text Box 15">
          <a:extLst>
            <a:ext uri="{FF2B5EF4-FFF2-40B4-BE49-F238E27FC236}">
              <a16:creationId xmlns:a16="http://schemas.microsoft.com/office/drawing/2014/main" id="{00000000-0008-0000-0800-000014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4" name="Text Box 15">
          <a:extLst>
            <a:ext uri="{FF2B5EF4-FFF2-40B4-BE49-F238E27FC236}">
              <a16:creationId xmlns:a16="http://schemas.microsoft.com/office/drawing/2014/main" id="{00000000-0008-0000-0800-000015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5" name="Text Box 15">
          <a:extLst>
            <a:ext uri="{FF2B5EF4-FFF2-40B4-BE49-F238E27FC236}">
              <a16:creationId xmlns:a16="http://schemas.microsoft.com/office/drawing/2014/main" id="{00000000-0008-0000-0800-000016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2836" name="Text Box 15">
          <a:extLst>
            <a:ext uri="{FF2B5EF4-FFF2-40B4-BE49-F238E27FC236}">
              <a16:creationId xmlns:a16="http://schemas.microsoft.com/office/drawing/2014/main" id="{00000000-0008-0000-0800-0000170B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37" name="Text Box 15">
          <a:extLst>
            <a:ext uri="{FF2B5EF4-FFF2-40B4-BE49-F238E27FC236}">
              <a16:creationId xmlns:a16="http://schemas.microsoft.com/office/drawing/2014/main" id="{00000000-0008-0000-0800-000018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38" name="Text Box 15">
          <a:extLst>
            <a:ext uri="{FF2B5EF4-FFF2-40B4-BE49-F238E27FC236}">
              <a16:creationId xmlns:a16="http://schemas.microsoft.com/office/drawing/2014/main" id="{00000000-0008-0000-0800-000019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39" name="Text Box 15">
          <a:extLst>
            <a:ext uri="{FF2B5EF4-FFF2-40B4-BE49-F238E27FC236}">
              <a16:creationId xmlns:a16="http://schemas.microsoft.com/office/drawing/2014/main" id="{00000000-0008-0000-0800-00001A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40" name="Text Box 15">
          <a:extLst>
            <a:ext uri="{FF2B5EF4-FFF2-40B4-BE49-F238E27FC236}">
              <a16:creationId xmlns:a16="http://schemas.microsoft.com/office/drawing/2014/main" id="{00000000-0008-0000-0800-00001B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41" name="Text Box 15">
          <a:extLst>
            <a:ext uri="{FF2B5EF4-FFF2-40B4-BE49-F238E27FC236}">
              <a16:creationId xmlns:a16="http://schemas.microsoft.com/office/drawing/2014/main" id="{00000000-0008-0000-0800-00001C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42" name="Text Box 15">
          <a:extLst>
            <a:ext uri="{FF2B5EF4-FFF2-40B4-BE49-F238E27FC236}">
              <a16:creationId xmlns:a16="http://schemas.microsoft.com/office/drawing/2014/main" id="{00000000-0008-0000-0800-00001D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43" name="Text Box 15">
          <a:extLst>
            <a:ext uri="{FF2B5EF4-FFF2-40B4-BE49-F238E27FC236}">
              <a16:creationId xmlns:a16="http://schemas.microsoft.com/office/drawing/2014/main" id="{00000000-0008-0000-0800-00001E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2844" name="Text Box 15">
          <a:extLst>
            <a:ext uri="{FF2B5EF4-FFF2-40B4-BE49-F238E27FC236}">
              <a16:creationId xmlns:a16="http://schemas.microsoft.com/office/drawing/2014/main" id="{00000000-0008-0000-0800-00001F0B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45" name="Text Box 15">
          <a:extLst>
            <a:ext uri="{FF2B5EF4-FFF2-40B4-BE49-F238E27FC236}">
              <a16:creationId xmlns:a16="http://schemas.microsoft.com/office/drawing/2014/main" id="{00000000-0008-0000-0800-000020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46" name="Text Box 15">
          <a:extLst>
            <a:ext uri="{FF2B5EF4-FFF2-40B4-BE49-F238E27FC236}">
              <a16:creationId xmlns:a16="http://schemas.microsoft.com/office/drawing/2014/main" id="{00000000-0008-0000-0800-000021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47" name="Text Box 15">
          <a:extLst>
            <a:ext uri="{FF2B5EF4-FFF2-40B4-BE49-F238E27FC236}">
              <a16:creationId xmlns:a16="http://schemas.microsoft.com/office/drawing/2014/main" id="{00000000-0008-0000-0800-000022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48" name="Text Box 15">
          <a:extLst>
            <a:ext uri="{FF2B5EF4-FFF2-40B4-BE49-F238E27FC236}">
              <a16:creationId xmlns:a16="http://schemas.microsoft.com/office/drawing/2014/main" id="{00000000-0008-0000-0800-000023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49" name="Text Box 15">
          <a:extLst>
            <a:ext uri="{FF2B5EF4-FFF2-40B4-BE49-F238E27FC236}">
              <a16:creationId xmlns:a16="http://schemas.microsoft.com/office/drawing/2014/main" id="{00000000-0008-0000-0800-000024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50" name="Text Box 15">
          <a:extLst>
            <a:ext uri="{FF2B5EF4-FFF2-40B4-BE49-F238E27FC236}">
              <a16:creationId xmlns:a16="http://schemas.microsoft.com/office/drawing/2014/main" id="{00000000-0008-0000-0800-000025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51" name="Text Box 15">
          <a:extLst>
            <a:ext uri="{FF2B5EF4-FFF2-40B4-BE49-F238E27FC236}">
              <a16:creationId xmlns:a16="http://schemas.microsoft.com/office/drawing/2014/main" id="{00000000-0008-0000-0800-000026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52" name="Text Box 15">
          <a:extLst>
            <a:ext uri="{FF2B5EF4-FFF2-40B4-BE49-F238E27FC236}">
              <a16:creationId xmlns:a16="http://schemas.microsoft.com/office/drawing/2014/main" id="{00000000-0008-0000-0800-000027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3" name="Text Box 15">
          <a:extLst>
            <a:ext uri="{FF2B5EF4-FFF2-40B4-BE49-F238E27FC236}">
              <a16:creationId xmlns:a16="http://schemas.microsoft.com/office/drawing/2014/main" id="{00000000-0008-0000-0800-000028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4" name="Text Box 15">
          <a:extLst>
            <a:ext uri="{FF2B5EF4-FFF2-40B4-BE49-F238E27FC236}">
              <a16:creationId xmlns:a16="http://schemas.microsoft.com/office/drawing/2014/main" id="{00000000-0008-0000-0800-000029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5" name="Text Box 15">
          <a:extLst>
            <a:ext uri="{FF2B5EF4-FFF2-40B4-BE49-F238E27FC236}">
              <a16:creationId xmlns:a16="http://schemas.microsoft.com/office/drawing/2014/main" id="{00000000-0008-0000-0800-00002A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6" name="Text Box 15">
          <a:extLst>
            <a:ext uri="{FF2B5EF4-FFF2-40B4-BE49-F238E27FC236}">
              <a16:creationId xmlns:a16="http://schemas.microsoft.com/office/drawing/2014/main" id="{00000000-0008-0000-0800-00002B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7" name="Text Box 15">
          <a:extLst>
            <a:ext uri="{FF2B5EF4-FFF2-40B4-BE49-F238E27FC236}">
              <a16:creationId xmlns:a16="http://schemas.microsoft.com/office/drawing/2014/main" id="{00000000-0008-0000-0800-00002C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8" name="Text Box 15">
          <a:extLst>
            <a:ext uri="{FF2B5EF4-FFF2-40B4-BE49-F238E27FC236}">
              <a16:creationId xmlns:a16="http://schemas.microsoft.com/office/drawing/2014/main" id="{00000000-0008-0000-0800-00002D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59" name="Text Box 15">
          <a:extLst>
            <a:ext uri="{FF2B5EF4-FFF2-40B4-BE49-F238E27FC236}">
              <a16:creationId xmlns:a16="http://schemas.microsoft.com/office/drawing/2014/main" id="{00000000-0008-0000-0800-00002E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60" name="Text Box 15">
          <a:extLst>
            <a:ext uri="{FF2B5EF4-FFF2-40B4-BE49-F238E27FC236}">
              <a16:creationId xmlns:a16="http://schemas.microsoft.com/office/drawing/2014/main" id="{00000000-0008-0000-0800-00002F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1" name="Text Box 15">
          <a:extLst>
            <a:ext uri="{FF2B5EF4-FFF2-40B4-BE49-F238E27FC236}">
              <a16:creationId xmlns:a16="http://schemas.microsoft.com/office/drawing/2014/main" id="{00000000-0008-0000-0800-000030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2" name="Text Box 15">
          <a:extLst>
            <a:ext uri="{FF2B5EF4-FFF2-40B4-BE49-F238E27FC236}">
              <a16:creationId xmlns:a16="http://schemas.microsoft.com/office/drawing/2014/main" id="{00000000-0008-0000-0800-000031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3" name="Text Box 15">
          <a:extLst>
            <a:ext uri="{FF2B5EF4-FFF2-40B4-BE49-F238E27FC236}">
              <a16:creationId xmlns:a16="http://schemas.microsoft.com/office/drawing/2014/main" id="{00000000-0008-0000-0800-000032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4" name="Text Box 15">
          <a:extLst>
            <a:ext uri="{FF2B5EF4-FFF2-40B4-BE49-F238E27FC236}">
              <a16:creationId xmlns:a16="http://schemas.microsoft.com/office/drawing/2014/main" id="{00000000-0008-0000-0800-000033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5" name="Text Box 15">
          <a:extLst>
            <a:ext uri="{FF2B5EF4-FFF2-40B4-BE49-F238E27FC236}">
              <a16:creationId xmlns:a16="http://schemas.microsoft.com/office/drawing/2014/main" id="{00000000-0008-0000-0800-000034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6" name="Text Box 15">
          <a:extLst>
            <a:ext uri="{FF2B5EF4-FFF2-40B4-BE49-F238E27FC236}">
              <a16:creationId xmlns:a16="http://schemas.microsoft.com/office/drawing/2014/main" id="{00000000-0008-0000-0800-000035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7" name="Text Box 15">
          <a:extLst>
            <a:ext uri="{FF2B5EF4-FFF2-40B4-BE49-F238E27FC236}">
              <a16:creationId xmlns:a16="http://schemas.microsoft.com/office/drawing/2014/main" id="{00000000-0008-0000-0800-000036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68" name="Text Box 15">
          <a:extLst>
            <a:ext uri="{FF2B5EF4-FFF2-40B4-BE49-F238E27FC236}">
              <a16:creationId xmlns:a16="http://schemas.microsoft.com/office/drawing/2014/main" id="{00000000-0008-0000-0800-000037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69" name="Text Box 15">
          <a:extLst>
            <a:ext uri="{FF2B5EF4-FFF2-40B4-BE49-F238E27FC236}">
              <a16:creationId xmlns:a16="http://schemas.microsoft.com/office/drawing/2014/main" id="{00000000-0008-0000-0800-000038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0" name="Text Box 15">
          <a:extLst>
            <a:ext uri="{FF2B5EF4-FFF2-40B4-BE49-F238E27FC236}">
              <a16:creationId xmlns:a16="http://schemas.microsoft.com/office/drawing/2014/main" id="{00000000-0008-0000-0800-000039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1" name="Text Box 15">
          <a:extLst>
            <a:ext uri="{FF2B5EF4-FFF2-40B4-BE49-F238E27FC236}">
              <a16:creationId xmlns:a16="http://schemas.microsoft.com/office/drawing/2014/main" id="{00000000-0008-0000-0800-00003A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2" name="Text Box 15">
          <a:extLst>
            <a:ext uri="{FF2B5EF4-FFF2-40B4-BE49-F238E27FC236}">
              <a16:creationId xmlns:a16="http://schemas.microsoft.com/office/drawing/2014/main" id="{00000000-0008-0000-0800-00003B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3" name="Text Box 15">
          <a:extLst>
            <a:ext uri="{FF2B5EF4-FFF2-40B4-BE49-F238E27FC236}">
              <a16:creationId xmlns:a16="http://schemas.microsoft.com/office/drawing/2014/main" id="{00000000-0008-0000-0800-00003C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4" name="Text Box 15">
          <a:extLst>
            <a:ext uri="{FF2B5EF4-FFF2-40B4-BE49-F238E27FC236}">
              <a16:creationId xmlns:a16="http://schemas.microsoft.com/office/drawing/2014/main" id="{00000000-0008-0000-0800-00003D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5" name="Text Box 15">
          <a:extLst>
            <a:ext uri="{FF2B5EF4-FFF2-40B4-BE49-F238E27FC236}">
              <a16:creationId xmlns:a16="http://schemas.microsoft.com/office/drawing/2014/main" id="{00000000-0008-0000-0800-00003E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876" name="Text Box 15">
          <a:extLst>
            <a:ext uri="{FF2B5EF4-FFF2-40B4-BE49-F238E27FC236}">
              <a16:creationId xmlns:a16="http://schemas.microsoft.com/office/drawing/2014/main" id="{00000000-0008-0000-0800-00003F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77" name="Text Box 15">
          <a:extLst>
            <a:ext uri="{FF2B5EF4-FFF2-40B4-BE49-F238E27FC236}">
              <a16:creationId xmlns:a16="http://schemas.microsoft.com/office/drawing/2014/main" id="{00000000-0008-0000-0800-000040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78" name="Text Box 15">
          <a:extLst>
            <a:ext uri="{FF2B5EF4-FFF2-40B4-BE49-F238E27FC236}">
              <a16:creationId xmlns:a16="http://schemas.microsoft.com/office/drawing/2014/main" id="{00000000-0008-0000-0800-000041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79" name="Text Box 15">
          <a:extLst>
            <a:ext uri="{FF2B5EF4-FFF2-40B4-BE49-F238E27FC236}">
              <a16:creationId xmlns:a16="http://schemas.microsoft.com/office/drawing/2014/main" id="{00000000-0008-0000-0800-000042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80" name="Text Box 15">
          <a:extLst>
            <a:ext uri="{FF2B5EF4-FFF2-40B4-BE49-F238E27FC236}">
              <a16:creationId xmlns:a16="http://schemas.microsoft.com/office/drawing/2014/main" id="{00000000-0008-0000-0800-000043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81" name="Text Box 15">
          <a:extLst>
            <a:ext uri="{FF2B5EF4-FFF2-40B4-BE49-F238E27FC236}">
              <a16:creationId xmlns:a16="http://schemas.microsoft.com/office/drawing/2014/main" id="{00000000-0008-0000-0800-000044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82" name="Text Box 15">
          <a:extLst>
            <a:ext uri="{FF2B5EF4-FFF2-40B4-BE49-F238E27FC236}">
              <a16:creationId xmlns:a16="http://schemas.microsoft.com/office/drawing/2014/main" id="{00000000-0008-0000-0800-000045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83" name="Text Box 15">
          <a:extLst>
            <a:ext uri="{FF2B5EF4-FFF2-40B4-BE49-F238E27FC236}">
              <a16:creationId xmlns:a16="http://schemas.microsoft.com/office/drawing/2014/main" id="{00000000-0008-0000-0800-000046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884" name="Text Box 15">
          <a:extLst>
            <a:ext uri="{FF2B5EF4-FFF2-40B4-BE49-F238E27FC236}">
              <a16:creationId xmlns:a16="http://schemas.microsoft.com/office/drawing/2014/main" id="{00000000-0008-0000-0800-000047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85" name="Text Box 15">
          <a:extLst>
            <a:ext uri="{FF2B5EF4-FFF2-40B4-BE49-F238E27FC236}">
              <a16:creationId xmlns:a16="http://schemas.microsoft.com/office/drawing/2014/main" id="{00000000-0008-0000-0800-000048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86" name="Text Box 15">
          <a:extLst>
            <a:ext uri="{FF2B5EF4-FFF2-40B4-BE49-F238E27FC236}">
              <a16:creationId xmlns:a16="http://schemas.microsoft.com/office/drawing/2014/main" id="{00000000-0008-0000-0800-000049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87" name="Text Box 15">
          <a:extLst>
            <a:ext uri="{FF2B5EF4-FFF2-40B4-BE49-F238E27FC236}">
              <a16:creationId xmlns:a16="http://schemas.microsoft.com/office/drawing/2014/main" id="{00000000-0008-0000-0800-00004A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88" name="Text Box 15">
          <a:extLst>
            <a:ext uri="{FF2B5EF4-FFF2-40B4-BE49-F238E27FC236}">
              <a16:creationId xmlns:a16="http://schemas.microsoft.com/office/drawing/2014/main" id="{00000000-0008-0000-0800-00004B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89" name="Text Box 15">
          <a:extLst>
            <a:ext uri="{FF2B5EF4-FFF2-40B4-BE49-F238E27FC236}">
              <a16:creationId xmlns:a16="http://schemas.microsoft.com/office/drawing/2014/main" id="{00000000-0008-0000-0800-00004C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90" name="Text Box 15">
          <a:extLst>
            <a:ext uri="{FF2B5EF4-FFF2-40B4-BE49-F238E27FC236}">
              <a16:creationId xmlns:a16="http://schemas.microsoft.com/office/drawing/2014/main" id="{00000000-0008-0000-0800-00004D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91" name="Text Box 15">
          <a:extLst>
            <a:ext uri="{FF2B5EF4-FFF2-40B4-BE49-F238E27FC236}">
              <a16:creationId xmlns:a16="http://schemas.microsoft.com/office/drawing/2014/main" id="{00000000-0008-0000-0800-00004E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892" name="Text Box 15">
          <a:extLst>
            <a:ext uri="{FF2B5EF4-FFF2-40B4-BE49-F238E27FC236}">
              <a16:creationId xmlns:a16="http://schemas.microsoft.com/office/drawing/2014/main" id="{00000000-0008-0000-0800-00004F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3" name="Text Box 15">
          <a:extLst>
            <a:ext uri="{FF2B5EF4-FFF2-40B4-BE49-F238E27FC236}">
              <a16:creationId xmlns:a16="http://schemas.microsoft.com/office/drawing/2014/main" id="{00000000-0008-0000-0800-000050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4" name="Text Box 15">
          <a:extLst>
            <a:ext uri="{FF2B5EF4-FFF2-40B4-BE49-F238E27FC236}">
              <a16:creationId xmlns:a16="http://schemas.microsoft.com/office/drawing/2014/main" id="{00000000-0008-0000-0800-000051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5" name="Text Box 15">
          <a:extLst>
            <a:ext uri="{FF2B5EF4-FFF2-40B4-BE49-F238E27FC236}">
              <a16:creationId xmlns:a16="http://schemas.microsoft.com/office/drawing/2014/main" id="{00000000-0008-0000-0800-000052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6" name="Text Box 15">
          <a:extLst>
            <a:ext uri="{FF2B5EF4-FFF2-40B4-BE49-F238E27FC236}">
              <a16:creationId xmlns:a16="http://schemas.microsoft.com/office/drawing/2014/main" id="{00000000-0008-0000-0800-000053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7" name="Text Box 15">
          <a:extLst>
            <a:ext uri="{FF2B5EF4-FFF2-40B4-BE49-F238E27FC236}">
              <a16:creationId xmlns:a16="http://schemas.microsoft.com/office/drawing/2014/main" id="{00000000-0008-0000-0800-000054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8" name="Text Box 15">
          <a:extLst>
            <a:ext uri="{FF2B5EF4-FFF2-40B4-BE49-F238E27FC236}">
              <a16:creationId xmlns:a16="http://schemas.microsoft.com/office/drawing/2014/main" id="{00000000-0008-0000-0800-000055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899" name="Text Box 15">
          <a:extLst>
            <a:ext uri="{FF2B5EF4-FFF2-40B4-BE49-F238E27FC236}">
              <a16:creationId xmlns:a16="http://schemas.microsoft.com/office/drawing/2014/main" id="{00000000-0008-0000-0800-000056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00" name="Text Box 15">
          <a:extLst>
            <a:ext uri="{FF2B5EF4-FFF2-40B4-BE49-F238E27FC236}">
              <a16:creationId xmlns:a16="http://schemas.microsoft.com/office/drawing/2014/main" id="{00000000-0008-0000-0800-000057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1" name="Text Box 15">
          <a:extLst>
            <a:ext uri="{FF2B5EF4-FFF2-40B4-BE49-F238E27FC236}">
              <a16:creationId xmlns:a16="http://schemas.microsoft.com/office/drawing/2014/main" id="{00000000-0008-0000-0800-000058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2" name="Text Box 15">
          <a:extLst>
            <a:ext uri="{FF2B5EF4-FFF2-40B4-BE49-F238E27FC236}">
              <a16:creationId xmlns:a16="http://schemas.microsoft.com/office/drawing/2014/main" id="{00000000-0008-0000-0800-000059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3" name="Text Box 15">
          <a:extLst>
            <a:ext uri="{FF2B5EF4-FFF2-40B4-BE49-F238E27FC236}">
              <a16:creationId xmlns:a16="http://schemas.microsoft.com/office/drawing/2014/main" id="{00000000-0008-0000-0800-00005A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4" name="Text Box 15">
          <a:extLst>
            <a:ext uri="{FF2B5EF4-FFF2-40B4-BE49-F238E27FC236}">
              <a16:creationId xmlns:a16="http://schemas.microsoft.com/office/drawing/2014/main" id="{00000000-0008-0000-0800-00005B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5" name="Text Box 15">
          <a:extLst>
            <a:ext uri="{FF2B5EF4-FFF2-40B4-BE49-F238E27FC236}">
              <a16:creationId xmlns:a16="http://schemas.microsoft.com/office/drawing/2014/main" id="{00000000-0008-0000-0800-00005C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6" name="Text Box 15">
          <a:extLst>
            <a:ext uri="{FF2B5EF4-FFF2-40B4-BE49-F238E27FC236}">
              <a16:creationId xmlns:a16="http://schemas.microsoft.com/office/drawing/2014/main" id="{00000000-0008-0000-0800-00005D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7" name="Text Box 15">
          <a:extLst>
            <a:ext uri="{FF2B5EF4-FFF2-40B4-BE49-F238E27FC236}">
              <a16:creationId xmlns:a16="http://schemas.microsoft.com/office/drawing/2014/main" id="{00000000-0008-0000-0800-00005E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08" name="Text Box 15">
          <a:extLst>
            <a:ext uri="{FF2B5EF4-FFF2-40B4-BE49-F238E27FC236}">
              <a16:creationId xmlns:a16="http://schemas.microsoft.com/office/drawing/2014/main" id="{00000000-0008-0000-0800-00005F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09" name="Text Box 15">
          <a:extLst>
            <a:ext uri="{FF2B5EF4-FFF2-40B4-BE49-F238E27FC236}">
              <a16:creationId xmlns:a16="http://schemas.microsoft.com/office/drawing/2014/main" id="{00000000-0008-0000-0800-000060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10" name="Text Box 15">
          <a:extLst>
            <a:ext uri="{FF2B5EF4-FFF2-40B4-BE49-F238E27FC236}">
              <a16:creationId xmlns:a16="http://schemas.microsoft.com/office/drawing/2014/main" id="{00000000-0008-0000-0800-000061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11" name="Text Box 15">
          <a:extLst>
            <a:ext uri="{FF2B5EF4-FFF2-40B4-BE49-F238E27FC236}">
              <a16:creationId xmlns:a16="http://schemas.microsoft.com/office/drawing/2014/main" id="{00000000-0008-0000-0800-000062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2" name="Text Box 15">
          <a:extLst>
            <a:ext uri="{FF2B5EF4-FFF2-40B4-BE49-F238E27FC236}">
              <a16:creationId xmlns:a16="http://schemas.microsoft.com/office/drawing/2014/main" id="{00000000-0008-0000-0800-000063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3" name="Text Box 15">
          <a:extLst>
            <a:ext uri="{FF2B5EF4-FFF2-40B4-BE49-F238E27FC236}">
              <a16:creationId xmlns:a16="http://schemas.microsoft.com/office/drawing/2014/main" id="{00000000-0008-0000-0800-000064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4" name="Text Box 15">
          <a:extLst>
            <a:ext uri="{FF2B5EF4-FFF2-40B4-BE49-F238E27FC236}">
              <a16:creationId xmlns:a16="http://schemas.microsoft.com/office/drawing/2014/main" id="{00000000-0008-0000-0800-000065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5" name="Text Box 15">
          <a:extLst>
            <a:ext uri="{FF2B5EF4-FFF2-40B4-BE49-F238E27FC236}">
              <a16:creationId xmlns:a16="http://schemas.microsoft.com/office/drawing/2014/main" id="{00000000-0008-0000-0800-000066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6" name="Text Box 15">
          <a:extLst>
            <a:ext uri="{FF2B5EF4-FFF2-40B4-BE49-F238E27FC236}">
              <a16:creationId xmlns:a16="http://schemas.microsoft.com/office/drawing/2014/main" id="{00000000-0008-0000-0800-000067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17" name="Text Box 15">
          <a:extLst>
            <a:ext uri="{FF2B5EF4-FFF2-40B4-BE49-F238E27FC236}">
              <a16:creationId xmlns:a16="http://schemas.microsoft.com/office/drawing/2014/main" id="{00000000-0008-0000-0800-000068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18" name="Text Box 15">
          <a:extLst>
            <a:ext uri="{FF2B5EF4-FFF2-40B4-BE49-F238E27FC236}">
              <a16:creationId xmlns:a16="http://schemas.microsoft.com/office/drawing/2014/main" id="{00000000-0008-0000-0800-000069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19" name="Text Box 15">
          <a:extLst>
            <a:ext uri="{FF2B5EF4-FFF2-40B4-BE49-F238E27FC236}">
              <a16:creationId xmlns:a16="http://schemas.microsoft.com/office/drawing/2014/main" id="{00000000-0008-0000-0800-00006A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0500"/>
    <xdr:sp macro="" textlink="">
      <xdr:nvSpPr>
        <xdr:cNvPr id="2920" name="Text Box 15">
          <a:extLst>
            <a:ext uri="{FF2B5EF4-FFF2-40B4-BE49-F238E27FC236}">
              <a16:creationId xmlns:a16="http://schemas.microsoft.com/office/drawing/2014/main" id="{00000000-0008-0000-0800-00006B0B0000}"/>
            </a:ext>
          </a:extLst>
        </xdr:cNvPr>
        <xdr:cNvSpPr txBox="1">
          <a:spLocks noChangeArrowheads="1"/>
        </xdr:cNvSpPr>
      </xdr:nvSpPr>
      <xdr:spPr bwMode="auto">
        <a:xfrm>
          <a:off x="1933575" y="479298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1" name="Text Box 15">
          <a:extLst>
            <a:ext uri="{FF2B5EF4-FFF2-40B4-BE49-F238E27FC236}">
              <a16:creationId xmlns:a16="http://schemas.microsoft.com/office/drawing/2014/main" id="{00000000-0008-0000-0800-00006C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2" name="Text Box 15">
          <a:extLst>
            <a:ext uri="{FF2B5EF4-FFF2-40B4-BE49-F238E27FC236}">
              <a16:creationId xmlns:a16="http://schemas.microsoft.com/office/drawing/2014/main" id="{00000000-0008-0000-0800-00006D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3" name="Text Box 15">
          <a:extLst>
            <a:ext uri="{FF2B5EF4-FFF2-40B4-BE49-F238E27FC236}">
              <a16:creationId xmlns:a16="http://schemas.microsoft.com/office/drawing/2014/main" id="{00000000-0008-0000-0800-00006E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4" name="Text Box 15">
          <a:extLst>
            <a:ext uri="{FF2B5EF4-FFF2-40B4-BE49-F238E27FC236}">
              <a16:creationId xmlns:a16="http://schemas.microsoft.com/office/drawing/2014/main" id="{00000000-0008-0000-0800-00006F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5" name="Text Box 15">
          <a:extLst>
            <a:ext uri="{FF2B5EF4-FFF2-40B4-BE49-F238E27FC236}">
              <a16:creationId xmlns:a16="http://schemas.microsoft.com/office/drawing/2014/main" id="{00000000-0008-0000-0800-000070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93098"/>
    <xdr:sp macro="" textlink="">
      <xdr:nvSpPr>
        <xdr:cNvPr id="2926" name="Text Box 15">
          <a:extLst>
            <a:ext uri="{FF2B5EF4-FFF2-40B4-BE49-F238E27FC236}">
              <a16:creationId xmlns:a16="http://schemas.microsoft.com/office/drawing/2014/main" id="{00000000-0008-0000-0800-0000710B0000}"/>
            </a:ext>
          </a:extLst>
        </xdr:cNvPr>
        <xdr:cNvSpPr txBox="1">
          <a:spLocks noChangeArrowheads="1"/>
        </xdr:cNvSpPr>
      </xdr:nvSpPr>
      <xdr:spPr bwMode="auto">
        <a:xfrm>
          <a:off x="1933575" y="47929800"/>
          <a:ext cx="95250" cy="19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27" name="Text Box 15">
          <a:extLst>
            <a:ext uri="{FF2B5EF4-FFF2-40B4-BE49-F238E27FC236}">
              <a16:creationId xmlns:a16="http://schemas.microsoft.com/office/drawing/2014/main" id="{00000000-0008-0000-0800-000072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28" name="Text Box 15">
          <a:extLst>
            <a:ext uri="{FF2B5EF4-FFF2-40B4-BE49-F238E27FC236}">
              <a16:creationId xmlns:a16="http://schemas.microsoft.com/office/drawing/2014/main" id="{00000000-0008-0000-0800-000073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29" name="Text Box 15">
          <a:extLst>
            <a:ext uri="{FF2B5EF4-FFF2-40B4-BE49-F238E27FC236}">
              <a16:creationId xmlns:a16="http://schemas.microsoft.com/office/drawing/2014/main" id="{00000000-0008-0000-0800-000074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30" name="Text Box 15">
          <a:extLst>
            <a:ext uri="{FF2B5EF4-FFF2-40B4-BE49-F238E27FC236}">
              <a16:creationId xmlns:a16="http://schemas.microsoft.com/office/drawing/2014/main" id="{00000000-0008-0000-0800-000075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31" name="Text Box 15">
          <a:extLst>
            <a:ext uri="{FF2B5EF4-FFF2-40B4-BE49-F238E27FC236}">
              <a16:creationId xmlns:a16="http://schemas.microsoft.com/office/drawing/2014/main" id="{00000000-0008-0000-0800-000076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32" name="Text Box 15">
          <a:extLst>
            <a:ext uri="{FF2B5EF4-FFF2-40B4-BE49-F238E27FC236}">
              <a16:creationId xmlns:a16="http://schemas.microsoft.com/office/drawing/2014/main" id="{00000000-0008-0000-0800-000077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33" name="Text Box 15">
          <a:extLst>
            <a:ext uri="{FF2B5EF4-FFF2-40B4-BE49-F238E27FC236}">
              <a16:creationId xmlns:a16="http://schemas.microsoft.com/office/drawing/2014/main" id="{00000000-0008-0000-0800-000078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235</xdr:row>
      <xdr:rowOff>0</xdr:rowOff>
    </xdr:from>
    <xdr:ext cx="95250" cy="114300"/>
    <xdr:sp macro="" textlink="">
      <xdr:nvSpPr>
        <xdr:cNvPr id="2934" name="Text Box 15">
          <a:extLst>
            <a:ext uri="{FF2B5EF4-FFF2-40B4-BE49-F238E27FC236}">
              <a16:creationId xmlns:a16="http://schemas.microsoft.com/office/drawing/2014/main" id="{00000000-0008-0000-0800-0000790B0000}"/>
            </a:ext>
          </a:extLst>
        </xdr:cNvPr>
        <xdr:cNvSpPr txBox="1">
          <a:spLocks noChangeArrowheads="1"/>
        </xdr:cNvSpPr>
      </xdr:nvSpPr>
      <xdr:spPr bwMode="auto">
        <a:xfrm>
          <a:off x="1933575" y="479298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35" name="Text Box 15">
          <a:extLst>
            <a:ext uri="{FF2B5EF4-FFF2-40B4-BE49-F238E27FC236}">
              <a16:creationId xmlns:a16="http://schemas.microsoft.com/office/drawing/2014/main" id="{00000000-0008-0000-0800-00007A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36" name="Text Box 15">
          <a:extLst>
            <a:ext uri="{FF2B5EF4-FFF2-40B4-BE49-F238E27FC236}">
              <a16:creationId xmlns:a16="http://schemas.microsoft.com/office/drawing/2014/main" id="{00000000-0008-0000-0800-00007B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37" name="Text Box 15">
          <a:extLst>
            <a:ext uri="{FF2B5EF4-FFF2-40B4-BE49-F238E27FC236}">
              <a16:creationId xmlns:a16="http://schemas.microsoft.com/office/drawing/2014/main" id="{00000000-0008-0000-0800-00007C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38" name="Text Box 15">
          <a:extLst>
            <a:ext uri="{FF2B5EF4-FFF2-40B4-BE49-F238E27FC236}">
              <a16:creationId xmlns:a16="http://schemas.microsoft.com/office/drawing/2014/main" id="{00000000-0008-0000-0800-00007D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39" name="Text Box 15">
          <a:extLst>
            <a:ext uri="{FF2B5EF4-FFF2-40B4-BE49-F238E27FC236}">
              <a16:creationId xmlns:a16="http://schemas.microsoft.com/office/drawing/2014/main" id="{00000000-0008-0000-0800-00007E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40" name="Text Box 15">
          <a:extLst>
            <a:ext uri="{FF2B5EF4-FFF2-40B4-BE49-F238E27FC236}">
              <a16:creationId xmlns:a16="http://schemas.microsoft.com/office/drawing/2014/main" id="{00000000-0008-0000-0800-00007F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41" name="Text Box 15">
          <a:extLst>
            <a:ext uri="{FF2B5EF4-FFF2-40B4-BE49-F238E27FC236}">
              <a16:creationId xmlns:a16="http://schemas.microsoft.com/office/drawing/2014/main" id="{00000000-0008-0000-0800-000080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42" name="Text Box 15">
          <a:extLst>
            <a:ext uri="{FF2B5EF4-FFF2-40B4-BE49-F238E27FC236}">
              <a16:creationId xmlns:a16="http://schemas.microsoft.com/office/drawing/2014/main" id="{00000000-0008-0000-0800-000081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3" name="Text Box 15">
          <a:extLst>
            <a:ext uri="{FF2B5EF4-FFF2-40B4-BE49-F238E27FC236}">
              <a16:creationId xmlns:a16="http://schemas.microsoft.com/office/drawing/2014/main" id="{00000000-0008-0000-0800-000082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4" name="Text Box 15">
          <a:extLst>
            <a:ext uri="{FF2B5EF4-FFF2-40B4-BE49-F238E27FC236}">
              <a16:creationId xmlns:a16="http://schemas.microsoft.com/office/drawing/2014/main" id="{00000000-0008-0000-0800-000083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5" name="Text Box 15">
          <a:extLst>
            <a:ext uri="{FF2B5EF4-FFF2-40B4-BE49-F238E27FC236}">
              <a16:creationId xmlns:a16="http://schemas.microsoft.com/office/drawing/2014/main" id="{00000000-0008-0000-0800-000084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6" name="Text Box 15">
          <a:extLst>
            <a:ext uri="{FF2B5EF4-FFF2-40B4-BE49-F238E27FC236}">
              <a16:creationId xmlns:a16="http://schemas.microsoft.com/office/drawing/2014/main" id="{00000000-0008-0000-0800-000085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7" name="Text Box 15">
          <a:extLst>
            <a:ext uri="{FF2B5EF4-FFF2-40B4-BE49-F238E27FC236}">
              <a16:creationId xmlns:a16="http://schemas.microsoft.com/office/drawing/2014/main" id="{00000000-0008-0000-0800-000086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8" name="Text Box 15">
          <a:extLst>
            <a:ext uri="{FF2B5EF4-FFF2-40B4-BE49-F238E27FC236}">
              <a16:creationId xmlns:a16="http://schemas.microsoft.com/office/drawing/2014/main" id="{00000000-0008-0000-0800-000087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49" name="Text Box 15">
          <a:extLst>
            <a:ext uri="{FF2B5EF4-FFF2-40B4-BE49-F238E27FC236}">
              <a16:creationId xmlns:a16="http://schemas.microsoft.com/office/drawing/2014/main" id="{00000000-0008-0000-0800-000088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2950" name="Text Box 15">
          <a:extLst>
            <a:ext uri="{FF2B5EF4-FFF2-40B4-BE49-F238E27FC236}">
              <a16:creationId xmlns:a16="http://schemas.microsoft.com/office/drawing/2014/main" id="{00000000-0008-0000-0800-0000890B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1" name="Text Box 15">
          <a:extLst>
            <a:ext uri="{FF2B5EF4-FFF2-40B4-BE49-F238E27FC236}">
              <a16:creationId xmlns:a16="http://schemas.microsoft.com/office/drawing/2014/main" id="{00000000-0008-0000-0800-00008A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2" name="Text Box 15">
          <a:extLst>
            <a:ext uri="{FF2B5EF4-FFF2-40B4-BE49-F238E27FC236}">
              <a16:creationId xmlns:a16="http://schemas.microsoft.com/office/drawing/2014/main" id="{00000000-0008-0000-0800-00008B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3" name="Text Box 15">
          <a:extLst>
            <a:ext uri="{FF2B5EF4-FFF2-40B4-BE49-F238E27FC236}">
              <a16:creationId xmlns:a16="http://schemas.microsoft.com/office/drawing/2014/main" id="{00000000-0008-0000-0800-00008C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4" name="Text Box 15">
          <a:extLst>
            <a:ext uri="{FF2B5EF4-FFF2-40B4-BE49-F238E27FC236}">
              <a16:creationId xmlns:a16="http://schemas.microsoft.com/office/drawing/2014/main" id="{00000000-0008-0000-0800-00008D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5" name="Text Box 15">
          <a:extLst>
            <a:ext uri="{FF2B5EF4-FFF2-40B4-BE49-F238E27FC236}">
              <a16:creationId xmlns:a16="http://schemas.microsoft.com/office/drawing/2014/main" id="{00000000-0008-0000-0800-00008E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6" name="Text Box 15">
          <a:extLst>
            <a:ext uri="{FF2B5EF4-FFF2-40B4-BE49-F238E27FC236}">
              <a16:creationId xmlns:a16="http://schemas.microsoft.com/office/drawing/2014/main" id="{00000000-0008-0000-0800-00008F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7" name="Text Box 15">
          <a:extLst>
            <a:ext uri="{FF2B5EF4-FFF2-40B4-BE49-F238E27FC236}">
              <a16:creationId xmlns:a16="http://schemas.microsoft.com/office/drawing/2014/main" id="{00000000-0008-0000-0800-000090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58" name="Text Box 15">
          <a:extLst>
            <a:ext uri="{FF2B5EF4-FFF2-40B4-BE49-F238E27FC236}">
              <a16:creationId xmlns:a16="http://schemas.microsoft.com/office/drawing/2014/main" id="{00000000-0008-0000-0800-000091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59" name="Text Box 15">
          <a:extLst>
            <a:ext uri="{FF2B5EF4-FFF2-40B4-BE49-F238E27FC236}">
              <a16:creationId xmlns:a16="http://schemas.microsoft.com/office/drawing/2014/main" id="{00000000-0008-0000-0800-000092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0" name="Text Box 15">
          <a:extLst>
            <a:ext uri="{FF2B5EF4-FFF2-40B4-BE49-F238E27FC236}">
              <a16:creationId xmlns:a16="http://schemas.microsoft.com/office/drawing/2014/main" id="{00000000-0008-0000-0800-000093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1" name="Text Box 15">
          <a:extLst>
            <a:ext uri="{FF2B5EF4-FFF2-40B4-BE49-F238E27FC236}">
              <a16:creationId xmlns:a16="http://schemas.microsoft.com/office/drawing/2014/main" id="{00000000-0008-0000-0800-000094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2" name="Text Box 15">
          <a:extLst>
            <a:ext uri="{FF2B5EF4-FFF2-40B4-BE49-F238E27FC236}">
              <a16:creationId xmlns:a16="http://schemas.microsoft.com/office/drawing/2014/main" id="{00000000-0008-0000-0800-000095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3" name="Text Box 15">
          <a:extLst>
            <a:ext uri="{FF2B5EF4-FFF2-40B4-BE49-F238E27FC236}">
              <a16:creationId xmlns:a16="http://schemas.microsoft.com/office/drawing/2014/main" id="{00000000-0008-0000-0800-000096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4" name="Text Box 15">
          <a:extLst>
            <a:ext uri="{FF2B5EF4-FFF2-40B4-BE49-F238E27FC236}">
              <a16:creationId xmlns:a16="http://schemas.microsoft.com/office/drawing/2014/main" id="{00000000-0008-0000-0800-000097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5" name="Text Box 15">
          <a:extLst>
            <a:ext uri="{FF2B5EF4-FFF2-40B4-BE49-F238E27FC236}">
              <a16:creationId xmlns:a16="http://schemas.microsoft.com/office/drawing/2014/main" id="{00000000-0008-0000-0800-000098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66" name="Text Box 15">
          <a:extLst>
            <a:ext uri="{FF2B5EF4-FFF2-40B4-BE49-F238E27FC236}">
              <a16:creationId xmlns:a16="http://schemas.microsoft.com/office/drawing/2014/main" id="{00000000-0008-0000-0800-000099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67" name="Text Box 15">
          <a:extLst>
            <a:ext uri="{FF2B5EF4-FFF2-40B4-BE49-F238E27FC236}">
              <a16:creationId xmlns:a16="http://schemas.microsoft.com/office/drawing/2014/main" id="{00000000-0008-0000-0800-00009A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68" name="Text Box 15">
          <a:extLst>
            <a:ext uri="{FF2B5EF4-FFF2-40B4-BE49-F238E27FC236}">
              <a16:creationId xmlns:a16="http://schemas.microsoft.com/office/drawing/2014/main" id="{00000000-0008-0000-0800-00009B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69" name="Text Box 15">
          <a:extLst>
            <a:ext uri="{FF2B5EF4-FFF2-40B4-BE49-F238E27FC236}">
              <a16:creationId xmlns:a16="http://schemas.microsoft.com/office/drawing/2014/main" id="{00000000-0008-0000-0800-00009C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70" name="Text Box 15">
          <a:extLst>
            <a:ext uri="{FF2B5EF4-FFF2-40B4-BE49-F238E27FC236}">
              <a16:creationId xmlns:a16="http://schemas.microsoft.com/office/drawing/2014/main" id="{00000000-0008-0000-0800-00009D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71" name="Text Box 15">
          <a:extLst>
            <a:ext uri="{FF2B5EF4-FFF2-40B4-BE49-F238E27FC236}">
              <a16:creationId xmlns:a16="http://schemas.microsoft.com/office/drawing/2014/main" id="{00000000-0008-0000-0800-00009E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72" name="Text Box 15">
          <a:extLst>
            <a:ext uri="{FF2B5EF4-FFF2-40B4-BE49-F238E27FC236}">
              <a16:creationId xmlns:a16="http://schemas.microsoft.com/office/drawing/2014/main" id="{00000000-0008-0000-0800-00009F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2973" name="Text Box 15">
          <a:extLst>
            <a:ext uri="{FF2B5EF4-FFF2-40B4-BE49-F238E27FC236}">
              <a16:creationId xmlns:a16="http://schemas.microsoft.com/office/drawing/2014/main" id="{00000000-0008-0000-0800-0000A00B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4" name="Text Box 15">
          <a:extLst>
            <a:ext uri="{FF2B5EF4-FFF2-40B4-BE49-F238E27FC236}">
              <a16:creationId xmlns:a16="http://schemas.microsoft.com/office/drawing/2014/main" id="{00000000-0008-0000-0800-0000A1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5" name="Text Box 15">
          <a:extLst>
            <a:ext uri="{FF2B5EF4-FFF2-40B4-BE49-F238E27FC236}">
              <a16:creationId xmlns:a16="http://schemas.microsoft.com/office/drawing/2014/main" id="{00000000-0008-0000-0800-0000A2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6" name="Text Box 15">
          <a:extLst>
            <a:ext uri="{FF2B5EF4-FFF2-40B4-BE49-F238E27FC236}">
              <a16:creationId xmlns:a16="http://schemas.microsoft.com/office/drawing/2014/main" id="{00000000-0008-0000-0800-0000A3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7" name="Text Box 15">
          <a:extLst>
            <a:ext uri="{FF2B5EF4-FFF2-40B4-BE49-F238E27FC236}">
              <a16:creationId xmlns:a16="http://schemas.microsoft.com/office/drawing/2014/main" id="{00000000-0008-0000-0800-0000A4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8" name="Text Box 15">
          <a:extLst>
            <a:ext uri="{FF2B5EF4-FFF2-40B4-BE49-F238E27FC236}">
              <a16:creationId xmlns:a16="http://schemas.microsoft.com/office/drawing/2014/main" id="{00000000-0008-0000-0800-0000A5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79" name="Text Box 15">
          <a:extLst>
            <a:ext uri="{FF2B5EF4-FFF2-40B4-BE49-F238E27FC236}">
              <a16:creationId xmlns:a16="http://schemas.microsoft.com/office/drawing/2014/main" id="{00000000-0008-0000-0800-0000A6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80" name="Text Box 15">
          <a:extLst>
            <a:ext uri="{FF2B5EF4-FFF2-40B4-BE49-F238E27FC236}">
              <a16:creationId xmlns:a16="http://schemas.microsoft.com/office/drawing/2014/main" id="{00000000-0008-0000-0800-0000A7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2981" name="Text Box 15">
          <a:extLst>
            <a:ext uri="{FF2B5EF4-FFF2-40B4-BE49-F238E27FC236}">
              <a16:creationId xmlns:a16="http://schemas.microsoft.com/office/drawing/2014/main" id="{00000000-0008-0000-0800-0000A80B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82" name="Text Box 15">
          <a:extLst>
            <a:ext uri="{FF2B5EF4-FFF2-40B4-BE49-F238E27FC236}">
              <a16:creationId xmlns:a16="http://schemas.microsoft.com/office/drawing/2014/main" id="{00000000-0008-0000-0800-0000A9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83" name="Text Box 15">
          <a:extLst>
            <a:ext uri="{FF2B5EF4-FFF2-40B4-BE49-F238E27FC236}">
              <a16:creationId xmlns:a16="http://schemas.microsoft.com/office/drawing/2014/main" id="{00000000-0008-0000-0800-0000AA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2984" name="Text Box 15">
          <a:extLst>
            <a:ext uri="{FF2B5EF4-FFF2-40B4-BE49-F238E27FC236}">
              <a16:creationId xmlns:a16="http://schemas.microsoft.com/office/drawing/2014/main" id="{00000000-0008-0000-0800-0000AB0B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85" name="Text Box 15">
          <a:extLst>
            <a:ext uri="{FF2B5EF4-FFF2-40B4-BE49-F238E27FC236}">
              <a16:creationId xmlns:a16="http://schemas.microsoft.com/office/drawing/2014/main" id="{00000000-0008-0000-0800-0000AE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86" name="Text Box 15">
          <a:extLst>
            <a:ext uri="{FF2B5EF4-FFF2-40B4-BE49-F238E27FC236}">
              <a16:creationId xmlns:a16="http://schemas.microsoft.com/office/drawing/2014/main" id="{00000000-0008-0000-0800-0000AF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87" name="Text Box 15">
          <a:extLst>
            <a:ext uri="{FF2B5EF4-FFF2-40B4-BE49-F238E27FC236}">
              <a16:creationId xmlns:a16="http://schemas.microsoft.com/office/drawing/2014/main" id="{00000000-0008-0000-0800-0000B0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88" name="Text Box 15">
          <a:extLst>
            <a:ext uri="{FF2B5EF4-FFF2-40B4-BE49-F238E27FC236}">
              <a16:creationId xmlns:a16="http://schemas.microsoft.com/office/drawing/2014/main" id="{00000000-0008-0000-0800-0000B1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89" name="Text Box 15">
          <a:extLst>
            <a:ext uri="{FF2B5EF4-FFF2-40B4-BE49-F238E27FC236}">
              <a16:creationId xmlns:a16="http://schemas.microsoft.com/office/drawing/2014/main" id="{00000000-0008-0000-0800-0000B2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90" name="Text Box 15">
          <a:extLst>
            <a:ext uri="{FF2B5EF4-FFF2-40B4-BE49-F238E27FC236}">
              <a16:creationId xmlns:a16="http://schemas.microsoft.com/office/drawing/2014/main" id="{00000000-0008-0000-0800-0000B3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91" name="Text Box 15">
          <a:extLst>
            <a:ext uri="{FF2B5EF4-FFF2-40B4-BE49-F238E27FC236}">
              <a16:creationId xmlns:a16="http://schemas.microsoft.com/office/drawing/2014/main" id="{00000000-0008-0000-0800-0000B4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2992" name="Text Box 15">
          <a:extLst>
            <a:ext uri="{FF2B5EF4-FFF2-40B4-BE49-F238E27FC236}">
              <a16:creationId xmlns:a16="http://schemas.microsoft.com/office/drawing/2014/main" id="{00000000-0008-0000-0800-0000B5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3" name="Text Box 15">
          <a:extLst>
            <a:ext uri="{FF2B5EF4-FFF2-40B4-BE49-F238E27FC236}">
              <a16:creationId xmlns:a16="http://schemas.microsoft.com/office/drawing/2014/main" id="{00000000-0008-0000-0800-0000B6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4" name="Text Box 15">
          <a:extLst>
            <a:ext uri="{FF2B5EF4-FFF2-40B4-BE49-F238E27FC236}">
              <a16:creationId xmlns:a16="http://schemas.microsoft.com/office/drawing/2014/main" id="{00000000-0008-0000-0800-0000B7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5" name="Text Box 15">
          <a:extLst>
            <a:ext uri="{FF2B5EF4-FFF2-40B4-BE49-F238E27FC236}">
              <a16:creationId xmlns:a16="http://schemas.microsoft.com/office/drawing/2014/main" id="{00000000-0008-0000-0800-0000B8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6" name="Text Box 15">
          <a:extLst>
            <a:ext uri="{FF2B5EF4-FFF2-40B4-BE49-F238E27FC236}">
              <a16:creationId xmlns:a16="http://schemas.microsoft.com/office/drawing/2014/main" id="{00000000-0008-0000-0800-0000B9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7" name="Text Box 15">
          <a:extLst>
            <a:ext uri="{FF2B5EF4-FFF2-40B4-BE49-F238E27FC236}">
              <a16:creationId xmlns:a16="http://schemas.microsoft.com/office/drawing/2014/main" id="{00000000-0008-0000-0800-0000BA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8" name="Text Box 15">
          <a:extLst>
            <a:ext uri="{FF2B5EF4-FFF2-40B4-BE49-F238E27FC236}">
              <a16:creationId xmlns:a16="http://schemas.microsoft.com/office/drawing/2014/main" id="{00000000-0008-0000-0800-0000BB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2999" name="Text Box 15">
          <a:extLst>
            <a:ext uri="{FF2B5EF4-FFF2-40B4-BE49-F238E27FC236}">
              <a16:creationId xmlns:a16="http://schemas.microsoft.com/office/drawing/2014/main" id="{00000000-0008-0000-0800-0000BC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00" name="Text Box 15">
          <a:extLst>
            <a:ext uri="{FF2B5EF4-FFF2-40B4-BE49-F238E27FC236}">
              <a16:creationId xmlns:a16="http://schemas.microsoft.com/office/drawing/2014/main" id="{00000000-0008-0000-0800-0000BD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1" name="Text Box 15">
          <a:extLst>
            <a:ext uri="{FF2B5EF4-FFF2-40B4-BE49-F238E27FC236}">
              <a16:creationId xmlns:a16="http://schemas.microsoft.com/office/drawing/2014/main" id="{00000000-0008-0000-0800-0000BE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2" name="Text Box 15">
          <a:extLst>
            <a:ext uri="{FF2B5EF4-FFF2-40B4-BE49-F238E27FC236}">
              <a16:creationId xmlns:a16="http://schemas.microsoft.com/office/drawing/2014/main" id="{00000000-0008-0000-0800-0000BF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3" name="Text Box 15">
          <a:extLst>
            <a:ext uri="{FF2B5EF4-FFF2-40B4-BE49-F238E27FC236}">
              <a16:creationId xmlns:a16="http://schemas.microsoft.com/office/drawing/2014/main" id="{00000000-0008-0000-0800-0000C0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4" name="Text Box 15">
          <a:extLst>
            <a:ext uri="{FF2B5EF4-FFF2-40B4-BE49-F238E27FC236}">
              <a16:creationId xmlns:a16="http://schemas.microsoft.com/office/drawing/2014/main" id="{00000000-0008-0000-0800-0000C1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5" name="Text Box 15">
          <a:extLst>
            <a:ext uri="{FF2B5EF4-FFF2-40B4-BE49-F238E27FC236}">
              <a16:creationId xmlns:a16="http://schemas.microsoft.com/office/drawing/2014/main" id="{00000000-0008-0000-0800-0000C2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6" name="Text Box 15">
          <a:extLst>
            <a:ext uri="{FF2B5EF4-FFF2-40B4-BE49-F238E27FC236}">
              <a16:creationId xmlns:a16="http://schemas.microsoft.com/office/drawing/2014/main" id="{00000000-0008-0000-0800-0000C3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7" name="Text Box 15">
          <a:extLst>
            <a:ext uri="{FF2B5EF4-FFF2-40B4-BE49-F238E27FC236}">
              <a16:creationId xmlns:a16="http://schemas.microsoft.com/office/drawing/2014/main" id="{00000000-0008-0000-0800-0000C4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7871"/>
    <xdr:sp macro="" textlink="">
      <xdr:nvSpPr>
        <xdr:cNvPr id="3008" name="Text Box 15">
          <a:extLst>
            <a:ext uri="{FF2B5EF4-FFF2-40B4-BE49-F238E27FC236}">
              <a16:creationId xmlns:a16="http://schemas.microsoft.com/office/drawing/2014/main" id="{00000000-0008-0000-0800-0000C50B0000}"/>
            </a:ext>
          </a:extLst>
        </xdr:cNvPr>
        <xdr:cNvSpPr txBox="1">
          <a:spLocks noChangeArrowheads="1"/>
        </xdr:cNvSpPr>
      </xdr:nvSpPr>
      <xdr:spPr bwMode="auto">
        <a:xfrm>
          <a:off x="9753600"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09" name="Text Box 15">
          <a:extLst>
            <a:ext uri="{FF2B5EF4-FFF2-40B4-BE49-F238E27FC236}">
              <a16:creationId xmlns:a16="http://schemas.microsoft.com/office/drawing/2014/main" id="{00000000-0008-0000-0800-0000C6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0" name="Text Box 15">
          <a:extLst>
            <a:ext uri="{FF2B5EF4-FFF2-40B4-BE49-F238E27FC236}">
              <a16:creationId xmlns:a16="http://schemas.microsoft.com/office/drawing/2014/main" id="{00000000-0008-0000-0800-0000C7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1" name="Text Box 15">
          <a:extLst>
            <a:ext uri="{FF2B5EF4-FFF2-40B4-BE49-F238E27FC236}">
              <a16:creationId xmlns:a16="http://schemas.microsoft.com/office/drawing/2014/main" id="{00000000-0008-0000-0800-0000C8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2" name="Text Box 15">
          <a:extLst>
            <a:ext uri="{FF2B5EF4-FFF2-40B4-BE49-F238E27FC236}">
              <a16:creationId xmlns:a16="http://schemas.microsoft.com/office/drawing/2014/main" id="{00000000-0008-0000-0800-0000C9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3" name="Text Box 15">
          <a:extLst>
            <a:ext uri="{FF2B5EF4-FFF2-40B4-BE49-F238E27FC236}">
              <a16:creationId xmlns:a16="http://schemas.microsoft.com/office/drawing/2014/main" id="{00000000-0008-0000-0800-0000CA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4" name="Text Box 15">
          <a:extLst>
            <a:ext uri="{FF2B5EF4-FFF2-40B4-BE49-F238E27FC236}">
              <a16:creationId xmlns:a16="http://schemas.microsoft.com/office/drawing/2014/main" id="{00000000-0008-0000-0800-0000CB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5" name="Text Box 15">
          <a:extLst>
            <a:ext uri="{FF2B5EF4-FFF2-40B4-BE49-F238E27FC236}">
              <a16:creationId xmlns:a16="http://schemas.microsoft.com/office/drawing/2014/main" id="{00000000-0008-0000-0800-0000CC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1314</xdr:row>
      <xdr:rowOff>0</xdr:rowOff>
    </xdr:from>
    <xdr:ext cx="95250" cy="295275"/>
    <xdr:sp macro="" textlink="">
      <xdr:nvSpPr>
        <xdr:cNvPr id="3016" name="Text Box 15">
          <a:extLst>
            <a:ext uri="{FF2B5EF4-FFF2-40B4-BE49-F238E27FC236}">
              <a16:creationId xmlns:a16="http://schemas.microsoft.com/office/drawing/2014/main" id="{00000000-0008-0000-0800-0000CD0B0000}"/>
            </a:ext>
          </a:extLst>
        </xdr:cNvPr>
        <xdr:cNvSpPr txBox="1">
          <a:spLocks noChangeArrowheads="1"/>
        </xdr:cNvSpPr>
      </xdr:nvSpPr>
      <xdr:spPr bwMode="auto">
        <a:xfrm>
          <a:off x="9753600"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17" name="Text Box 15">
          <a:extLst>
            <a:ext uri="{FF2B5EF4-FFF2-40B4-BE49-F238E27FC236}">
              <a16:creationId xmlns:a16="http://schemas.microsoft.com/office/drawing/2014/main" id="{00000000-0008-0000-0800-0000CE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18" name="Text Box 15">
          <a:extLst>
            <a:ext uri="{FF2B5EF4-FFF2-40B4-BE49-F238E27FC236}">
              <a16:creationId xmlns:a16="http://schemas.microsoft.com/office/drawing/2014/main" id="{00000000-0008-0000-0800-0000CF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19" name="Text Box 15">
          <a:extLst>
            <a:ext uri="{FF2B5EF4-FFF2-40B4-BE49-F238E27FC236}">
              <a16:creationId xmlns:a16="http://schemas.microsoft.com/office/drawing/2014/main" id="{00000000-0008-0000-0800-0000D0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20" name="Text Box 15">
          <a:extLst>
            <a:ext uri="{FF2B5EF4-FFF2-40B4-BE49-F238E27FC236}">
              <a16:creationId xmlns:a16="http://schemas.microsoft.com/office/drawing/2014/main" id="{00000000-0008-0000-0800-0000D1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21" name="Text Box 15">
          <a:extLst>
            <a:ext uri="{FF2B5EF4-FFF2-40B4-BE49-F238E27FC236}">
              <a16:creationId xmlns:a16="http://schemas.microsoft.com/office/drawing/2014/main" id="{00000000-0008-0000-0800-0000D2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22" name="Text Box 15">
          <a:extLst>
            <a:ext uri="{FF2B5EF4-FFF2-40B4-BE49-F238E27FC236}">
              <a16:creationId xmlns:a16="http://schemas.microsoft.com/office/drawing/2014/main" id="{00000000-0008-0000-0800-0000D3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23" name="Text Box 15">
          <a:extLst>
            <a:ext uri="{FF2B5EF4-FFF2-40B4-BE49-F238E27FC236}">
              <a16:creationId xmlns:a16="http://schemas.microsoft.com/office/drawing/2014/main" id="{00000000-0008-0000-0800-0000D4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24" name="Text Box 15">
          <a:extLst>
            <a:ext uri="{FF2B5EF4-FFF2-40B4-BE49-F238E27FC236}">
              <a16:creationId xmlns:a16="http://schemas.microsoft.com/office/drawing/2014/main" id="{00000000-0008-0000-0800-0000D5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25" name="Text Box 15">
          <a:extLst>
            <a:ext uri="{FF2B5EF4-FFF2-40B4-BE49-F238E27FC236}">
              <a16:creationId xmlns:a16="http://schemas.microsoft.com/office/drawing/2014/main" id="{00000000-0008-0000-0800-0000D6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26" name="Text Box 15">
          <a:extLst>
            <a:ext uri="{FF2B5EF4-FFF2-40B4-BE49-F238E27FC236}">
              <a16:creationId xmlns:a16="http://schemas.microsoft.com/office/drawing/2014/main" id="{00000000-0008-0000-0800-0000D7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27" name="Text Box 15">
          <a:extLst>
            <a:ext uri="{FF2B5EF4-FFF2-40B4-BE49-F238E27FC236}">
              <a16:creationId xmlns:a16="http://schemas.microsoft.com/office/drawing/2014/main" id="{00000000-0008-0000-0800-0000D8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28" name="Text Box 15">
          <a:extLst>
            <a:ext uri="{FF2B5EF4-FFF2-40B4-BE49-F238E27FC236}">
              <a16:creationId xmlns:a16="http://schemas.microsoft.com/office/drawing/2014/main" id="{00000000-0008-0000-0800-0000D9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29" name="Text Box 15">
          <a:extLst>
            <a:ext uri="{FF2B5EF4-FFF2-40B4-BE49-F238E27FC236}">
              <a16:creationId xmlns:a16="http://schemas.microsoft.com/office/drawing/2014/main" id="{00000000-0008-0000-0800-0000DA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30" name="Text Box 15">
          <a:extLst>
            <a:ext uri="{FF2B5EF4-FFF2-40B4-BE49-F238E27FC236}">
              <a16:creationId xmlns:a16="http://schemas.microsoft.com/office/drawing/2014/main" id="{00000000-0008-0000-0800-0000DB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31" name="Text Box 15">
          <a:extLst>
            <a:ext uri="{FF2B5EF4-FFF2-40B4-BE49-F238E27FC236}">
              <a16:creationId xmlns:a16="http://schemas.microsoft.com/office/drawing/2014/main" id="{00000000-0008-0000-0800-0000DC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32" name="Text Box 15">
          <a:extLst>
            <a:ext uri="{FF2B5EF4-FFF2-40B4-BE49-F238E27FC236}">
              <a16:creationId xmlns:a16="http://schemas.microsoft.com/office/drawing/2014/main" id="{00000000-0008-0000-0800-0000DD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3" name="Text Box 15">
          <a:extLst>
            <a:ext uri="{FF2B5EF4-FFF2-40B4-BE49-F238E27FC236}">
              <a16:creationId xmlns:a16="http://schemas.microsoft.com/office/drawing/2014/main" id="{00000000-0008-0000-0800-0000DE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4" name="Text Box 15">
          <a:extLst>
            <a:ext uri="{FF2B5EF4-FFF2-40B4-BE49-F238E27FC236}">
              <a16:creationId xmlns:a16="http://schemas.microsoft.com/office/drawing/2014/main" id="{00000000-0008-0000-0800-0000DF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5" name="Text Box 15">
          <a:extLst>
            <a:ext uri="{FF2B5EF4-FFF2-40B4-BE49-F238E27FC236}">
              <a16:creationId xmlns:a16="http://schemas.microsoft.com/office/drawing/2014/main" id="{00000000-0008-0000-0800-0000E0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6" name="Text Box 15">
          <a:extLst>
            <a:ext uri="{FF2B5EF4-FFF2-40B4-BE49-F238E27FC236}">
              <a16:creationId xmlns:a16="http://schemas.microsoft.com/office/drawing/2014/main" id="{00000000-0008-0000-0800-0000E1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7" name="Text Box 15">
          <a:extLst>
            <a:ext uri="{FF2B5EF4-FFF2-40B4-BE49-F238E27FC236}">
              <a16:creationId xmlns:a16="http://schemas.microsoft.com/office/drawing/2014/main" id="{00000000-0008-0000-0800-0000E2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8" name="Text Box 15">
          <a:extLst>
            <a:ext uri="{FF2B5EF4-FFF2-40B4-BE49-F238E27FC236}">
              <a16:creationId xmlns:a16="http://schemas.microsoft.com/office/drawing/2014/main" id="{00000000-0008-0000-0800-0000E3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39" name="Text Box 15">
          <a:extLst>
            <a:ext uri="{FF2B5EF4-FFF2-40B4-BE49-F238E27FC236}">
              <a16:creationId xmlns:a16="http://schemas.microsoft.com/office/drawing/2014/main" id="{00000000-0008-0000-0800-0000E4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7871"/>
    <xdr:sp macro="" textlink="">
      <xdr:nvSpPr>
        <xdr:cNvPr id="3040" name="Text Box 15">
          <a:extLst>
            <a:ext uri="{FF2B5EF4-FFF2-40B4-BE49-F238E27FC236}">
              <a16:creationId xmlns:a16="http://schemas.microsoft.com/office/drawing/2014/main" id="{00000000-0008-0000-0800-0000E50B0000}"/>
            </a:ext>
          </a:extLst>
        </xdr:cNvPr>
        <xdr:cNvSpPr txBox="1">
          <a:spLocks noChangeArrowheads="1"/>
        </xdr:cNvSpPr>
      </xdr:nvSpPr>
      <xdr:spPr bwMode="auto">
        <a:xfrm>
          <a:off x="1933575" y="2789301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1" name="Text Box 15">
          <a:extLst>
            <a:ext uri="{FF2B5EF4-FFF2-40B4-BE49-F238E27FC236}">
              <a16:creationId xmlns:a16="http://schemas.microsoft.com/office/drawing/2014/main" id="{00000000-0008-0000-0800-0000E6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2" name="Text Box 15">
          <a:extLst>
            <a:ext uri="{FF2B5EF4-FFF2-40B4-BE49-F238E27FC236}">
              <a16:creationId xmlns:a16="http://schemas.microsoft.com/office/drawing/2014/main" id="{00000000-0008-0000-0800-0000E7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3" name="Text Box 15">
          <a:extLst>
            <a:ext uri="{FF2B5EF4-FFF2-40B4-BE49-F238E27FC236}">
              <a16:creationId xmlns:a16="http://schemas.microsoft.com/office/drawing/2014/main" id="{00000000-0008-0000-0800-0000E8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4" name="Text Box 15">
          <a:extLst>
            <a:ext uri="{FF2B5EF4-FFF2-40B4-BE49-F238E27FC236}">
              <a16:creationId xmlns:a16="http://schemas.microsoft.com/office/drawing/2014/main" id="{00000000-0008-0000-0800-0000E9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5" name="Text Box 15">
          <a:extLst>
            <a:ext uri="{FF2B5EF4-FFF2-40B4-BE49-F238E27FC236}">
              <a16:creationId xmlns:a16="http://schemas.microsoft.com/office/drawing/2014/main" id="{00000000-0008-0000-0800-0000EA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6" name="Text Box 15">
          <a:extLst>
            <a:ext uri="{FF2B5EF4-FFF2-40B4-BE49-F238E27FC236}">
              <a16:creationId xmlns:a16="http://schemas.microsoft.com/office/drawing/2014/main" id="{00000000-0008-0000-0800-0000EB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7" name="Text Box 15">
          <a:extLst>
            <a:ext uri="{FF2B5EF4-FFF2-40B4-BE49-F238E27FC236}">
              <a16:creationId xmlns:a16="http://schemas.microsoft.com/office/drawing/2014/main" id="{00000000-0008-0000-0800-0000EC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1314</xdr:row>
      <xdr:rowOff>0</xdr:rowOff>
    </xdr:from>
    <xdr:ext cx="95250" cy="295275"/>
    <xdr:sp macro="" textlink="">
      <xdr:nvSpPr>
        <xdr:cNvPr id="3048" name="Text Box 15">
          <a:extLst>
            <a:ext uri="{FF2B5EF4-FFF2-40B4-BE49-F238E27FC236}">
              <a16:creationId xmlns:a16="http://schemas.microsoft.com/office/drawing/2014/main" id="{00000000-0008-0000-0800-0000ED0B0000}"/>
            </a:ext>
          </a:extLst>
        </xdr:cNvPr>
        <xdr:cNvSpPr txBox="1">
          <a:spLocks noChangeArrowheads="1"/>
        </xdr:cNvSpPr>
      </xdr:nvSpPr>
      <xdr:spPr bwMode="auto">
        <a:xfrm>
          <a:off x="1933575" y="2789301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49" name="Text Box 15">
          <a:extLst>
            <a:ext uri="{FF2B5EF4-FFF2-40B4-BE49-F238E27FC236}">
              <a16:creationId xmlns:a16="http://schemas.microsoft.com/office/drawing/2014/main" id="{00000000-0008-0000-0800-0000EE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0" name="Text Box 15">
          <a:extLst>
            <a:ext uri="{FF2B5EF4-FFF2-40B4-BE49-F238E27FC236}">
              <a16:creationId xmlns:a16="http://schemas.microsoft.com/office/drawing/2014/main" id="{00000000-0008-0000-0800-0000EF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1" name="Text Box 15">
          <a:extLst>
            <a:ext uri="{FF2B5EF4-FFF2-40B4-BE49-F238E27FC236}">
              <a16:creationId xmlns:a16="http://schemas.microsoft.com/office/drawing/2014/main" id="{00000000-0008-0000-0800-0000F0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2" name="Text Box 15">
          <a:extLst>
            <a:ext uri="{FF2B5EF4-FFF2-40B4-BE49-F238E27FC236}">
              <a16:creationId xmlns:a16="http://schemas.microsoft.com/office/drawing/2014/main" id="{00000000-0008-0000-0800-0000F1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3" name="Text Box 15">
          <a:extLst>
            <a:ext uri="{FF2B5EF4-FFF2-40B4-BE49-F238E27FC236}">
              <a16:creationId xmlns:a16="http://schemas.microsoft.com/office/drawing/2014/main" id="{00000000-0008-0000-0800-0000F2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4" name="Text Box 15">
          <a:extLst>
            <a:ext uri="{FF2B5EF4-FFF2-40B4-BE49-F238E27FC236}">
              <a16:creationId xmlns:a16="http://schemas.microsoft.com/office/drawing/2014/main" id="{00000000-0008-0000-0800-0000F3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5" name="Text Box 15">
          <a:extLst>
            <a:ext uri="{FF2B5EF4-FFF2-40B4-BE49-F238E27FC236}">
              <a16:creationId xmlns:a16="http://schemas.microsoft.com/office/drawing/2014/main" id="{00000000-0008-0000-0800-0000F4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056" name="Text Box 15">
          <a:extLst>
            <a:ext uri="{FF2B5EF4-FFF2-40B4-BE49-F238E27FC236}">
              <a16:creationId xmlns:a16="http://schemas.microsoft.com/office/drawing/2014/main" id="{00000000-0008-0000-0800-0000F50B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57" name="Text Box 15">
          <a:extLst>
            <a:ext uri="{FF2B5EF4-FFF2-40B4-BE49-F238E27FC236}">
              <a16:creationId xmlns:a16="http://schemas.microsoft.com/office/drawing/2014/main" id="{00000000-0008-0000-0800-0000F6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58" name="Text Box 15">
          <a:extLst>
            <a:ext uri="{FF2B5EF4-FFF2-40B4-BE49-F238E27FC236}">
              <a16:creationId xmlns:a16="http://schemas.microsoft.com/office/drawing/2014/main" id="{00000000-0008-0000-0800-0000F7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59" name="Text Box 15">
          <a:extLst>
            <a:ext uri="{FF2B5EF4-FFF2-40B4-BE49-F238E27FC236}">
              <a16:creationId xmlns:a16="http://schemas.microsoft.com/office/drawing/2014/main" id="{00000000-0008-0000-0800-0000F8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60" name="Text Box 15">
          <a:extLst>
            <a:ext uri="{FF2B5EF4-FFF2-40B4-BE49-F238E27FC236}">
              <a16:creationId xmlns:a16="http://schemas.microsoft.com/office/drawing/2014/main" id="{00000000-0008-0000-0800-0000F9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61" name="Text Box 15">
          <a:extLst>
            <a:ext uri="{FF2B5EF4-FFF2-40B4-BE49-F238E27FC236}">
              <a16:creationId xmlns:a16="http://schemas.microsoft.com/office/drawing/2014/main" id="{00000000-0008-0000-0800-0000FA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62" name="Text Box 15">
          <a:extLst>
            <a:ext uri="{FF2B5EF4-FFF2-40B4-BE49-F238E27FC236}">
              <a16:creationId xmlns:a16="http://schemas.microsoft.com/office/drawing/2014/main" id="{00000000-0008-0000-0800-0000FB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63" name="Text Box 15">
          <a:extLst>
            <a:ext uri="{FF2B5EF4-FFF2-40B4-BE49-F238E27FC236}">
              <a16:creationId xmlns:a16="http://schemas.microsoft.com/office/drawing/2014/main" id="{00000000-0008-0000-0800-0000FC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064" name="Text Box 15">
          <a:extLst>
            <a:ext uri="{FF2B5EF4-FFF2-40B4-BE49-F238E27FC236}">
              <a16:creationId xmlns:a16="http://schemas.microsoft.com/office/drawing/2014/main" id="{00000000-0008-0000-0800-0000FD0B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65" name="Text Box 15">
          <a:extLst>
            <a:ext uri="{FF2B5EF4-FFF2-40B4-BE49-F238E27FC236}">
              <a16:creationId xmlns:a16="http://schemas.microsoft.com/office/drawing/2014/main" id="{00000000-0008-0000-0800-0000FE0B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66" name="Text Box 15">
          <a:extLst>
            <a:ext uri="{FF2B5EF4-FFF2-40B4-BE49-F238E27FC236}">
              <a16:creationId xmlns:a16="http://schemas.microsoft.com/office/drawing/2014/main" id="{00000000-0008-0000-0800-0000FF0B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67" name="Text Box 15">
          <a:extLst>
            <a:ext uri="{FF2B5EF4-FFF2-40B4-BE49-F238E27FC236}">
              <a16:creationId xmlns:a16="http://schemas.microsoft.com/office/drawing/2014/main" id="{00000000-0008-0000-0800-000000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68" name="Text Box 15">
          <a:extLst>
            <a:ext uri="{FF2B5EF4-FFF2-40B4-BE49-F238E27FC236}">
              <a16:creationId xmlns:a16="http://schemas.microsoft.com/office/drawing/2014/main" id="{00000000-0008-0000-0800-000001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69" name="Text Box 15">
          <a:extLst>
            <a:ext uri="{FF2B5EF4-FFF2-40B4-BE49-F238E27FC236}">
              <a16:creationId xmlns:a16="http://schemas.microsoft.com/office/drawing/2014/main" id="{00000000-0008-0000-0800-000002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70" name="Text Box 15">
          <a:extLst>
            <a:ext uri="{FF2B5EF4-FFF2-40B4-BE49-F238E27FC236}">
              <a16:creationId xmlns:a16="http://schemas.microsoft.com/office/drawing/2014/main" id="{00000000-0008-0000-0800-000003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71" name="Text Box 15">
          <a:extLst>
            <a:ext uri="{FF2B5EF4-FFF2-40B4-BE49-F238E27FC236}">
              <a16:creationId xmlns:a16="http://schemas.microsoft.com/office/drawing/2014/main" id="{00000000-0008-0000-0800-000004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072" name="Text Box 15">
          <a:extLst>
            <a:ext uri="{FF2B5EF4-FFF2-40B4-BE49-F238E27FC236}">
              <a16:creationId xmlns:a16="http://schemas.microsoft.com/office/drawing/2014/main" id="{00000000-0008-0000-0800-000005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3" name="Text Box 15">
          <a:extLst>
            <a:ext uri="{FF2B5EF4-FFF2-40B4-BE49-F238E27FC236}">
              <a16:creationId xmlns:a16="http://schemas.microsoft.com/office/drawing/2014/main" id="{00000000-0008-0000-0800-000006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4" name="Text Box 15">
          <a:extLst>
            <a:ext uri="{FF2B5EF4-FFF2-40B4-BE49-F238E27FC236}">
              <a16:creationId xmlns:a16="http://schemas.microsoft.com/office/drawing/2014/main" id="{00000000-0008-0000-0800-000007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5" name="Text Box 15">
          <a:extLst>
            <a:ext uri="{FF2B5EF4-FFF2-40B4-BE49-F238E27FC236}">
              <a16:creationId xmlns:a16="http://schemas.microsoft.com/office/drawing/2014/main" id="{00000000-0008-0000-0800-000008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6" name="Text Box 15">
          <a:extLst>
            <a:ext uri="{FF2B5EF4-FFF2-40B4-BE49-F238E27FC236}">
              <a16:creationId xmlns:a16="http://schemas.microsoft.com/office/drawing/2014/main" id="{00000000-0008-0000-0800-000009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7" name="Text Box 15">
          <a:extLst>
            <a:ext uri="{FF2B5EF4-FFF2-40B4-BE49-F238E27FC236}">
              <a16:creationId xmlns:a16="http://schemas.microsoft.com/office/drawing/2014/main" id="{00000000-0008-0000-0800-00000A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8" name="Text Box 15">
          <a:extLst>
            <a:ext uri="{FF2B5EF4-FFF2-40B4-BE49-F238E27FC236}">
              <a16:creationId xmlns:a16="http://schemas.microsoft.com/office/drawing/2014/main" id="{00000000-0008-0000-0800-00000B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79" name="Text Box 15">
          <a:extLst>
            <a:ext uri="{FF2B5EF4-FFF2-40B4-BE49-F238E27FC236}">
              <a16:creationId xmlns:a16="http://schemas.microsoft.com/office/drawing/2014/main" id="{00000000-0008-0000-0800-00000C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080" name="Text Box 15">
          <a:extLst>
            <a:ext uri="{FF2B5EF4-FFF2-40B4-BE49-F238E27FC236}">
              <a16:creationId xmlns:a16="http://schemas.microsoft.com/office/drawing/2014/main" id="{00000000-0008-0000-0800-00000D0C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1" name="Text Box 15">
          <a:extLst>
            <a:ext uri="{FF2B5EF4-FFF2-40B4-BE49-F238E27FC236}">
              <a16:creationId xmlns:a16="http://schemas.microsoft.com/office/drawing/2014/main" id="{00000000-0008-0000-0800-00000E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2" name="Text Box 15">
          <a:extLst>
            <a:ext uri="{FF2B5EF4-FFF2-40B4-BE49-F238E27FC236}">
              <a16:creationId xmlns:a16="http://schemas.microsoft.com/office/drawing/2014/main" id="{00000000-0008-0000-0800-00000F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3" name="Text Box 15">
          <a:extLst>
            <a:ext uri="{FF2B5EF4-FFF2-40B4-BE49-F238E27FC236}">
              <a16:creationId xmlns:a16="http://schemas.microsoft.com/office/drawing/2014/main" id="{00000000-0008-0000-0800-000010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4" name="Text Box 15">
          <a:extLst>
            <a:ext uri="{FF2B5EF4-FFF2-40B4-BE49-F238E27FC236}">
              <a16:creationId xmlns:a16="http://schemas.microsoft.com/office/drawing/2014/main" id="{00000000-0008-0000-0800-000011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5" name="Text Box 15">
          <a:extLst>
            <a:ext uri="{FF2B5EF4-FFF2-40B4-BE49-F238E27FC236}">
              <a16:creationId xmlns:a16="http://schemas.microsoft.com/office/drawing/2014/main" id="{00000000-0008-0000-0800-000012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6" name="Text Box 15">
          <a:extLst>
            <a:ext uri="{FF2B5EF4-FFF2-40B4-BE49-F238E27FC236}">
              <a16:creationId xmlns:a16="http://schemas.microsoft.com/office/drawing/2014/main" id="{00000000-0008-0000-0800-000013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7" name="Text Box 15">
          <a:extLst>
            <a:ext uri="{FF2B5EF4-FFF2-40B4-BE49-F238E27FC236}">
              <a16:creationId xmlns:a16="http://schemas.microsoft.com/office/drawing/2014/main" id="{00000000-0008-0000-0800-000014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088" name="Text Box 15">
          <a:extLst>
            <a:ext uri="{FF2B5EF4-FFF2-40B4-BE49-F238E27FC236}">
              <a16:creationId xmlns:a16="http://schemas.microsoft.com/office/drawing/2014/main" id="{00000000-0008-0000-0800-000015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89" name="Text Box 15">
          <a:extLst>
            <a:ext uri="{FF2B5EF4-FFF2-40B4-BE49-F238E27FC236}">
              <a16:creationId xmlns:a16="http://schemas.microsoft.com/office/drawing/2014/main" id="{00000000-0008-0000-0800-000016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0" name="Text Box 15">
          <a:extLst>
            <a:ext uri="{FF2B5EF4-FFF2-40B4-BE49-F238E27FC236}">
              <a16:creationId xmlns:a16="http://schemas.microsoft.com/office/drawing/2014/main" id="{00000000-0008-0000-0800-000017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1" name="Text Box 15">
          <a:extLst>
            <a:ext uri="{FF2B5EF4-FFF2-40B4-BE49-F238E27FC236}">
              <a16:creationId xmlns:a16="http://schemas.microsoft.com/office/drawing/2014/main" id="{00000000-0008-0000-0800-000018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2" name="Text Box 15">
          <a:extLst>
            <a:ext uri="{FF2B5EF4-FFF2-40B4-BE49-F238E27FC236}">
              <a16:creationId xmlns:a16="http://schemas.microsoft.com/office/drawing/2014/main" id="{00000000-0008-0000-0800-000019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3" name="Text Box 15">
          <a:extLst>
            <a:ext uri="{FF2B5EF4-FFF2-40B4-BE49-F238E27FC236}">
              <a16:creationId xmlns:a16="http://schemas.microsoft.com/office/drawing/2014/main" id="{00000000-0008-0000-0800-00001A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4" name="Text Box 15">
          <a:extLst>
            <a:ext uri="{FF2B5EF4-FFF2-40B4-BE49-F238E27FC236}">
              <a16:creationId xmlns:a16="http://schemas.microsoft.com/office/drawing/2014/main" id="{00000000-0008-0000-0800-00001B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5" name="Text Box 15">
          <a:extLst>
            <a:ext uri="{FF2B5EF4-FFF2-40B4-BE49-F238E27FC236}">
              <a16:creationId xmlns:a16="http://schemas.microsoft.com/office/drawing/2014/main" id="{00000000-0008-0000-0800-00001C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096" name="Text Box 15">
          <a:extLst>
            <a:ext uri="{FF2B5EF4-FFF2-40B4-BE49-F238E27FC236}">
              <a16:creationId xmlns:a16="http://schemas.microsoft.com/office/drawing/2014/main" id="{00000000-0008-0000-0800-00001D0C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097" name="Text Box 15">
          <a:extLst>
            <a:ext uri="{FF2B5EF4-FFF2-40B4-BE49-F238E27FC236}">
              <a16:creationId xmlns:a16="http://schemas.microsoft.com/office/drawing/2014/main" id="{00000000-0008-0000-0800-00001E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098" name="Text Box 15">
          <a:extLst>
            <a:ext uri="{FF2B5EF4-FFF2-40B4-BE49-F238E27FC236}">
              <a16:creationId xmlns:a16="http://schemas.microsoft.com/office/drawing/2014/main" id="{00000000-0008-0000-0800-00001F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099" name="Text Box 15">
          <a:extLst>
            <a:ext uri="{FF2B5EF4-FFF2-40B4-BE49-F238E27FC236}">
              <a16:creationId xmlns:a16="http://schemas.microsoft.com/office/drawing/2014/main" id="{00000000-0008-0000-0800-000020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00" name="Text Box 15">
          <a:extLst>
            <a:ext uri="{FF2B5EF4-FFF2-40B4-BE49-F238E27FC236}">
              <a16:creationId xmlns:a16="http://schemas.microsoft.com/office/drawing/2014/main" id="{00000000-0008-0000-0800-000021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01" name="Text Box 15">
          <a:extLst>
            <a:ext uri="{FF2B5EF4-FFF2-40B4-BE49-F238E27FC236}">
              <a16:creationId xmlns:a16="http://schemas.microsoft.com/office/drawing/2014/main" id="{00000000-0008-0000-0800-000022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02" name="Text Box 15">
          <a:extLst>
            <a:ext uri="{FF2B5EF4-FFF2-40B4-BE49-F238E27FC236}">
              <a16:creationId xmlns:a16="http://schemas.microsoft.com/office/drawing/2014/main" id="{00000000-0008-0000-0800-000023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03" name="Text Box 15">
          <a:extLst>
            <a:ext uri="{FF2B5EF4-FFF2-40B4-BE49-F238E27FC236}">
              <a16:creationId xmlns:a16="http://schemas.microsoft.com/office/drawing/2014/main" id="{00000000-0008-0000-0800-000024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04" name="Text Box 15">
          <a:extLst>
            <a:ext uri="{FF2B5EF4-FFF2-40B4-BE49-F238E27FC236}">
              <a16:creationId xmlns:a16="http://schemas.microsoft.com/office/drawing/2014/main" id="{00000000-0008-0000-0800-000025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05" name="Text Box 15">
          <a:extLst>
            <a:ext uri="{FF2B5EF4-FFF2-40B4-BE49-F238E27FC236}">
              <a16:creationId xmlns:a16="http://schemas.microsoft.com/office/drawing/2014/main" id="{00000000-0008-0000-0800-000026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06" name="Text Box 15">
          <a:extLst>
            <a:ext uri="{FF2B5EF4-FFF2-40B4-BE49-F238E27FC236}">
              <a16:creationId xmlns:a16="http://schemas.microsoft.com/office/drawing/2014/main" id="{00000000-0008-0000-0800-000027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07" name="Text Box 15">
          <a:extLst>
            <a:ext uri="{FF2B5EF4-FFF2-40B4-BE49-F238E27FC236}">
              <a16:creationId xmlns:a16="http://schemas.microsoft.com/office/drawing/2014/main" id="{00000000-0008-0000-0800-000028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08" name="Text Box 15">
          <a:extLst>
            <a:ext uri="{FF2B5EF4-FFF2-40B4-BE49-F238E27FC236}">
              <a16:creationId xmlns:a16="http://schemas.microsoft.com/office/drawing/2014/main" id="{00000000-0008-0000-0800-000029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09" name="Text Box 15">
          <a:extLst>
            <a:ext uri="{FF2B5EF4-FFF2-40B4-BE49-F238E27FC236}">
              <a16:creationId xmlns:a16="http://schemas.microsoft.com/office/drawing/2014/main" id="{00000000-0008-0000-0800-00002A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10" name="Text Box 15">
          <a:extLst>
            <a:ext uri="{FF2B5EF4-FFF2-40B4-BE49-F238E27FC236}">
              <a16:creationId xmlns:a16="http://schemas.microsoft.com/office/drawing/2014/main" id="{00000000-0008-0000-0800-00002B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11" name="Text Box 15">
          <a:extLst>
            <a:ext uri="{FF2B5EF4-FFF2-40B4-BE49-F238E27FC236}">
              <a16:creationId xmlns:a16="http://schemas.microsoft.com/office/drawing/2014/main" id="{00000000-0008-0000-0800-00002C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12" name="Text Box 15">
          <a:extLst>
            <a:ext uri="{FF2B5EF4-FFF2-40B4-BE49-F238E27FC236}">
              <a16:creationId xmlns:a16="http://schemas.microsoft.com/office/drawing/2014/main" id="{00000000-0008-0000-0800-00002D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3" name="Text Box 15">
          <a:extLst>
            <a:ext uri="{FF2B5EF4-FFF2-40B4-BE49-F238E27FC236}">
              <a16:creationId xmlns:a16="http://schemas.microsoft.com/office/drawing/2014/main" id="{00000000-0008-0000-0800-00002E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4" name="Text Box 15">
          <a:extLst>
            <a:ext uri="{FF2B5EF4-FFF2-40B4-BE49-F238E27FC236}">
              <a16:creationId xmlns:a16="http://schemas.microsoft.com/office/drawing/2014/main" id="{00000000-0008-0000-0800-00002F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5" name="Text Box 15">
          <a:extLst>
            <a:ext uri="{FF2B5EF4-FFF2-40B4-BE49-F238E27FC236}">
              <a16:creationId xmlns:a16="http://schemas.microsoft.com/office/drawing/2014/main" id="{00000000-0008-0000-0800-000030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6" name="Text Box 15">
          <a:extLst>
            <a:ext uri="{FF2B5EF4-FFF2-40B4-BE49-F238E27FC236}">
              <a16:creationId xmlns:a16="http://schemas.microsoft.com/office/drawing/2014/main" id="{00000000-0008-0000-0800-000031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7" name="Text Box 15">
          <a:extLst>
            <a:ext uri="{FF2B5EF4-FFF2-40B4-BE49-F238E27FC236}">
              <a16:creationId xmlns:a16="http://schemas.microsoft.com/office/drawing/2014/main" id="{00000000-0008-0000-0800-000032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8" name="Text Box 15">
          <a:extLst>
            <a:ext uri="{FF2B5EF4-FFF2-40B4-BE49-F238E27FC236}">
              <a16:creationId xmlns:a16="http://schemas.microsoft.com/office/drawing/2014/main" id="{00000000-0008-0000-0800-000033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19" name="Text Box 15">
          <a:extLst>
            <a:ext uri="{FF2B5EF4-FFF2-40B4-BE49-F238E27FC236}">
              <a16:creationId xmlns:a16="http://schemas.microsoft.com/office/drawing/2014/main" id="{00000000-0008-0000-0800-000034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120" name="Text Box 15">
          <a:extLst>
            <a:ext uri="{FF2B5EF4-FFF2-40B4-BE49-F238E27FC236}">
              <a16:creationId xmlns:a16="http://schemas.microsoft.com/office/drawing/2014/main" id="{00000000-0008-0000-0800-0000350C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1" name="Text Box 15">
          <a:extLst>
            <a:ext uri="{FF2B5EF4-FFF2-40B4-BE49-F238E27FC236}">
              <a16:creationId xmlns:a16="http://schemas.microsoft.com/office/drawing/2014/main" id="{00000000-0008-0000-0800-000036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2" name="Text Box 15">
          <a:extLst>
            <a:ext uri="{FF2B5EF4-FFF2-40B4-BE49-F238E27FC236}">
              <a16:creationId xmlns:a16="http://schemas.microsoft.com/office/drawing/2014/main" id="{00000000-0008-0000-0800-000037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3" name="Text Box 15">
          <a:extLst>
            <a:ext uri="{FF2B5EF4-FFF2-40B4-BE49-F238E27FC236}">
              <a16:creationId xmlns:a16="http://schemas.microsoft.com/office/drawing/2014/main" id="{00000000-0008-0000-0800-000038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4" name="Text Box 15">
          <a:extLst>
            <a:ext uri="{FF2B5EF4-FFF2-40B4-BE49-F238E27FC236}">
              <a16:creationId xmlns:a16="http://schemas.microsoft.com/office/drawing/2014/main" id="{00000000-0008-0000-0800-000039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5" name="Text Box 15">
          <a:extLst>
            <a:ext uri="{FF2B5EF4-FFF2-40B4-BE49-F238E27FC236}">
              <a16:creationId xmlns:a16="http://schemas.microsoft.com/office/drawing/2014/main" id="{00000000-0008-0000-0800-00003A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6" name="Text Box 15">
          <a:extLst>
            <a:ext uri="{FF2B5EF4-FFF2-40B4-BE49-F238E27FC236}">
              <a16:creationId xmlns:a16="http://schemas.microsoft.com/office/drawing/2014/main" id="{00000000-0008-0000-0800-00003B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7" name="Text Box 15">
          <a:extLst>
            <a:ext uri="{FF2B5EF4-FFF2-40B4-BE49-F238E27FC236}">
              <a16:creationId xmlns:a16="http://schemas.microsoft.com/office/drawing/2014/main" id="{00000000-0008-0000-0800-00003C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128" name="Text Box 15">
          <a:extLst>
            <a:ext uri="{FF2B5EF4-FFF2-40B4-BE49-F238E27FC236}">
              <a16:creationId xmlns:a16="http://schemas.microsoft.com/office/drawing/2014/main" id="{00000000-0008-0000-0800-00003D0C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29" name="Text Box 15">
          <a:extLst>
            <a:ext uri="{FF2B5EF4-FFF2-40B4-BE49-F238E27FC236}">
              <a16:creationId xmlns:a16="http://schemas.microsoft.com/office/drawing/2014/main" id="{00000000-0008-0000-0800-00003E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0" name="Text Box 15">
          <a:extLst>
            <a:ext uri="{FF2B5EF4-FFF2-40B4-BE49-F238E27FC236}">
              <a16:creationId xmlns:a16="http://schemas.microsoft.com/office/drawing/2014/main" id="{00000000-0008-0000-0800-00003F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1" name="Text Box 15">
          <a:extLst>
            <a:ext uri="{FF2B5EF4-FFF2-40B4-BE49-F238E27FC236}">
              <a16:creationId xmlns:a16="http://schemas.microsoft.com/office/drawing/2014/main" id="{00000000-0008-0000-0800-000040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2" name="Text Box 15">
          <a:extLst>
            <a:ext uri="{FF2B5EF4-FFF2-40B4-BE49-F238E27FC236}">
              <a16:creationId xmlns:a16="http://schemas.microsoft.com/office/drawing/2014/main" id="{00000000-0008-0000-0800-000041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3" name="Text Box 15">
          <a:extLst>
            <a:ext uri="{FF2B5EF4-FFF2-40B4-BE49-F238E27FC236}">
              <a16:creationId xmlns:a16="http://schemas.microsoft.com/office/drawing/2014/main" id="{00000000-0008-0000-0800-000042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4" name="Text Box 15">
          <a:extLst>
            <a:ext uri="{FF2B5EF4-FFF2-40B4-BE49-F238E27FC236}">
              <a16:creationId xmlns:a16="http://schemas.microsoft.com/office/drawing/2014/main" id="{00000000-0008-0000-0800-000043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5" name="Text Box 15">
          <a:extLst>
            <a:ext uri="{FF2B5EF4-FFF2-40B4-BE49-F238E27FC236}">
              <a16:creationId xmlns:a16="http://schemas.microsoft.com/office/drawing/2014/main" id="{00000000-0008-0000-0800-000044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136" name="Text Box 15">
          <a:extLst>
            <a:ext uri="{FF2B5EF4-FFF2-40B4-BE49-F238E27FC236}">
              <a16:creationId xmlns:a16="http://schemas.microsoft.com/office/drawing/2014/main" id="{00000000-0008-0000-0800-0000450C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37" name="Text Box 15">
          <a:extLst>
            <a:ext uri="{FF2B5EF4-FFF2-40B4-BE49-F238E27FC236}">
              <a16:creationId xmlns:a16="http://schemas.microsoft.com/office/drawing/2014/main" id="{00000000-0008-0000-0800-000046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38" name="Text Box 15">
          <a:extLst>
            <a:ext uri="{FF2B5EF4-FFF2-40B4-BE49-F238E27FC236}">
              <a16:creationId xmlns:a16="http://schemas.microsoft.com/office/drawing/2014/main" id="{00000000-0008-0000-0800-000047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39" name="Text Box 15">
          <a:extLst>
            <a:ext uri="{FF2B5EF4-FFF2-40B4-BE49-F238E27FC236}">
              <a16:creationId xmlns:a16="http://schemas.microsoft.com/office/drawing/2014/main" id="{00000000-0008-0000-0800-000048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40" name="Text Box 15">
          <a:extLst>
            <a:ext uri="{FF2B5EF4-FFF2-40B4-BE49-F238E27FC236}">
              <a16:creationId xmlns:a16="http://schemas.microsoft.com/office/drawing/2014/main" id="{00000000-0008-0000-0800-000049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41" name="Text Box 15">
          <a:extLst>
            <a:ext uri="{FF2B5EF4-FFF2-40B4-BE49-F238E27FC236}">
              <a16:creationId xmlns:a16="http://schemas.microsoft.com/office/drawing/2014/main" id="{00000000-0008-0000-0800-00004A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42" name="Text Box 15">
          <a:extLst>
            <a:ext uri="{FF2B5EF4-FFF2-40B4-BE49-F238E27FC236}">
              <a16:creationId xmlns:a16="http://schemas.microsoft.com/office/drawing/2014/main" id="{00000000-0008-0000-0800-00004B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143" name="Text Box 15">
          <a:extLst>
            <a:ext uri="{FF2B5EF4-FFF2-40B4-BE49-F238E27FC236}">
              <a16:creationId xmlns:a16="http://schemas.microsoft.com/office/drawing/2014/main" id="{00000000-0008-0000-0800-00004C0C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4" name="Text Box 15">
          <a:extLst>
            <a:ext uri="{FF2B5EF4-FFF2-40B4-BE49-F238E27FC236}">
              <a16:creationId xmlns:a16="http://schemas.microsoft.com/office/drawing/2014/main" id="{00000000-0008-0000-0800-00004D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5" name="Text Box 15">
          <a:extLst>
            <a:ext uri="{FF2B5EF4-FFF2-40B4-BE49-F238E27FC236}">
              <a16:creationId xmlns:a16="http://schemas.microsoft.com/office/drawing/2014/main" id="{00000000-0008-0000-0800-00004E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6" name="Text Box 15">
          <a:extLst>
            <a:ext uri="{FF2B5EF4-FFF2-40B4-BE49-F238E27FC236}">
              <a16:creationId xmlns:a16="http://schemas.microsoft.com/office/drawing/2014/main" id="{00000000-0008-0000-0800-00004F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7" name="Text Box 15">
          <a:extLst>
            <a:ext uri="{FF2B5EF4-FFF2-40B4-BE49-F238E27FC236}">
              <a16:creationId xmlns:a16="http://schemas.microsoft.com/office/drawing/2014/main" id="{00000000-0008-0000-0800-000050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8" name="Text Box 15">
          <a:extLst>
            <a:ext uri="{FF2B5EF4-FFF2-40B4-BE49-F238E27FC236}">
              <a16:creationId xmlns:a16="http://schemas.microsoft.com/office/drawing/2014/main" id="{00000000-0008-0000-0800-000051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49" name="Text Box 15">
          <a:extLst>
            <a:ext uri="{FF2B5EF4-FFF2-40B4-BE49-F238E27FC236}">
              <a16:creationId xmlns:a16="http://schemas.microsoft.com/office/drawing/2014/main" id="{00000000-0008-0000-0800-000052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50" name="Text Box 15">
          <a:extLst>
            <a:ext uri="{FF2B5EF4-FFF2-40B4-BE49-F238E27FC236}">
              <a16:creationId xmlns:a16="http://schemas.microsoft.com/office/drawing/2014/main" id="{00000000-0008-0000-0800-000053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151" name="Text Box 15">
          <a:extLst>
            <a:ext uri="{FF2B5EF4-FFF2-40B4-BE49-F238E27FC236}">
              <a16:creationId xmlns:a16="http://schemas.microsoft.com/office/drawing/2014/main" id="{00000000-0008-0000-0800-0000540C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52" name="Text Box 15">
          <a:extLst>
            <a:ext uri="{FF2B5EF4-FFF2-40B4-BE49-F238E27FC236}">
              <a16:creationId xmlns:a16="http://schemas.microsoft.com/office/drawing/2014/main" id="{00000000-0008-0000-0800-000055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53" name="Text Box 15">
          <a:extLst>
            <a:ext uri="{FF2B5EF4-FFF2-40B4-BE49-F238E27FC236}">
              <a16:creationId xmlns:a16="http://schemas.microsoft.com/office/drawing/2014/main" id="{00000000-0008-0000-0800-000056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54" name="Text Box 15">
          <a:extLst>
            <a:ext uri="{FF2B5EF4-FFF2-40B4-BE49-F238E27FC236}">
              <a16:creationId xmlns:a16="http://schemas.microsoft.com/office/drawing/2014/main" id="{00000000-0008-0000-0800-000057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55" name="Text Box 15">
          <a:extLst>
            <a:ext uri="{FF2B5EF4-FFF2-40B4-BE49-F238E27FC236}">
              <a16:creationId xmlns:a16="http://schemas.microsoft.com/office/drawing/2014/main" id="{00000000-0008-0000-0800-000058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156" name="Text Box 15">
          <a:extLst>
            <a:ext uri="{FF2B5EF4-FFF2-40B4-BE49-F238E27FC236}">
              <a16:creationId xmlns:a16="http://schemas.microsoft.com/office/drawing/2014/main" id="{00000000-0008-0000-0800-0000590C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57" name="Text Box 15">
          <a:extLst>
            <a:ext uri="{FF2B5EF4-FFF2-40B4-BE49-F238E27FC236}">
              <a16:creationId xmlns:a16="http://schemas.microsoft.com/office/drawing/2014/main" id="{00000000-0008-0000-0800-00005A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58" name="Text Box 15">
          <a:extLst>
            <a:ext uri="{FF2B5EF4-FFF2-40B4-BE49-F238E27FC236}">
              <a16:creationId xmlns:a16="http://schemas.microsoft.com/office/drawing/2014/main" id="{00000000-0008-0000-0800-00005B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59" name="Text Box 15">
          <a:extLst>
            <a:ext uri="{FF2B5EF4-FFF2-40B4-BE49-F238E27FC236}">
              <a16:creationId xmlns:a16="http://schemas.microsoft.com/office/drawing/2014/main" id="{00000000-0008-0000-0800-00005C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60" name="Text Box 15">
          <a:extLst>
            <a:ext uri="{FF2B5EF4-FFF2-40B4-BE49-F238E27FC236}">
              <a16:creationId xmlns:a16="http://schemas.microsoft.com/office/drawing/2014/main" id="{00000000-0008-0000-0800-00005D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61" name="Text Box 15">
          <a:extLst>
            <a:ext uri="{FF2B5EF4-FFF2-40B4-BE49-F238E27FC236}">
              <a16:creationId xmlns:a16="http://schemas.microsoft.com/office/drawing/2014/main" id="{00000000-0008-0000-0800-00005E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62" name="Text Box 15">
          <a:extLst>
            <a:ext uri="{FF2B5EF4-FFF2-40B4-BE49-F238E27FC236}">
              <a16:creationId xmlns:a16="http://schemas.microsoft.com/office/drawing/2014/main" id="{00000000-0008-0000-0800-00005F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63" name="Text Box 15">
          <a:extLst>
            <a:ext uri="{FF2B5EF4-FFF2-40B4-BE49-F238E27FC236}">
              <a16:creationId xmlns:a16="http://schemas.microsoft.com/office/drawing/2014/main" id="{00000000-0008-0000-0800-000060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64" name="Text Box 15">
          <a:extLst>
            <a:ext uri="{FF2B5EF4-FFF2-40B4-BE49-F238E27FC236}">
              <a16:creationId xmlns:a16="http://schemas.microsoft.com/office/drawing/2014/main" id="{00000000-0008-0000-0800-000061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65" name="Text Box 15">
          <a:extLst>
            <a:ext uri="{FF2B5EF4-FFF2-40B4-BE49-F238E27FC236}">
              <a16:creationId xmlns:a16="http://schemas.microsoft.com/office/drawing/2014/main" id="{00000000-0008-0000-0800-000062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66" name="Text Box 15">
          <a:extLst>
            <a:ext uri="{FF2B5EF4-FFF2-40B4-BE49-F238E27FC236}">
              <a16:creationId xmlns:a16="http://schemas.microsoft.com/office/drawing/2014/main" id="{00000000-0008-0000-0800-000063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67" name="Text Box 15">
          <a:extLst>
            <a:ext uri="{FF2B5EF4-FFF2-40B4-BE49-F238E27FC236}">
              <a16:creationId xmlns:a16="http://schemas.microsoft.com/office/drawing/2014/main" id="{00000000-0008-0000-0800-000064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68" name="Text Box 15">
          <a:extLst>
            <a:ext uri="{FF2B5EF4-FFF2-40B4-BE49-F238E27FC236}">
              <a16:creationId xmlns:a16="http://schemas.microsoft.com/office/drawing/2014/main" id="{00000000-0008-0000-0800-000065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69" name="Text Box 15">
          <a:extLst>
            <a:ext uri="{FF2B5EF4-FFF2-40B4-BE49-F238E27FC236}">
              <a16:creationId xmlns:a16="http://schemas.microsoft.com/office/drawing/2014/main" id="{00000000-0008-0000-0800-000066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70" name="Text Box 15">
          <a:extLst>
            <a:ext uri="{FF2B5EF4-FFF2-40B4-BE49-F238E27FC236}">
              <a16:creationId xmlns:a16="http://schemas.microsoft.com/office/drawing/2014/main" id="{00000000-0008-0000-0800-000067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71" name="Text Box 15">
          <a:extLst>
            <a:ext uri="{FF2B5EF4-FFF2-40B4-BE49-F238E27FC236}">
              <a16:creationId xmlns:a16="http://schemas.microsoft.com/office/drawing/2014/main" id="{00000000-0008-0000-0800-000068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72" name="Text Box 15">
          <a:extLst>
            <a:ext uri="{FF2B5EF4-FFF2-40B4-BE49-F238E27FC236}">
              <a16:creationId xmlns:a16="http://schemas.microsoft.com/office/drawing/2014/main" id="{00000000-0008-0000-0800-000069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3" name="Text Box 15">
          <a:extLst>
            <a:ext uri="{FF2B5EF4-FFF2-40B4-BE49-F238E27FC236}">
              <a16:creationId xmlns:a16="http://schemas.microsoft.com/office/drawing/2014/main" id="{00000000-0008-0000-0800-00006A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4" name="Text Box 15">
          <a:extLst>
            <a:ext uri="{FF2B5EF4-FFF2-40B4-BE49-F238E27FC236}">
              <a16:creationId xmlns:a16="http://schemas.microsoft.com/office/drawing/2014/main" id="{00000000-0008-0000-0800-00006B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5" name="Text Box 15">
          <a:extLst>
            <a:ext uri="{FF2B5EF4-FFF2-40B4-BE49-F238E27FC236}">
              <a16:creationId xmlns:a16="http://schemas.microsoft.com/office/drawing/2014/main" id="{00000000-0008-0000-0800-00006C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6" name="Text Box 15">
          <a:extLst>
            <a:ext uri="{FF2B5EF4-FFF2-40B4-BE49-F238E27FC236}">
              <a16:creationId xmlns:a16="http://schemas.microsoft.com/office/drawing/2014/main" id="{00000000-0008-0000-0800-00006D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7" name="Text Box 15">
          <a:extLst>
            <a:ext uri="{FF2B5EF4-FFF2-40B4-BE49-F238E27FC236}">
              <a16:creationId xmlns:a16="http://schemas.microsoft.com/office/drawing/2014/main" id="{00000000-0008-0000-0800-00006E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8" name="Text Box 15">
          <a:extLst>
            <a:ext uri="{FF2B5EF4-FFF2-40B4-BE49-F238E27FC236}">
              <a16:creationId xmlns:a16="http://schemas.microsoft.com/office/drawing/2014/main" id="{00000000-0008-0000-0800-00006F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79" name="Text Box 15">
          <a:extLst>
            <a:ext uri="{FF2B5EF4-FFF2-40B4-BE49-F238E27FC236}">
              <a16:creationId xmlns:a16="http://schemas.microsoft.com/office/drawing/2014/main" id="{00000000-0008-0000-0800-000070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180" name="Text Box 15">
          <a:extLst>
            <a:ext uri="{FF2B5EF4-FFF2-40B4-BE49-F238E27FC236}">
              <a16:creationId xmlns:a16="http://schemas.microsoft.com/office/drawing/2014/main" id="{00000000-0008-0000-0800-000071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1" name="Text Box 15">
          <a:extLst>
            <a:ext uri="{FF2B5EF4-FFF2-40B4-BE49-F238E27FC236}">
              <a16:creationId xmlns:a16="http://schemas.microsoft.com/office/drawing/2014/main" id="{00000000-0008-0000-0800-000072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2" name="Text Box 15">
          <a:extLst>
            <a:ext uri="{FF2B5EF4-FFF2-40B4-BE49-F238E27FC236}">
              <a16:creationId xmlns:a16="http://schemas.microsoft.com/office/drawing/2014/main" id="{00000000-0008-0000-0800-000073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3" name="Text Box 15">
          <a:extLst>
            <a:ext uri="{FF2B5EF4-FFF2-40B4-BE49-F238E27FC236}">
              <a16:creationId xmlns:a16="http://schemas.microsoft.com/office/drawing/2014/main" id="{00000000-0008-0000-0800-000074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4" name="Text Box 15">
          <a:extLst>
            <a:ext uri="{FF2B5EF4-FFF2-40B4-BE49-F238E27FC236}">
              <a16:creationId xmlns:a16="http://schemas.microsoft.com/office/drawing/2014/main" id="{00000000-0008-0000-0800-000075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5" name="Text Box 15">
          <a:extLst>
            <a:ext uri="{FF2B5EF4-FFF2-40B4-BE49-F238E27FC236}">
              <a16:creationId xmlns:a16="http://schemas.microsoft.com/office/drawing/2014/main" id="{00000000-0008-0000-0800-000076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6" name="Text Box 15">
          <a:extLst>
            <a:ext uri="{FF2B5EF4-FFF2-40B4-BE49-F238E27FC236}">
              <a16:creationId xmlns:a16="http://schemas.microsoft.com/office/drawing/2014/main" id="{00000000-0008-0000-0800-000077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7" name="Text Box 15">
          <a:extLst>
            <a:ext uri="{FF2B5EF4-FFF2-40B4-BE49-F238E27FC236}">
              <a16:creationId xmlns:a16="http://schemas.microsoft.com/office/drawing/2014/main" id="{00000000-0008-0000-0800-000078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188" name="Text Box 15">
          <a:extLst>
            <a:ext uri="{FF2B5EF4-FFF2-40B4-BE49-F238E27FC236}">
              <a16:creationId xmlns:a16="http://schemas.microsoft.com/office/drawing/2014/main" id="{00000000-0008-0000-0800-000079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89" name="Text Box 15">
          <a:extLst>
            <a:ext uri="{FF2B5EF4-FFF2-40B4-BE49-F238E27FC236}">
              <a16:creationId xmlns:a16="http://schemas.microsoft.com/office/drawing/2014/main" id="{00000000-0008-0000-0800-00007A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0" name="Text Box 15">
          <a:extLst>
            <a:ext uri="{FF2B5EF4-FFF2-40B4-BE49-F238E27FC236}">
              <a16:creationId xmlns:a16="http://schemas.microsoft.com/office/drawing/2014/main" id="{00000000-0008-0000-0800-00007B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1" name="Text Box 15">
          <a:extLst>
            <a:ext uri="{FF2B5EF4-FFF2-40B4-BE49-F238E27FC236}">
              <a16:creationId xmlns:a16="http://schemas.microsoft.com/office/drawing/2014/main" id="{00000000-0008-0000-0800-00007C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2" name="Text Box 15">
          <a:extLst>
            <a:ext uri="{FF2B5EF4-FFF2-40B4-BE49-F238E27FC236}">
              <a16:creationId xmlns:a16="http://schemas.microsoft.com/office/drawing/2014/main" id="{00000000-0008-0000-0800-00007D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3" name="Text Box 15">
          <a:extLst>
            <a:ext uri="{FF2B5EF4-FFF2-40B4-BE49-F238E27FC236}">
              <a16:creationId xmlns:a16="http://schemas.microsoft.com/office/drawing/2014/main" id="{00000000-0008-0000-0800-00007E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4" name="Text Box 15">
          <a:extLst>
            <a:ext uri="{FF2B5EF4-FFF2-40B4-BE49-F238E27FC236}">
              <a16:creationId xmlns:a16="http://schemas.microsoft.com/office/drawing/2014/main" id="{00000000-0008-0000-0800-00007F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5" name="Text Box 15">
          <a:extLst>
            <a:ext uri="{FF2B5EF4-FFF2-40B4-BE49-F238E27FC236}">
              <a16:creationId xmlns:a16="http://schemas.microsoft.com/office/drawing/2014/main" id="{00000000-0008-0000-0800-000080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196" name="Text Box 15">
          <a:extLst>
            <a:ext uri="{FF2B5EF4-FFF2-40B4-BE49-F238E27FC236}">
              <a16:creationId xmlns:a16="http://schemas.microsoft.com/office/drawing/2014/main" id="{00000000-0008-0000-0800-0000810C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97" name="Text Box 15">
          <a:extLst>
            <a:ext uri="{FF2B5EF4-FFF2-40B4-BE49-F238E27FC236}">
              <a16:creationId xmlns:a16="http://schemas.microsoft.com/office/drawing/2014/main" id="{00000000-0008-0000-0800-000082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98" name="Text Box 15">
          <a:extLst>
            <a:ext uri="{FF2B5EF4-FFF2-40B4-BE49-F238E27FC236}">
              <a16:creationId xmlns:a16="http://schemas.microsoft.com/office/drawing/2014/main" id="{00000000-0008-0000-0800-000083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199" name="Text Box 15">
          <a:extLst>
            <a:ext uri="{FF2B5EF4-FFF2-40B4-BE49-F238E27FC236}">
              <a16:creationId xmlns:a16="http://schemas.microsoft.com/office/drawing/2014/main" id="{00000000-0008-0000-0800-000084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200" name="Text Box 15">
          <a:extLst>
            <a:ext uri="{FF2B5EF4-FFF2-40B4-BE49-F238E27FC236}">
              <a16:creationId xmlns:a16="http://schemas.microsoft.com/office/drawing/2014/main" id="{00000000-0008-0000-0800-000085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201" name="Text Box 15">
          <a:extLst>
            <a:ext uri="{FF2B5EF4-FFF2-40B4-BE49-F238E27FC236}">
              <a16:creationId xmlns:a16="http://schemas.microsoft.com/office/drawing/2014/main" id="{00000000-0008-0000-0800-000086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202" name="Text Box 15">
          <a:extLst>
            <a:ext uri="{FF2B5EF4-FFF2-40B4-BE49-F238E27FC236}">
              <a16:creationId xmlns:a16="http://schemas.microsoft.com/office/drawing/2014/main" id="{00000000-0008-0000-0800-000087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203" name="Text Box 15">
          <a:extLst>
            <a:ext uri="{FF2B5EF4-FFF2-40B4-BE49-F238E27FC236}">
              <a16:creationId xmlns:a16="http://schemas.microsoft.com/office/drawing/2014/main" id="{00000000-0008-0000-0800-0000880C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4" name="Text Box 15">
          <a:extLst>
            <a:ext uri="{FF2B5EF4-FFF2-40B4-BE49-F238E27FC236}">
              <a16:creationId xmlns:a16="http://schemas.microsoft.com/office/drawing/2014/main" id="{00000000-0008-0000-0800-000089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5" name="Text Box 15">
          <a:extLst>
            <a:ext uri="{FF2B5EF4-FFF2-40B4-BE49-F238E27FC236}">
              <a16:creationId xmlns:a16="http://schemas.microsoft.com/office/drawing/2014/main" id="{00000000-0008-0000-0800-00008A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6" name="Text Box 15">
          <a:extLst>
            <a:ext uri="{FF2B5EF4-FFF2-40B4-BE49-F238E27FC236}">
              <a16:creationId xmlns:a16="http://schemas.microsoft.com/office/drawing/2014/main" id="{00000000-0008-0000-0800-00008B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7" name="Text Box 15">
          <a:extLst>
            <a:ext uri="{FF2B5EF4-FFF2-40B4-BE49-F238E27FC236}">
              <a16:creationId xmlns:a16="http://schemas.microsoft.com/office/drawing/2014/main" id="{00000000-0008-0000-0800-00008C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8" name="Text Box 15">
          <a:extLst>
            <a:ext uri="{FF2B5EF4-FFF2-40B4-BE49-F238E27FC236}">
              <a16:creationId xmlns:a16="http://schemas.microsoft.com/office/drawing/2014/main" id="{00000000-0008-0000-0800-00008D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09" name="Text Box 15">
          <a:extLst>
            <a:ext uri="{FF2B5EF4-FFF2-40B4-BE49-F238E27FC236}">
              <a16:creationId xmlns:a16="http://schemas.microsoft.com/office/drawing/2014/main" id="{00000000-0008-0000-0800-00008E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10" name="Text Box 15">
          <a:extLst>
            <a:ext uri="{FF2B5EF4-FFF2-40B4-BE49-F238E27FC236}">
              <a16:creationId xmlns:a16="http://schemas.microsoft.com/office/drawing/2014/main" id="{00000000-0008-0000-0800-00008F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211" name="Text Box 15">
          <a:extLst>
            <a:ext uri="{FF2B5EF4-FFF2-40B4-BE49-F238E27FC236}">
              <a16:creationId xmlns:a16="http://schemas.microsoft.com/office/drawing/2014/main" id="{00000000-0008-0000-0800-0000900C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2" name="Text Box 15">
          <a:extLst>
            <a:ext uri="{FF2B5EF4-FFF2-40B4-BE49-F238E27FC236}">
              <a16:creationId xmlns:a16="http://schemas.microsoft.com/office/drawing/2014/main" id="{00000000-0008-0000-0800-000091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3" name="Text Box 15">
          <a:extLst>
            <a:ext uri="{FF2B5EF4-FFF2-40B4-BE49-F238E27FC236}">
              <a16:creationId xmlns:a16="http://schemas.microsoft.com/office/drawing/2014/main" id="{00000000-0008-0000-0800-000092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4" name="Text Box 15">
          <a:extLst>
            <a:ext uri="{FF2B5EF4-FFF2-40B4-BE49-F238E27FC236}">
              <a16:creationId xmlns:a16="http://schemas.microsoft.com/office/drawing/2014/main" id="{00000000-0008-0000-0800-000093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5" name="Text Box 15">
          <a:extLst>
            <a:ext uri="{FF2B5EF4-FFF2-40B4-BE49-F238E27FC236}">
              <a16:creationId xmlns:a16="http://schemas.microsoft.com/office/drawing/2014/main" id="{00000000-0008-0000-0800-000094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6" name="Text Box 15">
          <a:extLst>
            <a:ext uri="{FF2B5EF4-FFF2-40B4-BE49-F238E27FC236}">
              <a16:creationId xmlns:a16="http://schemas.microsoft.com/office/drawing/2014/main" id="{00000000-0008-0000-0800-000095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7" name="Text Box 15">
          <a:extLst>
            <a:ext uri="{FF2B5EF4-FFF2-40B4-BE49-F238E27FC236}">
              <a16:creationId xmlns:a16="http://schemas.microsoft.com/office/drawing/2014/main" id="{00000000-0008-0000-0800-000096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8" name="Text Box 15">
          <a:extLst>
            <a:ext uri="{FF2B5EF4-FFF2-40B4-BE49-F238E27FC236}">
              <a16:creationId xmlns:a16="http://schemas.microsoft.com/office/drawing/2014/main" id="{00000000-0008-0000-0800-000097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219" name="Text Box 15">
          <a:extLst>
            <a:ext uri="{FF2B5EF4-FFF2-40B4-BE49-F238E27FC236}">
              <a16:creationId xmlns:a16="http://schemas.microsoft.com/office/drawing/2014/main" id="{00000000-0008-0000-0800-0000980C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0" name="Text Box 15">
          <a:extLst>
            <a:ext uri="{FF2B5EF4-FFF2-40B4-BE49-F238E27FC236}">
              <a16:creationId xmlns:a16="http://schemas.microsoft.com/office/drawing/2014/main" id="{00000000-0008-0000-0800-000099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1" name="Text Box 15">
          <a:extLst>
            <a:ext uri="{FF2B5EF4-FFF2-40B4-BE49-F238E27FC236}">
              <a16:creationId xmlns:a16="http://schemas.microsoft.com/office/drawing/2014/main" id="{00000000-0008-0000-0800-00009A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2" name="Text Box 15">
          <a:extLst>
            <a:ext uri="{FF2B5EF4-FFF2-40B4-BE49-F238E27FC236}">
              <a16:creationId xmlns:a16="http://schemas.microsoft.com/office/drawing/2014/main" id="{00000000-0008-0000-0800-00009B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3" name="Text Box 15">
          <a:extLst>
            <a:ext uri="{FF2B5EF4-FFF2-40B4-BE49-F238E27FC236}">
              <a16:creationId xmlns:a16="http://schemas.microsoft.com/office/drawing/2014/main" id="{00000000-0008-0000-0800-00009C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4" name="Text Box 15">
          <a:extLst>
            <a:ext uri="{FF2B5EF4-FFF2-40B4-BE49-F238E27FC236}">
              <a16:creationId xmlns:a16="http://schemas.microsoft.com/office/drawing/2014/main" id="{00000000-0008-0000-0800-00009D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5" name="Text Box 15">
          <a:extLst>
            <a:ext uri="{FF2B5EF4-FFF2-40B4-BE49-F238E27FC236}">
              <a16:creationId xmlns:a16="http://schemas.microsoft.com/office/drawing/2014/main" id="{00000000-0008-0000-0800-00009E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6" name="Text Box 15">
          <a:extLst>
            <a:ext uri="{FF2B5EF4-FFF2-40B4-BE49-F238E27FC236}">
              <a16:creationId xmlns:a16="http://schemas.microsoft.com/office/drawing/2014/main" id="{00000000-0008-0000-0800-00009F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27" name="Text Box 15">
          <a:extLst>
            <a:ext uri="{FF2B5EF4-FFF2-40B4-BE49-F238E27FC236}">
              <a16:creationId xmlns:a16="http://schemas.microsoft.com/office/drawing/2014/main" id="{00000000-0008-0000-0800-0000A0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28" name="Text Box 15">
          <a:extLst>
            <a:ext uri="{FF2B5EF4-FFF2-40B4-BE49-F238E27FC236}">
              <a16:creationId xmlns:a16="http://schemas.microsoft.com/office/drawing/2014/main" id="{00000000-0008-0000-0800-0000A1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29" name="Text Box 15">
          <a:extLst>
            <a:ext uri="{FF2B5EF4-FFF2-40B4-BE49-F238E27FC236}">
              <a16:creationId xmlns:a16="http://schemas.microsoft.com/office/drawing/2014/main" id="{00000000-0008-0000-0800-0000A2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0" name="Text Box 15">
          <a:extLst>
            <a:ext uri="{FF2B5EF4-FFF2-40B4-BE49-F238E27FC236}">
              <a16:creationId xmlns:a16="http://schemas.microsoft.com/office/drawing/2014/main" id="{00000000-0008-0000-0800-0000A3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1" name="Text Box 15">
          <a:extLst>
            <a:ext uri="{FF2B5EF4-FFF2-40B4-BE49-F238E27FC236}">
              <a16:creationId xmlns:a16="http://schemas.microsoft.com/office/drawing/2014/main" id="{00000000-0008-0000-0800-0000A4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2" name="Text Box 15">
          <a:extLst>
            <a:ext uri="{FF2B5EF4-FFF2-40B4-BE49-F238E27FC236}">
              <a16:creationId xmlns:a16="http://schemas.microsoft.com/office/drawing/2014/main" id="{00000000-0008-0000-0800-0000A5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3" name="Text Box 15">
          <a:extLst>
            <a:ext uri="{FF2B5EF4-FFF2-40B4-BE49-F238E27FC236}">
              <a16:creationId xmlns:a16="http://schemas.microsoft.com/office/drawing/2014/main" id="{00000000-0008-0000-0800-0000A6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4" name="Text Box 15">
          <a:extLst>
            <a:ext uri="{FF2B5EF4-FFF2-40B4-BE49-F238E27FC236}">
              <a16:creationId xmlns:a16="http://schemas.microsoft.com/office/drawing/2014/main" id="{00000000-0008-0000-0800-0000A7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35" name="Text Box 15">
          <a:extLst>
            <a:ext uri="{FF2B5EF4-FFF2-40B4-BE49-F238E27FC236}">
              <a16:creationId xmlns:a16="http://schemas.microsoft.com/office/drawing/2014/main" id="{00000000-0008-0000-0800-0000A8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36" name="Text Box 15">
          <a:extLst>
            <a:ext uri="{FF2B5EF4-FFF2-40B4-BE49-F238E27FC236}">
              <a16:creationId xmlns:a16="http://schemas.microsoft.com/office/drawing/2014/main" id="{00000000-0008-0000-0800-0000A9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37" name="Text Box 15">
          <a:extLst>
            <a:ext uri="{FF2B5EF4-FFF2-40B4-BE49-F238E27FC236}">
              <a16:creationId xmlns:a16="http://schemas.microsoft.com/office/drawing/2014/main" id="{00000000-0008-0000-0800-0000AA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38" name="Text Box 15">
          <a:extLst>
            <a:ext uri="{FF2B5EF4-FFF2-40B4-BE49-F238E27FC236}">
              <a16:creationId xmlns:a16="http://schemas.microsoft.com/office/drawing/2014/main" id="{00000000-0008-0000-0800-0000AB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39" name="Text Box 15">
          <a:extLst>
            <a:ext uri="{FF2B5EF4-FFF2-40B4-BE49-F238E27FC236}">
              <a16:creationId xmlns:a16="http://schemas.microsoft.com/office/drawing/2014/main" id="{00000000-0008-0000-0800-0000AC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40" name="Text Box 15">
          <a:extLst>
            <a:ext uri="{FF2B5EF4-FFF2-40B4-BE49-F238E27FC236}">
              <a16:creationId xmlns:a16="http://schemas.microsoft.com/office/drawing/2014/main" id="{00000000-0008-0000-0800-0000AD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41" name="Text Box 15">
          <a:extLst>
            <a:ext uri="{FF2B5EF4-FFF2-40B4-BE49-F238E27FC236}">
              <a16:creationId xmlns:a16="http://schemas.microsoft.com/office/drawing/2014/main" id="{00000000-0008-0000-0800-0000AE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42" name="Text Box 15">
          <a:extLst>
            <a:ext uri="{FF2B5EF4-FFF2-40B4-BE49-F238E27FC236}">
              <a16:creationId xmlns:a16="http://schemas.microsoft.com/office/drawing/2014/main" id="{00000000-0008-0000-0800-0000AF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43" name="Text Box 15">
          <a:extLst>
            <a:ext uri="{FF2B5EF4-FFF2-40B4-BE49-F238E27FC236}">
              <a16:creationId xmlns:a16="http://schemas.microsoft.com/office/drawing/2014/main" id="{00000000-0008-0000-0800-0000B0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4" name="Text Box 15">
          <a:extLst>
            <a:ext uri="{FF2B5EF4-FFF2-40B4-BE49-F238E27FC236}">
              <a16:creationId xmlns:a16="http://schemas.microsoft.com/office/drawing/2014/main" id="{00000000-0008-0000-0800-0000B1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5" name="Text Box 15">
          <a:extLst>
            <a:ext uri="{FF2B5EF4-FFF2-40B4-BE49-F238E27FC236}">
              <a16:creationId xmlns:a16="http://schemas.microsoft.com/office/drawing/2014/main" id="{00000000-0008-0000-0800-0000B2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6" name="Text Box 15">
          <a:extLst>
            <a:ext uri="{FF2B5EF4-FFF2-40B4-BE49-F238E27FC236}">
              <a16:creationId xmlns:a16="http://schemas.microsoft.com/office/drawing/2014/main" id="{00000000-0008-0000-0800-0000B3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7" name="Text Box 15">
          <a:extLst>
            <a:ext uri="{FF2B5EF4-FFF2-40B4-BE49-F238E27FC236}">
              <a16:creationId xmlns:a16="http://schemas.microsoft.com/office/drawing/2014/main" id="{00000000-0008-0000-0800-0000B4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8" name="Text Box 15">
          <a:extLst>
            <a:ext uri="{FF2B5EF4-FFF2-40B4-BE49-F238E27FC236}">
              <a16:creationId xmlns:a16="http://schemas.microsoft.com/office/drawing/2014/main" id="{00000000-0008-0000-0800-0000B5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49" name="Text Box 15">
          <a:extLst>
            <a:ext uri="{FF2B5EF4-FFF2-40B4-BE49-F238E27FC236}">
              <a16:creationId xmlns:a16="http://schemas.microsoft.com/office/drawing/2014/main" id="{00000000-0008-0000-0800-0000B6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50" name="Text Box 15">
          <a:extLst>
            <a:ext uri="{FF2B5EF4-FFF2-40B4-BE49-F238E27FC236}">
              <a16:creationId xmlns:a16="http://schemas.microsoft.com/office/drawing/2014/main" id="{00000000-0008-0000-0800-0000B7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51" name="Text Box 15">
          <a:extLst>
            <a:ext uri="{FF2B5EF4-FFF2-40B4-BE49-F238E27FC236}">
              <a16:creationId xmlns:a16="http://schemas.microsoft.com/office/drawing/2014/main" id="{00000000-0008-0000-0800-0000B8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2" name="Text Box 15">
          <a:extLst>
            <a:ext uri="{FF2B5EF4-FFF2-40B4-BE49-F238E27FC236}">
              <a16:creationId xmlns:a16="http://schemas.microsoft.com/office/drawing/2014/main" id="{00000000-0008-0000-0800-0000B9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3" name="Text Box 15">
          <a:extLst>
            <a:ext uri="{FF2B5EF4-FFF2-40B4-BE49-F238E27FC236}">
              <a16:creationId xmlns:a16="http://schemas.microsoft.com/office/drawing/2014/main" id="{00000000-0008-0000-0800-0000BA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4" name="Text Box 15">
          <a:extLst>
            <a:ext uri="{FF2B5EF4-FFF2-40B4-BE49-F238E27FC236}">
              <a16:creationId xmlns:a16="http://schemas.microsoft.com/office/drawing/2014/main" id="{00000000-0008-0000-0800-0000BB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5" name="Text Box 15">
          <a:extLst>
            <a:ext uri="{FF2B5EF4-FFF2-40B4-BE49-F238E27FC236}">
              <a16:creationId xmlns:a16="http://schemas.microsoft.com/office/drawing/2014/main" id="{00000000-0008-0000-0800-0000BC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6" name="Text Box 15">
          <a:extLst>
            <a:ext uri="{FF2B5EF4-FFF2-40B4-BE49-F238E27FC236}">
              <a16:creationId xmlns:a16="http://schemas.microsoft.com/office/drawing/2014/main" id="{00000000-0008-0000-0800-0000BD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7" name="Text Box 15">
          <a:extLst>
            <a:ext uri="{FF2B5EF4-FFF2-40B4-BE49-F238E27FC236}">
              <a16:creationId xmlns:a16="http://schemas.microsoft.com/office/drawing/2014/main" id="{00000000-0008-0000-0800-0000BE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8" name="Text Box 15">
          <a:extLst>
            <a:ext uri="{FF2B5EF4-FFF2-40B4-BE49-F238E27FC236}">
              <a16:creationId xmlns:a16="http://schemas.microsoft.com/office/drawing/2014/main" id="{00000000-0008-0000-0800-0000BF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59" name="Text Box 15">
          <a:extLst>
            <a:ext uri="{FF2B5EF4-FFF2-40B4-BE49-F238E27FC236}">
              <a16:creationId xmlns:a16="http://schemas.microsoft.com/office/drawing/2014/main" id="{00000000-0008-0000-0800-0000C0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0" name="Text Box 15">
          <a:extLst>
            <a:ext uri="{FF2B5EF4-FFF2-40B4-BE49-F238E27FC236}">
              <a16:creationId xmlns:a16="http://schemas.microsoft.com/office/drawing/2014/main" id="{00000000-0008-0000-0800-0000C1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1" name="Text Box 15">
          <a:extLst>
            <a:ext uri="{FF2B5EF4-FFF2-40B4-BE49-F238E27FC236}">
              <a16:creationId xmlns:a16="http://schemas.microsoft.com/office/drawing/2014/main" id="{00000000-0008-0000-0800-0000C2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2" name="Text Box 15">
          <a:extLst>
            <a:ext uri="{FF2B5EF4-FFF2-40B4-BE49-F238E27FC236}">
              <a16:creationId xmlns:a16="http://schemas.microsoft.com/office/drawing/2014/main" id="{00000000-0008-0000-0800-0000C3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3" name="Text Box 15">
          <a:extLst>
            <a:ext uri="{FF2B5EF4-FFF2-40B4-BE49-F238E27FC236}">
              <a16:creationId xmlns:a16="http://schemas.microsoft.com/office/drawing/2014/main" id="{00000000-0008-0000-0800-0000C4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4" name="Text Box 15">
          <a:extLst>
            <a:ext uri="{FF2B5EF4-FFF2-40B4-BE49-F238E27FC236}">
              <a16:creationId xmlns:a16="http://schemas.microsoft.com/office/drawing/2014/main" id="{00000000-0008-0000-0800-0000C5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5" name="Text Box 15">
          <a:extLst>
            <a:ext uri="{FF2B5EF4-FFF2-40B4-BE49-F238E27FC236}">
              <a16:creationId xmlns:a16="http://schemas.microsoft.com/office/drawing/2014/main" id="{00000000-0008-0000-0800-0000C6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6" name="Text Box 15">
          <a:extLst>
            <a:ext uri="{FF2B5EF4-FFF2-40B4-BE49-F238E27FC236}">
              <a16:creationId xmlns:a16="http://schemas.microsoft.com/office/drawing/2014/main" id="{00000000-0008-0000-0800-0000C7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67" name="Text Box 15">
          <a:extLst>
            <a:ext uri="{FF2B5EF4-FFF2-40B4-BE49-F238E27FC236}">
              <a16:creationId xmlns:a16="http://schemas.microsoft.com/office/drawing/2014/main" id="{00000000-0008-0000-0800-0000C8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68" name="Text Box 15">
          <a:extLst>
            <a:ext uri="{FF2B5EF4-FFF2-40B4-BE49-F238E27FC236}">
              <a16:creationId xmlns:a16="http://schemas.microsoft.com/office/drawing/2014/main" id="{00000000-0008-0000-0800-0000C9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69" name="Text Box 15">
          <a:extLst>
            <a:ext uri="{FF2B5EF4-FFF2-40B4-BE49-F238E27FC236}">
              <a16:creationId xmlns:a16="http://schemas.microsoft.com/office/drawing/2014/main" id="{00000000-0008-0000-0800-0000CA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0" name="Text Box 15">
          <a:extLst>
            <a:ext uri="{FF2B5EF4-FFF2-40B4-BE49-F238E27FC236}">
              <a16:creationId xmlns:a16="http://schemas.microsoft.com/office/drawing/2014/main" id="{00000000-0008-0000-0800-0000CB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1" name="Text Box 15">
          <a:extLst>
            <a:ext uri="{FF2B5EF4-FFF2-40B4-BE49-F238E27FC236}">
              <a16:creationId xmlns:a16="http://schemas.microsoft.com/office/drawing/2014/main" id="{00000000-0008-0000-0800-0000CC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2" name="Text Box 15">
          <a:extLst>
            <a:ext uri="{FF2B5EF4-FFF2-40B4-BE49-F238E27FC236}">
              <a16:creationId xmlns:a16="http://schemas.microsoft.com/office/drawing/2014/main" id="{00000000-0008-0000-0800-0000CD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3" name="Text Box 15">
          <a:extLst>
            <a:ext uri="{FF2B5EF4-FFF2-40B4-BE49-F238E27FC236}">
              <a16:creationId xmlns:a16="http://schemas.microsoft.com/office/drawing/2014/main" id="{00000000-0008-0000-0800-0000CE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4" name="Text Box 15">
          <a:extLst>
            <a:ext uri="{FF2B5EF4-FFF2-40B4-BE49-F238E27FC236}">
              <a16:creationId xmlns:a16="http://schemas.microsoft.com/office/drawing/2014/main" id="{00000000-0008-0000-0800-0000CF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275" name="Text Box 15">
          <a:extLst>
            <a:ext uri="{FF2B5EF4-FFF2-40B4-BE49-F238E27FC236}">
              <a16:creationId xmlns:a16="http://schemas.microsoft.com/office/drawing/2014/main" id="{00000000-0008-0000-0800-0000D00C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76" name="Text Box 15">
          <a:extLst>
            <a:ext uri="{FF2B5EF4-FFF2-40B4-BE49-F238E27FC236}">
              <a16:creationId xmlns:a16="http://schemas.microsoft.com/office/drawing/2014/main" id="{00000000-0008-0000-0800-0000D1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77" name="Text Box 15">
          <a:extLst>
            <a:ext uri="{FF2B5EF4-FFF2-40B4-BE49-F238E27FC236}">
              <a16:creationId xmlns:a16="http://schemas.microsoft.com/office/drawing/2014/main" id="{00000000-0008-0000-0800-0000D2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78" name="Text Box 15">
          <a:extLst>
            <a:ext uri="{FF2B5EF4-FFF2-40B4-BE49-F238E27FC236}">
              <a16:creationId xmlns:a16="http://schemas.microsoft.com/office/drawing/2014/main" id="{00000000-0008-0000-0800-0000D3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79" name="Text Box 15">
          <a:extLst>
            <a:ext uri="{FF2B5EF4-FFF2-40B4-BE49-F238E27FC236}">
              <a16:creationId xmlns:a16="http://schemas.microsoft.com/office/drawing/2014/main" id="{00000000-0008-0000-0800-0000D4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80" name="Text Box 15">
          <a:extLst>
            <a:ext uri="{FF2B5EF4-FFF2-40B4-BE49-F238E27FC236}">
              <a16:creationId xmlns:a16="http://schemas.microsoft.com/office/drawing/2014/main" id="{00000000-0008-0000-0800-0000D5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81" name="Text Box 15">
          <a:extLst>
            <a:ext uri="{FF2B5EF4-FFF2-40B4-BE49-F238E27FC236}">
              <a16:creationId xmlns:a16="http://schemas.microsoft.com/office/drawing/2014/main" id="{00000000-0008-0000-0800-0000D6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282" name="Text Box 15">
          <a:extLst>
            <a:ext uri="{FF2B5EF4-FFF2-40B4-BE49-F238E27FC236}">
              <a16:creationId xmlns:a16="http://schemas.microsoft.com/office/drawing/2014/main" id="{00000000-0008-0000-0800-0000D70C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3" name="Text Box 15">
          <a:extLst>
            <a:ext uri="{FF2B5EF4-FFF2-40B4-BE49-F238E27FC236}">
              <a16:creationId xmlns:a16="http://schemas.microsoft.com/office/drawing/2014/main" id="{00000000-0008-0000-0800-0000D8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4" name="Text Box 15">
          <a:extLst>
            <a:ext uri="{FF2B5EF4-FFF2-40B4-BE49-F238E27FC236}">
              <a16:creationId xmlns:a16="http://schemas.microsoft.com/office/drawing/2014/main" id="{00000000-0008-0000-0800-0000D9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5" name="Text Box 15">
          <a:extLst>
            <a:ext uri="{FF2B5EF4-FFF2-40B4-BE49-F238E27FC236}">
              <a16:creationId xmlns:a16="http://schemas.microsoft.com/office/drawing/2014/main" id="{00000000-0008-0000-0800-0000DA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6" name="Text Box 15">
          <a:extLst>
            <a:ext uri="{FF2B5EF4-FFF2-40B4-BE49-F238E27FC236}">
              <a16:creationId xmlns:a16="http://schemas.microsoft.com/office/drawing/2014/main" id="{00000000-0008-0000-0800-0000DB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7" name="Text Box 15">
          <a:extLst>
            <a:ext uri="{FF2B5EF4-FFF2-40B4-BE49-F238E27FC236}">
              <a16:creationId xmlns:a16="http://schemas.microsoft.com/office/drawing/2014/main" id="{00000000-0008-0000-0800-0000DC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8" name="Text Box 15">
          <a:extLst>
            <a:ext uri="{FF2B5EF4-FFF2-40B4-BE49-F238E27FC236}">
              <a16:creationId xmlns:a16="http://schemas.microsoft.com/office/drawing/2014/main" id="{00000000-0008-0000-0800-0000DD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89" name="Text Box 15">
          <a:extLst>
            <a:ext uri="{FF2B5EF4-FFF2-40B4-BE49-F238E27FC236}">
              <a16:creationId xmlns:a16="http://schemas.microsoft.com/office/drawing/2014/main" id="{00000000-0008-0000-0800-0000DE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90" name="Text Box 15">
          <a:extLst>
            <a:ext uri="{FF2B5EF4-FFF2-40B4-BE49-F238E27FC236}">
              <a16:creationId xmlns:a16="http://schemas.microsoft.com/office/drawing/2014/main" id="{00000000-0008-0000-0800-0000DF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1" name="Text Box 15">
          <a:extLst>
            <a:ext uri="{FF2B5EF4-FFF2-40B4-BE49-F238E27FC236}">
              <a16:creationId xmlns:a16="http://schemas.microsoft.com/office/drawing/2014/main" id="{00000000-0008-0000-0800-0000E0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2" name="Text Box 15">
          <a:extLst>
            <a:ext uri="{FF2B5EF4-FFF2-40B4-BE49-F238E27FC236}">
              <a16:creationId xmlns:a16="http://schemas.microsoft.com/office/drawing/2014/main" id="{00000000-0008-0000-0800-0000E1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3" name="Text Box 15">
          <a:extLst>
            <a:ext uri="{FF2B5EF4-FFF2-40B4-BE49-F238E27FC236}">
              <a16:creationId xmlns:a16="http://schemas.microsoft.com/office/drawing/2014/main" id="{00000000-0008-0000-0800-0000E2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4" name="Text Box 15">
          <a:extLst>
            <a:ext uri="{FF2B5EF4-FFF2-40B4-BE49-F238E27FC236}">
              <a16:creationId xmlns:a16="http://schemas.microsoft.com/office/drawing/2014/main" id="{00000000-0008-0000-0800-0000E3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5" name="Text Box 15">
          <a:extLst>
            <a:ext uri="{FF2B5EF4-FFF2-40B4-BE49-F238E27FC236}">
              <a16:creationId xmlns:a16="http://schemas.microsoft.com/office/drawing/2014/main" id="{00000000-0008-0000-0800-0000E4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6" name="Text Box 15">
          <a:extLst>
            <a:ext uri="{FF2B5EF4-FFF2-40B4-BE49-F238E27FC236}">
              <a16:creationId xmlns:a16="http://schemas.microsoft.com/office/drawing/2014/main" id="{00000000-0008-0000-0800-0000E5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7" name="Text Box 15">
          <a:extLst>
            <a:ext uri="{FF2B5EF4-FFF2-40B4-BE49-F238E27FC236}">
              <a16:creationId xmlns:a16="http://schemas.microsoft.com/office/drawing/2014/main" id="{00000000-0008-0000-0800-0000E6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298" name="Text Box 15">
          <a:extLst>
            <a:ext uri="{FF2B5EF4-FFF2-40B4-BE49-F238E27FC236}">
              <a16:creationId xmlns:a16="http://schemas.microsoft.com/office/drawing/2014/main" id="{00000000-0008-0000-0800-0000E7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299" name="Text Box 15">
          <a:extLst>
            <a:ext uri="{FF2B5EF4-FFF2-40B4-BE49-F238E27FC236}">
              <a16:creationId xmlns:a16="http://schemas.microsoft.com/office/drawing/2014/main" id="{00000000-0008-0000-0800-0000E8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0" name="Text Box 15">
          <a:extLst>
            <a:ext uri="{FF2B5EF4-FFF2-40B4-BE49-F238E27FC236}">
              <a16:creationId xmlns:a16="http://schemas.microsoft.com/office/drawing/2014/main" id="{00000000-0008-0000-0800-0000E9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1" name="Text Box 15">
          <a:extLst>
            <a:ext uri="{FF2B5EF4-FFF2-40B4-BE49-F238E27FC236}">
              <a16:creationId xmlns:a16="http://schemas.microsoft.com/office/drawing/2014/main" id="{00000000-0008-0000-0800-0000EA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2" name="Text Box 15">
          <a:extLst>
            <a:ext uri="{FF2B5EF4-FFF2-40B4-BE49-F238E27FC236}">
              <a16:creationId xmlns:a16="http://schemas.microsoft.com/office/drawing/2014/main" id="{00000000-0008-0000-0800-0000EB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3" name="Text Box 15">
          <a:extLst>
            <a:ext uri="{FF2B5EF4-FFF2-40B4-BE49-F238E27FC236}">
              <a16:creationId xmlns:a16="http://schemas.microsoft.com/office/drawing/2014/main" id="{00000000-0008-0000-0800-0000EC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4" name="Text Box 15">
          <a:extLst>
            <a:ext uri="{FF2B5EF4-FFF2-40B4-BE49-F238E27FC236}">
              <a16:creationId xmlns:a16="http://schemas.microsoft.com/office/drawing/2014/main" id="{00000000-0008-0000-0800-0000ED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5" name="Text Box 15">
          <a:extLst>
            <a:ext uri="{FF2B5EF4-FFF2-40B4-BE49-F238E27FC236}">
              <a16:creationId xmlns:a16="http://schemas.microsoft.com/office/drawing/2014/main" id="{00000000-0008-0000-0800-0000EE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06" name="Text Box 15">
          <a:extLst>
            <a:ext uri="{FF2B5EF4-FFF2-40B4-BE49-F238E27FC236}">
              <a16:creationId xmlns:a16="http://schemas.microsoft.com/office/drawing/2014/main" id="{00000000-0008-0000-0800-0000EF0C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07" name="Text Box 15">
          <a:extLst>
            <a:ext uri="{FF2B5EF4-FFF2-40B4-BE49-F238E27FC236}">
              <a16:creationId xmlns:a16="http://schemas.microsoft.com/office/drawing/2014/main" id="{00000000-0008-0000-0800-0000F0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08" name="Text Box 15">
          <a:extLst>
            <a:ext uri="{FF2B5EF4-FFF2-40B4-BE49-F238E27FC236}">
              <a16:creationId xmlns:a16="http://schemas.microsoft.com/office/drawing/2014/main" id="{00000000-0008-0000-0800-0000F1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09" name="Text Box 15">
          <a:extLst>
            <a:ext uri="{FF2B5EF4-FFF2-40B4-BE49-F238E27FC236}">
              <a16:creationId xmlns:a16="http://schemas.microsoft.com/office/drawing/2014/main" id="{00000000-0008-0000-0800-0000F2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10" name="Text Box 15">
          <a:extLst>
            <a:ext uri="{FF2B5EF4-FFF2-40B4-BE49-F238E27FC236}">
              <a16:creationId xmlns:a16="http://schemas.microsoft.com/office/drawing/2014/main" id="{00000000-0008-0000-0800-0000F3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11" name="Text Box 15">
          <a:extLst>
            <a:ext uri="{FF2B5EF4-FFF2-40B4-BE49-F238E27FC236}">
              <a16:creationId xmlns:a16="http://schemas.microsoft.com/office/drawing/2014/main" id="{00000000-0008-0000-0800-0000F4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12" name="Text Box 15">
          <a:extLst>
            <a:ext uri="{FF2B5EF4-FFF2-40B4-BE49-F238E27FC236}">
              <a16:creationId xmlns:a16="http://schemas.microsoft.com/office/drawing/2014/main" id="{00000000-0008-0000-0800-0000F5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13" name="Text Box 15">
          <a:extLst>
            <a:ext uri="{FF2B5EF4-FFF2-40B4-BE49-F238E27FC236}">
              <a16:creationId xmlns:a16="http://schemas.microsoft.com/office/drawing/2014/main" id="{00000000-0008-0000-0800-0000F6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14" name="Text Box 15">
          <a:extLst>
            <a:ext uri="{FF2B5EF4-FFF2-40B4-BE49-F238E27FC236}">
              <a16:creationId xmlns:a16="http://schemas.microsoft.com/office/drawing/2014/main" id="{00000000-0008-0000-0800-0000F70C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15" name="Text Box 15">
          <a:extLst>
            <a:ext uri="{FF2B5EF4-FFF2-40B4-BE49-F238E27FC236}">
              <a16:creationId xmlns:a16="http://schemas.microsoft.com/office/drawing/2014/main" id="{00000000-0008-0000-0800-0000F8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16" name="Text Box 15">
          <a:extLst>
            <a:ext uri="{FF2B5EF4-FFF2-40B4-BE49-F238E27FC236}">
              <a16:creationId xmlns:a16="http://schemas.microsoft.com/office/drawing/2014/main" id="{00000000-0008-0000-0800-0000F9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17" name="Text Box 15">
          <a:extLst>
            <a:ext uri="{FF2B5EF4-FFF2-40B4-BE49-F238E27FC236}">
              <a16:creationId xmlns:a16="http://schemas.microsoft.com/office/drawing/2014/main" id="{00000000-0008-0000-0800-0000FA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18" name="Text Box 15">
          <a:extLst>
            <a:ext uri="{FF2B5EF4-FFF2-40B4-BE49-F238E27FC236}">
              <a16:creationId xmlns:a16="http://schemas.microsoft.com/office/drawing/2014/main" id="{00000000-0008-0000-0800-0000FB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19" name="Text Box 15">
          <a:extLst>
            <a:ext uri="{FF2B5EF4-FFF2-40B4-BE49-F238E27FC236}">
              <a16:creationId xmlns:a16="http://schemas.microsoft.com/office/drawing/2014/main" id="{00000000-0008-0000-0800-0000FC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20" name="Text Box 15">
          <a:extLst>
            <a:ext uri="{FF2B5EF4-FFF2-40B4-BE49-F238E27FC236}">
              <a16:creationId xmlns:a16="http://schemas.microsoft.com/office/drawing/2014/main" id="{00000000-0008-0000-0800-0000FD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21" name="Text Box 15">
          <a:extLst>
            <a:ext uri="{FF2B5EF4-FFF2-40B4-BE49-F238E27FC236}">
              <a16:creationId xmlns:a16="http://schemas.microsoft.com/office/drawing/2014/main" id="{00000000-0008-0000-0800-0000FE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22" name="Text Box 15">
          <a:extLst>
            <a:ext uri="{FF2B5EF4-FFF2-40B4-BE49-F238E27FC236}">
              <a16:creationId xmlns:a16="http://schemas.microsoft.com/office/drawing/2014/main" id="{00000000-0008-0000-0800-0000FF0C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3" name="Text Box 15">
          <a:extLst>
            <a:ext uri="{FF2B5EF4-FFF2-40B4-BE49-F238E27FC236}">
              <a16:creationId xmlns:a16="http://schemas.microsoft.com/office/drawing/2014/main" id="{00000000-0008-0000-0800-000000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4" name="Text Box 15">
          <a:extLst>
            <a:ext uri="{FF2B5EF4-FFF2-40B4-BE49-F238E27FC236}">
              <a16:creationId xmlns:a16="http://schemas.microsoft.com/office/drawing/2014/main" id="{00000000-0008-0000-0800-000001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5" name="Text Box 15">
          <a:extLst>
            <a:ext uri="{FF2B5EF4-FFF2-40B4-BE49-F238E27FC236}">
              <a16:creationId xmlns:a16="http://schemas.microsoft.com/office/drawing/2014/main" id="{00000000-0008-0000-0800-000002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6" name="Text Box 15">
          <a:extLst>
            <a:ext uri="{FF2B5EF4-FFF2-40B4-BE49-F238E27FC236}">
              <a16:creationId xmlns:a16="http://schemas.microsoft.com/office/drawing/2014/main" id="{00000000-0008-0000-0800-000003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7" name="Text Box 15">
          <a:extLst>
            <a:ext uri="{FF2B5EF4-FFF2-40B4-BE49-F238E27FC236}">
              <a16:creationId xmlns:a16="http://schemas.microsoft.com/office/drawing/2014/main" id="{00000000-0008-0000-0800-000004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8" name="Text Box 15">
          <a:extLst>
            <a:ext uri="{FF2B5EF4-FFF2-40B4-BE49-F238E27FC236}">
              <a16:creationId xmlns:a16="http://schemas.microsoft.com/office/drawing/2014/main" id="{00000000-0008-0000-0800-000005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29" name="Text Box 15">
          <a:extLst>
            <a:ext uri="{FF2B5EF4-FFF2-40B4-BE49-F238E27FC236}">
              <a16:creationId xmlns:a16="http://schemas.microsoft.com/office/drawing/2014/main" id="{00000000-0008-0000-0800-000006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30" name="Text Box 15">
          <a:extLst>
            <a:ext uri="{FF2B5EF4-FFF2-40B4-BE49-F238E27FC236}">
              <a16:creationId xmlns:a16="http://schemas.microsoft.com/office/drawing/2014/main" id="{00000000-0008-0000-0800-000007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1" name="Text Box 15">
          <a:extLst>
            <a:ext uri="{FF2B5EF4-FFF2-40B4-BE49-F238E27FC236}">
              <a16:creationId xmlns:a16="http://schemas.microsoft.com/office/drawing/2014/main" id="{00000000-0008-0000-0800-000008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2" name="Text Box 15">
          <a:extLst>
            <a:ext uri="{FF2B5EF4-FFF2-40B4-BE49-F238E27FC236}">
              <a16:creationId xmlns:a16="http://schemas.microsoft.com/office/drawing/2014/main" id="{00000000-0008-0000-0800-000009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3" name="Text Box 15">
          <a:extLst>
            <a:ext uri="{FF2B5EF4-FFF2-40B4-BE49-F238E27FC236}">
              <a16:creationId xmlns:a16="http://schemas.microsoft.com/office/drawing/2014/main" id="{00000000-0008-0000-0800-00000A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4" name="Text Box 15">
          <a:extLst>
            <a:ext uri="{FF2B5EF4-FFF2-40B4-BE49-F238E27FC236}">
              <a16:creationId xmlns:a16="http://schemas.microsoft.com/office/drawing/2014/main" id="{00000000-0008-0000-0800-00000B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5" name="Text Box 15">
          <a:extLst>
            <a:ext uri="{FF2B5EF4-FFF2-40B4-BE49-F238E27FC236}">
              <a16:creationId xmlns:a16="http://schemas.microsoft.com/office/drawing/2014/main" id="{00000000-0008-0000-0800-00000C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6" name="Text Box 15">
          <a:extLst>
            <a:ext uri="{FF2B5EF4-FFF2-40B4-BE49-F238E27FC236}">
              <a16:creationId xmlns:a16="http://schemas.microsoft.com/office/drawing/2014/main" id="{00000000-0008-0000-0800-00000D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7" name="Text Box 15">
          <a:extLst>
            <a:ext uri="{FF2B5EF4-FFF2-40B4-BE49-F238E27FC236}">
              <a16:creationId xmlns:a16="http://schemas.microsoft.com/office/drawing/2014/main" id="{00000000-0008-0000-0800-00000E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38" name="Text Box 15">
          <a:extLst>
            <a:ext uri="{FF2B5EF4-FFF2-40B4-BE49-F238E27FC236}">
              <a16:creationId xmlns:a16="http://schemas.microsoft.com/office/drawing/2014/main" id="{00000000-0008-0000-0800-00000F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39" name="Text Box 15">
          <a:extLst>
            <a:ext uri="{FF2B5EF4-FFF2-40B4-BE49-F238E27FC236}">
              <a16:creationId xmlns:a16="http://schemas.microsoft.com/office/drawing/2014/main" id="{00000000-0008-0000-0800-000010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0" name="Text Box 15">
          <a:extLst>
            <a:ext uri="{FF2B5EF4-FFF2-40B4-BE49-F238E27FC236}">
              <a16:creationId xmlns:a16="http://schemas.microsoft.com/office/drawing/2014/main" id="{00000000-0008-0000-0800-000011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1" name="Text Box 15">
          <a:extLst>
            <a:ext uri="{FF2B5EF4-FFF2-40B4-BE49-F238E27FC236}">
              <a16:creationId xmlns:a16="http://schemas.microsoft.com/office/drawing/2014/main" id="{00000000-0008-0000-0800-000012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2" name="Text Box 15">
          <a:extLst>
            <a:ext uri="{FF2B5EF4-FFF2-40B4-BE49-F238E27FC236}">
              <a16:creationId xmlns:a16="http://schemas.microsoft.com/office/drawing/2014/main" id="{00000000-0008-0000-0800-000013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3" name="Text Box 15">
          <a:extLst>
            <a:ext uri="{FF2B5EF4-FFF2-40B4-BE49-F238E27FC236}">
              <a16:creationId xmlns:a16="http://schemas.microsoft.com/office/drawing/2014/main" id="{00000000-0008-0000-0800-000014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4" name="Text Box 15">
          <a:extLst>
            <a:ext uri="{FF2B5EF4-FFF2-40B4-BE49-F238E27FC236}">
              <a16:creationId xmlns:a16="http://schemas.microsoft.com/office/drawing/2014/main" id="{00000000-0008-0000-0800-000015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5" name="Text Box 15">
          <a:extLst>
            <a:ext uri="{FF2B5EF4-FFF2-40B4-BE49-F238E27FC236}">
              <a16:creationId xmlns:a16="http://schemas.microsoft.com/office/drawing/2014/main" id="{00000000-0008-0000-0800-000016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46" name="Text Box 15">
          <a:extLst>
            <a:ext uri="{FF2B5EF4-FFF2-40B4-BE49-F238E27FC236}">
              <a16:creationId xmlns:a16="http://schemas.microsoft.com/office/drawing/2014/main" id="{00000000-0008-0000-0800-000017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47" name="Text Box 15">
          <a:extLst>
            <a:ext uri="{FF2B5EF4-FFF2-40B4-BE49-F238E27FC236}">
              <a16:creationId xmlns:a16="http://schemas.microsoft.com/office/drawing/2014/main" id="{00000000-0008-0000-0800-000018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48" name="Text Box 15">
          <a:extLst>
            <a:ext uri="{FF2B5EF4-FFF2-40B4-BE49-F238E27FC236}">
              <a16:creationId xmlns:a16="http://schemas.microsoft.com/office/drawing/2014/main" id="{00000000-0008-0000-0800-000019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49" name="Text Box 15">
          <a:extLst>
            <a:ext uri="{FF2B5EF4-FFF2-40B4-BE49-F238E27FC236}">
              <a16:creationId xmlns:a16="http://schemas.microsoft.com/office/drawing/2014/main" id="{00000000-0008-0000-0800-00001A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50" name="Text Box 15">
          <a:extLst>
            <a:ext uri="{FF2B5EF4-FFF2-40B4-BE49-F238E27FC236}">
              <a16:creationId xmlns:a16="http://schemas.microsoft.com/office/drawing/2014/main" id="{00000000-0008-0000-0800-00001B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51" name="Text Box 15">
          <a:extLst>
            <a:ext uri="{FF2B5EF4-FFF2-40B4-BE49-F238E27FC236}">
              <a16:creationId xmlns:a16="http://schemas.microsoft.com/office/drawing/2014/main" id="{00000000-0008-0000-0800-00001C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52" name="Text Box 15">
          <a:extLst>
            <a:ext uri="{FF2B5EF4-FFF2-40B4-BE49-F238E27FC236}">
              <a16:creationId xmlns:a16="http://schemas.microsoft.com/office/drawing/2014/main" id="{00000000-0008-0000-0800-00001D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53" name="Text Box 15">
          <a:extLst>
            <a:ext uri="{FF2B5EF4-FFF2-40B4-BE49-F238E27FC236}">
              <a16:creationId xmlns:a16="http://schemas.microsoft.com/office/drawing/2014/main" id="{00000000-0008-0000-0800-00001E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54" name="Text Box 15">
          <a:extLst>
            <a:ext uri="{FF2B5EF4-FFF2-40B4-BE49-F238E27FC236}">
              <a16:creationId xmlns:a16="http://schemas.microsoft.com/office/drawing/2014/main" id="{00000000-0008-0000-0800-00001F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55" name="Text Box 15">
          <a:extLst>
            <a:ext uri="{FF2B5EF4-FFF2-40B4-BE49-F238E27FC236}">
              <a16:creationId xmlns:a16="http://schemas.microsoft.com/office/drawing/2014/main" id="{00000000-0008-0000-0800-000020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56" name="Text Box 15">
          <a:extLst>
            <a:ext uri="{FF2B5EF4-FFF2-40B4-BE49-F238E27FC236}">
              <a16:creationId xmlns:a16="http://schemas.microsoft.com/office/drawing/2014/main" id="{00000000-0008-0000-0800-000021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57" name="Text Box 15">
          <a:extLst>
            <a:ext uri="{FF2B5EF4-FFF2-40B4-BE49-F238E27FC236}">
              <a16:creationId xmlns:a16="http://schemas.microsoft.com/office/drawing/2014/main" id="{00000000-0008-0000-0800-000022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58" name="Text Box 15">
          <a:extLst>
            <a:ext uri="{FF2B5EF4-FFF2-40B4-BE49-F238E27FC236}">
              <a16:creationId xmlns:a16="http://schemas.microsoft.com/office/drawing/2014/main" id="{00000000-0008-0000-0800-000023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59" name="Text Box 15">
          <a:extLst>
            <a:ext uri="{FF2B5EF4-FFF2-40B4-BE49-F238E27FC236}">
              <a16:creationId xmlns:a16="http://schemas.microsoft.com/office/drawing/2014/main" id="{00000000-0008-0000-0800-000024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60" name="Text Box 15">
          <a:extLst>
            <a:ext uri="{FF2B5EF4-FFF2-40B4-BE49-F238E27FC236}">
              <a16:creationId xmlns:a16="http://schemas.microsoft.com/office/drawing/2014/main" id="{00000000-0008-0000-0800-000025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61" name="Text Box 15">
          <a:extLst>
            <a:ext uri="{FF2B5EF4-FFF2-40B4-BE49-F238E27FC236}">
              <a16:creationId xmlns:a16="http://schemas.microsoft.com/office/drawing/2014/main" id="{00000000-0008-0000-0800-000026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62" name="Text Box 15">
          <a:extLst>
            <a:ext uri="{FF2B5EF4-FFF2-40B4-BE49-F238E27FC236}">
              <a16:creationId xmlns:a16="http://schemas.microsoft.com/office/drawing/2014/main" id="{00000000-0008-0000-0800-000027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3" name="Text Box 15">
          <a:extLst>
            <a:ext uri="{FF2B5EF4-FFF2-40B4-BE49-F238E27FC236}">
              <a16:creationId xmlns:a16="http://schemas.microsoft.com/office/drawing/2014/main" id="{00000000-0008-0000-0800-000028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4" name="Text Box 15">
          <a:extLst>
            <a:ext uri="{FF2B5EF4-FFF2-40B4-BE49-F238E27FC236}">
              <a16:creationId xmlns:a16="http://schemas.microsoft.com/office/drawing/2014/main" id="{00000000-0008-0000-0800-000029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5" name="Text Box 15">
          <a:extLst>
            <a:ext uri="{FF2B5EF4-FFF2-40B4-BE49-F238E27FC236}">
              <a16:creationId xmlns:a16="http://schemas.microsoft.com/office/drawing/2014/main" id="{00000000-0008-0000-0800-00002A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6" name="Text Box 15">
          <a:extLst>
            <a:ext uri="{FF2B5EF4-FFF2-40B4-BE49-F238E27FC236}">
              <a16:creationId xmlns:a16="http://schemas.microsoft.com/office/drawing/2014/main" id="{00000000-0008-0000-0800-00002B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7" name="Text Box 15">
          <a:extLst>
            <a:ext uri="{FF2B5EF4-FFF2-40B4-BE49-F238E27FC236}">
              <a16:creationId xmlns:a16="http://schemas.microsoft.com/office/drawing/2014/main" id="{00000000-0008-0000-0800-00002C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8" name="Text Box 15">
          <a:extLst>
            <a:ext uri="{FF2B5EF4-FFF2-40B4-BE49-F238E27FC236}">
              <a16:creationId xmlns:a16="http://schemas.microsoft.com/office/drawing/2014/main" id="{00000000-0008-0000-0800-00002D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69" name="Text Box 15">
          <a:extLst>
            <a:ext uri="{FF2B5EF4-FFF2-40B4-BE49-F238E27FC236}">
              <a16:creationId xmlns:a16="http://schemas.microsoft.com/office/drawing/2014/main" id="{00000000-0008-0000-0800-00002E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370" name="Text Box 15">
          <a:extLst>
            <a:ext uri="{FF2B5EF4-FFF2-40B4-BE49-F238E27FC236}">
              <a16:creationId xmlns:a16="http://schemas.microsoft.com/office/drawing/2014/main" id="{00000000-0008-0000-0800-00002F0D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1" name="Text Box 15">
          <a:extLst>
            <a:ext uri="{FF2B5EF4-FFF2-40B4-BE49-F238E27FC236}">
              <a16:creationId xmlns:a16="http://schemas.microsoft.com/office/drawing/2014/main" id="{00000000-0008-0000-0800-000030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2" name="Text Box 15">
          <a:extLst>
            <a:ext uri="{FF2B5EF4-FFF2-40B4-BE49-F238E27FC236}">
              <a16:creationId xmlns:a16="http://schemas.microsoft.com/office/drawing/2014/main" id="{00000000-0008-0000-0800-000031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3" name="Text Box 15">
          <a:extLst>
            <a:ext uri="{FF2B5EF4-FFF2-40B4-BE49-F238E27FC236}">
              <a16:creationId xmlns:a16="http://schemas.microsoft.com/office/drawing/2014/main" id="{00000000-0008-0000-0800-000032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4" name="Text Box 15">
          <a:extLst>
            <a:ext uri="{FF2B5EF4-FFF2-40B4-BE49-F238E27FC236}">
              <a16:creationId xmlns:a16="http://schemas.microsoft.com/office/drawing/2014/main" id="{00000000-0008-0000-0800-000033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5" name="Text Box 15">
          <a:extLst>
            <a:ext uri="{FF2B5EF4-FFF2-40B4-BE49-F238E27FC236}">
              <a16:creationId xmlns:a16="http://schemas.microsoft.com/office/drawing/2014/main" id="{00000000-0008-0000-0800-000034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6" name="Text Box 15">
          <a:extLst>
            <a:ext uri="{FF2B5EF4-FFF2-40B4-BE49-F238E27FC236}">
              <a16:creationId xmlns:a16="http://schemas.microsoft.com/office/drawing/2014/main" id="{00000000-0008-0000-0800-000035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7" name="Text Box 15">
          <a:extLst>
            <a:ext uri="{FF2B5EF4-FFF2-40B4-BE49-F238E27FC236}">
              <a16:creationId xmlns:a16="http://schemas.microsoft.com/office/drawing/2014/main" id="{00000000-0008-0000-0800-000036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378" name="Text Box 15">
          <a:extLst>
            <a:ext uri="{FF2B5EF4-FFF2-40B4-BE49-F238E27FC236}">
              <a16:creationId xmlns:a16="http://schemas.microsoft.com/office/drawing/2014/main" id="{00000000-0008-0000-0800-0000370D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79" name="Text Box 15">
          <a:extLst>
            <a:ext uri="{FF2B5EF4-FFF2-40B4-BE49-F238E27FC236}">
              <a16:creationId xmlns:a16="http://schemas.microsoft.com/office/drawing/2014/main" id="{00000000-0008-0000-0800-000038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0" name="Text Box 15">
          <a:extLst>
            <a:ext uri="{FF2B5EF4-FFF2-40B4-BE49-F238E27FC236}">
              <a16:creationId xmlns:a16="http://schemas.microsoft.com/office/drawing/2014/main" id="{00000000-0008-0000-0800-000039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1" name="Text Box 15">
          <a:extLst>
            <a:ext uri="{FF2B5EF4-FFF2-40B4-BE49-F238E27FC236}">
              <a16:creationId xmlns:a16="http://schemas.microsoft.com/office/drawing/2014/main" id="{00000000-0008-0000-0800-00003A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2" name="Text Box 15">
          <a:extLst>
            <a:ext uri="{FF2B5EF4-FFF2-40B4-BE49-F238E27FC236}">
              <a16:creationId xmlns:a16="http://schemas.microsoft.com/office/drawing/2014/main" id="{00000000-0008-0000-0800-00003B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3" name="Text Box 15">
          <a:extLst>
            <a:ext uri="{FF2B5EF4-FFF2-40B4-BE49-F238E27FC236}">
              <a16:creationId xmlns:a16="http://schemas.microsoft.com/office/drawing/2014/main" id="{00000000-0008-0000-0800-00003C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4" name="Text Box 15">
          <a:extLst>
            <a:ext uri="{FF2B5EF4-FFF2-40B4-BE49-F238E27FC236}">
              <a16:creationId xmlns:a16="http://schemas.microsoft.com/office/drawing/2014/main" id="{00000000-0008-0000-0800-00003D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5" name="Text Box 15">
          <a:extLst>
            <a:ext uri="{FF2B5EF4-FFF2-40B4-BE49-F238E27FC236}">
              <a16:creationId xmlns:a16="http://schemas.microsoft.com/office/drawing/2014/main" id="{00000000-0008-0000-0800-00003E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86" name="Text Box 15">
          <a:extLst>
            <a:ext uri="{FF2B5EF4-FFF2-40B4-BE49-F238E27FC236}">
              <a16:creationId xmlns:a16="http://schemas.microsoft.com/office/drawing/2014/main" id="{00000000-0008-0000-0800-00003F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87" name="Text Box 15">
          <a:extLst>
            <a:ext uri="{FF2B5EF4-FFF2-40B4-BE49-F238E27FC236}">
              <a16:creationId xmlns:a16="http://schemas.microsoft.com/office/drawing/2014/main" id="{00000000-0008-0000-0800-000040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88" name="Text Box 15">
          <a:extLst>
            <a:ext uri="{FF2B5EF4-FFF2-40B4-BE49-F238E27FC236}">
              <a16:creationId xmlns:a16="http://schemas.microsoft.com/office/drawing/2014/main" id="{00000000-0008-0000-0800-000041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89" name="Text Box 15">
          <a:extLst>
            <a:ext uri="{FF2B5EF4-FFF2-40B4-BE49-F238E27FC236}">
              <a16:creationId xmlns:a16="http://schemas.microsoft.com/office/drawing/2014/main" id="{00000000-0008-0000-0800-000042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90" name="Text Box 15">
          <a:extLst>
            <a:ext uri="{FF2B5EF4-FFF2-40B4-BE49-F238E27FC236}">
              <a16:creationId xmlns:a16="http://schemas.microsoft.com/office/drawing/2014/main" id="{00000000-0008-0000-0800-000043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91" name="Text Box 15">
          <a:extLst>
            <a:ext uri="{FF2B5EF4-FFF2-40B4-BE49-F238E27FC236}">
              <a16:creationId xmlns:a16="http://schemas.microsoft.com/office/drawing/2014/main" id="{00000000-0008-0000-0800-000044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92" name="Text Box 15">
          <a:extLst>
            <a:ext uri="{FF2B5EF4-FFF2-40B4-BE49-F238E27FC236}">
              <a16:creationId xmlns:a16="http://schemas.microsoft.com/office/drawing/2014/main" id="{00000000-0008-0000-0800-000045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93" name="Text Box 15">
          <a:extLst>
            <a:ext uri="{FF2B5EF4-FFF2-40B4-BE49-F238E27FC236}">
              <a16:creationId xmlns:a16="http://schemas.microsoft.com/office/drawing/2014/main" id="{00000000-0008-0000-0800-000046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394" name="Text Box 15">
          <a:extLst>
            <a:ext uri="{FF2B5EF4-FFF2-40B4-BE49-F238E27FC236}">
              <a16:creationId xmlns:a16="http://schemas.microsoft.com/office/drawing/2014/main" id="{00000000-0008-0000-0800-000047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95" name="Text Box 15">
          <a:extLst>
            <a:ext uri="{FF2B5EF4-FFF2-40B4-BE49-F238E27FC236}">
              <a16:creationId xmlns:a16="http://schemas.microsoft.com/office/drawing/2014/main" id="{00000000-0008-0000-0800-000048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96" name="Text Box 15">
          <a:extLst>
            <a:ext uri="{FF2B5EF4-FFF2-40B4-BE49-F238E27FC236}">
              <a16:creationId xmlns:a16="http://schemas.microsoft.com/office/drawing/2014/main" id="{00000000-0008-0000-0800-000049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97" name="Text Box 15">
          <a:extLst>
            <a:ext uri="{FF2B5EF4-FFF2-40B4-BE49-F238E27FC236}">
              <a16:creationId xmlns:a16="http://schemas.microsoft.com/office/drawing/2014/main" id="{00000000-0008-0000-0800-00004A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98" name="Text Box 15">
          <a:extLst>
            <a:ext uri="{FF2B5EF4-FFF2-40B4-BE49-F238E27FC236}">
              <a16:creationId xmlns:a16="http://schemas.microsoft.com/office/drawing/2014/main" id="{00000000-0008-0000-0800-00004B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399" name="Text Box 15">
          <a:extLst>
            <a:ext uri="{FF2B5EF4-FFF2-40B4-BE49-F238E27FC236}">
              <a16:creationId xmlns:a16="http://schemas.microsoft.com/office/drawing/2014/main" id="{00000000-0008-0000-0800-00004C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400" name="Text Box 15">
          <a:extLst>
            <a:ext uri="{FF2B5EF4-FFF2-40B4-BE49-F238E27FC236}">
              <a16:creationId xmlns:a16="http://schemas.microsoft.com/office/drawing/2014/main" id="{00000000-0008-0000-0800-00004D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401" name="Text Box 15">
          <a:extLst>
            <a:ext uri="{FF2B5EF4-FFF2-40B4-BE49-F238E27FC236}">
              <a16:creationId xmlns:a16="http://schemas.microsoft.com/office/drawing/2014/main" id="{00000000-0008-0000-0800-00004E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402" name="Text Box 15">
          <a:extLst>
            <a:ext uri="{FF2B5EF4-FFF2-40B4-BE49-F238E27FC236}">
              <a16:creationId xmlns:a16="http://schemas.microsoft.com/office/drawing/2014/main" id="{00000000-0008-0000-0800-00004F0D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3" name="Text Box 15">
          <a:extLst>
            <a:ext uri="{FF2B5EF4-FFF2-40B4-BE49-F238E27FC236}">
              <a16:creationId xmlns:a16="http://schemas.microsoft.com/office/drawing/2014/main" id="{00000000-0008-0000-0800-000050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4" name="Text Box 15">
          <a:extLst>
            <a:ext uri="{FF2B5EF4-FFF2-40B4-BE49-F238E27FC236}">
              <a16:creationId xmlns:a16="http://schemas.microsoft.com/office/drawing/2014/main" id="{00000000-0008-0000-0800-000051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5" name="Text Box 15">
          <a:extLst>
            <a:ext uri="{FF2B5EF4-FFF2-40B4-BE49-F238E27FC236}">
              <a16:creationId xmlns:a16="http://schemas.microsoft.com/office/drawing/2014/main" id="{00000000-0008-0000-0800-000052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6" name="Text Box 15">
          <a:extLst>
            <a:ext uri="{FF2B5EF4-FFF2-40B4-BE49-F238E27FC236}">
              <a16:creationId xmlns:a16="http://schemas.microsoft.com/office/drawing/2014/main" id="{00000000-0008-0000-0800-000053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7" name="Text Box 15">
          <a:extLst>
            <a:ext uri="{FF2B5EF4-FFF2-40B4-BE49-F238E27FC236}">
              <a16:creationId xmlns:a16="http://schemas.microsoft.com/office/drawing/2014/main" id="{00000000-0008-0000-0800-000054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8" name="Text Box 15">
          <a:extLst>
            <a:ext uri="{FF2B5EF4-FFF2-40B4-BE49-F238E27FC236}">
              <a16:creationId xmlns:a16="http://schemas.microsoft.com/office/drawing/2014/main" id="{00000000-0008-0000-0800-000055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09" name="Text Box 15">
          <a:extLst>
            <a:ext uri="{FF2B5EF4-FFF2-40B4-BE49-F238E27FC236}">
              <a16:creationId xmlns:a16="http://schemas.microsoft.com/office/drawing/2014/main" id="{00000000-0008-0000-0800-000056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410" name="Text Box 15">
          <a:extLst>
            <a:ext uri="{FF2B5EF4-FFF2-40B4-BE49-F238E27FC236}">
              <a16:creationId xmlns:a16="http://schemas.microsoft.com/office/drawing/2014/main" id="{00000000-0008-0000-0800-0000570D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1" name="Text Box 15">
          <a:extLst>
            <a:ext uri="{FF2B5EF4-FFF2-40B4-BE49-F238E27FC236}">
              <a16:creationId xmlns:a16="http://schemas.microsoft.com/office/drawing/2014/main" id="{00000000-0008-0000-0800-00005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2" name="Text Box 15">
          <a:extLst>
            <a:ext uri="{FF2B5EF4-FFF2-40B4-BE49-F238E27FC236}">
              <a16:creationId xmlns:a16="http://schemas.microsoft.com/office/drawing/2014/main" id="{00000000-0008-0000-0800-00005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3" name="Text Box 15">
          <a:extLst>
            <a:ext uri="{FF2B5EF4-FFF2-40B4-BE49-F238E27FC236}">
              <a16:creationId xmlns:a16="http://schemas.microsoft.com/office/drawing/2014/main" id="{00000000-0008-0000-0800-00005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4" name="Text Box 15">
          <a:extLst>
            <a:ext uri="{FF2B5EF4-FFF2-40B4-BE49-F238E27FC236}">
              <a16:creationId xmlns:a16="http://schemas.microsoft.com/office/drawing/2014/main" id="{00000000-0008-0000-0800-00005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5" name="Text Box 15">
          <a:extLst>
            <a:ext uri="{FF2B5EF4-FFF2-40B4-BE49-F238E27FC236}">
              <a16:creationId xmlns:a16="http://schemas.microsoft.com/office/drawing/2014/main" id="{00000000-0008-0000-0800-00005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6" name="Text Box 15">
          <a:extLst>
            <a:ext uri="{FF2B5EF4-FFF2-40B4-BE49-F238E27FC236}">
              <a16:creationId xmlns:a16="http://schemas.microsoft.com/office/drawing/2014/main" id="{00000000-0008-0000-0800-00005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7" name="Text Box 15">
          <a:extLst>
            <a:ext uri="{FF2B5EF4-FFF2-40B4-BE49-F238E27FC236}">
              <a16:creationId xmlns:a16="http://schemas.microsoft.com/office/drawing/2014/main" id="{00000000-0008-0000-0800-00005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18" name="Text Box 15">
          <a:extLst>
            <a:ext uri="{FF2B5EF4-FFF2-40B4-BE49-F238E27FC236}">
              <a16:creationId xmlns:a16="http://schemas.microsoft.com/office/drawing/2014/main" id="{00000000-0008-0000-0800-00005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19" name="Text Box 15">
          <a:extLst>
            <a:ext uri="{FF2B5EF4-FFF2-40B4-BE49-F238E27FC236}">
              <a16:creationId xmlns:a16="http://schemas.microsoft.com/office/drawing/2014/main" id="{00000000-0008-0000-0800-00006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0" name="Text Box 15">
          <a:extLst>
            <a:ext uri="{FF2B5EF4-FFF2-40B4-BE49-F238E27FC236}">
              <a16:creationId xmlns:a16="http://schemas.microsoft.com/office/drawing/2014/main" id="{00000000-0008-0000-0800-00006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1" name="Text Box 15">
          <a:extLst>
            <a:ext uri="{FF2B5EF4-FFF2-40B4-BE49-F238E27FC236}">
              <a16:creationId xmlns:a16="http://schemas.microsoft.com/office/drawing/2014/main" id="{00000000-0008-0000-0800-00006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2" name="Text Box 15">
          <a:extLst>
            <a:ext uri="{FF2B5EF4-FFF2-40B4-BE49-F238E27FC236}">
              <a16:creationId xmlns:a16="http://schemas.microsoft.com/office/drawing/2014/main" id="{00000000-0008-0000-0800-00006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3" name="Text Box 15">
          <a:extLst>
            <a:ext uri="{FF2B5EF4-FFF2-40B4-BE49-F238E27FC236}">
              <a16:creationId xmlns:a16="http://schemas.microsoft.com/office/drawing/2014/main" id="{00000000-0008-0000-0800-00006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4" name="Text Box 15">
          <a:extLst>
            <a:ext uri="{FF2B5EF4-FFF2-40B4-BE49-F238E27FC236}">
              <a16:creationId xmlns:a16="http://schemas.microsoft.com/office/drawing/2014/main" id="{00000000-0008-0000-0800-00006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5" name="Text Box 15">
          <a:extLst>
            <a:ext uri="{FF2B5EF4-FFF2-40B4-BE49-F238E27FC236}">
              <a16:creationId xmlns:a16="http://schemas.microsoft.com/office/drawing/2014/main" id="{00000000-0008-0000-0800-00006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26" name="Text Box 15">
          <a:extLst>
            <a:ext uri="{FF2B5EF4-FFF2-40B4-BE49-F238E27FC236}">
              <a16:creationId xmlns:a16="http://schemas.microsoft.com/office/drawing/2014/main" id="{00000000-0008-0000-0800-00006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27" name="Text Box 15">
          <a:extLst>
            <a:ext uri="{FF2B5EF4-FFF2-40B4-BE49-F238E27FC236}">
              <a16:creationId xmlns:a16="http://schemas.microsoft.com/office/drawing/2014/main" id="{00000000-0008-0000-0800-00006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28" name="Text Box 15">
          <a:extLst>
            <a:ext uri="{FF2B5EF4-FFF2-40B4-BE49-F238E27FC236}">
              <a16:creationId xmlns:a16="http://schemas.microsoft.com/office/drawing/2014/main" id="{00000000-0008-0000-0800-00006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29" name="Text Box 15">
          <a:extLst>
            <a:ext uri="{FF2B5EF4-FFF2-40B4-BE49-F238E27FC236}">
              <a16:creationId xmlns:a16="http://schemas.microsoft.com/office/drawing/2014/main" id="{00000000-0008-0000-0800-00006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30" name="Text Box 15">
          <a:extLst>
            <a:ext uri="{FF2B5EF4-FFF2-40B4-BE49-F238E27FC236}">
              <a16:creationId xmlns:a16="http://schemas.microsoft.com/office/drawing/2014/main" id="{00000000-0008-0000-0800-00006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31" name="Text Box 15">
          <a:extLst>
            <a:ext uri="{FF2B5EF4-FFF2-40B4-BE49-F238E27FC236}">
              <a16:creationId xmlns:a16="http://schemas.microsoft.com/office/drawing/2014/main" id="{00000000-0008-0000-0800-00006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32" name="Text Box 15">
          <a:extLst>
            <a:ext uri="{FF2B5EF4-FFF2-40B4-BE49-F238E27FC236}">
              <a16:creationId xmlns:a16="http://schemas.microsoft.com/office/drawing/2014/main" id="{00000000-0008-0000-0800-00006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33" name="Text Box 15">
          <a:extLst>
            <a:ext uri="{FF2B5EF4-FFF2-40B4-BE49-F238E27FC236}">
              <a16:creationId xmlns:a16="http://schemas.microsoft.com/office/drawing/2014/main" id="{00000000-0008-0000-0800-00006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34" name="Text Box 15">
          <a:extLst>
            <a:ext uri="{FF2B5EF4-FFF2-40B4-BE49-F238E27FC236}">
              <a16:creationId xmlns:a16="http://schemas.microsoft.com/office/drawing/2014/main" id="{00000000-0008-0000-0800-00006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35" name="Text Box 15">
          <a:extLst>
            <a:ext uri="{FF2B5EF4-FFF2-40B4-BE49-F238E27FC236}">
              <a16:creationId xmlns:a16="http://schemas.microsoft.com/office/drawing/2014/main" id="{00000000-0008-0000-0800-00007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36" name="Text Box 15">
          <a:extLst>
            <a:ext uri="{FF2B5EF4-FFF2-40B4-BE49-F238E27FC236}">
              <a16:creationId xmlns:a16="http://schemas.microsoft.com/office/drawing/2014/main" id="{00000000-0008-0000-0800-00007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37" name="Text Box 15">
          <a:extLst>
            <a:ext uri="{FF2B5EF4-FFF2-40B4-BE49-F238E27FC236}">
              <a16:creationId xmlns:a16="http://schemas.microsoft.com/office/drawing/2014/main" id="{00000000-0008-0000-0800-00007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38" name="Text Box 15">
          <a:extLst>
            <a:ext uri="{FF2B5EF4-FFF2-40B4-BE49-F238E27FC236}">
              <a16:creationId xmlns:a16="http://schemas.microsoft.com/office/drawing/2014/main" id="{00000000-0008-0000-0800-00007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39" name="Text Box 15">
          <a:extLst>
            <a:ext uri="{FF2B5EF4-FFF2-40B4-BE49-F238E27FC236}">
              <a16:creationId xmlns:a16="http://schemas.microsoft.com/office/drawing/2014/main" id="{00000000-0008-0000-0800-00007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40" name="Text Box 15">
          <a:extLst>
            <a:ext uri="{FF2B5EF4-FFF2-40B4-BE49-F238E27FC236}">
              <a16:creationId xmlns:a16="http://schemas.microsoft.com/office/drawing/2014/main" id="{00000000-0008-0000-0800-00007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41" name="Text Box 15">
          <a:extLst>
            <a:ext uri="{FF2B5EF4-FFF2-40B4-BE49-F238E27FC236}">
              <a16:creationId xmlns:a16="http://schemas.microsoft.com/office/drawing/2014/main" id="{00000000-0008-0000-0800-00007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42" name="Text Box 15">
          <a:extLst>
            <a:ext uri="{FF2B5EF4-FFF2-40B4-BE49-F238E27FC236}">
              <a16:creationId xmlns:a16="http://schemas.microsoft.com/office/drawing/2014/main" id="{00000000-0008-0000-0800-00007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3" name="Text Box 15">
          <a:extLst>
            <a:ext uri="{FF2B5EF4-FFF2-40B4-BE49-F238E27FC236}">
              <a16:creationId xmlns:a16="http://schemas.microsoft.com/office/drawing/2014/main" id="{00000000-0008-0000-0800-00007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4" name="Text Box 15">
          <a:extLst>
            <a:ext uri="{FF2B5EF4-FFF2-40B4-BE49-F238E27FC236}">
              <a16:creationId xmlns:a16="http://schemas.microsoft.com/office/drawing/2014/main" id="{00000000-0008-0000-0800-00007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5" name="Text Box 15">
          <a:extLst>
            <a:ext uri="{FF2B5EF4-FFF2-40B4-BE49-F238E27FC236}">
              <a16:creationId xmlns:a16="http://schemas.microsoft.com/office/drawing/2014/main" id="{00000000-0008-0000-0800-00007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6" name="Text Box 15">
          <a:extLst>
            <a:ext uri="{FF2B5EF4-FFF2-40B4-BE49-F238E27FC236}">
              <a16:creationId xmlns:a16="http://schemas.microsoft.com/office/drawing/2014/main" id="{00000000-0008-0000-0800-00007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7" name="Text Box 15">
          <a:extLst>
            <a:ext uri="{FF2B5EF4-FFF2-40B4-BE49-F238E27FC236}">
              <a16:creationId xmlns:a16="http://schemas.microsoft.com/office/drawing/2014/main" id="{00000000-0008-0000-0800-00007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8" name="Text Box 15">
          <a:extLst>
            <a:ext uri="{FF2B5EF4-FFF2-40B4-BE49-F238E27FC236}">
              <a16:creationId xmlns:a16="http://schemas.microsoft.com/office/drawing/2014/main" id="{00000000-0008-0000-0800-00007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49" name="Text Box 15">
          <a:extLst>
            <a:ext uri="{FF2B5EF4-FFF2-40B4-BE49-F238E27FC236}">
              <a16:creationId xmlns:a16="http://schemas.microsoft.com/office/drawing/2014/main" id="{00000000-0008-0000-0800-00007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50" name="Text Box 15">
          <a:extLst>
            <a:ext uri="{FF2B5EF4-FFF2-40B4-BE49-F238E27FC236}">
              <a16:creationId xmlns:a16="http://schemas.microsoft.com/office/drawing/2014/main" id="{00000000-0008-0000-0800-00007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1" name="Text Box 15">
          <a:extLst>
            <a:ext uri="{FF2B5EF4-FFF2-40B4-BE49-F238E27FC236}">
              <a16:creationId xmlns:a16="http://schemas.microsoft.com/office/drawing/2014/main" id="{00000000-0008-0000-0800-00008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2" name="Text Box 15">
          <a:extLst>
            <a:ext uri="{FF2B5EF4-FFF2-40B4-BE49-F238E27FC236}">
              <a16:creationId xmlns:a16="http://schemas.microsoft.com/office/drawing/2014/main" id="{00000000-0008-0000-0800-00008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3" name="Text Box 15">
          <a:extLst>
            <a:ext uri="{FF2B5EF4-FFF2-40B4-BE49-F238E27FC236}">
              <a16:creationId xmlns:a16="http://schemas.microsoft.com/office/drawing/2014/main" id="{00000000-0008-0000-0800-00008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4" name="Text Box 15">
          <a:extLst>
            <a:ext uri="{FF2B5EF4-FFF2-40B4-BE49-F238E27FC236}">
              <a16:creationId xmlns:a16="http://schemas.microsoft.com/office/drawing/2014/main" id="{00000000-0008-0000-0800-00008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5" name="Text Box 15">
          <a:extLst>
            <a:ext uri="{FF2B5EF4-FFF2-40B4-BE49-F238E27FC236}">
              <a16:creationId xmlns:a16="http://schemas.microsoft.com/office/drawing/2014/main" id="{00000000-0008-0000-0800-00008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6" name="Text Box 15">
          <a:extLst>
            <a:ext uri="{FF2B5EF4-FFF2-40B4-BE49-F238E27FC236}">
              <a16:creationId xmlns:a16="http://schemas.microsoft.com/office/drawing/2014/main" id="{00000000-0008-0000-0800-00008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7" name="Text Box 15">
          <a:extLst>
            <a:ext uri="{FF2B5EF4-FFF2-40B4-BE49-F238E27FC236}">
              <a16:creationId xmlns:a16="http://schemas.microsoft.com/office/drawing/2014/main" id="{00000000-0008-0000-0800-00008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58" name="Text Box 15">
          <a:extLst>
            <a:ext uri="{FF2B5EF4-FFF2-40B4-BE49-F238E27FC236}">
              <a16:creationId xmlns:a16="http://schemas.microsoft.com/office/drawing/2014/main" id="{00000000-0008-0000-0800-00008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59" name="Text Box 15">
          <a:extLst>
            <a:ext uri="{FF2B5EF4-FFF2-40B4-BE49-F238E27FC236}">
              <a16:creationId xmlns:a16="http://schemas.microsoft.com/office/drawing/2014/main" id="{00000000-0008-0000-0800-00008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0" name="Text Box 15">
          <a:extLst>
            <a:ext uri="{FF2B5EF4-FFF2-40B4-BE49-F238E27FC236}">
              <a16:creationId xmlns:a16="http://schemas.microsoft.com/office/drawing/2014/main" id="{00000000-0008-0000-0800-00008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1" name="Text Box 15">
          <a:extLst>
            <a:ext uri="{FF2B5EF4-FFF2-40B4-BE49-F238E27FC236}">
              <a16:creationId xmlns:a16="http://schemas.microsoft.com/office/drawing/2014/main" id="{00000000-0008-0000-0800-00008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2" name="Text Box 15">
          <a:extLst>
            <a:ext uri="{FF2B5EF4-FFF2-40B4-BE49-F238E27FC236}">
              <a16:creationId xmlns:a16="http://schemas.microsoft.com/office/drawing/2014/main" id="{00000000-0008-0000-0800-00008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3" name="Text Box 15">
          <a:extLst>
            <a:ext uri="{FF2B5EF4-FFF2-40B4-BE49-F238E27FC236}">
              <a16:creationId xmlns:a16="http://schemas.microsoft.com/office/drawing/2014/main" id="{00000000-0008-0000-0800-00008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4" name="Text Box 15">
          <a:extLst>
            <a:ext uri="{FF2B5EF4-FFF2-40B4-BE49-F238E27FC236}">
              <a16:creationId xmlns:a16="http://schemas.microsoft.com/office/drawing/2014/main" id="{00000000-0008-0000-0800-00008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5" name="Text Box 15">
          <a:extLst>
            <a:ext uri="{FF2B5EF4-FFF2-40B4-BE49-F238E27FC236}">
              <a16:creationId xmlns:a16="http://schemas.microsoft.com/office/drawing/2014/main" id="{00000000-0008-0000-0800-00008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66" name="Text Box 15">
          <a:extLst>
            <a:ext uri="{FF2B5EF4-FFF2-40B4-BE49-F238E27FC236}">
              <a16:creationId xmlns:a16="http://schemas.microsoft.com/office/drawing/2014/main" id="{00000000-0008-0000-0800-00008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67" name="Text Box 15">
          <a:extLst>
            <a:ext uri="{FF2B5EF4-FFF2-40B4-BE49-F238E27FC236}">
              <a16:creationId xmlns:a16="http://schemas.microsoft.com/office/drawing/2014/main" id="{00000000-0008-0000-0800-00009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68" name="Text Box 15">
          <a:extLst>
            <a:ext uri="{FF2B5EF4-FFF2-40B4-BE49-F238E27FC236}">
              <a16:creationId xmlns:a16="http://schemas.microsoft.com/office/drawing/2014/main" id="{00000000-0008-0000-0800-00009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69" name="Text Box 15">
          <a:extLst>
            <a:ext uri="{FF2B5EF4-FFF2-40B4-BE49-F238E27FC236}">
              <a16:creationId xmlns:a16="http://schemas.microsoft.com/office/drawing/2014/main" id="{00000000-0008-0000-0800-00009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70" name="Text Box 15">
          <a:extLst>
            <a:ext uri="{FF2B5EF4-FFF2-40B4-BE49-F238E27FC236}">
              <a16:creationId xmlns:a16="http://schemas.microsoft.com/office/drawing/2014/main" id="{00000000-0008-0000-0800-00009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71" name="Text Box 15">
          <a:extLst>
            <a:ext uri="{FF2B5EF4-FFF2-40B4-BE49-F238E27FC236}">
              <a16:creationId xmlns:a16="http://schemas.microsoft.com/office/drawing/2014/main" id="{00000000-0008-0000-0800-00009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72" name="Text Box 15">
          <a:extLst>
            <a:ext uri="{FF2B5EF4-FFF2-40B4-BE49-F238E27FC236}">
              <a16:creationId xmlns:a16="http://schemas.microsoft.com/office/drawing/2014/main" id="{00000000-0008-0000-0800-00009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73" name="Text Box 15">
          <a:extLst>
            <a:ext uri="{FF2B5EF4-FFF2-40B4-BE49-F238E27FC236}">
              <a16:creationId xmlns:a16="http://schemas.microsoft.com/office/drawing/2014/main" id="{00000000-0008-0000-0800-00009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74" name="Text Box 15">
          <a:extLst>
            <a:ext uri="{FF2B5EF4-FFF2-40B4-BE49-F238E27FC236}">
              <a16:creationId xmlns:a16="http://schemas.microsoft.com/office/drawing/2014/main" id="{00000000-0008-0000-0800-00009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75" name="Text Box 15">
          <a:extLst>
            <a:ext uri="{FF2B5EF4-FFF2-40B4-BE49-F238E27FC236}">
              <a16:creationId xmlns:a16="http://schemas.microsoft.com/office/drawing/2014/main" id="{00000000-0008-0000-0800-00009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76" name="Text Box 15">
          <a:extLst>
            <a:ext uri="{FF2B5EF4-FFF2-40B4-BE49-F238E27FC236}">
              <a16:creationId xmlns:a16="http://schemas.microsoft.com/office/drawing/2014/main" id="{00000000-0008-0000-0800-00009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77" name="Text Box 15">
          <a:extLst>
            <a:ext uri="{FF2B5EF4-FFF2-40B4-BE49-F238E27FC236}">
              <a16:creationId xmlns:a16="http://schemas.microsoft.com/office/drawing/2014/main" id="{00000000-0008-0000-0800-00009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78" name="Text Box 15">
          <a:extLst>
            <a:ext uri="{FF2B5EF4-FFF2-40B4-BE49-F238E27FC236}">
              <a16:creationId xmlns:a16="http://schemas.microsoft.com/office/drawing/2014/main" id="{00000000-0008-0000-0800-00009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79" name="Text Box 15">
          <a:extLst>
            <a:ext uri="{FF2B5EF4-FFF2-40B4-BE49-F238E27FC236}">
              <a16:creationId xmlns:a16="http://schemas.microsoft.com/office/drawing/2014/main" id="{00000000-0008-0000-0800-00009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80" name="Text Box 15">
          <a:extLst>
            <a:ext uri="{FF2B5EF4-FFF2-40B4-BE49-F238E27FC236}">
              <a16:creationId xmlns:a16="http://schemas.microsoft.com/office/drawing/2014/main" id="{00000000-0008-0000-0800-00009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81" name="Text Box 15">
          <a:extLst>
            <a:ext uri="{FF2B5EF4-FFF2-40B4-BE49-F238E27FC236}">
              <a16:creationId xmlns:a16="http://schemas.microsoft.com/office/drawing/2014/main" id="{00000000-0008-0000-0800-00009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82" name="Text Box 15">
          <a:extLst>
            <a:ext uri="{FF2B5EF4-FFF2-40B4-BE49-F238E27FC236}">
              <a16:creationId xmlns:a16="http://schemas.microsoft.com/office/drawing/2014/main" id="{00000000-0008-0000-0800-00009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3" name="Text Box 15">
          <a:extLst>
            <a:ext uri="{FF2B5EF4-FFF2-40B4-BE49-F238E27FC236}">
              <a16:creationId xmlns:a16="http://schemas.microsoft.com/office/drawing/2014/main" id="{00000000-0008-0000-0800-0000A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4" name="Text Box 15">
          <a:extLst>
            <a:ext uri="{FF2B5EF4-FFF2-40B4-BE49-F238E27FC236}">
              <a16:creationId xmlns:a16="http://schemas.microsoft.com/office/drawing/2014/main" id="{00000000-0008-0000-0800-0000A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5" name="Text Box 15">
          <a:extLst>
            <a:ext uri="{FF2B5EF4-FFF2-40B4-BE49-F238E27FC236}">
              <a16:creationId xmlns:a16="http://schemas.microsoft.com/office/drawing/2014/main" id="{00000000-0008-0000-0800-0000A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6" name="Text Box 15">
          <a:extLst>
            <a:ext uri="{FF2B5EF4-FFF2-40B4-BE49-F238E27FC236}">
              <a16:creationId xmlns:a16="http://schemas.microsoft.com/office/drawing/2014/main" id="{00000000-0008-0000-0800-0000A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7" name="Text Box 15">
          <a:extLst>
            <a:ext uri="{FF2B5EF4-FFF2-40B4-BE49-F238E27FC236}">
              <a16:creationId xmlns:a16="http://schemas.microsoft.com/office/drawing/2014/main" id="{00000000-0008-0000-0800-0000A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8" name="Text Box 15">
          <a:extLst>
            <a:ext uri="{FF2B5EF4-FFF2-40B4-BE49-F238E27FC236}">
              <a16:creationId xmlns:a16="http://schemas.microsoft.com/office/drawing/2014/main" id="{00000000-0008-0000-0800-0000A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89" name="Text Box 15">
          <a:extLst>
            <a:ext uri="{FF2B5EF4-FFF2-40B4-BE49-F238E27FC236}">
              <a16:creationId xmlns:a16="http://schemas.microsoft.com/office/drawing/2014/main" id="{00000000-0008-0000-0800-0000A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90" name="Text Box 15">
          <a:extLst>
            <a:ext uri="{FF2B5EF4-FFF2-40B4-BE49-F238E27FC236}">
              <a16:creationId xmlns:a16="http://schemas.microsoft.com/office/drawing/2014/main" id="{00000000-0008-0000-0800-0000A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1" name="Text Box 15">
          <a:extLst>
            <a:ext uri="{FF2B5EF4-FFF2-40B4-BE49-F238E27FC236}">
              <a16:creationId xmlns:a16="http://schemas.microsoft.com/office/drawing/2014/main" id="{00000000-0008-0000-0800-0000A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2" name="Text Box 15">
          <a:extLst>
            <a:ext uri="{FF2B5EF4-FFF2-40B4-BE49-F238E27FC236}">
              <a16:creationId xmlns:a16="http://schemas.microsoft.com/office/drawing/2014/main" id="{00000000-0008-0000-0800-0000A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3" name="Text Box 15">
          <a:extLst>
            <a:ext uri="{FF2B5EF4-FFF2-40B4-BE49-F238E27FC236}">
              <a16:creationId xmlns:a16="http://schemas.microsoft.com/office/drawing/2014/main" id="{00000000-0008-0000-0800-0000A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4" name="Text Box 15">
          <a:extLst>
            <a:ext uri="{FF2B5EF4-FFF2-40B4-BE49-F238E27FC236}">
              <a16:creationId xmlns:a16="http://schemas.microsoft.com/office/drawing/2014/main" id="{00000000-0008-0000-0800-0000A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5" name="Text Box 15">
          <a:extLst>
            <a:ext uri="{FF2B5EF4-FFF2-40B4-BE49-F238E27FC236}">
              <a16:creationId xmlns:a16="http://schemas.microsoft.com/office/drawing/2014/main" id="{00000000-0008-0000-0800-0000A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6" name="Text Box 15">
          <a:extLst>
            <a:ext uri="{FF2B5EF4-FFF2-40B4-BE49-F238E27FC236}">
              <a16:creationId xmlns:a16="http://schemas.microsoft.com/office/drawing/2014/main" id="{00000000-0008-0000-0800-0000A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7" name="Text Box 15">
          <a:extLst>
            <a:ext uri="{FF2B5EF4-FFF2-40B4-BE49-F238E27FC236}">
              <a16:creationId xmlns:a16="http://schemas.microsoft.com/office/drawing/2014/main" id="{00000000-0008-0000-0800-0000A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498" name="Text Box 15">
          <a:extLst>
            <a:ext uri="{FF2B5EF4-FFF2-40B4-BE49-F238E27FC236}">
              <a16:creationId xmlns:a16="http://schemas.microsoft.com/office/drawing/2014/main" id="{00000000-0008-0000-0800-0000A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499" name="Text Box 15">
          <a:extLst>
            <a:ext uri="{FF2B5EF4-FFF2-40B4-BE49-F238E27FC236}">
              <a16:creationId xmlns:a16="http://schemas.microsoft.com/office/drawing/2014/main" id="{00000000-0008-0000-0800-0000B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0" name="Text Box 15">
          <a:extLst>
            <a:ext uri="{FF2B5EF4-FFF2-40B4-BE49-F238E27FC236}">
              <a16:creationId xmlns:a16="http://schemas.microsoft.com/office/drawing/2014/main" id="{00000000-0008-0000-0800-0000B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1" name="Text Box 15">
          <a:extLst>
            <a:ext uri="{FF2B5EF4-FFF2-40B4-BE49-F238E27FC236}">
              <a16:creationId xmlns:a16="http://schemas.microsoft.com/office/drawing/2014/main" id="{00000000-0008-0000-0800-0000B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2" name="Text Box 15">
          <a:extLst>
            <a:ext uri="{FF2B5EF4-FFF2-40B4-BE49-F238E27FC236}">
              <a16:creationId xmlns:a16="http://schemas.microsoft.com/office/drawing/2014/main" id="{00000000-0008-0000-0800-0000B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3" name="Text Box 15">
          <a:extLst>
            <a:ext uri="{FF2B5EF4-FFF2-40B4-BE49-F238E27FC236}">
              <a16:creationId xmlns:a16="http://schemas.microsoft.com/office/drawing/2014/main" id="{00000000-0008-0000-0800-0000B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4" name="Text Box 15">
          <a:extLst>
            <a:ext uri="{FF2B5EF4-FFF2-40B4-BE49-F238E27FC236}">
              <a16:creationId xmlns:a16="http://schemas.microsoft.com/office/drawing/2014/main" id="{00000000-0008-0000-0800-0000B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5" name="Text Box 15">
          <a:extLst>
            <a:ext uri="{FF2B5EF4-FFF2-40B4-BE49-F238E27FC236}">
              <a16:creationId xmlns:a16="http://schemas.microsoft.com/office/drawing/2014/main" id="{00000000-0008-0000-0800-0000B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06" name="Text Box 15">
          <a:extLst>
            <a:ext uri="{FF2B5EF4-FFF2-40B4-BE49-F238E27FC236}">
              <a16:creationId xmlns:a16="http://schemas.microsoft.com/office/drawing/2014/main" id="{00000000-0008-0000-0800-0000B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07" name="Text Box 15">
          <a:extLst>
            <a:ext uri="{FF2B5EF4-FFF2-40B4-BE49-F238E27FC236}">
              <a16:creationId xmlns:a16="http://schemas.microsoft.com/office/drawing/2014/main" id="{00000000-0008-0000-0800-0000B8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08" name="Text Box 15">
          <a:extLst>
            <a:ext uri="{FF2B5EF4-FFF2-40B4-BE49-F238E27FC236}">
              <a16:creationId xmlns:a16="http://schemas.microsoft.com/office/drawing/2014/main" id="{00000000-0008-0000-0800-0000B9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09" name="Text Box 15">
          <a:extLst>
            <a:ext uri="{FF2B5EF4-FFF2-40B4-BE49-F238E27FC236}">
              <a16:creationId xmlns:a16="http://schemas.microsoft.com/office/drawing/2014/main" id="{00000000-0008-0000-0800-0000BA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10" name="Text Box 15">
          <a:extLst>
            <a:ext uri="{FF2B5EF4-FFF2-40B4-BE49-F238E27FC236}">
              <a16:creationId xmlns:a16="http://schemas.microsoft.com/office/drawing/2014/main" id="{00000000-0008-0000-0800-0000BB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11" name="Text Box 15">
          <a:extLst>
            <a:ext uri="{FF2B5EF4-FFF2-40B4-BE49-F238E27FC236}">
              <a16:creationId xmlns:a16="http://schemas.microsoft.com/office/drawing/2014/main" id="{00000000-0008-0000-0800-0000BC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12" name="Text Box 15">
          <a:extLst>
            <a:ext uri="{FF2B5EF4-FFF2-40B4-BE49-F238E27FC236}">
              <a16:creationId xmlns:a16="http://schemas.microsoft.com/office/drawing/2014/main" id="{00000000-0008-0000-0800-0000BD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13" name="Text Box 15">
          <a:extLst>
            <a:ext uri="{FF2B5EF4-FFF2-40B4-BE49-F238E27FC236}">
              <a16:creationId xmlns:a16="http://schemas.microsoft.com/office/drawing/2014/main" id="{00000000-0008-0000-0800-0000BE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14" name="Text Box 15">
          <a:extLst>
            <a:ext uri="{FF2B5EF4-FFF2-40B4-BE49-F238E27FC236}">
              <a16:creationId xmlns:a16="http://schemas.microsoft.com/office/drawing/2014/main" id="{00000000-0008-0000-0800-0000BF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15" name="Text Box 15">
          <a:extLst>
            <a:ext uri="{FF2B5EF4-FFF2-40B4-BE49-F238E27FC236}">
              <a16:creationId xmlns:a16="http://schemas.microsoft.com/office/drawing/2014/main" id="{00000000-0008-0000-0800-0000C0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16" name="Text Box 15">
          <a:extLst>
            <a:ext uri="{FF2B5EF4-FFF2-40B4-BE49-F238E27FC236}">
              <a16:creationId xmlns:a16="http://schemas.microsoft.com/office/drawing/2014/main" id="{00000000-0008-0000-0800-0000C1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17" name="Text Box 15">
          <a:extLst>
            <a:ext uri="{FF2B5EF4-FFF2-40B4-BE49-F238E27FC236}">
              <a16:creationId xmlns:a16="http://schemas.microsoft.com/office/drawing/2014/main" id="{00000000-0008-0000-0800-0000C2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18" name="Text Box 15">
          <a:extLst>
            <a:ext uri="{FF2B5EF4-FFF2-40B4-BE49-F238E27FC236}">
              <a16:creationId xmlns:a16="http://schemas.microsoft.com/office/drawing/2014/main" id="{00000000-0008-0000-0800-0000C3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19" name="Text Box 15">
          <a:extLst>
            <a:ext uri="{FF2B5EF4-FFF2-40B4-BE49-F238E27FC236}">
              <a16:creationId xmlns:a16="http://schemas.microsoft.com/office/drawing/2014/main" id="{00000000-0008-0000-0800-0000C4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20" name="Text Box 15">
          <a:extLst>
            <a:ext uri="{FF2B5EF4-FFF2-40B4-BE49-F238E27FC236}">
              <a16:creationId xmlns:a16="http://schemas.microsoft.com/office/drawing/2014/main" id="{00000000-0008-0000-0800-0000C5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21" name="Text Box 15">
          <a:extLst>
            <a:ext uri="{FF2B5EF4-FFF2-40B4-BE49-F238E27FC236}">
              <a16:creationId xmlns:a16="http://schemas.microsoft.com/office/drawing/2014/main" id="{00000000-0008-0000-0800-0000C6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22" name="Text Box 15">
          <a:extLst>
            <a:ext uri="{FF2B5EF4-FFF2-40B4-BE49-F238E27FC236}">
              <a16:creationId xmlns:a16="http://schemas.microsoft.com/office/drawing/2014/main" id="{00000000-0008-0000-0800-0000C70D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3" name="Text Box 15">
          <a:extLst>
            <a:ext uri="{FF2B5EF4-FFF2-40B4-BE49-F238E27FC236}">
              <a16:creationId xmlns:a16="http://schemas.microsoft.com/office/drawing/2014/main" id="{00000000-0008-0000-0800-0000C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4" name="Text Box 15">
          <a:extLst>
            <a:ext uri="{FF2B5EF4-FFF2-40B4-BE49-F238E27FC236}">
              <a16:creationId xmlns:a16="http://schemas.microsoft.com/office/drawing/2014/main" id="{00000000-0008-0000-0800-0000C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5" name="Text Box 15">
          <a:extLst>
            <a:ext uri="{FF2B5EF4-FFF2-40B4-BE49-F238E27FC236}">
              <a16:creationId xmlns:a16="http://schemas.microsoft.com/office/drawing/2014/main" id="{00000000-0008-0000-0800-0000C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6" name="Text Box 15">
          <a:extLst>
            <a:ext uri="{FF2B5EF4-FFF2-40B4-BE49-F238E27FC236}">
              <a16:creationId xmlns:a16="http://schemas.microsoft.com/office/drawing/2014/main" id="{00000000-0008-0000-0800-0000C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7" name="Text Box 15">
          <a:extLst>
            <a:ext uri="{FF2B5EF4-FFF2-40B4-BE49-F238E27FC236}">
              <a16:creationId xmlns:a16="http://schemas.microsoft.com/office/drawing/2014/main" id="{00000000-0008-0000-0800-0000C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8" name="Text Box 15">
          <a:extLst>
            <a:ext uri="{FF2B5EF4-FFF2-40B4-BE49-F238E27FC236}">
              <a16:creationId xmlns:a16="http://schemas.microsoft.com/office/drawing/2014/main" id="{00000000-0008-0000-0800-0000C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29" name="Text Box 15">
          <a:extLst>
            <a:ext uri="{FF2B5EF4-FFF2-40B4-BE49-F238E27FC236}">
              <a16:creationId xmlns:a16="http://schemas.microsoft.com/office/drawing/2014/main" id="{00000000-0008-0000-0800-0000C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30" name="Text Box 15">
          <a:extLst>
            <a:ext uri="{FF2B5EF4-FFF2-40B4-BE49-F238E27FC236}">
              <a16:creationId xmlns:a16="http://schemas.microsoft.com/office/drawing/2014/main" id="{00000000-0008-0000-0800-0000C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1" name="Text Box 15">
          <a:extLst>
            <a:ext uri="{FF2B5EF4-FFF2-40B4-BE49-F238E27FC236}">
              <a16:creationId xmlns:a16="http://schemas.microsoft.com/office/drawing/2014/main" id="{00000000-0008-0000-0800-0000D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2" name="Text Box 15">
          <a:extLst>
            <a:ext uri="{FF2B5EF4-FFF2-40B4-BE49-F238E27FC236}">
              <a16:creationId xmlns:a16="http://schemas.microsoft.com/office/drawing/2014/main" id="{00000000-0008-0000-0800-0000D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3" name="Text Box 15">
          <a:extLst>
            <a:ext uri="{FF2B5EF4-FFF2-40B4-BE49-F238E27FC236}">
              <a16:creationId xmlns:a16="http://schemas.microsoft.com/office/drawing/2014/main" id="{00000000-0008-0000-0800-0000D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4" name="Text Box 15">
          <a:extLst>
            <a:ext uri="{FF2B5EF4-FFF2-40B4-BE49-F238E27FC236}">
              <a16:creationId xmlns:a16="http://schemas.microsoft.com/office/drawing/2014/main" id="{00000000-0008-0000-0800-0000D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5" name="Text Box 15">
          <a:extLst>
            <a:ext uri="{FF2B5EF4-FFF2-40B4-BE49-F238E27FC236}">
              <a16:creationId xmlns:a16="http://schemas.microsoft.com/office/drawing/2014/main" id="{00000000-0008-0000-0800-0000D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6" name="Text Box 15">
          <a:extLst>
            <a:ext uri="{FF2B5EF4-FFF2-40B4-BE49-F238E27FC236}">
              <a16:creationId xmlns:a16="http://schemas.microsoft.com/office/drawing/2014/main" id="{00000000-0008-0000-0800-0000D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7" name="Text Box 15">
          <a:extLst>
            <a:ext uri="{FF2B5EF4-FFF2-40B4-BE49-F238E27FC236}">
              <a16:creationId xmlns:a16="http://schemas.microsoft.com/office/drawing/2014/main" id="{00000000-0008-0000-0800-0000D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38" name="Text Box 15">
          <a:extLst>
            <a:ext uri="{FF2B5EF4-FFF2-40B4-BE49-F238E27FC236}">
              <a16:creationId xmlns:a16="http://schemas.microsoft.com/office/drawing/2014/main" id="{00000000-0008-0000-0800-0000D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39" name="Text Box 15">
          <a:extLst>
            <a:ext uri="{FF2B5EF4-FFF2-40B4-BE49-F238E27FC236}">
              <a16:creationId xmlns:a16="http://schemas.microsoft.com/office/drawing/2014/main" id="{00000000-0008-0000-0800-0000D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0" name="Text Box 15">
          <a:extLst>
            <a:ext uri="{FF2B5EF4-FFF2-40B4-BE49-F238E27FC236}">
              <a16:creationId xmlns:a16="http://schemas.microsoft.com/office/drawing/2014/main" id="{00000000-0008-0000-0800-0000D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1" name="Text Box 15">
          <a:extLst>
            <a:ext uri="{FF2B5EF4-FFF2-40B4-BE49-F238E27FC236}">
              <a16:creationId xmlns:a16="http://schemas.microsoft.com/office/drawing/2014/main" id="{00000000-0008-0000-0800-0000D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2" name="Text Box 15">
          <a:extLst>
            <a:ext uri="{FF2B5EF4-FFF2-40B4-BE49-F238E27FC236}">
              <a16:creationId xmlns:a16="http://schemas.microsoft.com/office/drawing/2014/main" id="{00000000-0008-0000-0800-0000D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3" name="Text Box 15">
          <a:extLst>
            <a:ext uri="{FF2B5EF4-FFF2-40B4-BE49-F238E27FC236}">
              <a16:creationId xmlns:a16="http://schemas.microsoft.com/office/drawing/2014/main" id="{00000000-0008-0000-0800-0000D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4" name="Text Box 15">
          <a:extLst>
            <a:ext uri="{FF2B5EF4-FFF2-40B4-BE49-F238E27FC236}">
              <a16:creationId xmlns:a16="http://schemas.microsoft.com/office/drawing/2014/main" id="{00000000-0008-0000-0800-0000D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5" name="Text Box 15">
          <a:extLst>
            <a:ext uri="{FF2B5EF4-FFF2-40B4-BE49-F238E27FC236}">
              <a16:creationId xmlns:a16="http://schemas.microsoft.com/office/drawing/2014/main" id="{00000000-0008-0000-0800-0000D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46" name="Text Box 15">
          <a:extLst>
            <a:ext uri="{FF2B5EF4-FFF2-40B4-BE49-F238E27FC236}">
              <a16:creationId xmlns:a16="http://schemas.microsoft.com/office/drawing/2014/main" id="{00000000-0008-0000-0800-0000D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47" name="Text Box 15">
          <a:extLst>
            <a:ext uri="{FF2B5EF4-FFF2-40B4-BE49-F238E27FC236}">
              <a16:creationId xmlns:a16="http://schemas.microsoft.com/office/drawing/2014/main" id="{00000000-0008-0000-0800-0000E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48" name="Text Box 15">
          <a:extLst>
            <a:ext uri="{FF2B5EF4-FFF2-40B4-BE49-F238E27FC236}">
              <a16:creationId xmlns:a16="http://schemas.microsoft.com/office/drawing/2014/main" id="{00000000-0008-0000-0800-0000E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49" name="Text Box 15">
          <a:extLst>
            <a:ext uri="{FF2B5EF4-FFF2-40B4-BE49-F238E27FC236}">
              <a16:creationId xmlns:a16="http://schemas.microsoft.com/office/drawing/2014/main" id="{00000000-0008-0000-0800-0000E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50" name="Text Box 15">
          <a:extLst>
            <a:ext uri="{FF2B5EF4-FFF2-40B4-BE49-F238E27FC236}">
              <a16:creationId xmlns:a16="http://schemas.microsoft.com/office/drawing/2014/main" id="{00000000-0008-0000-0800-0000E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51" name="Text Box 15">
          <a:extLst>
            <a:ext uri="{FF2B5EF4-FFF2-40B4-BE49-F238E27FC236}">
              <a16:creationId xmlns:a16="http://schemas.microsoft.com/office/drawing/2014/main" id="{00000000-0008-0000-0800-0000E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52" name="Text Box 15">
          <a:extLst>
            <a:ext uri="{FF2B5EF4-FFF2-40B4-BE49-F238E27FC236}">
              <a16:creationId xmlns:a16="http://schemas.microsoft.com/office/drawing/2014/main" id="{00000000-0008-0000-0800-0000E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53" name="Text Box 15">
          <a:extLst>
            <a:ext uri="{FF2B5EF4-FFF2-40B4-BE49-F238E27FC236}">
              <a16:creationId xmlns:a16="http://schemas.microsoft.com/office/drawing/2014/main" id="{00000000-0008-0000-0800-0000E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54" name="Text Box 15">
          <a:extLst>
            <a:ext uri="{FF2B5EF4-FFF2-40B4-BE49-F238E27FC236}">
              <a16:creationId xmlns:a16="http://schemas.microsoft.com/office/drawing/2014/main" id="{00000000-0008-0000-0800-0000E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55" name="Text Box 15">
          <a:extLst>
            <a:ext uri="{FF2B5EF4-FFF2-40B4-BE49-F238E27FC236}">
              <a16:creationId xmlns:a16="http://schemas.microsoft.com/office/drawing/2014/main" id="{00000000-0008-0000-0800-0000E8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56" name="Text Box 15">
          <a:extLst>
            <a:ext uri="{FF2B5EF4-FFF2-40B4-BE49-F238E27FC236}">
              <a16:creationId xmlns:a16="http://schemas.microsoft.com/office/drawing/2014/main" id="{00000000-0008-0000-0800-0000E9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57" name="Text Box 15">
          <a:extLst>
            <a:ext uri="{FF2B5EF4-FFF2-40B4-BE49-F238E27FC236}">
              <a16:creationId xmlns:a16="http://schemas.microsoft.com/office/drawing/2014/main" id="{00000000-0008-0000-0800-0000EA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58" name="Text Box 15">
          <a:extLst>
            <a:ext uri="{FF2B5EF4-FFF2-40B4-BE49-F238E27FC236}">
              <a16:creationId xmlns:a16="http://schemas.microsoft.com/office/drawing/2014/main" id="{00000000-0008-0000-0800-0000EB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59" name="Text Box 15">
          <a:extLst>
            <a:ext uri="{FF2B5EF4-FFF2-40B4-BE49-F238E27FC236}">
              <a16:creationId xmlns:a16="http://schemas.microsoft.com/office/drawing/2014/main" id="{00000000-0008-0000-0800-0000EC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60" name="Text Box 15">
          <a:extLst>
            <a:ext uri="{FF2B5EF4-FFF2-40B4-BE49-F238E27FC236}">
              <a16:creationId xmlns:a16="http://schemas.microsoft.com/office/drawing/2014/main" id="{00000000-0008-0000-0800-0000ED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61" name="Text Box 15">
          <a:extLst>
            <a:ext uri="{FF2B5EF4-FFF2-40B4-BE49-F238E27FC236}">
              <a16:creationId xmlns:a16="http://schemas.microsoft.com/office/drawing/2014/main" id="{00000000-0008-0000-0800-0000EE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62" name="Text Box 15">
          <a:extLst>
            <a:ext uri="{FF2B5EF4-FFF2-40B4-BE49-F238E27FC236}">
              <a16:creationId xmlns:a16="http://schemas.microsoft.com/office/drawing/2014/main" id="{00000000-0008-0000-0800-0000EF0D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3" name="Text Box 15">
          <a:extLst>
            <a:ext uri="{FF2B5EF4-FFF2-40B4-BE49-F238E27FC236}">
              <a16:creationId xmlns:a16="http://schemas.microsoft.com/office/drawing/2014/main" id="{00000000-0008-0000-0800-0000F0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4" name="Text Box 15">
          <a:extLst>
            <a:ext uri="{FF2B5EF4-FFF2-40B4-BE49-F238E27FC236}">
              <a16:creationId xmlns:a16="http://schemas.microsoft.com/office/drawing/2014/main" id="{00000000-0008-0000-0800-0000F1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5" name="Text Box 15">
          <a:extLst>
            <a:ext uri="{FF2B5EF4-FFF2-40B4-BE49-F238E27FC236}">
              <a16:creationId xmlns:a16="http://schemas.microsoft.com/office/drawing/2014/main" id="{00000000-0008-0000-0800-0000F2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6" name="Text Box 15">
          <a:extLst>
            <a:ext uri="{FF2B5EF4-FFF2-40B4-BE49-F238E27FC236}">
              <a16:creationId xmlns:a16="http://schemas.microsoft.com/office/drawing/2014/main" id="{00000000-0008-0000-0800-0000F3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7" name="Text Box 15">
          <a:extLst>
            <a:ext uri="{FF2B5EF4-FFF2-40B4-BE49-F238E27FC236}">
              <a16:creationId xmlns:a16="http://schemas.microsoft.com/office/drawing/2014/main" id="{00000000-0008-0000-0800-0000F4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8" name="Text Box 15">
          <a:extLst>
            <a:ext uri="{FF2B5EF4-FFF2-40B4-BE49-F238E27FC236}">
              <a16:creationId xmlns:a16="http://schemas.microsoft.com/office/drawing/2014/main" id="{00000000-0008-0000-0800-0000F5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69" name="Text Box 15">
          <a:extLst>
            <a:ext uri="{FF2B5EF4-FFF2-40B4-BE49-F238E27FC236}">
              <a16:creationId xmlns:a16="http://schemas.microsoft.com/office/drawing/2014/main" id="{00000000-0008-0000-0800-0000F6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70" name="Text Box 15">
          <a:extLst>
            <a:ext uri="{FF2B5EF4-FFF2-40B4-BE49-F238E27FC236}">
              <a16:creationId xmlns:a16="http://schemas.microsoft.com/office/drawing/2014/main" id="{00000000-0008-0000-0800-0000F70D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1" name="Text Box 15">
          <a:extLst>
            <a:ext uri="{FF2B5EF4-FFF2-40B4-BE49-F238E27FC236}">
              <a16:creationId xmlns:a16="http://schemas.microsoft.com/office/drawing/2014/main" id="{00000000-0008-0000-0800-0000F8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2" name="Text Box 15">
          <a:extLst>
            <a:ext uri="{FF2B5EF4-FFF2-40B4-BE49-F238E27FC236}">
              <a16:creationId xmlns:a16="http://schemas.microsoft.com/office/drawing/2014/main" id="{00000000-0008-0000-0800-0000F9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3" name="Text Box 15">
          <a:extLst>
            <a:ext uri="{FF2B5EF4-FFF2-40B4-BE49-F238E27FC236}">
              <a16:creationId xmlns:a16="http://schemas.microsoft.com/office/drawing/2014/main" id="{00000000-0008-0000-0800-0000FA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4" name="Text Box 15">
          <a:extLst>
            <a:ext uri="{FF2B5EF4-FFF2-40B4-BE49-F238E27FC236}">
              <a16:creationId xmlns:a16="http://schemas.microsoft.com/office/drawing/2014/main" id="{00000000-0008-0000-0800-0000FB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5" name="Text Box 15">
          <a:extLst>
            <a:ext uri="{FF2B5EF4-FFF2-40B4-BE49-F238E27FC236}">
              <a16:creationId xmlns:a16="http://schemas.microsoft.com/office/drawing/2014/main" id="{00000000-0008-0000-0800-0000FC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6" name="Text Box 15">
          <a:extLst>
            <a:ext uri="{FF2B5EF4-FFF2-40B4-BE49-F238E27FC236}">
              <a16:creationId xmlns:a16="http://schemas.microsoft.com/office/drawing/2014/main" id="{00000000-0008-0000-0800-0000FD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7" name="Text Box 15">
          <a:extLst>
            <a:ext uri="{FF2B5EF4-FFF2-40B4-BE49-F238E27FC236}">
              <a16:creationId xmlns:a16="http://schemas.microsoft.com/office/drawing/2014/main" id="{00000000-0008-0000-0800-0000FE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578" name="Text Box 15">
          <a:extLst>
            <a:ext uri="{FF2B5EF4-FFF2-40B4-BE49-F238E27FC236}">
              <a16:creationId xmlns:a16="http://schemas.microsoft.com/office/drawing/2014/main" id="{00000000-0008-0000-0800-0000FF0D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79" name="Text Box 15">
          <a:extLst>
            <a:ext uri="{FF2B5EF4-FFF2-40B4-BE49-F238E27FC236}">
              <a16:creationId xmlns:a16="http://schemas.microsoft.com/office/drawing/2014/main" id="{00000000-0008-0000-0800-000000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0" name="Text Box 15">
          <a:extLst>
            <a:ext uri="{FF2B5EF4-FFF2-40B4-BE49-F238E27FC236}">
              <a16:creationId xmlns:a16="http://schemas.microsoft.com/office/drawing/2014/main" id="{00000000-0008-0000-0800-000001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1" name="Text Box 15">
          <a:extLst>
            <a:ext uri="{FF2B5EF4-FFF2-40B4-BE49-F238E27FC236}">
              <a16:creationId xmlns:a16="http://schemas.microsoft.com/office/drawing/2014/main" id="{00000000-0008-0000-0800-000002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2" name="Text Box 15">
          <a:extLst>
            <a:ext uri="{FF2B5EF4-FFF2-40B4-BE49-F238E27FC236}">
              <a16:creationId xmlns:a16="http://schemas.microsoft.com/office/drawing/2014/main" id="{00000000-0008-0000-0800-000003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3" name="Text Box 15">
          <a:extLst>
            <a:ext uri="{FF2B5EF4-FFF2-40B4-BE49-F238E27FC236}">
              <a16:creationId xmlns:a16="http://schemas.microsoft.com/office/drawing/2014/main" id="{00000000-0008-0000-0800-000004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4" name="Text Box 15">
          <a:extLst>
            <a:ext uri="{FF2B5EF4-FFF2-40B4-BE49-F238E27FC236}">
              <a16:creationId xmlns:a16="http://schemas.microsoft.com/office/drawing/2014/main" id="{00000000-0008-0000-0800-000005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5" name="Text Box 15">
          <a:extLst>
            <a:ext uri="{FF2B5EF4-FFF2-40B4-BE49-F238E27FC236}">
              <a16:creationId xmlns:a16="http://schemas.microsoft.com/office/drawing/2014/main" id="{00000000-0008-0000-0800-000006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586" name="Text Box 15">
          <a:extLst>
            <a:ext uri="{FF2B5EF4-FFF2-40B4-BE49-F238E27FC236}">
              <a16:creationId xmlns:a16="http://schemas.microsoft.com/office/drawing/2014/main" id="{00000000-0008-0000-0800-000007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87" name="Text Box 15">
          <a:extLst>
            <a:ext uri="{FF2B5EF4-FFF2-40B4-BE49-F238E27FC236}">
              <a16:creationId xmlns:a16="http://schemas.microsoft.com/office/drawing/2014/main" id="{00000000-0008-0000-0800-000008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88" name="Text Box 15">
          <a:extLst>
            <a:ext uri="{FF2B5EF4-FFF2-40B4-BE49-F238E27FC236}">
              <a16:creationId xmlns:a16="http://schemas.microsoft.com/office/drawing/2014/main" id="{00000000-0008-0000-0800-000009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89" name="Text Box 15">
          <a:extLst>
            <a:ext uri="{FF2B5EF4-FFF2-40B4-BE49-F238E27FC236}">
              <a16:creationId xmlns:a16="http://schemas.microsoft.com/office/drawing/2014/main" id="{00000000-0008-0000-0800-00000A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90" name="Text Box 15">
          <a:extLst>
            <a:ext uri="{FF2B5EF4-FFF2-40B4-BE49-F238E27FC236}">
              <a16:creationId xmlns:a16="http://schemas.microsoft.com/office/drawing/2014/main" id="{00000000-0008-0000-0800-00000B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91" name="Text Box 15">
          <a:extLst>
            <a:ext uri="{FF2B5EF4-FFF2-40B4-BE49-F238E27FC236}">
              <a16:creationId xmlns:a16="http://schemas.microsoft.com/office/drawing/2014/main" id="{00000000-0008-0000-0800-00000C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92" name="Text Box 15">
          <a:extLst>
            <a:ext uri="{FF2B5EF4-FFF2-40B4-BE49-F238E27FC236}">
              <a16:creationId xmlns:a16="http://schemas.microsoft.com/office/drawing/2014/main" id="{00000000-0008-0000-0800-00000D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93" name="Text Box 15">
          <a:extLst>
            <a:ext uri="{FF2B5EF4-FFF2-40B4-BE49-F238E27FC236}">
              <a16:creationId xmlns:a16="http://schemas.microsoft.com/office/drawing/2014/main" id="{00000000-0008-0000-0800-00000E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594" name="Text Box 15">
          <a:extLst>
            <a:ext uri="{FF2B5EF4-FFF2-40B4-BE49-F238E27FC236}">
              <a16:creationId xmlns:a16="http://schemas.microsoft.com/office/drawing/2014/main" id="{00000000-0008-0000-0800-00000F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95" name="Text Box 15">
          <a:extLst>
            <a:ext uri="{FF2B5EF4-FFF2-40B4-BE49-F238E27FC236}">
              <a16:creationId xmlns:a16="http://schemas.microsoft.com/office/drawing/2014/main" id="{00000000-0008-0000-0800-000010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96" name="Text Box 15">
          <a:extLst>
            <a:ext uri="{FF2B5EF4-FFF2-40B4-BE49-F238E27FC236}">
              <a16:creationId xmlns:a16="http://schemas.microsoft.com/office/drawing/2014/main" id="{00000000-0008-0000-0800-000011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97" name="Text Box 15">
          <a:extLst>
            <a:ext uri="{FF2B5EF4-FFF2-40B4-BE49-F238E27FC236}">
              <a16:creationId xmlns:a16="http://schemas.microsoft.com/office/drawing/2014/main" id="{00000000-0008-0000-0800-000012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98" name="Text Box 15">
          <a:extLst>
            <a:ext uri="{FF2B5EF4-FFF2-40B4-BE49-F238E27FC236}">
              <a16:creationId xmlns:a16="http://schemas.microsoft.com/office/drawing/2014/main" id="{00000000-0008-0000-0800-000013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599" name="Text Box 15">
          <a:extLst>
            <a:ext uri="{FF2B5EF4-FFF2-40B4-BE49-F238E27FC236}">
              <a16:creationId xmlns:a16="http://schemas.microsoft.com/office/drawing/2014/main" id="{00000000-0008-0000-0800-000014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00" name="Text Box 15">
          <a:extLst>
            <a:ext uri="{FF2B5EF4-FFF2-40B4-BE49-F238E27FC236}">
              <a16:creationId xmlns:a16="http://schemas.microsoft.com/office/drawing/2014/main" id="{00000000-0008-0000-0800-000015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01" name="Text Box 15">
          <a:extLst>
            <a:ext uri="{FF2B5EF4-FFF2-40B4-BE49-F238E27FC236}">
              <a16:creationId xmlns:a16="http://schemas.microsoft.com/office/drawing/2014/main" id="{00000000-0008-0000-0800-000016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02" name="Text Box 15">
          <a:extLst>
            <a:ext uri="{FF2B5EF4-FFF2-40B4-BE49-F238E27FC236}">
              <a16:creationId xmlns:a16="http://schemas.microsoft.com/office/drawing/2014/main" id="{00000000-0008-0000-0800-000017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3" name="Text Box 15">
          <a:extLst>
            <a:ext uri="{FF2B5EF4-FFF2-40B4-BE49-F238E27FC236}">
              <a16:creationId xmlns:a16="http://schemas.microsoft.com/office/drawing/2014/main" id="{00000000-0008-0000-0800-000018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4" name="Text Box 15">
          <a:extLst>
            <a:ext uri="{FF2B5EF4-FFF2-40B4-BE49-F238E27FC236}">
              <a16:creationId xmlns:a16="http://schemas.microsoft.com/office/drawing/2014/main" id="{00000000-0008-0000-0800-000019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5" name="Text Box 15">
          <a:extLst>
            <a:ext uri="{FF2B5EF4-FFF2-40B4-BE49-F238E27FC236}">
              <a16:creationId xmlns:a16="http://schemas.microsoft.com/office/drawing/2014/main" id="{00000000-0008-0000-0800-00001A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6" name="Text Box 15">
          <a:extLst>
            <a:ext uri="{FF2B5EF4-FFF2-40B4-BE49-F238E27FC236}">
              <a16:creationId xmlns:a16="http://schemas.microsoft.com/office/drawing/2014/main" id="{00000000-0008-0000-0800-00001B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7" name="Text Box 15">
          <a:extLst>
            <a:ext uri="{FF2B5EF4-FFF2-40B4-BE49-F238E27FC236}">
              <a16:creationId xmlns:a16="http://schemas.microsoft.com/office/drawing/2014/main" id="{00000000-0008-0000-0800-00001C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8" name="Text Box 15">
          <a:extLst>
            <a:ext uri="{FF2B5EF4-FFF2-40B4-BE49-F238E27FC236}">
              <a16:creationId xmlns:a16="http://schemas.microsoft.com/office/drawing/2014/main" id="{00000000-0008-0000-0800-00001D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09" name="Text Box 15">
          <a:extLst>
            <a:ext uri="{FF2B5EF4-FFF2-40B4-BE49-F238E27FC236}">
              <a16:creationId xmlns:a16="http://schemas.microsoft.com/office/drawing/2014/main" id="{00000000-0008-0000-0800-00001E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10" name="Text Box 15">
          <a:extLst>
            <a:ext uri="{FF2B5EF4-FFF2-40B4-BE49-F238E27FC236}">
              <a16:creationId xmlns:a16="http://schemas.microsoft.com/office/drawing/2014/main" id="{00000000-0008-0000-0800-00001F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1" name="Text Box 15">
          <a:extLst>
            <a:ext uri="{FF2B5EF4-FFF2-40B4-BE49-F238E27FC236}">
              <a16:creationId xmlns:a16="http://schemas.microsoft.com/office/drawing/2014/main" id="{00000000-0008-0000-0800-000020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2" name="Text Box 15">
          <a:extLst>
            <a:ext uri="{FF2B5EF4-FFF2-40B4-BE49-F238E27FC236}">
              <a16:creationId xmlns:a16="http://schemas.microsoft.com/office/drawing/2014/main" id="{00000000-0008-0000-0800-000021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3" name="Text Box 15">
          <a:extLst>
            <a:ext uri="{FF2B5EF4-FFF2-40B4-BE49-F238E27FC236}">
              <a16:creationId xmlns:a16="http://schemas.microsoft.com/office/drawing/2014/main" id="{00000000-0008-0000-0800-000022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4" name="Text Box 15">
          <a:extLst>
            <a:ext uri="{FF2B5EF4-FFF2-40B4-BE49-F238E27FC236}">
              <a16:creationId xmlns:a16="http://schemas.microsoft.com/office/drawing/2014/main" id="{00000000-0008-0000-0800-000023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5" name="Text Box 15">
          <a:extLst>
            <a:ext uri="{FF2B5EF4-FFF2-40B4-BE49-F238E27FC236}">
              <a16:creationId xmlns:a16="http://schemas.microsoft.com/office/drawing/2014/main" id="{00000000-0008-0000-0800-000024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6" name="Text Box 15">
          <a:extLst>
            <a:ext uri="{FF2B5EF4-FFF2-40B4-BE49-F238E27FC236}">
              <a16:creationId xmlns:a16="http://schemas.microsoft.com/office/drawing/2014/main" id="{00000000-0008-0000-0800-000025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7" name="Text Box 15">
          <a:extLst>
            <a:ext uri="{FF2B5EF4-FFF2-40B4-BE49-F238E27FC236}">
              <a16:creationId xmlns:a16="http://schemas.microsoft.com/office/drawing/2014/main" id="{00000000-0008-0000-0800-000026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18" name="Text Box 15">
          <a:extLst>
            <a:ext uri="{FF2B5EF4-FFF2-40B4-BE49-F238E27FC236}">
              <a16:creationId xmlns:a16="http://schemas.microsoft.com/office/drawing/2014/main" id="{00000000-0008-0000-0800-000027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19" name="Text Box 15">
          <a:extLst>
            <a:ext uri="{FF2B5EF4-FFF2-40B4-BE49-F238E27FC236}">
              <a16:creationId xmlns:a16="http://schemas.microsoft.com/office/drawing/2014/main" id="{00000000-0008-0000-0800-000028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0" name="Text Box 15">
          <a:extLst>
            <a:ext uri="{FF2B5EF4-FFF2-40B4-BE49-F238E27FC236}">
              <a16:creationId xmlns:a16="http://schemas.microsoft.com/office/drawing/2014/main" id="{00000000-0008-0000-0800-000029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1" name="Text Box 15">
          <a:extLst>
            <a:ext uri="{FF2B5EF4-FFF2-40B4-BE49-F238E27FC236}">
              <a16:creationId xmlns:a16="http://schemas.microsoft.com/office/drawing/2014/main" id="{00000000-0008-0000-0800-00002A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2" name="Text Box 15">
          <a:extLst>
            <a:ext uri="{FF2B5EF4-FFF2-40B4-BE49-F238E27FC236}">
              <a16:creationId xmlns:a16="http://schemas.microsoft.com/office/drawing/2014/main" id="{00000000-0008-0000-0800-00002B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3" name="Text Box 15">
          <a:extLst>
            <a:ext uri="{FF2B5EF4-FFF2-40B4-BE49-F238E27FC236}">
              <a16:creationId xmlns:a16="http://schemas.microsoft.com/office/drawing/2014/main" id="{00000000-0008-0000-0800-00002C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4" name="Text Box 15">
          <a:extLst>
            <a:ext uri="{FF2B5EF4-FFF2-40B4-BE49-F238E27FC236}">
              <a16:creationId xmlns:a16="http://schemas.microsoft.com/office/drawing/2014/main" id="{00000000-0008-0000-0800-00002D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5" name="Text Box 15">
          <a:extLst>
            <a:ext uri="{FF2B5EF4-FFF2-40B4-BE49-F238E27FC236}">
              <a16:creationId xmlns:a16="http://schemas.microsoft.com/office/drawing/2014/main" id="{00000000-0008-0000-0800-00002E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3626" name="Text Box 15">
          <a:extLst>
            <a:ext uri="{FF2B5EF4-FFF2-40B4-BE49-F238E27FC236}">
              <a16:creationId xmlns:a16="http://schemas.microsoft.com/office/drawing/2014/main" id="{00000000-0008-0000-0800-00002F0E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27" name="Text Box 15">
          <a:extLst>
            <a:ext uri="{FF2B5EF4-FFF2-40B4-BE49-F238E27FC236}">
              <a16:creationId xmlns:a16="http://schemas.microsoft.com/office/drawing/2014/main" id="{00000000-0008-0000-0800-000030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28" name="Text Box 15">
          <a:extLst>
            <a:ext uri="{FF2B5EF4-FFF2-40B4-BE49-F238E27FC236}">
              <a16:creationId xmlns:a16="http://schemas.microsoft.com/office/drawing/2014/main" id="{00000000-0008-0000-0800-000031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29" name="Text Box 15">
          <a:extLst>
            <a:ext uri="{FF2B5EF4-FFF2-40B4-BE49-F238E27FC236}">
              <a16:creationId xmlns:a16="http://schemas.microsoft.com/office/drawing/2014/main" id="{00000000-0008-0000-0800-000032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30" name="Text Box 15">
          <a:extLst>
            <a:ext uri="{FF2B5EF4-FFF2-40B4-BE49-F238E27FC236}">
              <a16:creationId xmlns:a16="http://schemas.microsoft.com/office/drawing/2014/main" id="{00000000-0008-0000-0800-000033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31" name="Text Box 15">
          <a:extLst>
            <a:ext uri="{FF2B5EF4-FFF2-40B4-BE49-F238E27FC236}">
              <a16:creationId xmlns:a16="http://schemas.microsoft.com/office/drawing/2014/main" id="{00000000-0008-0000-0800-000034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32" name="Text Box 15">
          <a:extLst>
            <a:ext uri="{FF2B5EF4-FFF2-40B4-BE49-F238E27FC236}">
              <a16:creationId xmlns:a16="http://schemas.microsoft.com/office/drawing/2014/main" id="{00000000-0008-0000-0800-000035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33" name="Text Box 15">
          <a:extLst>
            <a:ext uri="{FF2B5EF4-FFF2-40B4-BE49-F238E27FC236}">
              <a16:creationId xmlns:a16="http://schemas.microsoft.com/office/drawing/2014/main" id="{00000000-0008-0000-0800-000036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3634" name="Text Box 15">
          <a:extLst>
            <a:ext uri="{FF2B5EF4-FFF2-40B4-BE49-F238E27FC236}">
              <a16:creationId xmlns:a16="http://schemas.microsoft.com/office/drawing/2014/main" id="{00000000-0008-0000-0800-0000370E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35" name="Text Box 15">
          <a:extLst>
            <a:ext uri="{FF2B5EF4-FFF2-40B4-BE49-F238E27FC236}">
              <a16:creationId xmlns:a16="http://schemas.microsoft.com/office/drawing/2014/main" id="{00000000-0008-0000-0800-000038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36" name="Text Box 15">
          <a:extLst>
            <a:ext uri="{FF2B5EF4-FFF2-40B4-BE49-F238E27FC236}">
              <a16:creationId xmlns:a16="http://schemas.microsoft.com/office/drawing/2014/main" id="{00000000-0008-0000-0800-000039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37" name="Text Box 15">
          <a:extLst>
            <a:ext uri="{FF2B5EF4-FFF2-40B4-BE49-F238E27FC236}">
              <a16:creationId xmlns:a16="http://schemas.microsoft.com/office/drawing/2014/main" id="{00000000-0008-0000-0800-00003A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38" name="Text Box 15">
          <a:extLst>
            <a:ext uri="{FF2B5EF4-FFF2-40B4-BE49-F238E27FC236}">
              <a16:creationId xmlns:a16="http://schemas.microsoft.com/office/drawing/2014/main" id="{00000000-0008-0000-0800-00003B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39" name="Text Box 15">
          <a:extLst>
            <a:ext uri="{FF2B5EF4-FFF2-40B4-BE49-F238E27FC236}">
              <a16:creationId xmlns:a16="http://schemas.microsoft.com/office/drawing/2014/main" id="{00000000-0008-0000-0800-00003C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40" name="Text Box 15">
          <a:extLst>
            <a:ext uri="{FF2B5EF4-FFF2-40B4-BE49-F238E27FC236}">
              <a16:creationId xmlns:a16="http://schemas.microsoft.com/office/drawing/2014/main" id="{00000000-0008-0000-0800-00003D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41" name="Text Box 15">
          <a:extLst>
            <a:ext uri="{FF2B5EF4-FFF2-40B4-BE49-F238E27FC236}">
              <a16:creationId xmlns:a16="http://schemas.microsoft.com/office/drawing/2014/main" id="{00000000-0008-0000-0800-00003E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42" name="Text Box 15">
          <a:extLst>
            <a:ext uri="{FF2B5EF4-FFF2-40B4-BE49-F238E27FC236}">
              <a16:creationId xmlns:a16="http://schemas.microsoft.com/office/drawing/2014/main" id="{00000000-0008-0000-0800-00003F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3" name="Text Box 15">
          <a:extLst>
            <a:ext uri="{FF2B5EF4-FFF2-40B4-BE49-F238E27FC236}">
              <a16:creationId xmlns:a16="http://schemas.microsoft.com/office/drawing/2014/main" id="{00000000-0008-0000-0800-000040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4" name="Text Box 15">
          <a:extLst>
            <a:ext uri="{FF2B5EF4-FFF2-40B4-BE49-F238E27FC236}">
              <a16:creationId xmlns:a16="http://schemas.microsoft.com/office/drawing/2014/main" id="{00000000-0008-0000-0800-000041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5" name="Text Box 15">
          <a:extLst>
            <a:ext uri="{FF2B5EF4-FFF2-40B4-BE49-F238E27FC236}">
              <a16:creationId xmlns:a16="http://schemas.microsoft.com/office/drawing/2014/main" id="{00000000-0008-0000-0800-000042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6" name="Text Box 15">
          <a:extLst>
            <a:ext uri="{FF2B5EF4-FFF2-40B4-BE49-F238E27FC236}">
              <a16:creationId xmlns:a16="http://schemas.microsoft.com/office/drawing/2014/main" id="{00000000-0008-0000-0800-000043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7" name="Text Box 15">
          <a:extLst>
            <a:ext uri="{FF2B5EF4-FFF2-40B4-BE49-F238E27FC236}">
              <a16:creationId xmlns:a16="http://schemas.microsoft.com/office/drawing/2014/main" id="{00000000-0008-0000-0800-000044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8" name="Text Box 15">
          <a:extLst>
            <a:ext uri="{FF2B5EF4-FFF2-40B4-BE49-F238E27FC236}">
              <a16:creationId xmlns:a16="http://schemas.microsoft.com/office/drawing/2014/main" id="{00000000-0008-0000-0800-000045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49" name="Text Box 15">
          <a:extLst>
            <a:ext uri="{FF2B5EF4-FFF2-40B4-BE49-F238E27FC236}">
              <a16:creationId xmlns:a16="http://schemas.microsoft.com/office/drawing/2014/main" id="{00000000-0008-0000-0800-000046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50" name="Text Box 15">
          <a:extLst>
            <a:ext uri="{FF2B5EF4-FFF2-40B4-BE49-F238E27FC236}">
              <a16:creationId xmlns:a16="http://schemas.microsoft.com/office/drawing/2014/main" id="{00000000-0008-0000-0800-000047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1" name="Text Box 15">
          <a:extLst>
            <a:ext uri="{FF2B5EF4-FFF2-40B4-BE49-F238E27FC236}">
              <a16:creationId xmlns:a16="http://schemas.microsoft.com/office/drawing/2014/main" id="{00000000-0008-0000-0800-000048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2" name="Text Box 15">
          <a:extLst>
            <a:ext uri="{FF2B5EF4-FFF2-40B4-BE49-F238E27FC236}">
              <a16:creationId xmlns:a16="http://schemas.microsoft.com/office/drawing/2014/main" id="{00000000-0008-0000-0800-000049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3" name="Text Box 15">
          <a:extLst>
            <a:ext uri="{FF2B5EF4-FFF2-40B4-BE49-F238E27FC236}">
              <a16:creationId xmlns:a16="http://schemas.microsoft.com/office/drawing/2014/main" id="{00000000-0008-0000-0800-00004A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4" name="Text Box 15">
          <a:extLst>
            <a:ext uri="{FF2B5EF4-FFF2-40B4-BE49-F238E27FC236}">
              <a16:creationId xmlns:a16="http://schemas.microsoft.com/office/drawing/2014/main" id="{00000000-0008-0000-0800-00004B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5" name="Text Box 15">
          <a:extLst>
            <a:ext uri="{FF2B5EF4-FFF2-40B4-BE49-F238E27FC236}">
              <a16:creationId xmlns:a16="http://schemas.microsoft.com/office/drawing/2014/main" id="{00000000-0008-0000-0800-00004C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6" name="Text Box 15">
          <a:extLst>
            <a:ext uri="{FF2B5EF4-FFF2-40B4-BE49-F238E27FC236}">
              <a16:creationId xmlns:a16="http://schemas.microsoft.com/office/drawing/2014/main" id="{00000000-0008-0000-0800-00004D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7" name="Text Box 15">
          <a:extLst>
            <a:ext uri="{FF2B5EF4-FFF2-40B4-BE49-F238E27FC236}">
              <a16:creationId xmlns:a16="http://schemas.microsoft.com/office/drawing/2014/main" id="{00000000-0008-0000-0800-00004E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58" name="Text Box 15">
          <a:extLst>
            <a:ext uri="{FF2B5EF4-FFF2-40B4-BE49-F238E27FC236}">
              <a16:creationId xmlns:a16="http://schemas.microsoft.com/office/drawing/2014/main" id="{00000000-0008-0000-0800-00004F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59" name="Text Box 15">
          <a:extLst>
            <a:ext uri="{FF2B5EF4-FFF2-40B4-BE49-F238E27FC236}">
              <a16:creationId xmlns:a16="http://schemas.microsoft.com/office/drawing/2014/main" id="{00000000-0008-0000-0800-000050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0" name="Text Box 15">
          <a:extLst>
            <a:ext uri="{FF2B5EF4-FFF2-40B4-BE49-F238E27FC236}">
              <a16:creationId xmlns:a16="http://schemas.microsoft.com/office/drawing/2014/main" id="{00000000-0008-0000-0800-000051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1" name="Text Box 15">
          <a:extLst>
            <a:ext uri="{FF2B5EF4-FFF2-40B4-BE49-F238E27FC236}">
              <a16:creationId xmlns:a16="http://schemas.microsoft.com/office/drawing/2014/main" id="{00000000-0008-0000-0800-000052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2" name="Text Box 15">
          <a:extLst>
            <a:ext uri="{FF2B5EF4-FFF2-40B4-BE49-F238E27FC236}">
              <a16:creationId xmlns:a16="http://schemas.microsoft.com/office/drawing/2014/main" id="{00000000-0008-0000-0800-000053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3" name="Text Box 15">
          <a:extLst>
            <a:ext uri="{FF2B5EF4-FFF2-40B4-BE49-F238E27FC236}">
              <a16:creationId xmlns:a16="http://schemas.microsoft.com/office/drawing/2014/main" id="{00000000-0008-0000-0800-000054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4" name="Text Box 15">
          <a:extLst>
            <a:ext uri="{FF2B5EF4-FFF2-40B4-BE49-F238E27FC236}">
              <a16:creationId xmlns:a16="http://schemas.microsoft.com/office/drawing/2014/main" id="{00000000-0008-0000-0800-000055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5" name="Text Box 15">
          <a:extLst>
            <a:ext uri="{FF2B5EF4-FFF2-40B4-BE49-F238E27FC236}">
              <a16:creationId xmlns:a16="http://schemas.microsoft.com/office/drawing/2014/main" id="{00000000-0008-0000-0800-000056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66" name="Text Box 15">
          <a:extLst>
            <a:ext uri="{FF2B5EF4-FFF2-40B4-BE49-F238E27FC236}">
              <a16:creationId xmlns:a16="http://schemas.microsoft.com/office/drawing/2014/main" id="{00000000-0008-0000-0800-000057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67" name="Text Box 15">
          <a:extLst>
            <a:ext uri="{FF2B5EF4-FFF2-40B4-BE49-F238E27FC236}">
              <a16:creationId xmlns:a16="http://schemas.microsoft.com/office/drawing/2014/main" id="{00000000-0008-0000-0800-000058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68" name="Text Box 15">
          <a:extLst>
            <a:ext uri="{FF2B5EF4-FFF2-40B4-BE49-F238E27FC236}">
              <a16:creationId xmlns:a16="http://schemas.microsoft.com/office/drawing/2014/main" id="{00000000-0008-0000-0800-000059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69" name="Text Box 15">
          <a:extLst>
            <a:ext uri="{FF2B5EF4-FFF2-40B4-BE49-F238E27FC236}">
              <a16:creationId xmlns:a16="http://schemas.microsoft.com/office/drawing/2014/main" id="{00000000-0008-0000-0800-00005A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70" name="Text Box 15">
          <a:extLst>
            <a:ext uri="{FF2B5EF4-FFF2-40B4-BE49-F238E27FC236}">
              <a16:creationId xmlns:a16="http://schemas.microsoft.com/office/drawing/2014/main" id="{00000000-0008-0000-0800-00005B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71" name="Text Box 15">
          <a:extLst>
            <a:ext uri="{FF2B5EF4-FFF2-40B4-BE49-F238E27FC236}">
              <a16:creationId xmlns:a16="http://schemas.microsoft.com/office/drawing/2014/main" id="{00000000-0008-0000-0800-00005C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72" name="Text Box 15">
          <a:extLst>
            <a:ext uri="{FF2B5EF4-FFF2-40B4-BE49-F238E27FC236}">
              <a16:creationId xmlns:a16="http://schemas.microsoft.com/office/drawing/2014/main" id="{00000000-0008-0000-0800-00005D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73" name="Text Box 15">
          <a:extLst>
            <a:ext uri="{FF2B5EF4-FFF2-40B4-BE49-F238E27FC236}">
              <a16:creationId xmlns:a16="http://schemas.microsoft.com/office/drawing/2014/main" id="{00000000-0008-0000-0800-00005E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74" name="Text Box 15">
          <a:extLst>
            <a:ext uri="{FF2B5EF4-FFF2-40B4-BE49-F238E27FC236}">
              <a16:creationId xmlns:a16="http://schemas.microsoft.com/office/drawing/2014/main" id="{00000000-0008-0000-0800-00005F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75" name="Text Box 15">
          <a:extLst>
            <a:ext uri="{FF2B5EF4-FFF2-40B4-BE49-F238E27FC236}">
              <a16:creationId xmlns:a16="http://schemas.microsoft.com/office/drawing/2014/main" id="{00000000-0008-0000-0800-000060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76" name="Text Box 15">
          <a:extLst>
            <a:ext uri="{FF2B5EF4-FFF2-40B4-BE49-F238E27FC236}">
              <a16:creationId xmlns:a16="http://schemas.microsoft.com/office/drawing/2014/main" id="{00000000-0008-0000-0800-000061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77" name="Text Box 15">
          <a:extLst>
            <a:ext uri="{FF2B5EF4-FFF2-40B4-BE49-F238E27FC236}">
              <a16:creationId xmlns:a16="http://schemas.microsoft.com/office/drawing/2014/main" id="{00000000-0008-0000-0800-000062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78" name="Text Box 15">
          <a:extLst>
            <a:ext uri="{FF2B5EF4-FFF2-40B4-BE49-F238E27FC236}">
              <a16:creationId xmlns:a16="http://schemas.microsoft.com/office/drawing/2014/main" id="{00000000-0008-0000-0800-000063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79" name="Text Box 15">
          <a:extLst>
            <a:ext uri="{FF2B5EF4-FFF2-40B4-BE49-F238E27FC236}">
              <a16:creationId xmlns:a16="http://schemas.microsoft.com/office/drawing/2014/main" id="{00000000-0008-0000-0800-000064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80" name="Text Box 15">
          <a:extLst>
            <a:ext uri="{FF2B5EF4-FFF2-40B4-BE49-F238E27FC236}">
              <a16:creationId xmlns:a16="http://schemas.microsoft.com/office/drawing/2014/main" id="{00000000-0008-0000-0800-000065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81" name="Text Box 15">
          <a:extLst>
            <a:ext uri="{FF2B5EF4-FFF2-40B4-BE49-F238E27FC236}">
              <a16:creationId xmlns:a16="http://schemas.microsoft.com/office/drawing/2014/main" id="{00000000-0008-0000-0800-000066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682" name="Text Box 15">
          <a:extLst>
            <a:ext uri="{FF2B5EF4-FFF2-40B4-BE49-F238E27FC236}">
              <a16:creationId xmlns:a16="http://schemas.microsoft.com/office/drawing/2014/main" id="{00000000-0008-0000-0800-000067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3" name="Text Box 15">
          <a:extLst>
            <a:ext uri="{FF2B5EF4-FFF2-40B4-BE49-F238E27FC236}">
              <a16:creationId xmlns:a16="http://schemas.microsoft.com/office/drawing/2014/main" id="{00000000-0008-0000-0800-000068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4" name="Text Box 15">
          <a:extLst>
            <a:ext uri="{FF2B5EF4-FFF2-40B4-BE49-F238E27FC236}">
              <a16:creationId xmlns:a16="http://schemas.microsoft.com/office/drawing/2014/main" id="{00000000-0008-0000-0800-000069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5" name="Text Box 15">
          <a:extLst>
            <a:ext uri="{FF2B5EF4-FFF2-40B4-BE49-F238E27FC236}">
              <a16:creationId xmlns:a16="http://schemas.microsoft.com/office/drawing/2014/main" id="{00000000-0008-0000-0800-00006A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6" name="Text Box 15">
          <a:extLst>
            <a:ext uri="{FF2B5EF4-FFF2-40B4-BE49-F238E27FC236}">
              <a16:creationId xmlns:a16="http://schemas.microsoft.com/office/drawing/2014/main" id="{00000000-0008-0000-0800-00006B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7" name="Text Box 15">
          <a:extLst>
            <a:ext uri="{FF2B5EF4-FFF2-40B4-BE49-F238E27FC236}">
              <a16:creationId xmlns:a16="http://schemas.microsoft.com/office/drawing/2014/main" id="{00000000-0008-0000-0800-00006C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8" name="Text Box 15">
          <a:extLst>
            <a:ext uri="{FF2B5EF4-FFF2-40B4-BE49-F238E27FC236}">
              <a16:creationId xmlns:a16="http://schemas.microsoft.com/office/drawing/2014/main" id="{00000000-0008-0000-0800-00006D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89" name="Text Box 15">
          <a:extLst>
            <a:ext uri="{FF2B5EF4-FFF2-40B4-BE49-F238E27FC236}">
              <a16:creationId xmlns:a16="http://schemas.microsoft.com/office/drawing/2014/main" id="{00000000-0008-0000-0800-00006E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690" name="Text Box 15">
          <a:extLst>
            <a:ext uri="{FF2B5EF4-FFF2-40B4-BE49-F238E27FC236}">
              <a16:creationId xmlns:a16="http://schemas.microsoft.com/office/drawing/2014/main" id="{00000000-0008-0000-0800-00006F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1" name="Text Box 15">
          <a:extLst>
            <a:ext uri="{FF2B5EF4-FFF2-40B4-BE49-F238E27FC236}">
              <a16:creationId xmlns:a16="http://schemas.microsoft.com/office/drawing/2014/main" id="{00000000-0008-0000-0800-000070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2" name="Text Box 15">
          <a:extLst>
            <a:ext uri="{FF2B5EF4-FFF2-40B4-BE49-F238E27FC236}">
              <a16:creationId xmlns:a16="http://schemas.microsoft.com/office/drawing/2014/main" id="{00000000-0008-0000-0800-000071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3" name="Text Box 15">
          <a:extLst>
            <a:ext uri="{FF2B5EF4-FFF2-40B4-BE49-F238E27FC236}">
              <a16:creationId xmlns:a16="http://schemas.microsoft.com/office/drawing/2014/main" id="{00000000-0008-0000-0800-000072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4" name="Text Box 15">
          <a:extLst>
            <a:ext uri="{FF2B5EF4-FFF2-40B4-BE49-F238E27FC236}">
              <a16:creationId xmlns:a16="http://schemas.microsoft.com/office/drawing/2014/main" id="{00000000-0008-0000-0800-000073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5" name="Text Box 15">
          <a:extLst>
            <a:ext uri="{FF2B5EF4-FFF2-40B4-BE49-F238E27FC236}">
              <a16:creationId xmlns:a16="http://schemas.microsoft.com/office/drawing/2014/main" id="{00000000-0008-0000-0800-000074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6" name="Text Box 15">
          <a:extLst>
            <a:ext uri="{FF2B5EF4-FFF2-40B4-BE49-F238E27FC236}">
              <a16:creationId xmlns:a16="http://schemas.microsoft.com/office/drawing/2014/main" id="{00000000-0008-0000-0800-000075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7" name="Text Box 15">
          <a:extLst>
            <a:ext uri="{FF2B5EF4-FFF2-40B4-BE49-F238E27FC236}">
              <a16:creationId xmlns:a16="http://schemas.microsoft.com/office/drawing/2014/main" id="{00000000-0008-0000-0800-000076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698" name="Text Box 15">
          <a:extLst>
            <a:ext uri="{FF2B5EF4-FFF2-40B4-BE49-F238E27FC236}">
              <a16:creationId xmlns:a16="http://schemas.microsoft.com/office/drawing/2014/main" id="{00000000-0008-0000-0800-000077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699" name="Text Box 15">
          <a:extLst>
            <a:ext uri="{FF2B5EF4-FFF2-40B4-BE49-F238E27FC236}">
              <a16:creationId xmlns:a16="http://schemas.microsoft.com/office/drawing/2014/main" id="{00000000-0008-0000-0800-000078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0" name="Text Box 15">
          <a:extLst>
            <a:ext uri="{FF2B5EF4-FFF2-40B4-BE49-F238E27FC236}">
              <a16:creationId xmlns:a16="http://schemas.microsoft.com/office/drawing/2014/main" id="{00000000-0008-0000-0800-000079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1" name="Text Box 15">
          <a:extLst>
            <a:ext uri="{FF2B5EF4-FFF2-40B4-BE49-F238E27FC236}">
              <a16:creationId xmlns:a16="http://schemas.microsoft.com/office/drawing/2014/main" id="{00000000-0008-0000-0800-00007A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2" name="Text Box 15">
          <a:extLst>
            <a:ext uri="{FF2B5EF4-FFF2-40B4-BE49-F238E27FC236}">
              <a16:creationId xmlns:a16="http://schemas.microsoft.com/office/drawing/2014/main" id="{00000000-0008-0000-0800-00007B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3" name="Text Box 15">
          <a:extLst>
            <a:ext uri="{FF2B5EF4-FFF2-40B4-BE49-F238E27FC236}">
              <a16:creationId xmlns:a16="http://schemas.microsoft.com/office/drawing/2014/main" id="{00000000-0008-0000-0800-00007C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4" name="Text Box 15">
          <a:extLst>
            <a:ext uri="{FF2B5EF4-FFF2-40B4-BE49-F238E27FC236}">
              <a16:creationId xmlns:a16="http://schemas.microsoft.com/office/drawing/2014/main" id="{00000000-0008-0000-0800-00007D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5" name="Text Box 15">
          <a:extLst>
            <a:ext uri="{FF2B5EF4-FFF2-40B4-BE49-F238E27FC236}">
              <a16:creationId xmlns:a16="http://schemas.microsoft.com/office/drawing/2014/main" id="{00000000-0008-0000-0800-00007E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06" name="Text Box 15">
          <a:extLst>
            <a:ext uri="{FF2B5EF4-FFF2-40B4-BE49-F238E27FC236}">
              <a16:creationId xmlns:a16="http://schemas.microsoft.com/office/drawing/2014/main" id="{00000000-0008-0000-0800-00007F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07" name="Text Box 15">
          <a:extLst>
            <a:ext uri="{FF2B5EF4-FFF2-40B4-BE49-F238E27FC236}">
              <a16:creationId xmlns:a16="http://schemas.microsoft.com/office/drawing/2014/main" id="{00000000-0008-0000-0800-000080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08" name="Text Box 15">
          <a:extLst>
            <a:ext uri="{FF2B5EF4-FFF2-40B4-BE49-F238E27FC236}">
              <a16:creationId xmlns:a16="http://schemas.microsoft.com/office/drawing/2014/main" id="{00000000-0008-0000-0800-000081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09" name="Text Box 15">
          <a:extLst>
            <a:ext uri="{FF2B5EF4-FFF2-40B4-BE49-F238E27FC236}">
              <a16:creationId xmlns:a16="http://schemas.microsoft.com/office/drawing/2014/main" id="{00000000-0008-0000-0800-000082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10" name="Text Box 15">
          <a:extLst>
            <a:ext uri="{FF2B5EF4-FFF2-40B4-BE49-F238E27FC236}">
              <a16:creationId xmlns:a16="http://schemas.microsoft.com/office/drawing/2014/main" id="{00000000-0008-0000-0800-000083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11" name="Text Box 15">
          <a:extLst>
            <a:ext uri="{FF2B5EF4-FFF2-40B4-BE49-F238E27FC236}">
              <a16:creationId xmlns:a16="http://schemas.microsoft.com/office/drawing/2014/main" id="{00000000-0008-0000-0800-000084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12" name="Text Box 15">
          <a:extLst>
            <a:ext uri="{FF2B5EF4-FFF2-40B4-BE49-F238E27FC236}">
              <a16:creationId xmlns:a16="http://schemas.microsoft.com/office/drawing/2014/main" id="{00000000-0008-0000-0800-000085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13" name="Text Box 15">
          <a:extLst>
            <a:ext uri="{FF2B5EF4-FFF2-40B4-BE49-F238E27FC236}">
              <a16:creationId xmlns:a16="http://schemas.microsoft.com/office/drawing/2014/main" id="{00000000-0008-0000-0800-000086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3714" name="Text Box 15">
          <a:extLst>
            <a:ext uri="{FF2B5EF4-FFF2-40B4-BE49-F238E27FC236}">
              <a16:creationId xmlns:a16="http://schemas.microsoft.com/office/drawing/2014/main" id="{00000000-0008-0000-0800-0000870E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15" name="Text Box 15">
          <a:extLst>
            <a:ext uri="{FF2B5EF4-FFF2-40B4-BE49-F238E27FC236}">
              <a16:creationId xmlns:a16="http://schemas.microsoft.com/office/drawing/2014/main" id="{00000000-0008-0000-0800-000088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16" name="Text Box 15">
          <a:extLst>
            <a:ext uri="{FF2B5EF4-FFF2-40B4-BE49-F238E27FC236}">
              <a16:creationId xmlns:a16="http://schemas.microsoft.com/office/drawing/2014/main" id="{00000000-0008-0000-0800-000089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17" name="Text Box 15">
          <a:extLst>
            <a:ext uri="{FF2B5EF4-FFF2-40B4-BE49-F238E27FC236}">
              <a16:creationId xmlns:a16="http://schemas.microsoft.com/office/drawing/2014/main" id="{00000000-0008-0000-0800-00008A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18" name="Text Box 15">
          <a:extLst>
            <a:ext uri="{FF2B5EF4-FFF2-40B4-BE49-F238E27FC236}">
              <a16:creationId xmlns:a16="http://schemas.microsoft.com/office/drawing/2014/main" id="{00000000-0008-0000-0800-00008B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19" name="Text Box 15">
          <a:extLst>
            <a:ext uri="{FF2B5EF4-FFF2-40B4-BE49-F238E27FC236}">
              <a16:creationId xmlns:a16="http://schemas.microsoft.com/office/drawing/2014/main" id="{00000000-0008-0000-0800-00008C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20" name="Text Box 15">
          <a:extLst>
            <a:ext uri="{FF2B5EF4-FFF2-40B4-BE49-F238E27FC236}">
              <a16:creationId xmlns:a16="http://schemas.microsoft.com/office/drawing/2014/main" id="{00000000-0008-0000-0800-00008D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21" name="Text Box 15">
          <a:extLst>
            <a:ext uri="{FF2B5EF4-FFF2-40B4-BE49-F238E27FC236}">
              <a16:creationId xmlns:a16="http://schemas.microsoft.com/office/drawing/2014/main" id="{00000000-0008-0000-0800-00008E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22" name="Text Box 15">
          <a:extLst>
            <a:ext uri="{FF2B5EF4-FFF2-40B4-BE49-F238E27FC236}">
              <a16:creationId xmlns:a16="http://schemas.microsoft.com/office/drawing/2014/main" id="{00000000-0008-0000-0800-00008F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3" name="Text Box 15">
          <a:extLst>
            <a:ext uri="{FF2B5EF4-FFF2-40B4-BE49-F238E27FC236}">
              <a16:creationId xmlns:a16="http://schemas.microsoft.com/office/drawing/2014/main" id="{00000000-0008-0000-0800-000090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4" name="Text Box 15">
          <a:extLst>
            <a:ext uri="{FF2B5EF4-FFF2-40B4-BE49-F238E27FC236}">
              <a16:creationId xmlns:a16="http://schemas.microsoft.com/office/drawing/2014/main" id="{00000000-0008-0000-0800-000091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5" name="Text Box 15">
          <a:extLst>
            <a:ext uri="{FF2B5EF4-FFF2-40B4-BE49-F238E27FC236}">
              <a16:creationId xmlns:a16="http://schemas.microsoft.com/office/drawing/2014/main" id="{00000000-0008-0000-0800-000092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6" name="Text Box 15">
          <a:extLst>
            <a:ext uri="{FF2B5EF4-FFF2-40B4-BE49-F238E27FC236}">
              <a16:creationId xmlns:a16="http://schemas.microsoft.com/office/drawing/2014/main" id="{00000000-0008-0000-0800-000093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7" name="Text Box 15">
          <a:extLst>
            <a:ext uri="{FF2B5EF4-FFF2-40B4-BE49-F238E27FC236}">
              <a16:creationId xmlns:a16="http://schemas.microsoft.com/office/drawing/2014/main" id="{00000000-0008-0000-0800-000094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8" name="Text Box 15">
          <a:extLst>
            <a:ext uri="{FF2B5EF4-FFF2-40B4-BE49-F238E27FC236}">
              <a16:creationId xmlns:a16="http://schemas.microsoft.com/office/drawing/2014/main" id="{00000000-0008-0000-0800-000095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29" name="Text Box 15">
          <a:extLst>
            <a:ext uri="{FF2B5EF4-FFF2-40B4-BE49-F238E27FC236}">
              <a16:creationId xmlns:a16="http://schemas.microsoft.com/office/drawing/2014/main" id="{00000000-0008-0000-0800-000096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30" name="Text Box 15">
          <a:extLst>
            <a:ext uri="{FF2B5EF4-FFF2-40B4-BE49-F238E27FC236}">
              <a16:creationId xmlns:a16="http://schemas.microsoft.com/office/drawing/2014/main" id="{00000000-0008-0000-0800-000097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1" name="Text Box 15">
          <a:extLst>
            <a:ext uri="{FF2B5EF4-FFF2-40B4-BE49-F238E27FC236}">
              <a16:creationId xmlns:a16="http://schemas.microsoft.com/office/drawing/2014/main" id="{00000000-0008-0000-0800-000098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2" name="Text Box 15">
          <a:extLst>
            <a:ext uri="{FF2B5EF4-FFF2-40B4-BE49-F238E27FC236}">
              <a16:creationId xmlns:a16="http://schemas.microsoft.com/office/drawing/2014/main" id="{00000000-0008-0000-0800-000099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3" name="Text Box 15">
          <a:extLst>
            <a:ext uri="{FF2B5EF4-FFF2-40B4-BE49-F238E27FC236}">
              <a16:creationId xmlns:a16="http://schemas.microsoft.com/office/drawing/2014/main" id="{00000000-0008-0000-0800-00009A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4" name="Text Box 15">
          <a:extLst>
            <a:ext uri="{FF2B5EF4-FFF2-40B4-BE49-F238E27FC236}">
              <a16:creationId xmlns:a16="http://schemas.microsoft.com/office/drawing/2014/main" id="{00000000-0008-0000-0800-00009B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5" name="Text Box 15">
          <a:extLst>
            <a:ext uri="{FF2B5EF4-FFF2-40B4-BE49-F238E27FC236}">
              <a16:creationId xmlns:a16="http://schemas.microsoft.com/office/drawing/2014/main" id="{00000000-0008-0000-0800-00009C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6" name="Text Box 15">
          <a:extLst>
            <a:ext uri="{FF2B5EF4-FFF2-40B4-BE49-F238E27FC236}">
              <a16:creationId xmlns:a16="http://schemas.microsoft.com/office/drawing/2014/main" id="{00000000-0008-0000-0800-00009D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3737" name="Text Box 15">
          <a:extLst>
            <a:ext uri="{FF2B5EF4-FFF2-40B4-BE49-F238E27FC236}">
              <a16:creationId xmlns:a16="http://schemas.microsoft.com/office/drawing/2014/main" id="{00000000-0008-0000-0800-00009E0E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38" name="Text Box 15">
          <a:extLst>
            <a:ext uri="{FF2B5EF4-FFF2-40B4-BE49-F238E27FC236}">
              <a16:creationId xmlns:a16="http://schemas.microsoft.com/office/drawing/2014/main" id="{00000000-0008-0000-0800-00009F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39" name="Text Box 15">
          <a:extLst>
            <a:ext uri="{FF2B5EF4-FFF2-40B4-BE49-F238E27FC236}">
              <a16:creationId xmlns:a16="http://schemas.microsoft.com/office/drawing/2014/main" id="{00000000-0008-0000-0800-0000A0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0" name="Text Box 15">
          <a:extLst>
            <a:ext uri="{FF2B5EF4-FFF2-40B4-BE49-F238E27FC236}">
              <a16:creationId xmlns:a16="http://schemas.microsoft.com/office/drawing/2014/main" id="{00000000-0008-0000-0800-0000A1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1" name="Text Box 15">
          <a:extLst>
            <a:ext uri="{FF2B5EF4-FFF2-40B4-BE49-F238E27FC236}">
              <a16:creationId xmlns:a16="http://schemas.microsoft.com/office/drawing/2014/main" id="{00000000-0008-0000-0800-0000A2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2" name="Text Box 15">
          <a:extLst>
            <a:ext uri="{FF2B5EF4-FFF2-40B4-BE49-F238E27FC236}">
              <a16:creationId xmlns:a16="http://schemas.microsoft.com/office/drawing/2014/main" id="{00000000-0008-0000-0800-0000A3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3" name="Text Box 15">
          <a:extLst>
            <a:ext uri="{FF2B5EF4-FFF2-40B4-BE49-F238E27FC236}">
              <a16:creationId xmlns:a16="http://schemas.microsoft.com/office/drawing/2014/main" id="{00000000-0008-0000-0800-0000A4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4" name="Text Box 15">
          <a:extLst>
            <a:ext uri="{FF2B5EF4-FFF2-40B4-BE49-F238E27FC236}">
              <a16:creationId xmlns:a16="http://schemas.microsoft.com/office/drawing/2014/main" id="{00000000-0008-0000-0800-0000A5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3745" name="Text Box 15">
          <a:extLst>
            <a:ext uri="{FF2B5EF4-FFF2-40B4-BE49-F238E27FC236}">
              <a16:creationId xmlns:a16="http://schemas.microsoft.com/office/drawing/2014/main" id="{00000000-0008-0000-0800-0000A60E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46" name="Text Box 15">
          <a:extLst>
            <a:ext uri="{FF2B5EF4-FFF2-40B4-BE49-F238E27FC236}">
              <a16:creationId xmlns:a16="http://schemas.microsoft.com/office/drawing/2014/main" id="{00000000-0008-0000-0800-0000A7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47" name="Text Box 15">
          <a:extLst>
            <a:ext uri="{FF2B5EF4-FFF2-40B4-BE49-F238E27FC236}">
              <a16:creationId xmlns:a16="http://schemas.microsoft.com/office/drawing/2014/main" id="{00000000-0008-0000-0800-0000A8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48" name="Text Box 15">
          <a:extLst>
            <a:ext uri="{FF2B5EF4-FFF2-40B4-BE49-F238E27FC236}">
              <a16:creationId xmlns:a16="http://schemas.microsoft.com/office/drawing/2014/main" id="{00000000-0008-0000-0800-0000A9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49" name="Text Box 15">
          <a:extLst>
            <a:ext uri="{FF2B5EF4-FFF2-40B4-BE49-F238E27FC236}">
              <a16:creationId xmlns:a16="http://schemas.microsoft.com/office/drawing/2014/main" id="{00000000-0008-0000-0800-0000AA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3750" name="Text Box 15">
          <a:extLst>
            <a:ext uri="{FF2B5EF4-FFF2-40B4-BE49-F238E27FC236}">
              <a16:creationId xmlns:a16="http://schemas.microsoft.com/office/drawing/2014/main" id="{00000000-0008-0000-0800-0000AB0E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1" name="Text Box 15">
          <a:extLst>
            <a:ext uri="{FF2B5EF4-FFF2-40B4-BE49-F238E27FC236}">
              <a16:creationId xmlns:a16="http://schemas.microsoft.com/office/drawing/2014/main" id="{00000000-0008-0000-0800-0000AC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2" name="Text Box 15">
          <a:extLst>
            <a:ext uri="{FF2B5EF4-FFF2-40B4-BE49-F238E27FC236}">
              <a16:creationId xmlns:a16="http://schemas.microsoft.com/office/drawing/2014/main" id="{00000000-0008-0000-0800-0000AD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3" name="Text Box 15">
          <a:extLst>
            <a:ext uri="{FF2B5EF4-FFF2-40B4-BE49-F238E27FC236}">
              <a16:creationId xmlns:a16="http://schemas.microsoft.com/office/drawing/2014/main" id="{00000000-0008-0000-0800-0000AE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4" name="Text Box 15">
          <a:extLst>
            <a:ext uri="{FF2B5EF4-FFF2-40B4-BE49-F238E27FC236}">
              <a16:creationId xmlns:a16="http://schemas.microsoft.com/office/drawing/2014/main" id="{00000000-0008-0000-0800-0000AF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5" name="Text Box 15">
          <a:extLst>
            <a:ext uri="{FF2B5EF4-FFF2-40B4-BE49-F238E27FC236}">
              <a16:creationId xmlns:a16="http://schemas.microsoft.com/office/drawing/2014/main" id="{00000000-0008-0000-0800-0000B0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6" name="Text Box 15">
          <a:extLst>
            <a:ext uri="{FF2B5EF4-FFF2-40B4-BE49-F238E27FC236}">
              <a16:creationId xmlns:a16="http://schemas.microsoft.com/office/drawing/2014/main" id="{00000000-0008-0000-0800-0000B1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7" name="Text Box 15">
          <a:extLst>
            <a:ext uri="{FF2B5EF4-FFF2-40B4-BE49-F238E27FC236}">
              <a16:creationId xmlns:a16="http://schemas.microsoft.com/office/drawing/2014/main" id="{00000000-0008-0000-0800-0000B2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758" name="Text Box 15">
          <a:extLst>
            <a:ext uri="{FF2B5EF4-FFF2-40B4-BE49-F238E27FC236}">
              <a16:creationId xmlns:a16="http://schemas.microsoft.com/office/drawing/2014/main" id="{00000000-0008-0000-0800-0000B3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59" name="Text Box 15">
          <a:extLst>
            <a:ext uri="{FF2B5EF4-FFF2-40B4-BE49-F238E27FC236}">
              <a16:creationId xmlns:a16="http://schemas.microsoft.com/office/drawing/2014/main" id="{00000000-0008-0000-0800-0000B4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0" name="Text Box 15">
          <a:extLst>
            <a:ext uri="{FF2B5EF4-FFF2-40B4-BE49-F238E27FC236}">
              <a16:creationId xmlns:a16="http://schemas.microsoft.com/office/drawing/2014/main" id="{00000000-0008-0000-0800-0000B5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1" name="Text Box 15">
          <a:extLst>
            <a:ext uri="{FF2B5EF4-FFF2-40B4-BE49-F238E27FC236}">
              <a16:creationId xmlns:a16="http://schemas.microsoft.com/office/drawing/2014/main" id="{00000000-0008-0000-0800-0000B6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2" name="Text Box 15">
          <a:extLst>
            <a:ext uri="{FF2B5EF4-FFF2-40B4-BE49-F238E27FC236}">
              <a16:creationId xmlns:a16="http://schemas.microsoft.com/office/drawing/2014/main" id="{00000000-0008-0000-0800-0000B7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3" name="Text Box 15">
          <a:extLst>
            <a:ext uri="{FF2B5EF4-FFF2-40B4-BE49-F238E27FC236}">
              <a16:creationId xmlns:a16="http://schemas.microsoft.com/office/drawing/2014/main" id="{00000000-0008-0000-0800-0000B8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4" name="Text Box 15">
          <a:extLst>
            <a:ext uri="{FF2B5EF4-FFF2-40B4-BE49-F238E27FC236}">
              <a16:creationId xmlns:a16="http://schemas.microsoft.com/office/drawing/2014/main" id="{00000000-0008-0000-0800-0000B9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5" name="Text Box 15">
          <a:extLst>
            <a:ext uri="{FF2B5EF4-FFF2-40B4-BE49-F238E27FC236}">
              <a16:creationId xmlns:a16="http://schemas.microsoft.com/office/drawing/2014/main" id="{00000000-0008-0000-0800-0000BA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766" name="Text Box 15">
          <a:extLst>
            <a:ext uri="{FF2B5EF4-FFF2-40B4-BE49-F238E27FC236}">
              <a16:creationId xmlns:a16="http://schemas.microsoft.com/office/drawing/2014/main" id="{00000000-0008-0000-0800-0000BB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67" name="Text Box 15">
          <a:extLst>
            <a:ext uri="{FF2B5EF4-FFF2-40B4-BE49-F238E27FC236}">
              <a16:creationId xmlns:a16="http://schemas.microsoft.com/office/drawing/2014/main" id="{00000000-0008-0000-0800-0000BC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68" name="Text Box 15">
          <a:extLst>
            <a:ext uri="{FF2B5EF4-FFF2-40B4-BE49-F238E27FC236}">
              <a16:creationId xmlns:a16="http://schemas.microsoft.com/office/drawing/2014/main" id="{00000000-0008-0000-0800-0000BD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69" name="Text Box 15">
          <a:extLst>
            <a:ext uri="{FF2B5EF4-FFF2-40B4-BE49-F238E27FC236}">
              <a16:creationId xmlns:a16="http://schemas.microsoft.com/office/drawing/2014/main" id="{00000000-0008-0000-0800-0000BE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70" name="Text Box 15">
          <a:extLst>
            <a:ext uri="{FF2B5EF4-FFF2-40B4-BE49-F238E27FC236}">
              <a16:creationId xmlns:a16="http://schemas.microsoft.com/office/drawing/2014/main" id="{00000000-0008-0000-0800-0000BF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71" name="Text Box 15">
          <a:extLst>
            <a:ext uri="{FF2B5EF4-FFF2-40B4-BE49-F238E27FC236}">
              <a16:creationId xmlns:a16="http://schemas.microsoft.com/office/drawing/2014/main" id="{00000000-0008-0000-0800-0000C0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72" name="Text Box 15">
          <a:extLst>
            <a:ext uri="{FF2B5EF4-FFF2-40B4-BE49-F238E27FC236}">
              <a16:creationId xmlns:a16="http://schemas.microsoft.com/office/drawing/2014/main" id="{00000000-0008-0000-0800-0000C1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73" name="Text Box 15">
          <a:extLst>
            <a:ext uri="{FF2B5EF4-FFF2-40B4-BE49-F238E27FC236}">
              <a16:creationId xmlns:a16="http://schemas.microsoft.com/office/drawing/2014/main" id="{00000000-0008-0000-0800-0000C2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774" name="Text Box 15">
          <a:extLst>
            <a:ext uri="{FF2B5EF4-FFF2-40B4-BE49-F238E27FC236}">
              <a16:creationId xmlns:a16="http://schemas.microsoft.com/office/drawing/2014/main" id="{00000000-0008-0000-0800-0000C3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75" name="Text Box 15">
          <a:extLst>
            <a:ext uri="{FF2B5EF4-FFF2-40B4-BE49-F238E27FC236}">
              <a16:creationId xmlns:a16="http://schemas.microsoft.com/office/drawing/2014/main" id="{00000000-0008-0000-0800-0000C4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76" name="Text Box 15">
          <a:extLst>
            <a:ext uri="{FF2B5EF4-FFF2-40B4-BE49-F238E27FC236}">
              <a16:creationId xmlns:a16="http://schemas.microsoft.com/office/drawing/2014/main" id="{00000000-0008-0000-0800-0000C5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77" name="Text Box 15">
          <a:extLst>
            <a:ext uri="{FF2B5EF4-FFF2-40B4-BE49-F238E27FC236}">
              <a16:creationId xmlns:a16="http://schemas.microsoft.com/office/drawing/2014/main" id="{00000000-0008-0000-0800-0000C6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78" name="Text Box 15">
          <a:extLst>
            <a:ext uri="{FF2B5EF4-FFF2-40B4-BE49-F238E27FC236}">
              <a16:creationId xmlns:a16="http://schemas.microsoft.com/office/drawing/2014/main" id="{00000000-0008-0000-0800-0000C7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79" name="Text Box 15">
          <a:extLst>
            <a:ext uri="{FF2B5EF4-FFF2-40B4-BE49-F238E27FC236}">
              <a16:creationId xmlns:a16="http://schemas.microsoft.com/office/drawing/2014/main" id="{00000000-0008-0000-0800-0000C8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80" name="Text Box 15">
          <a:extLst>
            <a:ext uri="{FF2B5EF4-FFF2-40B4-BE49-F238E27FC236}">
              <a16:creationId xmlns:a16="http://schemas.microsoft.com/office/drawing/2014/main" id="{00000000-0008-0000-0800-0000C9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81" name="Text Box 15">
          <a:extLst>
            <a:ext uri="{FF2B5EF4-FFF2-40B4-BE49-F238E27FC236}">
              <a16:creationId xmlns:a16="http://schemas.microsoft.com/office/drawing/2014/main" id="{00000000-0008-0000-0800-0000CA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5275"/>
    <xdr:sp macro="" textlink="">
      <xdr:nvSpPr>
        <xdr:cNvPr id="3782" name="Text Box 15">
          <a:extLst>
            <a:ext uri="{FF2B5EF4-FFF2-40B4-BE49-F238E27FC236}">
              <a16:creationId xmlns:a16="http://schemas.microsoft.com/office/drawing/2014/main" id="{00000000-0008-0000-0800-0000CB0E0000}"/>
            </a:ext>
          </a:extLst>
        </xdr:cNvPr>
        <xdr:cNvSpPr txBox="1">
          <a:spLocks noChangeArrowheads="1"/>
        </xdr:cNvSpPr>
      </xdr:nvSpPr>
      <xdr:spPr bwMode="auto">
        <a:xfrm>
          <a:off x="1933575" y="706469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3" name="Text Box 15">
          <a:extLst>
            <a:ext uri="{FF2B5EF4-FFF2-40B4-BE49-F238E27FC236}">
              <a16:creationId xmlns:a16="http://schemas.microsoft.com/office/drawing/2014/main" id="{00000000-0008-0000-0800-0000CC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4" name="Text Box 15">
          <a:extLst>
            <a:ext uri="{FF2B5EF4-FFF2-40B4-BE49-F238E27FC236}">
              <a16:creationId xmlns:a16="http://schemas.microsoft.com/office/drawing/2014/main" id="{00000000-0008-0000-0800-0000CD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5" name="Text Box 15">
          <a:extLst>
            <a:ext uri="{FF2B5EF4-FFF2-40B4-BE49-F238E27FC236}">
              <a16:creationId xmlns:a16="http://schemas.microsoft.com/office/drawing/2014/main" id="{00000000-0008-0000-0800-0000CE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6" name="Text Box 15">
          <a:extLst>
            <a:ext uri="{FF2B5EF4-FFF2-40B4-BE49-F238E27FC236}">
              <a16:creationId xmlns:a16="http://schemas.microsoft.com/office/drawing/2014/main" id="{00000000-0008-0000-0800-0000CF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7" name="Text Box 15">
          <a:extLst>
            <a:ext uri="{FF2B5EF4-FFF2-40B4-BE49-F238E27FC236}">
              <a16:creationId xmlns:a16="http://schemas.microsoft.com/office/drawing/2014/main" id="{00000000-0008-0000-0800-0000D0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8" name="Text Box 15">
          <a:extLst>
            <a:ext uri="{FF2B5EF4-FFF2-40B4-BE49-F238E27FC236}">
              <a16:creationId xmlns:a16="http://schemas.microsoft.com/office/drawing/2014/main" id="{00000000-0008-0000-0800-0000D1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89" name="Text Box 15">
          <a:extLst>
            <a:ext uri="{FF2B5EF4-FFF2-40B4-BE49-F238E27FC236}">
              <a16:creationId xmlns:a16="http://schemas.microsoft.com/office/drawing/2014/main" id="{00000000-0008-0000-0800-0000D2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790" name="Text Box 15">
          <a:extLst>
            <a:ext uri="{FF2B5EF4-FFF2-40B4-BE49-F238E27FC236}">
              <a16:creationId xmlns:a16="http://schemas.microsoft.com/office/drawing/2014/main" id="{00000000-0008-0000-0800-0000D30E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1" name="Text Box 15">
          <a:extLst>
            <a:ext uri="{FF2B5EF4-FFF2-40B4-BE49-F238E27FC236}">
              <a16:creationId xmlns:a16="http://schemas.microsoft.com/office/drawing/2014/main" id="{00000000-0008-0000-0800-0000D4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2" name="Text Box 15">
          <a:extLst>
            <a:ext uri="{FF2B5EF4-FFF2-40B4-BE49-F238E27FC236}">
              <a16:creationId xmlns:a16="http://schemas.microsoft.com/office/drawing/2014/main" id="{00000000-0008-0000-0800-0000D5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3" name="Text Box 15">
          <a:extLst>
            <a:ext uri="{FF2B5EF4-FFF2-40B4-BE49-F238E27FC236}">
              <a16:creationId xmlns:a16="http://schemas.microsoft.com/office/drawing/2014/main" id="{00000000-0008-0000-0800-0000D6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4" name="Text Box 15">
          <a:extLst>
            <a:ext uri="{FF2B5EF4-FFF2-40B4-BE49-F238E27FC236}">
              <a16:creationId xmlns:a16="http://schemas.microsoft.com/office/drawing/2014/main" id="{00000000-0008-0000-0800-0000D7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5" name="Text Box 15">
          <a:extLst>
            <a:ext uri="{FF2B5EF4-FFF2-40B4-BE49-F238E27FC236}">
              <a16:creationId xmlns:a16="http://schemas.microsoft.com/office/drawing/2014/main" id="{00000000-0008-0000-0800-0000D8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6" name="Text Box 15">
          <a:extLst>
            <a:ext uri="{FF2B5EF4-FFF2-40B4-BE49-F238E27FC236}">
              <a16:creationId xmlns:a16="http://schemas.microsoft.com/office/drawing/2014/main" id="{00000000-0008-0000-0800-0000D9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7" name="Text Box 15">
          <a:extLst>
            <a:ext uri="{FF2B5EF4-FFF2-40B4-BE49-F238E27FC236}">
              <a16:creationId xmlns:a16="http://schemas.microsoft.com/office/drawing/2014/main" id="{00000000-0008-0000-0800-0000DA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5275"/>
    <xdr:sp macro="" textlink="">
      <xdr:nvSpPr>
        <xdr:cNvPr id="3798" name="Text Box 15">
          <a:extLst>
            <a:ext uri="{FF2B5EF4-FFF2-40B4-BE49-F238E27FC236}">
              <a16:creationId xmlns:a16="http://schemas.microsoft.com/office/drawing/2014/main" id="{00000000-0008-0000-0800-0000DB0E0000}"/>
            </a:ext>
          </a:extLst>
        </xdr:cNvPr>
        <xdr:cNvSpPr txBox="1">
          <a:spLocks noChangeArrowheads="1"/>
        </xdr:cNvSpPr>
      </xdr:nvSpPr>
      <xdr:spPr bwMode="auto">
        <a:xfrm>
          <a:off x="1933575" y="70818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799" name="Text Box 15">
          <a:extLst>
            <a:ext uri="{FF2B5EF4-FFF2-40B4-BE49-F238E27FC236}">
              <a16:creationId xmlns:a16="http://schemas.microsoft.com/office/drawing/2014/main" id="{00000000-0008-0000-0800-0000DC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0" name="Text Box 15">
          <a:extLst>
            <a:ext uri="{FF2B5EF4-FFF2-40B4-BE49-F238E27FC236}">
              <a16:creationId xmlns:a16="http://schemas.microsoft.com/office/drawing/2014/main" id="{00000000-0008-0000-0800-0000DD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1" name="Text Box 15">
          <a:extLst>
            <a:ext uri="{FF2B5EF4-FFF2-40B4-BE49-F238E27FC236}">
              <a16:creationId xmlns:a16="http://schemas.microsoft.com/office/drawing/2014/main" id="{00000000-0008-0000-0800-0000DE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2" name="Text Box 15">
          <a:extLst>
            <a:ext uri="{FF2B5EF4-FFF2-40B4-BE49-F238E27FC236}">
              <a16:creationId xmlns:a16="http://schemas.microsoft.com/office/drawing/2014/main" id="{00000000-0008-0000-0800-0000DF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3" name="Text Box 15">
          <a:extLst>
            <a:ext uri="{FF2B5EF4-FFF2-40B4-BE49-F238E27FC236}">
              <a16:creationId xmlns:a16="http://schemas.microsoft.com/office/drawing/2014/main" id="{00000000-0008-0000-0800-0000E0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4" name="Text Box 15">
          <a:extLst>
            <a:ext uri="{FF2B5EF4-FFF2-40B4-BE49-F238E27FC236}">
              <a16:creationId xmlns:a16="http://schemas.microsoft.com/office/drawing/2014/main" id="{00000000-0008-0000-0800-0000E1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5" name="Text Box 15">
          <a:extLst>
            <a:ext uri="{FF2B5EF4-FFF2-40B4-BE49-F238E27FC236}">
              <a16:creationId xmlns:a16="http://schemas.microsoft.com/office/drawing/2014/main" id="{00000000-0008-0000-0800-0000E2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06" name="Text Box 15">
          <a:extLst>
            <a:ext uri="{FF2B5EF4-FFF2-40B4-BE49-F238E27FC236}">
              <a16:creationId xmlns:a16="http://schemas.microsoft.com/office/drawing/2014/main" id="{00000000-0008-0000-0800-0000E30E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07" name="Text Box 15">
          <a:extLst>
            <a:ext uri="{FF2B5EF4-FFF2-40B4-BE49-F238E27FC236}">
              <a16:creationId xmlns:a16="http://schemas.microsoft.com/office/drawing/2014/main" id="{00000000-0008-0000-0800-0000E4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08" name="Text Box 15">
          <a:extLst>
            <a:ext uri="{FF2B5EF4-FFF2-40B4-BE49-F238E27FC236}">
              <a16:creationId xmlns:a16="http://schemas.microsoft.com/office/drawing/2014/main" id="{00000000-0008-0000-0800-0000E5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09" name="Text Box 15">
          <a:extLst>
            <a:ext uri="{FF2B5EF4-FFF2-40B4-BE49-F238E27FC236}">
              <a16:creationId xmlns:a16="http://schemas.microsoft.com/office/drawing/2014/main" id="{00000000-0008-0000-0800-0000E6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10" name="Text Box 15">
          <a:extLst>
            <a:ext uri="{FF2B5EF4-FFF2-40B4-BE49-F238E27FC236}">
              <a16:creationId xmlns:a16="http://schemas.microsoft.com/office/drawing/2014/main" id="{00000000-0008-0000-0800-0000E7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11" name="Text Box 15">
          <a:extLst>
            <a:ext uri="{FF2B5EF4-FFF2-40B4-BE49-F238E27FC236}">
              <a16:creationId xmlns:a16="http://schemas.microsoft.com/office/drawing/2014/main" id="{00000000-0008-0000-0800-0000E8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12" name="Text Box 15">
          <a:extLst>
            <a:ext uri="{FF2B5EF4-FFF2-40B4-BE49-F238E27FC236}">
              <a16:creationId xmlns:a16="http://schemas.microsoft.com/office/drawing/2014/main" id="{00000000-0008-0000-0800-0000E9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13" name="Text Box 15">
          <a:extLst>
            <a:ext uri="{FF2B5EF4-FFF2-40B4-BE49-F238E27FC236}">
              <a16:creationId xmlns:a16="http://schemas.microsoft.com/office/drawing/2014/main" id="{00000000-0008-0000-0800-0000EA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14" name="Text Box 15">
          <a:extLst>
            <a:ext uri="{FF2B5EF4-FFF2-40B4-BE49-F238E27FC236}">
              <a16:creationId xmlns:a16="http://schemas.microsoft.com/office/drawing/2014/main" id="{00000000-0008-0000-0800-0000EB0E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15" name="Text Box 15">
          <a:extLst>
            <a:ext uri="{FF2B5EF4-FFF2-40B4-BE49-F238E27FC236}">
              <a16:creationId xmlns:a16="http://schemas.microsoft.com/office/drawing/2014/main" id="{00000000-0008-0000-0800-0000EC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16" name="Text Box 15">
          <a:extLst>
            <a:ext uri="{FF2B5EF4-FFF2-40B4-BE49-F238E27FC236}">
              <a16:creationId xmlns:a16="http://schemas.microsoft.com/office/drawing/2014/main" id="{00000000-0008-0000-0800-0000ED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17" name="Text Box 15">
          <a:extLst>
            <a:ext uri="{FF2B5EF4-FFF2-40B4-BE49-F238E27FC236}">
              <a16:creationId xmlns:a16="http://schemas.microsoft.com/office/drawing/2014/main" id="{00000000-0008-0000-0800-0000EE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18" name="Text Box 15">
          <a:extLst>
            <a:ext uri="{FF2B5EF4-FFF2-40B4-BE49-F238E27FC236}">
              <a16:creationId xmlns:a16="http://schemas.microsoft.com/office/drawing/2014/main" id="{00000000-0008-0000-0800-0000EF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19" name="Text Box 15">
          <a:extLst>
            <a:ext uri="{FF2B5EF4-FFF2-40B4-BE49-F238E27FC236}">
              <a16:creationId xmlns:a16="http://schemas.microsoft.com/office/drawing/2014/main" id="{00000000-0008-0000-0800-0000F0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20" name="Text Box 15">
          <a:extLst>
            <a:ext uri="{FF2B5EF4-FFF2-40B4-BE49-F238E27FC236}">
              <a16:creationId xmlns:a16="http://schemas.microsoft.com/office/drawing/2014/main" id="{00000000-0008-0000-0800-0000F1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21" name="Text Box 15">
          <a:extLst>
            <a:ext uri="{FF2B5EF4-FFF2-40B4-BE49-F238E27FC236}">
              <a16:creationId xmlns:a16="http://schemas.microsoft.com/office/drawing/2014/main" id="{00000000-0008-0000-0800-0000F2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7871"/>
    <xdr:sp macro="" textlink="">
      <xdr:nvSpPr>
        <xdr:cNvPr id="3822" name="Text Box 15">
          <a:extLst>
            <a:ext uri="{FF2B5EF4-FFF2-40B4-BE49-F238E27FC236}">
              <a16:creationId xmlns:a16="http://schemas.microsoft.com/office/drawing/2014/main" id="{00000000-0008-0000-0800-0000F30E0000}"/>
            </a:ext>
          </a:extLst>
        </xdr:cNvPr>
        <xdr:cNvSpPr txBox="1">
          <a:spLocks noChangeArrowheads="1"/>
        </xdr:cNvSpPr>
      </xdr:nvSpPr>
      <xdr:spPr bwMode="auto">
        <a:xfrm>
          <a:off x="1933575" y="704754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3" name="Text Box 15">
          <a:extLst>
            <a:ext uri="{FF2B5EF4-FFF2-40B4-BE49-F238E27FC236}">
              <a16:creationId xmlns:a16="http://schemas.microsoft.com/office/drawing/2014/main" id="{00000000-0008-0000-0800-0000F4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4" name="Text Box 15">
          <a:extLst>
            <a:ext uri="{FF2B5EF4-FFF2-40B4-BE49-F238E27FC236}">
              <a16:creationId xmlns:a16="http://schemas.microsoft.com/office/drawing/2014/main" id="{00000000-0008-0000-0800-0000F5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5" name="Text Box 15">
          <a:extLst>
            <a:ext uri="{FF2B5EF4-FFF2-40B4-BE49-F238E27FC236}">
              <a16:creationId xmlns:a16="http://schemas.microsoft.com/office/drawing/2014/main" id="{00000000-0008-0000-0800-0000F6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6" name="Text Box 15">
          <a:extLst>
            <a:ext uri="{FF2B5EF4-FFF2-40B4-BE49-F238E27FC236}">
              <a16:creationId xmlns:a16="http://schemas.microsoft.com/office/drawing/2014/main" id="{00000000-0008-0000-0800-0000F7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7" name="Text Box 15">
          <a:extLst>
            <a:ext uri="{FF2B5EF4-FFF2-40B4-BE49-F238E27FC236}">
              <a16:creationId xmlns:a16="http://schemas.microsoft.com/office/drawing/2014/main" id="{00000000-0008-0000-0800-0000F8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8" name="Text Box 15">
          <a:extLst>
            <a:ext uri="{FF2B5EF4-FFF2-40B4-BE49-F238E27FC236}">
              <a16:creationId xmlns:a16="http://schemas.microsoft.com/office/drawing/2014/main" id="{00000000-0008-0000-0800-0000F9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29" name="Text Box 15">
          <a:extLst>
            <a:ext uri="{FF2B5EF4-FFF2-40B4-BE49-F238E27FC236}">
              <a16:creationId xmlns:a16="http://schemas.microsoft.com/office/drawing/2014/main" id="{00000000-0008-0000-0800-0000FA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340</xdr:row>
      <xdr:rowOff>0</xdr:rowOff>
    </xdr:from>
    <xdr:ext cx="95250" cy="295275"/>
    <xdr:sp macro="" textlink="">
      <xdr:nvSpPr>
        <xdr:cNvPr id="3830" name="Text Box 15">
          <a:extLst>
            <a:ext uri="{FF2B5EF4-FFF2-40B4-BE49-F238E27FC236}">
              <a16:creationId xmlns:a16="http://schemas.microsoft.com/office/drawing/2014/main" id="{00000000-0008-0000-0800-0000FB0E0000}"/>
            </a:ext>
          </a:extLst>
        </xdr:cNvPr>
        <xdr:cNvSpPr txBox="1">
          <a:spLocks noChangeArrowheads="1"/>
        </xdr:cNvSpPr>
      </xdr:nvSpPr>
      <xdr:spPr bwMode="auto">
        <a:xfrm>
          <a:off x="1933575" y="704754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1" name="Text Box 15">
          <a:extLst>
            <a:ext uri="{FF2B5EF4-FFF2-40B4-BE49-F238E27FC236}">
              <a16:creationId xmlns:a16="http://schemas.microsoft.com/office/drawing/2014/main" id="{00000000-0008-0000-0800-0000FC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2" name="Text Box 15">
          <a:extLst>
            <a:ext uri="{FF2B5EF4-FFF2-40B4-BE49-F238E27FC236}">
              <a16:creationId xmlns:a16="http://schemas.microsoft.com/office/drawing/2014/main" id="{00000000-0008-0000-0800-0000FD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3" name="Text Box 15">
          <a:extLst>
            <a:ext uri="{FF2B5EF4-FFF2-40B4-BE49-F238E27FC236}">
              <a16:creationId xmlns:a16="http://schemas.microsoft.com/office/drawing/2014/main" id="{00000000-0008-0000-0800-0000FE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4" name="Text Box 15">
          <a:extLst>
            <a:ext uri="{FF2B5EF4-FFF2-40B4-BE49-F238E27FC236}">
              <a16:creationId xmlns:a16="http://schemas.microsoft.com/office/drawing/2014/main" id="{00000000-0008-0000-0800-0000FF0E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5" name="Text Box 15">
          <a:extLst>
            <a:ext uri="{FF2B5EF4-FFF2-40B4-BE49-F238E27FC236}">
              <a16:creationId xmlns:a16="http://schemas.microsoft.com/office/drawing/2014/main" id="{00000000-0008-0000-0800-0000000F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6" name="Text Box 15">
          <a:extLst>
            <a:ext uri="{FF2B5EF4-FFF2-40B4-BE49-F238E27FC236}">
              <a16:creationId xmlns:a16="http://schemas.microsoft.com/office/drawing/2014/main" id="{00000000-0008-0000-0800-0000010F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7" name="Text Box 15">
          <a:extLst>
            <a:ext uri="{FF2B5EF4-FFF2-40B4-BE49-F238E27FC236}">
              <a16:creationId xmlns:a16="http://schemas.microsoft.com/office/drawing/2014/main" id="{00000000-0008-0000-0800-0000020F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341</xdr:row>
      <xdr:rowOff>0</xdr:rowOff>
    </xdr:from>
    <xdr:ext cx="95250" cy="297871"/>
    <xdr:sp macro="" textlink="">
      <xdr:nvSpPr>
        <xdr:cNvPr id="3838" name="Text Box 15">
          <a:extLst>
            <a:ext uri="{FF2B5EF4-FFF2-40B4-BE49-F238E27FC236}">
              <a16:creationId xmlns:a16="http://schemas.microsoft.com/office/drawing/2014/main" id="{00000000-0008-0000-0800-0000030F0000}"/>
            </a:ext>
          </a:extLst>
        </xdr:cNvPr>
        <xdr:cNvSpPr txBox="1">
          <a:spLocks noChangeArrowheads="1"/>
        </xdr:cNvSpPr>
      </xdr:nvSpPr>
      <xdr:spPr bwMode="auto">
        <a:xfrm>
          <a:off x="1933575" y="706469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39" name="Text Box 15">
          <a:extLst>
            <a:ext uri="{FF2B5EF4-FFF2-40B4-BE49-F238E27FC236}">
              <a16:creationId xmlns:a16="http://schemas.microsoft.com/office/drawing/2014/main" id="{00000000-0008-0000-0800-000004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0" name="Text Box 15">
          <a:extLst>
            <a:ext uri="{FF2B5EF4-FFF2-40B4-BE49-F238E27FC236}">
              <a16:creationId xmlns:a16="http://schemas.microsoft.com/office/drawing/2014/main" id="{00000000-0008-0000-0800-000005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1" name="Text Box 15">
          <a:extLst>
            <a:ext uri="{FF2B5EF4-FFF2-40B4-BE49-F238E27FC236}">
              <a16:creationId xmlns:a16="http://schemas.microsoft.com/office/drawing/2014/main" id="{00000000-0008-0000-0800-000006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2" name="Text Box 15">
          <a:extLst>
            <a:ext uri="{FF2B5EF4-FFF2-40B4-BE49-F238E27FC236}">
              <a16:creationId xmlns:a16="http://schemas.microsoft.com/office/drawing/2014/main" id="{00000000-0008-0000-0800-000007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3" name="Text Box 15">
          <a:extLst>
            <a:ext uri="{FF2B5EF4-FFF2-40B4-BE49-F238E27FC236}">
              <a16:creationId xmlns:a16="http://schemas.microsoft.com/office/drawing/2014/main" id="{00000000-0008-0000-0800-000008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4" name="Text Box 15">
          <a:extLst>
            <a:ext uri="{FF2B5EF4-FFF2-40B4-BE49-F238E27FC236}">
              <a16:creationId xmlns:a16="http://schemas.microsoft.com/office/drawing/2014/main" id="{00000000-0008-0000-0800-000009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342</xdr:row>
      <xdr:rowOff>0</xdr:rowOff>
    </xdr:from>
    <xdr:ext cx="95250" cy="297871"/>
    <xdr:sp macro="" textlink="">
      <xdr:nvSpPr>
        <xdr:cNvPr id="3845" name="Text Box 15">
          <a:extLst>
            <a:ext uri="{FF2B5EF4-FFF2-40B4-BE49-F238E27FC236}">
              <a16:creationId xmlns:a16="http://schemas.microsoft.com/office/drawing/2014/main" id="{00000000-0008-0000-0800-00000A0F0000}"/>
            </a:ext>
          </a:extLst>
        </xdr:cNvPr>
        <xdr:cNvSpPr txBox="1">
          <a:spLocks noChangeArrowheads="1"/>
        </xdr:cNvSpPr>
      </xdr:nvSpPr>
      <xdr:spPr bwMode="auto">
        <a:xfrm>
          <a:off x="1933575" y="70818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46" name="Text Box 15">
          <a:extLst>
            <a:ext uri="{FF2B5EF4-FFF2-40B4-BE49-F238E27FC236}">
              <a16:creationId xmlns:a16="http://schemas.microsoft.com/office/drawing/2014/main" id="{00000000-0008-0000-0800-00000B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47" name="Text Box 15">
          <a:extLst>
            <a:ext uri="{FF2B5EF4-FFF2-40B4-BE49-F238E27FC236}">
              <a16:creationId xmlns:a16="http://schemas.microsoft.com/office/drawing/2014/main" id="{00000000-0008-0000-0800-00000C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48" name="Text Box 15">
          <a:extLst>
            <a:ext uri="{FF2B5EF4-FFF2-40B4-BE49-F238E27FC236}">
              <a16:creationId xmlns:a16="http://schemas.microsoft.com/office/drawing/2014/main" id="{00000000-0008-0000-0800-00000D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49" name="Text Box 15">
          <a:extLst>
            <a:ext uri="{FF2B5EF4-FFF2-40B4-BE49-F238E27FC236}">
              <a16:creationId xmlns:a16="http://schemas.microsoft.com/office/drawing/2014/main" id="{00000000-0008-0000-0800-00000E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50" name="Text Box 15">
          <a:extLst>
            <a:ext uri="{FF2B5EF4-FFF2-40B4-BE49-F238E27FC236}">
              <a16:creationId xmlns:a16="http://schemas.microsoft.com/office/drawing/2014/main" id="{00000000-0008-0000-0800-00000F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51" name="Text Box 15">
          <a:extLst>
            <a:ext uri="{FF2B5EF4-FFF2-40B4-BE49-F238E27FC236}">
              <a16:creationId xmlns:a16="http://schemas.microsoft.com/office/drawing/2014/main" id="{00000000-0008-0000-0800-000010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52" name="Text Box 15">
          <a:extLst>
            <a:ext uri="{FF2B5EF4-FFF2-40B4-BE49-F238E27FC236}">
              <a16:creationId xmlns:a16="http://schemas.microsoft.com/office/drawing/2014/main" id="{00000000-0008-0000-0800-000011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7871"/>
    <xdr:sp macro="" textlink="">
      <xdr:nvSpPr>
        <xdr:cNvPr id="3853" name="Text Box 15">
          <a:extLst>
            <a:ext uri="{FF2B5EF4-FFF2-40B4-BE49-F238E27FC236}">
              <a16:creationId xmlns:a16="http://schemas.microsoft.com/office/drawing/2014/main" id="{00000000-0008-0000-0800-0000120F0000}"/>
            </a:ext>
          </a:extLst>
        </xdr:cNvPr>
        <xdr:cNvSpPr txBox="1">
          <a:spLocks noChangeArrowheads="1"/>
        </xdr:cNvSpPr>
      </xdr:nvSpPr>
      <xdr:spPr bwMode="auto">
        <a:xfrm>
          <a:off x="1933575" y="709898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54" name="Text Box 15">
          <a:extLst>
            <a:ext uri="{FF2B5EF4-FFF2-40B4-BE49-F238E27FC236}">
              <a16:creationId xmlns:a16="http://schemas.microsoft.com/office/drawing/2014/main" id="{00000000-0008-0000-0800-0000130F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55" name="Text Box 15">
          <a:extLst>
            <a:ext uri="{FF2B5EF4-FFF2-40B4-BE49-F238E27FC236}">
              <a16:creationId xmlns:a16="http://schemas.microsoft.com/office/drawing/2014/main" id="{00000000-0008-0000-0800-0000140F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56" name="Text Box 15">
          <a:extLst>
            <a:ext uri="{FF2B5EF4-FFF2-40B4-BE49-F238E27FC236}">
              <a16:creationId xmlns:a16="http://schemas.microsoft.com/office/drawing/2014/main" id="{00000000-0008-0000-0800-0000150F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57" name="Text Box 15">
          <a:extLst>
            <a:ext uri="{FF2B5EF4-FFF2-40B4-BE49-F238E27FC236}">
              <a16:creationId xmlns:a16="http://schemas.microsoft.com/office/drawing/2014/main" id="{00000000-0008-0000-0800-0000160F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343</xdr:row>
      <xdr:rowOff>0</xdr:rowOff>
    </xdr:from>
    <xdr:ext cx="95250" cy="295275"/>
    <xdr:sp macro="" textlink="">
      <xdr:nvSpPr>
        <xdr:cNvPr id="3858" name="Text Box 15">
          <a:extLst>
            <a:ext uri="{FF2B5EF4-FFF2-40B4-BE49-F238E27FC236}">
              <a16:creationId xmlns:a16="http://schemas.microsoft.com/office/drawing/2014/main" id="{00000000-0008-0000-0800-0000170F0000}"/>
            </a:ext>
          </a:extLst>
        </xdr:cNvPr>
        <xdr:cNvSpPr txBox="1">
          <a:spLocks noChangeArrowheads="1"/>
        </xdr:cNvSpPr>
      </xdr:nvSpPr>
      <xdr:spPr bwMode="auto">
        <a:xfrm>
          <a:off x="1933575" y="709898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59" name="Text Box 15">
          <a:extLst>
            <a:ext uri="{FF2B5EF4-FFF2-40B4-BE49-F238E27FC236}">
              <a16:creationId xmlns:a16="http://schemas.microsoft.com/office/drawing/2014/main" id="{00000000-0008-0000-0800-000018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0" name="Text Box 15">
          <a:extLst>
            <a:ext uri="{FF2B5EF4-FFF2-40B4-BE49-F238E27FC236}">
              <a16:creationId xmlns:a16="http://schemas.microsoft.com/office/drawing/2014/main" id="{00000000-0008-0000-0800-000019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1" name="Text Box 15">
          <a:extLst>
            <a:ext uri="{FF2B5EF4-FFF2-40B4-BE49-F238E27FC236}">
              <a16:creationId xmlns:a16="http://schemas.microsoft.com/office/drawing/2014/main" id="{00000000-0008-0000-0800-00001A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2" name="Text Box 15">
          <a:extLst>
            <a:ext uri="{FF2B5EF4-FFF2-40B4-BE49-F238E27FC236}">
              <a16:creationId xmlns:a16="http://schemas.microsoft.com/office/drawing/2014/main" id="{00000000-0008-0000-0800-00001B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3" name="Text Box 15">
          <a:extLst>
            <a:ext uri="{FF2B5EF4-FFF2-40B4-BE49-F238E27FC236}">
              <a16:creationId xmlns:a16="http://schemas.microsoft.com/office/drawing/2014/main" id="{00000000-0008-0000-0800-00001C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4" name="Text Box 15">
          <a:extLst>
            <a:ext uri="{FF2B5EF4-FFF2-40B4-BE49-F238E27FC236}">
              <a16:creationId xmlns:a16="http://schemas.microsoft.com/office/drawing/2014/main" id="{00000000-0008-0000-0800-00001D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5" name="Text Box 15">
          <a:extLst>
            <a:ext uri="{FF2B5EF4-FFF2-40B4-BE49-F238E27FC236}">
              <a16:creationId xmlns:a16="http://schemas.microsoft.com/office/drawing/2014/main" id="{00000000-0008-0000-0800-00001E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66" name="Text Box 15">
          <a:extLst>
            <a:ext uri="{FF2B5EF4-FFF2-40B4-BE49-F238E27FC236}">
              <a16:creationId xmlns:a16="http://schemas.microsoft.com/office/drawing/2014/main" id="{00000000-0008-0000-0800-00001F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67" name="Text Box 15">
          <a:extLst>
            <a:ext uri="{FF2B5EF4-FFF2-40B4-BE49-F238E27FC236}">
              <a16:creationId xmlns:a16="http://schemas.microsoft.com/office/drawing/2014/main" id="{00000000-0008-0000-0800-000020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68" name="Text Box 15">
          <a:extLst>
            <a:ext uri="{FF2B5EF4-FFF2-40B4-BE49-F238E27FC236}">
              <a16:creationId xmlns:a16="http://schemas.microsoft.com/office/drawing/2014/main" id="{00000000-0008-0000-0800-000021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69" name="Text Box 15">
          <a:extLst>
            <a:ext uri="{FF2B5EF4-FFF2-40B4-BE49-F238E27FC236}">
              <a16:creationId xmlns:a16="http://schemas.microsoft.com/office/drawing/2014/main" id="{00000000-0008-0000-0800-000022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70" name="Text Box 15">
          <a:extLst>
            <a:ext uri="{FF2B5EF4-FFF2-40B4-BE49-F238E27FC236}">
              <a16:creationId xmlns:a16="http://schemas.microsoft.com/office/drawing/2014/main" id="{00000000-0008-0000-0800-000023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71" name="Text Box 15">
          <a:extLst>
            <a:ext uri="{FF2B5EF4-FFF2-40B4-BE49-F238E27FC236}">
              <a16:creationId xmlns:a16="http://schemas.microsoft.com/office/drawing/2014/main" id="{00000000-0008-0000-0800-000024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72" name="Text Box 15">
          <a:extLst>
            <a:ext uri="{FF2B5EF4-FFF2-40B4-BE49-F238E27FC236}">
              <a16:creationId xmlns:a16="http://schemas.microsoft.com/office/drawing/2014/main" id="{00000000-0008-0000-0800-000025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73" name="Text Box 15">
          <a:extLst>
            <a:ext uri="{FF2B5EF4-FFF2-40B4-BE49-F238E27FC236}">
              <a16:creationId xmlns:a16="http://schemas.microsoft.com/office/drawing/2014/main" id="{00000000-0008-0000-0800-000026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74" name="Text Box 15">
          <a:extLst>
            <a:ext uri="{FF2B5EF4-FFF2-40B4-BE49-F238E27FC236}">
              <a16:creationId xmlns:a16="http://schemas.microsoft.com/office/drawing/2014/main" id="{00000000-0008-0000-0800-000027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75" name="Text Box 15">
          <a:extLst>
            <a:ext uri="{FF2B5EF4-FFF2-40B4-BE49-F238E27FC236}">
              <a16:creationId xmlns:a16="http://schemas.microsoft.com/office/drawing/2014/main" id="{00000000-0008-0000-0800-000028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76" name="Text Box 15">
          <a:extLst>
            <a:ext uri="{FF2B5EF4-FFF2-40B4-BE49-F238E27FC236}">
              <a16:creationId xmlns:a16="http://schemas.microsoft.com/office/drawing/2014/main" id="{00000000-0008-0000-0800-000029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77" name="Text Box 15">
          <a:extLst>
            <a:ext uri="{FF2B5EF4-FFF2-40B4-BE49-F238E27FC236}">
              <a16:creationId xmlns:a16="http://schemas.microsoft.com/office/drawing/2014/main" id="{00000000-0008-0000-0800-00002A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78" name="Text Box 15">
          <a:extLst>
            <a:ext uri="{FF2B5EF4-FFF2-40B4-BE49-F238E27FC236}">
              <a16:creationId xmlns:a16="http://schemas.microsoft.com/office/drawing/2014/main" id="{00000000-0008-0000-0800-00002B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79" name="Text Box 15">
          <a:extLst>
            <a:ext uri="{FF2B5EF4-FFF2-40B4-BE49-F238E27FC236}">
              <a16:creationId xmlns:a16="http://schemas.microsoft.com/office/drawing/2014/main" id="{00000000-0008-0000-0800-00002C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80" name="Text Box 15">
          <a:extLst>
            <a:ext uri="{FF2B5EF4-FFF2-40B4-BE49-F238E27FC236}">
              <a16:creationId xmlns:a16="http://schemas.microsoft.com/office/drawing/2014/main" id="{00000000-0008-0000-0800-00002D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81" name="Text Box 15">
          <a:extLst>
            <a:ext uri="{FF2B5EF4-FFF2-40B4-BE49-F238E27FC236}">
              <a16:creationId xmlns:a16="http://schemas.microsoft.com/office/drawing/2014/main" id="{00000000-0008-0000-0800-00002E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882" name="Text Box 15">
          <a:extLst>
            <a:ext uri="{FF2B5EF4-FFF2-40B4-BE49-F238E27FC236}">
              <a16:creationId xmlns:a16="http://schemas.microsoft.com/office/drawing/2014/main" id="{00000000-0008-0000-0800-00002F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3" name="Text Box 15">
          <a:extLst>
            <a:ext uri="{FF2B5EF4-FFF2-40B4-BE49-F238E27FC236}">
              <a16:creationId xmlns:a16="http://schemas.microsoft.com/office/drawing/2014/main" id="{00000000-0008-0000-0800-000030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4" name="Text Box 15">
          <a:extLst>
            <a:ext uri="{FF2B5EF4-FFF2-40B4-BE49-F238E27FC236}">
              <a16:creationId xmlns:a16="http://schemas.microsoft.com/office/drawing/2014/main" id="{00000000-0008-0000-0800-000031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5" name="Text Box 15">
          <a:extLst>
            <a:ext uri="{FF2B5EF4-FFF2-40B4-BE49-F238E27FC236}">
              <a16:creationId xmlns:a16="http://schemas.microsoft.com/office/drawing/2014/main" id="{00000000-0008-0000-0800-000032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6" name="Text Box 15">
          <a:extLst>
            <a:ext uri="{FF2B5EF4-FFF2-40B4-BE49-F238E27FC236}">
              <a16:creationId xmlns:a16="http://schemas.microsoft.com/office/drawing/2014/main" id="{00000000-0008-0000-0800-000033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7" name="Text Box 15">
          <a:extLst>
            <a:ext uri="{FF2B5EF4-FFF2-40B4-BE49-F238E27FC236}">
              <a16:creationId xmlns:a16="http://schemas.microsoft.com/office/drawing/2014/main" id="{00000000-0008-0000-0800-000034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8" name="Text Box 15">
          <a:extLst>
            <a:ext uri="{FF2B5EF4-FFF2-40B4-BE49-F238E27FC236}">
              <a16:creationId xmlns:a16="http://schemas.microsoft.com/office/drawing/2014/main" id="{00000000-0008-0000-0800-000035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89" name="Text Box 15">
          <a:extLst>
            <a:ext uri="{FF2B5EF4-FFF2-40B4-BE49-F238E27FC236}">
              <a16:creationId xmlns:a16="http://schemas.microsoft.com/office/drawing/2014/main" id="{00000000-0008-0000-0800-000036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890" name="Text Box 15">
          <a:extLst>
            <a:ext uri="{FF2B5EF4-FFF2-40B4-BE49-F238E27FC236}">
              <a16:creationId xmlns:a16="http://schemas.microsoft.com/office/drawing/2014/main" id="{00000000-0008-0000-0800-000037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1" name="Text Box 15">
          <a:extLst>
            <a:ext uri="{FF2B5EF4-FFF2-40B4-BE49-F238E27FC236}">
              <a16:creationId xmlns:a16="http://schemas.microsoft.com/office/drawing/2014/main" id="{00000000-0008-0000-0800-000038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2" name="Text Box 15">
          <a:extLst>
            <a:ext uri="{FF2B5EF4-FFF2-40B4-BE49-F238E27FC236}">
              <a16:creationId xmlns:a16="http://schemas.microsoft.com/office/drawing/2014/main" id="{00000000-0008-0000-0800-000039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3" name="Text Box 15">
          <a:extLst>
            <a:ext uri="{FF2B5EF4-FFF2-40B4-BE49-F238E27FC236}">
              <a16:creationId xmlns:a16="http://schemas.microsoft.com/office/drawing/2014/main" id="{00000000-0008-0000-0800-00003A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4" name="Text Box 15">
          <a:extLst>
            <a:ext uri="{FF2B5EF4-FFF2-40B4-BE49-F238E27FC236}">
              <a16:creationId xmlns:a16="http://schemas.microsoft.com/office/drawing/2014/main" id="{00000000-0008-0000-0800-00003B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5" name="Text Box 15">
          <a:extLst>
            <a:ext uri="{FF2B5EF4-FFF2-40B4-BE49-F238E27FC236}">
              <a16:creationId xmlns:a16="http://schemas.microsoft.com/office/drawing/2014/main" id="{00000000-0008-0000-0800-00003C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6" name="Text Box 15">
          <a:extLst>
            <a:ext uri="{FF2B5EF4-FFF2-40B4-BE49-F238E27FC236}">
              <a16:creationId xmlns:a16="http://schemas.microsoft.com/office/drawing/2014/main" id="{00000000-0008-0000-0800-00003D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7" name="Text Box 15">
          <a:extLst>
            <a:ext uri="{FF2B5EF4-FFF2-40B4-BE49-F238E27FC236}">
              <a16:creationId xmlns:a16="http://schemas.microsoft.com/office/drawing/2014/main" id="{00000000-0008-0000-0800-00003E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7871"/>
    <xdr:sp macro="" textlink="">
      <xdr:nvSpPr>
        <xdr:cNvPr id="3898" name="Text Box 15">
          <a:extLst>
            <a:ext uri="{FF2B5EF4-FFF2-40B4-BE49-F238E27FC236}">
              <a16:creationId xmlns:a16="http://schemas.microsoft.com/office/drawing/2014/main" id="{00000000-0008-0000-0800-00003F0F0000}"/>
            </a:ext>
          </a:extLst>
        </xdr:cNvPr>
        <xdr:cNvSpPr txBox="1">
          <a:spLocks noChangeArrowheads="1"/>
        </xdr:cNvSpPr>
      </xdr:nvSpPr>
      <xdr:spPr bwMode="auto">
        <a:xfrm>
          <a:off x="1933575" y="717994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899" name="Text Box 15">
          <a:extLst>
            <a:ext uri="{FF2B5EF4-FFF2-40B4-BE49-F238E27FC236}">
              <a16:creationId xmlns:a16="http://schemas.microsoft.com/office/drawing/2014/main" id="{00000000-0008-0000-0800-000040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0" name="Text Box 15">
          <a:extLst>
            <a:ext uri="{FF2B5EF4-FFF2-40B4-BE49-F238E27FC236}">
              <a16:creationId xmlns:a16="http://schemas.microsoft.com/office/drawing/2014/main" id="{00000000-0008-0000-0800-000041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1" name="Text Box 15">
          <a:extLst>
            <a:ext uri="{FF2B5EF4-FFF2-40B4-BE49-F238E27FC236}">
              <a16:creationId xmlns:a16="http://schemas.microsoft.com/office/drawing/2014/main" id="{00000000-0008-0000-0800-000042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2" name="Text Box 15">
          <a:extLst>
            <a:ext uri="{FF2B5EF4-FFF2-40B4-BE49-F238E27FC236}">
              <a16:creationId xmlns:a16="http://schemas.microsoft.com/office/drawing/2014/main" id="{00000000-0008-0000-0800-000043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3" name="Text Box 15">
          <a:extLst>
            <a:ext uri="{FF2B5EF4-FFF2-40B4-BE49-F238E27FC236}">
              <a16:creationId xmlns:a16="http://schemas.microsoft.com/office/drawing/2014/main" id="{00000000-0008-0000-0800-000044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4" name="Text Box 15">
          <a:extLst>
            <a:ext uri="{FF2B5EF4-FFF2-40B4-BE49-F238E27FC236}">
              <a16:creationId xmlns:a16="http://schemas.microsoft.com/office/drawing/2014/main" id="{00000000-0008-0000-0800-000045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346</xdr:row>
      <xdr:rowOff>0</xdr:rowOff>
    </xdr:from>
    <xdr:ext cx="95250" cy="295275"/>
    <xdr:sp macro="" textlink="">
      <xdr:nvSpPr>
        <xdr:cNvPr id="3905" name="Text Box 15">
          <a:extLst>
            <a:ext uri="{FF2B5EF4-FFF2-40B4-BE49-F238E27FC236}">
              <a16:creationId xmlns:a16="http://schemas.microsoft.com/office/drawing/2014/main" id="{00000000-0008-0000-0800-0000460F0000}"/>
            </a:ext>
          </a:extLst>
        </xdr:cNvPr>
        <xdr:cNvSpPr txBox="1">
          <a:spLocks noChangeArrowheads="1"/>
        </xdr:cNvSpPr>
      </xdr:nvSpPr>
      <xdr:spPr bwMode="auto">
        <a:xfrm>
          <a:off x="1933575" y="717994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06" name="Text Box 15">
          <a:extLst>
            <a:ext uri="{FF2B5EF4-FFF2-40B4-BE49-F238E27FC236}">
              <a16:creationId xmlns:a16="http://schemas.microsoft.com/office/drawing/2014/main" id="{00000000-0008-0000-0800-000047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07" name="Text Box 15">
          <a:extLst>
            <a:ext uri="{FF2B5EF4-FFF2-40B4-BE49-F238E27FC236}">
              <a16:creationId xmlns:a16="http://schemas.microsoft.com/office/drawing/2014/main" id="{00000000-0008-0000-0800-000048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08" name="Text Box 15">
          <a:extLst>
            <a:ext uri="{FF2B5EF4-FFF2-40B4-BE49-F238E27FC236}">
              <a16:creationId xmlns:a16="http://schemas.microsoft.com/office/drawing/2014/main" id="{00000000-0008-0000-0800-000049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09" name="Text Box 15">
          <a:extLst>
            <a:ext uri="{FF2B5EF4-FFF2-40B4-BE49-F238E27FC236}">
              <a16:creationId xmlns:a16="http://schemas.microsoft.com/office/drawing/2014/main" id="{00000000-0008-0000-0800-00004A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10" name="Text Box 15">
          <a:extLst>
            <a:ext uri="{FF2B5EF4-FFF2-40B4-BE49-F238E27FC236}">
              <a16:creationId xmlns:a16="http://schemas.microsoft.com/office/drawing/2014/main" id="{00000000-0008-0000-0800-00004B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11" name="Text Box 15">
          <a:extLst>
            <a:ext uri="{FF2B5EF4-FFF2-40B4-BE49-F238E27FC236}">
              <a16:creationId xmlns:a16="http://schemas.microsoft.com/office/drawing/2014/main" id="{00000000-0008-0000-0800-00004C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12" name="Text Box 15">
          <a:extLst>
            <a:ext uri="{FF2B5EF4-FFF2-40B4-BE49-F238E27FC236}">
              <a16:creationId xmlns:a16="http://schemas.microsoft.com/office/drawing/2014/main" id="{00000000-0008-0000-0800-00004D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7871"/>
    <xdr:sp macro="" textlink="">
      <xdr:nvSpPr>
        <xdr:cNvPr id="3913" name="Text Box 15">
          <a:extLst>
            <a:ext uri="{FF2B5EF4-FFF2-40B4-BE49-F238E27FC236}">
              <a16:creationId xmlns:a16="http://schemas.microsoft.com/office/drawing/2014/main" id="{00000000-0008-0000-0800-00004E0F0000}"/>
            </a:ext>
          </a:extLst>
        </xdr:cNvPr>
        <xdr:cNvSpPr txBox="1">
          <a:spLocks noChangeArrowheads="1"/>
        </xdr:cNvSpPr>
      </xdr:nvSpPr>
      <xdr:spPr bwMode="auto">
        <a:xfrm>
          <a:off x="1933575" y="7196137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4" name="Text Box 15">
          <a:extLst>
            <a:ext uri="{FF2B5EF4-FFF2-40B4-BE49-F238E27FC236}">
              <a16:creationId xmlns:a16="http://schemas.microsoft.com/office/drawing/2014/main" id="{00000000-0008-0000-0800-00004F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5" name="Text Box 15">
          <a:extLst>
            <a:ext uri="{FF2B5EF4-FFF2-40B4-BE49-F238E27FC236}">
              <a16:creationId xmlns:a16="http://schemas.microsoft.com/office/drawing/2014/main" id="{00000000-0008-0000-0800-000050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6" name="Text Box 15">
          <a:extLst>
            <a:ext uri="{FF2B5EF4-FFF2-40B4-BE49-F238E27FC236}">
              <a16:creationId xmlns:a16="http://schemas.microsoft.com/office/drawing/2014/main" id="{00000000-0008-0000-0800-000051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7" name="Text Box 15">
          <a:extLst>
            <a:ext uri="{FF2B5EF4-FFF2-40B4-BE49-F238E27FC236}">
              <a16:creationId xmlns:a16="http://schemas.microsoft.com/office/drawing/2014/main" id="{00000000-0008-0000-0800-000052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8" name="Text Box 15">
          <a:extLst>
            <a:ext uri="{FF2B5EF4-FFF2-40B4-BE49-F238E27FC236}">
              <a16:creationId xmlns:a16="http://schemas.microsoft.com/office/drawing/2014/main" id="{00000000-0008-0000-0800-000053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19" name="Text Box 15">
          <a:extLst>
            <a:ext uri="{FF2B5EF4-FFF2-40B4-BE49-F238E27FC236}">
              <a16:creationId xmlns:a16="http://schemas.microsoft.com/office/drawing/2014/main" id="{00000000-0008-0000-0800-000054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20" name="Text Box 15">
          <a:extLst>
            <a:ext uri="{FF2B5EF4-FFF2-40B4-BE49-F238E27FC236}">
              <a16:creationId xmlns:a16="http://schemas.microsoft.com/office/drawing/2014/main" id="{00000000-0008-0000-0800-000055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347</xdr:row>
      <xdr:rowOff>0</xdr:rowOff>
    </xdr:from>
    <xdr:ext cx="95250" cy="295275"/>
    <xdr:sp macro="" textlink="">
      <xdr:nvSpPr>
        <xdr:cNvPr id="3921" name="Text Box 15">
          <a:extLst>
            <a:ext uri="{FF2B5EF4-FFF2-40B4-BE49-F238E27FC236}">
              <a16:creationId xmlns:a16="http://schemas.microsoft.com/office/drawing/2014/main" id="{00000000-0008-0000-0800-0000560F0000}"/>
            </a:ext>
          </a:extLst>
        </xdr:cNvPr>
        <xdr:cNvSpPr txBox="1">
          <a:spLocks noChangeArrowheads="1"/>
        </xdr:cNvSpPr>
      </xdr:nvSpPr>
      <xdr:spPr bwMode="auto">
        <a:xfrm>
          <a:off x="1933575" y="7196137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2" name="Text Box 15">
          <a:extLst>
            <a:ext uri="{FF2B5EF4-FFF2-40B4-BE49-F238E27FC236}">
              <a16:creationId xmlns:a16="http://schemas.microsoft.com/office/drawing/2014/main" id="{00000000-0008-0000-0800-000057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3" name="Text Box 15">
          <a:extLst>
            <a:ext uri="{FF2B5EF4-FFF2-40B4-BE49-F238E27FC236}">
              <a16:creationId xmlns:a16="http://schemas.microsoft.com/office/drawing/2014/main" id="{00000000-0008-0000-0800-000058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4" name="Text Box 15">
          <a:extLst>
            <a:ext uri="{FF2B5EF4-FFF2-40B4-BE49-F238E27FC236}">
              <a16:creationId xmlns:a16="http://schemas.microsoft.com/office/drawing/2014/main" id="{00000000-0008-0000-0800-000059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5" name="Text Box 15">
          <a:extLst>
            <a:ext uri="{FF2B5EF4-FFF2-40B4-BE49-F238E27FC236}">
              <a16:creationId xmlns:a16="http://schemas.microsoft.com/office/drawing/2014/main" id="{00000000-0008-0000-0800-00005A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6" name="Text Box 15">
          <a:extLst>
            <a:ext uri="{FF2B5EF4-FFF2-40B4-BE49-F238E27FC236}">
              <a16:creationId xmlns:a16="http://schemas.microsoft.com/office/drawing/2014/main" id="{00000000-0008-0000-0800-00005B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7" name="Text Box 15">
          <a:extLst>
            <a:ext uri="{FF2B5EF4-FFF2-40B4-BE49-F238E27FC236}">
              <a16:creationId xmlns:a16="http://schemas.microsoft.com/office/drawing/2014/main" id="{00000000-0008-0000-0800-00005C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8" name="Text Box 15">
          <a:extLst>
            <a:ext uri="{FF2B5EF4-FFF2-40B4-BE49-F238E27FC236}">
              <a16:creationId xmlns:a16="http://schemas.microsoft.com/office/drawing/2014/main" id="{00000000-0008-0000-0800-00005D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29" name="Text Box 15">
          <a:extLst>
            <a:ext uri="{FF2B5EF4-FFF2-40B4-BE49-F238E27FC236}">
              <a16:creationId xmlns:a16="http://schemas.microsoft.com/office/drawing/2014/main" id="{00000000-0008-0000-0800-00005E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0" name="Text Box 15">
          <a:extLst>
            <a:ext uri="{FF2B5EF4-FFF2-40B4-BE49-F238E27FC236}">
              <a16:creationId xmlns:a16="http://schemas.microsoft.com/office/drawing/2014/main" id="{00000000-0008-0000-0800-00005F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1" name="Text Box 15">
          <a:extLst>
            <a:ext uri="{FF2B5EF4-FFF2-40B4-BE49-F238E27FC236}">
              <a16:creationId xmlns:a16="http://schemas.microsoft.com/office/drawing/2014/main" id="{00000000-0008-0000-0800-000060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2" name="Text Box 15">
          <a:extLst>
            <a:ext uri="{FF2B5EF4-FFF2-40B4-BE49-F238E27FC236}">
              <a16:creationId xmlns:a16="http://schemas.microsoft.com/office/drawing/2014/main" id="{00000000-0008-0000-0800-000061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3" name="Text Box 15">
          <a:extLst>
            <a:ext uri="{FF2B5EF4-FFF2-40B4-BE49-F238E27FC236}">
              <a16:creationId xmlns:a16="http://schemas.microsoft.com/office/drawing/2014/main" id="{00000000-0008-0000-0800-000062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4" name="Text Box 15">
          <a:extLst>
            <a:ext uri="{FF2B5EF4-FFF2-40B4-BE49-F238E27FC236}">
              <a16:creationId xmlns:a16="http://schemas.microsoft.com/office/drawing/2014/main" id="{00000000-0008-0000-0800-000063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5" name="Text Box 15">
          <a:extLst>
            <a:ext uri="{FF2B5EF4-FFF2-40B4-BE49-F238E27FC236}">
              <a16:creationId xmlns:a16="http://schemas.microsoft.com/office/drawing/2014/main" id="{00000000-0008-0000-0800-000064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6" name="Text Box 15">
          <a:extLst>
            <a:ext uri="{FF2B5EF4-FFF2-40B4-BE49-F238E27FC236}">
              <a16:creationId xmlns:a16="http://schemas.microsoft.com/office/drawing/2014/main" id="{00000000-0008-0000-0800-000065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37" name="Text Box 15">
          <a:extLst>
            <a:ext uri="{FF2B5EF4-FFF2-40B4-BE49-F238E27FC236}">
              <a16:creationId xmlns:a16="http://schemas.microsoft.com/office/drawing/2014/main" id="{00000000-0008-0000-0800-000066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38" name="Text Box 15">
          <a:extLst>
            <a:ext uri="{FF2B5EF4-FFF2-40B4-BE49-F238E27FC236}">
              <a16:creationId xmlns:a16="http://schemas.microsoft.com/office/drawing/2014/main" id="{00000000-0008-0000-0800-000067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39" name="Text Box 15">
          <a:extLst>
            <a:ext uri="{FF2B5EF4-FFF2-40B4-BE49-F238E27FC236}">
              <a16:creationId xmlns:a16="http://schemas.microsoft.com/office/drawing/2014/main" id="{00000000-0008-0000-0800-000068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0" name="Text Box 15">
          <a:extLst>
            <a:ext uri="{FF2B5EF4-FFF2-40B4-BE49-F238E27FC236}">
              <a16:creationId xmlns:a16="http://schemas.microsoft.com/office/drawing/2014/main" id="{00000000-0008-0000-0800-000069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1" name="Text Box 15">
          <a:extLst>
            <a:ext uri="{FF2B5EF4-FFF2-40B4-BE49-F238E27FC236}">
              <a16:creationId xmlns:a16="http://schemas.microsoft.com/office/drawing/2014/main" id="{00000000-0008-0000-0800-00006A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2" name="Text Box 15">
          <a:extLst>
            <a:ext uri="{FF2B5EF4-FFF2-40B4-BE49-F238E27FC236}">
              <a16:creationId xmlns:a16="http://schemas.microsoft.com/office/drawing/2014/main" id="{00000000-0008-0000-0800-00006B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3" name="Text Box 15">
          <a:extLst>
            <a:ext uri="{FF2B5EF4-FFF2-40B4-BE49-F238E27FC236}">
              <a16:creationId xmlns:a16="http://schemas.microsoft.com/office/drawing/2014/main" id="{00000000-0008-0000-0800-00006C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4" name="Text Box 15">
          <a:extLst>
            <a:ext uri="{FF2B5EF4-FFF2-40B4-BE49-F238E27FC236}">
              <a16:creationId xmlns:a16="http://schemas.microsoft.com/office/drawing/2014/main" id="{00000000-0008-0000-0800-00006D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45" name="Text Box 15">
          <a:extLst>
            <a:ext uri="{FF2B5EF4-FFF2-40B4-BE49-F238E27FC236}">
              <a16:creationId xmlns:a16="http://schemas.microsoft.com/office/drawing/2014/main" id="{00000000-0008-0000-0800-00006E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46" name="Text Box 15">
          <a:extLst>
            <a:ext uri="{FF2B5EF4-FFF2-40B4-BE49-F238E27FC236}">
              <a16:creationId xmlns:a16="http://schemas.microsoft.com/office/drawing/2014/main" id="{00000000-0008-0000-0800-00006F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47" name="Text Box 15">
          <a:extLst>
            <a:ext uri="{FF2B5EF4-FFF2-40B4-BE49-F238E27FC236}">
              <a16:creationId xmlns:a16="http://schemas.microsoft.com/office/drawing/2014/main" id="{00000000-0008-0000-0800-000070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48" name="Text Box 15">
          <a:extLst>
            <a:ext uri="{FF2B5EF4-FFF2-40B4-BE49-F238E27FC236}">
              <a16:creationId xmlns:a16="http://schemas.microsoft.com/office/drawing/2014/main" id="{00000000-0008-0000-0800-000071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49" name="Text Box 15">
          <a:extLst>
            <a:ext uri="{FF2B5EF4-FFF2-40B4-BE49-F238E27FC236}">
              <a16:creationId xmlns:a16="http://schemas.microsoft.com/office/drawing/2014/main" id="{00000000-0008-0000-0800-000072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50" name="Text Box 15">
          <a:extLst>
            <a:ext uri="{FF2B5EF4-FFF2-40B4-BE49-F238E27FC236}">
              <a16:creationId xmlns:a16="http://schemas.microsoft.com/office/drawing/2014/main" id="{00000000-0008-0000-0800-000073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51" name="Text Box 15">
          <a:extLst>
            <a:ext uri="{FF2B5EF4-FFF2-40B4-BE49-F238E27FC236}">
              <a16:creationId xmlns:a16="http://schemas.microsoft.com/office/drawing/2014/main" id="{00000000-0008-0000-0800-000074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52" name="Text Box 15">
          <a:extLst>
            <a:ext uri="{FF2B5EF4-FFF2-40B4-BE49-F238E27FC236}">
              <a16:creationId xmlns:a16="http://schemas.microsoft.com/office/drawing/2014/main" id="{00000000-0008-0000-0800-000075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53" name="Text Box 15">
          <a:extLst>
            <a:ext uri="{FF2B5EF4-FFF2-40B4-BE49-F238E27FC236}">
              <a16:creationId xmlns:a16="http://schemas.microsoft.com/office/drawing/2014/main" id="{00000000-0008-0000-0800-000076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4" name="Text Box 15">
          <a:extLst>
            <a:ext uri="{FF2B5EF4-FFF2-40B4-BE49-F238E27FC236}">
              <a16:creationId xmlns:a16="http://schemas.microsoft.com/office/drawing/2014/main" id="{00000000-0008-0000-0800-000077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5" name="Text Box 15">
          <a:extLst>
            <a:ext uri="{FF2B5EF4-FFF2-40B4-BE49-F238E27FC236}">
              <a16:creationId xmlns:a16="http://schemas.microsoft.com/office/drawing/2014/main" id="{00000000-0008-0000-0800-000078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6" name="Text Box 15">
          <a:extLst>
            <a:ext uri="{FF2B5EF4-FFF2-40B4-BE49-F238E27FC236}">
              <a16:creationId xmlns:a16="http://schemas.microsoft.com/office/drawing/2014/main" id="{00000000-0008-0000-0800-000079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7" name="Text Box 15">
          <a:extLst>
            <a:ext uri="{FF2B5EF4-FFF2-40B4-BE49-F238E27FC236}">
              <a16:creationId xmlns:a16="http://schemas.microsoft.com/office/drawing/2014/main" id="{00000000-0008-0000-0800-00007A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8" name="Text Box 15">
          <a:extLst>
            <a:ext uri="{FF2B5EF4-FFF2-40B4-BE49-F238E27FC236}">
              <a16:creationId xmlns:a16="http://schemas.microsoft.com/office/drawing/2014/main" id="{00000000-0008-0000-0800-00007B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59" name="Text Box 15">
          <a:extLst>
            <a:ext uri="{FF2B5EF4-FFF2-40B4-BE49-F238E27FC236}">
              <a16:creationId xmlns:a16="http://schemas.microsoft.com/office/drawing/2014/main" id="{00000000-0008-0000-0800-00007C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60" name="Text Box 15">
          <a:extLst>
            <a:ext uri="{FF2B5EF4-FFF2-40B4-BE49-F238E27FC236}">
              <a16:creationId xmlns:a16="http://schemas.microsoft.com/office/drawing/2014/main" id="{00000000-0008-0000-0800-00007D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61" name="Text Box 15">
          <a:extLst>
            <a:ext uri="{FF2B5EF4-FFF2-40B4-BE49-F238E27FC236}">
              <a16:creationId xmlns:a16="http://schemas.microsoft.com/office/drawing/2014/main" id="{00000000-0008-0000-0800-00007E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2" name="Text Box 15">
          <a:extLst>
            <a:ext uri="{FF2B5EF4-FFF2-40B4-BE49-F238E27FC236}">
              <a16:creationId xmlns:a16="http://schemas.microsoft.com/office/drawing/2014/main" id="{00000000-0008-0000-0800-00007F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3" name="Text Box 15">
          <a:extLst>
            <a:ext uri="{FF2B5EF4-FFF2-40B4-BE49-F238E27FC236}">
              <a16:creationId xmlns:a16="http://schemas.microsoft.com/office/drawing/2014/main" id="{00000000-0008-0000-0800-000080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4" name="Text Box 15">
          <a:extLst>
            <a:ext uri="{FF2B5EF4-FFF2-40B4-BE49-F238E27FC236}">
              <a16:creationId xmlns:a16="http://schemas.microsoft.com/office/drawing/2014/main" id="{00000000-0008-0000-0800-000081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5" name="Text Box 15">
          <a:extLst>
            <a:ext uri="{FF2B5EF4-FFF2-40B4-BE49-F238E27FC236}">
              <a16:creationId xmlns:a16="http://schemas.microsoft.com/office/drawing/2014/main" id="{00000000-0008-0000-0800-000082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6" name="Text Box 15">
          <a:extLst>
            <a:ext uri="{FF2B5EF4-FFF2-40B4-BE49-F238E27FC236}">
              <a16:creationId xmlns:a16="http://schemas.microsoft.com/office/drawing/2014/main" id="{00000000-0008-0000-0800-000083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7" name="Text Box 15">
          <a:extLst>
            <a:ext uri="{FF2B5EF4-FFF2-40B4-BE49-F238E27FC236}">
              <a16:creationId xmlns:a16="http://schemas.microsoft.com/office/drawing/2014/main" id="{00000000-0008-0000-0800-000084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8" name="Text Box 15">
          <a:extLst>
            <a:ext uri="{FF2B5EF4-FFF2-40B4-BE49-F238E27FC236}">
              <a16:creationId xmlns:a16="http://schemas.microsoft.com/office/drawing/2014/main" id="{00000000-0008-0000-0800-000085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69" name="Text Box 15">
          <a:extLst>
            <a:ext uri="{FF2B5EF4-FFF2-40B4-BE49-F238E27FC236}">
              <a16:creationId xmlns:a16="http://schemas.microsoft.com/office/drawing/2014/main" id="{00000000-0008-0000-0800-000086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0" name="Text Box 15">
          <a:extLst>
            <a:ext uri="{FF2B5EF4-FFF2-40B4-BE49-F238E27FC236}">
              <a16:creationId xmlns:a16="http://schemas.microsoft.com/office/drawing/2014/main" id="{00000000-0008-0000-0800-000087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1" name="Text Box 15">
          <a:extLst>
            <a:ext uri="{FF2B5EF4-FFF2-40B4-BE49-F238E27FC236}">
              <a16:creationId xmlns:a16="http://schemas.microsoft.com/office/drawing/2014/main" id="{00000000-0008-0000-0800-000088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2" name="Text Box 15">
          <a:extLst>
            <a:ext uri="{FF2B5EF4-FFF2-40B4-BE49-F238E27FC236}">
              <a16:creationId xmlns:a16="http://schemas.microsoft.com/office/drawing/2014/main" id="{00000000-0008-0000-0800-000089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3" name="Text Box 15">
          <a:extLst>
            <a:ext uri="{FF2B5EF4-FFF2-40B4-BE49-F238E27FC236}">
              <a16:creationId xmlns:a16="http://schemas.microsoft.com/office/drawing/2014/main" id="{00000000-0008-0000-0800-00008A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4" name="Text Box 15">
          <a:extLst>
            <a:ext uri="{FF2B5EF4-FFF2-40B4-BE49-F238E27FC236}">
              <a16:creationId xmlns:a16="http://schemas.microsoft.com/office/drawing/2014/main" id="{00000000-0008-0000-0800-00008B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5" name="Text Box 15">
          <a:extLst>
            <a:ext uri="{FF2B5EF4-FFF2-40B4-BE49-F238E27FC236}">
              <a16:creationId xmlns:a16="http://schemas.microsoft.com/office/drawing/2014/main" id="{00000000-0008-0000-0800-00008C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6" name="Text Box 15">
          <a:extLst>
            <a:ext uri="{FF2B5EF4-FFF2-40B4-BE49-F238E27FC236}">
              <a16:creationId xmlns:a16="http://schemas.microsoft.com/office/drawing/2014/main" id="{00000000-0008-0000-0800-00008D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7871"/>
    <xdr:sp macro="" textlink="">
      <xdr:nvSpPr>
        <xdr:cNvPr id="3977" name="Text Box 15">
          <a:extLst>
            <a:ext uri="{FF2B5EF4-FFF2-40B4-BE49-F238E27FC236}">
              <a16:creationId xmlns:a16="http://schemas.microsoft.com/office/drawing/2014/main" id="{00000000-0008-0000-0800-00008E0F0000}"/>
            </a:ext>
          </a:extLst>
        </xdr:cNvPr>
        <xdr:cNvSpPr txBox="1">
          <a:spLocks noChangeArrowheads="1"/>
        </xdr:cNvSpPr>
      </xdr:nvSpPr>
      <xdr:spPr bwMode="auto">
        <a:xfrm>
          <a:off x="1933575" y="72361425"/>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78" name="Text Box 15">
          <a:extLst>
            <a:ext uri="{FF2B5EF4-FFF2-40B4-BE49-F238E27FC236}">
              <a16:creationId xmlns:a16="http://schemas.microsoft.com/office/drawing/2014/main" id="{00000000-0008-0000-0800-00008F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79" name="Text Box 15">
          <a:extLst>
            <a:ext uri="{FF2B5EF4-FFF2-40B4-BE49-F238E27FC236}">
              <a16:creationId xmlns:a16="http://schemas.microsoft.com/office/drawing/2014/main" id="{00000000-0008-0000-0800-000090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80" name="Text Box 15">
          <a:extLst>
            <a:ext uri="{FF2B5EF4-FFF2-40B4-BE49-F238E27FC236}">
              <a16:creationId xmlns:a16="http://schemas.microsoft.com/office/drawing/2014/main" id="{00000000-0008-0000-0800-000091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81" name="Text Box 15">
          <a:extLst>
            <a:ext uri="{FF2B5EF4-FFF2-40B4-BE49-F238E27FC236}">
              <a16:creationId xmlns:a16="http://schemas.microsoft.com/office/drawing/2014/main" id="{00000000-0008-0000-0800-000092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82" name="Text Box 15">
          <a:extLst>
            <a:ext uri="{FF2B5EF4-FFF2-40B4-BE49-F238E27FC236}">
              <a16:creationId xmlns:a16="http://schemas.microsoft.com/office/drawing/2014/main" id="{00000000-0008-0000-0800-000093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83" name="Text Box 15">
          <a:extLst>
            <a:ext uri="{FF2B5EF4-FFF2-40B4-BE49-F238E27FC236}">
              <a16:creationId xmlns:a16="http://schemas.microsoft.com/office/drawing/2014/main" id="{00000000-0008-0000-0800-000094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349</xdr:row>
      <xdr:rowOff>0</xdr:rowOff>
    </xdr:from>
    <xdr:ext cx="95250" cy="295275"/>
    <xdr:sp macro="" textlink="">
      <xdr:nvSpPr>
        <xdr:cNvPr id="3984" name="Text Box 15">
          <a:extLst>
            <a:ext uri="{FF2B5EF4-FFF2-40B4-BE49-F238E27FC236}">
              <a16:creationId xmlns:a16="http://schemas.microsoft.com/office/drawing/2014/main" id="{00000000-0008-0000-0800-0000950F0000}"/>
            </a:ext>
          </a:extLst>
        </xdr:cNvPr>
        <xdr:cNvSpPr txBox="1">
          <a:spLocks noChangeArrowheads="1"/>
        </xdr:cNvSpPr>
      </xdr:nvSpPr>
      <xdr:spPr bwMode="auto">
        <a:xfrm>
          <a:off x="1933575" y="723614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85" name="Text Box 15">
          <a:extLst>
            <a:ext uri="{FF2B5EF4-FFF2-40B4-BE49-F238E27FC236}">
              <a16:creationId xmlns:a16="http://schemas.microsoft.com/office/drawing/2014/main" id="{00000000-0008-0000-0800-000096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86" name="Text Box 15">
          <a:extLst>
            <a:ext uri="{FF2B5EF4-FFF2-40B4-BE49-F238E27FC236}">
              <a16:creationId xmlns:a16="http://schemas.microsoft.com/office/drawing/2014/main" id="{00000000-0008-0000-0800-000097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87" name="Text Box 15">
          <a:extLst>
            <a:ext uri="{FF2B5EF4-FFF2-40B4-BE49-F238E27FC236}">
              <a16:creationId xmlns:a16="http://schemas.microsoft.com/office/drawing/2014/main" id="{00000000-0008-0000-0800-000098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88" name="Text Box 15">
          <a:extLst>
            <a:ext uri="{FF2B5EF4-FFF2-40B4-BE49-F238E27FC236}">
              <a16:creationId xmlns:a16="http://schemas.microsoft.com/office/drawing/2014/main" id="{00000000-0008-0000-0800-000099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89" name="Text Box 15">
          <a:extLst>
            <a:ext uri="{FF2B5EF4-FFF2-40B4-BE49-F238E27FC236}">
              <a16:creationId xmlns:a16="http://schemas.microsoft.com/office/drawing/2014/main" id="{00000000-0008-0000-0800-00009A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90" name="Text Box 15">
          <a:extLst>
            <a:ext uri="{FF2B5EF4-FFF2-40B4-BE49-F238E27FC236}">
              <a16:creationId xmlns:a16="http://schemas.microsoft.com/office/drawing/2014/main" id="{00000000-0008-0000-0800-00009B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91" name="Text Box 15">
          <a:extLst>
            <a:ext uri="{FF2B5EF4-FFF2-40B4-BE49-F238E27FC236}">
              <a16:creationId xmlns:a16="http://schemas.microsoft.com/office/drawing/2014/main" id="{00000000-0008-0000-0800-00009C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3992" name="Text Box 15">
          <a:extLst>
            <a:ext uri="{FF2B5EF4-FFF2-40B4-BE49-F238E27FC236}">
              <a16:creationId xmlns:a16="http://schemas.microsoft.com/office/drawing/2014/main" id="{00000000-0008-0000-0800-00009D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3" name="Text Box 15">
          <a:extLst>
            <a:ext uri="{FF2B5EF4-FFF2-40B4-BE49-F238E27FC236}">
              <a16:creationId xmlns:a16="http://schemas.microsoft.com/office/drawing/2014/main" id="{00000000-0008-0000-0800-00009E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4" name="Text Box 15">
          <a:extLst>
            <a:ext uri="{FF2B5EF4-FFF2-40B4-BE49-F238E27FC236}">
              <a16:creationId xmlns:a16="http://schemas.microsoft.com/office/drawing/2014/main" id="{00000000-0008-0000-0800-00009F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5" name="Text Box 15">
          <a:extLst>
            <a:ext uri="{FF2B5EF4-FFF2-40B4-BE49-F238E27FC236}">
              <a16:creationId xmlns:a16="http://schemas.microsoft.com/office/drawing/2014/main" id="{00000000-0008-0000-0800-0000A0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6" name="Text Box 15">
          <a:extLst>
            <a:ext uri="{FF2B5EF4-FFF2-40B4-BE49-F238E27FC236}">
              <a16:creationId xmlns:a16="http://schemas.microsoft.com/office/drawing/2014/main" id="{00000000-0008-0000-0800-0000A1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7" name="Text Box 15">
          <a:extLst>
            <a:ext uri="{FF2B5EF4-FFF2-40B4-BE49-F238E27FC236}">
              <a16:creationId xmlns:a16="http://schemas.microsoft.com/office/drawing/2014/main" id="{00000000-0008-0000-0800-0000A2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8" name="Text Box 15">
          <a:extLst>
            <a:ext uri="{FF2B5EF4-FFF2-40B4-BE49-F238E27FC236}">
              <a16:creationId xmlns:a16="http://schemas.microsoft.com/office/drawing/2014/main" id="{00000000-0008-0000-0800-0000A3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3999" name="Text Box 15">
          <a:extLst>
            <a:ext uri="{FF2B5EF4-FFF2-40B4-BE49-F238E27FC236}">
              <a16:creationId xmlns:a16="http://schemas.microsoft.com/office/drawing/2014/main" id="{00000000-0008-0000-0800-0000A4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00" name="Text Box 15">
          <a:extLst>
            <a:ext uri="{FF2B5EF4-FFF2-40B4-BE49-F238E27FC236}">
              <a16:creationId xmlns:a16="http://schemas.microsoft.com/office/drawing/2014/main" id="{00000000-0008-0000-0800-0000A5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1" name="Text Box 15">
          <a:extLst>
            <a:ext uri="{FF2B5EF4-FFF2-40B4-BE49-F238E27FC236}">
              <a16:creationId xmlns:a16="http://schemas.microsoft.com/office/drawing/2014/main" id="{00000000-0008-0000-0800-0000A6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2" name="Text Box 15">
          <a:extLst>
            <a:ext uri="{FF2B5EF4-FFF2-40B4-BE49-F238E27FC236}">
              <a16:creationId xmlns:a16="http://schemas.microsoft.com/office/drawing/2014/main" id="{00000000-0008-0000-0800-0000A7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3" name="Text Box 15">
          <a:extLst>
            <a:ext uri="{FF2B5EF4-FFF2-40B4-BE49-F238E27FC236}">
              <a16:creationId xmlns:a16="http://schemas.microsoft.com/office/drawing/2014/main" id="{00000000-0008-0000-0800-0000A8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4" name="Text Box 15">
          <a:extLst>
            <a:ext uri="{FF2B5EF4-FFF2-40B4-BE49-F238E27FC236}">
              <a16:creationId xmlns:a16="http://schemas.microsoft.com/office/drawing/2014/main" id="{00000000-0008-0000-0800-0000A9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5" name="Text Box 15">
          <a:extLst>
            <a:ext uri="{FF2B5EF4-FFF2-40B4-BE49-F238E27FC236}">
              <a16:creationId xmlns:a16="http://schemas.microsoft.com/office/drawing/2014/main" id="{00000000-0008-0000-0800-0000AA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6" name="Text Box 15">
          <a:extLst>
            <a:ext uri="{FF2B5EF4-FFF2-40B4-BE49-F238E27FC236}">
              <a16:creationId xmlns:a16="http://schemas.microsoft.com/office/drawing/2014/main" id="{00000000-0008-0000-0800-0000AB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7" name="Text Box 15">
          <a:extLst>
            <a:ext uri="{FF2B5EF4-FFF2-40B4-BE49-F238E27FC236}">
              <a16:creationId xmlns:a16="http://schemas.microsoft.com/office/drawing/2014/main" id="{00000000-0008-0000-0800-0000AC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08" name="Text Box 15">
          <a:extLst>
            <a:ext uri="{FF2B5EF4-FFF2-40B4-BE49-F238E27FC236}">
              <a16:creationId xmlns:a16="http://schemas.microsoft.com/office/drawing/2014/main" id="{00000000-0008-0000-0800-0000AD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09" name="Text Box 15">
          <a:extLst>
            <a:ext uri="{FF2B5EF4-FFF2-40B4-BE49-F238E27FC236}">
              <a16:creationId xmlns:a16="http://schemas.microsoft.com/office/drawing/2014/main" id="{00000000-0008-0000-0800-0000AE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0" name="Text Box 15">
          <a:extLst>
            <a:ext uri="{FF2B5EF4-FFF2-40B4-BE49-F238E27FC236}">
              <a16:creationId xmlns:a16="http://schemas.microsoft.com/office/drawing/2014/main" id="{00000000-0008-0000-0800-0000AF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1" name="Text Box 15">
          <a:extLst>
            <a:ext uri="{FF2B5EF4-FFF2-40B4-BE49-F238E27FC236}">
              <a16:creationId xmlns:a16="http://schemas.microsoft.com/office/drawing/2014/main" id="{00000000-0008-0000-0800-0000B0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2" name="Text Box 15">
          <a:extLst>
            <a:ext uri="{FF2B5EF4-FFF2-40B4-BE49-F238E27FC236}">
              <a16:creationId xmlns:a16="http://schemas.microsoft.com/office/drawing/2014/main" id="{00000000-0008-0000-0800-0000B1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3" name="Text Box 15">
          <a:extLst>
            <a:ext uri="{FF2B5EF4-FFF2-40B4-BE49-F238E27FC236}">
              <a16:creationId xmlns:a16="http://schemas.microsoft.com/office/drawing/2014/main" id="{00000000-0008-0000-0800-0000B2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4" name="Text Box 15">
          <a:extLst>
            <a:ext uri="{FF2B5EF4-FFF2-40B4-BE49-F238E27FC236}">
              <a16:creationId xmlns:a16="http://schemas.microsoft.com/office/drawing/2014/main" id="{00000000-0008-0000-0800-0000B3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5" name="Text Box 15">
          <a:extLst>
            <a:ext uri="{FF2B5EF4-FFF2-40B4-BE49-F238E27FC236}">
              <a16:creationId xmlns:a16="http://schemas.microsoft.com/office/drawing/2014/main" id="{00000000-0008-0000-0800-0000B4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16" name="Text Box 15">
          <a:extLst>
            <a:ext uri="{FF2B5EF4-FFF2-40B4-BE49-F238E27FC236}">
              <a16:creationId xmlns:a16="http://schemas.microsoft.com/office/drawing/2014/main" id="{00000000-0008-0000-0800-0000B5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17" name="Text Box 15">
          <a:extLst>
            <a:ext uri="{FF2B5EF4-FFF2-40B4-BE49-F238E27FC236}">
              <a16:creationId xmlns:a16="http://schemas.microsoft.com/office/drawing/2014/main" id="{00000000-0008-0000-0800-0000B6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18" name="Text Box 15">
          <a:extLst>
            <a:ext uri="{FF2B5EF4-FFF2-40B4-BE49-F238E27FC236}">
              <a16:creationId xmlns:a16="http://schemas.microsoft.com/office/drawing/2014/main" id="{00000000-0008-0000-0800-0000B7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19" name="Text Box 15">
          <a:extLst>
            <a:ext uri="{FF2B5EF4-FFF2-40B4-BE49-F238E27FC236}">
              <a16:creationId xmlns:a16="http://schemas.microsoft.com/office/drawing/2014/main" id="{00000000-0008-0000-0800-0000B8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20" name="Text Box 15">
          <a:extLst>
            <a:ext uri="{FF2B5EF4-FFF2-40B4-BE49-F238E27FC236}">
              <a16:creationId xmlns:a16="http://schemas.microsoft.com/office/drawing/2014/main" id="{00000000-0008-0000-0800-0000B9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21" name="Text Box 15">
          <a:extLst>
            <a:ext uri="{FF2B5EF4-FFF2-40B4-BE49-F238E27FC236}">
              <a16:creationId xmlns:a16="http://schemas.microsoft.com/office/drawing/2014/main" id="{00000000-0008-0000-0800-0000BA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22" name="Text Box 15">
          <a:extLst>
            <a:ext uri="{FF2B5EF4-FFF2-40B4-BE49-F238E27FC236}">
              <a16:creationId xmlns:a16="http://schemas.microsoft.com/office/drawing/2014/main" id="{00000000-0008-0000-0800-0000BB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23" name="Text Box 15">
          <a:extLst>
            <a:ext uri="{FF2B5EF4-FFF2-40B4-BE49-F238E27FC236}">
              <a16:creationId xmlns:a16="http://schemas.microsoft.com/office/drawing/2014/main" id="{00000000-0008-0000-0800-0000BC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24" name="Text Box 15">
          <a:extLst>
            <a:ext uri="{FF2B5EF4-FFF2-40B4-BE49-F238E27FC236}">
              <a16:creationId xmlns:a16="http://schemas.microsoft.com/office/drawing/2014/main" id="{00000000-0008-0000-0800-0000BD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25" name="Text Box 15">
          <a:extLst>
            <a:ext uri="{FF2B5EF4-FFF2-40B4-BE49-F238E27FC236}">
              <a16:creationId xmlns:a16="http://schemas.microsoft.com/office/drawing/2014/main" id="{00000000-0008-0000-0800-0000BE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26" name="Text Box 15">
          <a:extLst>
            <a:ext uri="{FF2B5EF4-FFF2-40B4-BE49-F238E27FC236}">
              <a16:creationId xmlns:a16="http://schemas.microsoft.com/office/drawing/2014/main" id="{00000000-0008-0000-0800-0000BF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27" name="Text Box 15">
          <a:extLst>
            <a:ext uri="{FF2B5EF4-FFF2-40B4-BE49-F238E27FC236}">
              <a16:creationId xmlns:a16="http://schemas.microsoft.com/office/drawing/2014/main" id="{00000000-0008-0000-0800-0000C0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28" name="Text Box 15">
          <a:extLst>
            <a:ext uri="{FF2B5EF4-FFF2-40B4-BE49-F238E27FC236}">
              <a16:creationId xmlns:a16="http://schemas.microsoft.com/office/drawing/2014/main" id="{00000000-0008-0000-0800-0000C1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29" name="Text Box 15">
          <a:extLst>
            <a:ext uri="{FF2B5EF4-FFF2-40B4-BE49-F238E27FC236}">
              <a16:creationId xmlns:a16="http://schemas.microsoft.com/office/drawing/2014/main" id="{00000000-0008-0000-0800-0000C2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30" name="Text Box 15">
          <a:extLst>
            <a:ext uri="{FF2B5EF4-FFF2-40B4-BE49-F238E27FC236}">
              <a16:creationId xmlns:a16="http://schemas.microsoft.com/office/drawing/2014/main" id="{00000000-0008-0000-0800-0000C3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31" name="Text Box 15">
          <a:extLst>
            <a:ext uri="{FF2B5EF4-FFF2-40B4-BE49-F238E27FC236}">
              <a16:creationId xmlns:a16="http://schemas.microsoft.com/office/drawing/2014/main" id="{00000000-0008-0000-0800-0000C4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32" name="Text Box 15">
          <a:extLst>
            <a:ext uri="{FF2B5EF4-FFF2-40B4-BE49-F238E27FC236}">
              <a16:creationId xmlns:a16="http://schemas.microsoft.com/office/drawing/2014/main" id="{00000000-0008-0000-0800-0000C5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3" name="Text Box 15">
          <a:extLst>
            <a:ext uri="{FF2B5EF4-FFF2-40B4-BE49-F238E27FC236}">
              <a16:creationId xmlns:a16="http://schemas.microsoft.com/office/drawing/2014/main" id="{00000000-0008-0000-0800-0000C6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4" name="Text Box 15">
          <a:extLst>
            <a:ext uri="{FF2B5EF4-FFF2-40B4-BE49-F238E27FC236}">
              <a16:creationId xmlns:a16="http://schemas.microsoft.com/office/drawing/2014/main" id="{00000000-0008-0000-0800-0000C7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5" name="Text Box 15">
          <a:extLst>
            <a:ext uri="{FF2B5EF4-FFF2-40B4-BE49-F238E27FC236}">
              <a16:creationId xmlns:a16="http://schemas.microsoft.com/office/drawing/2014/main" id="{00000000-0008-0000-0800-0000C8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6" name="Text Box 15">
          <a:extLst>
            <a:ext uri="{FF2B5EF4-FFF2-40B4-BE49-F238E27FC236}">
              <a16:creationId xmlns:a16="http://schemas.microsoft.com/office/drawing/2014/main" id="{00000000-0008-0000-0800-0000C9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7" name="Text Box 15">
          <a:extLst>
            <a:ext uri="{FF2B5EF4-FFF2-40B4-BE49-F238E27FC236}">
              <a16:creationId xmlns:a16="http://schemas.microsoft.com/office/drawing/2014/main" id="{00000000-0008-0000-0800-0000CA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8" name="Text Box 15">
          <a:extLst>
            <a:ext uri="{FF2B5EF4-FFF2-40B4-BE49-F238E27FC236}">
              <a16:creationId xmlns:a16="http://schemas.microsoft.com/office/drawing/2014/main" id="{00000000-0008-0000-0800-0000CB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39" name="Text Box 15">
          <a:extLst>
            <a:ext uri="{FF2B5EF4-FFF2-40B4-BE49-F238E27FC236}">
              <a16:creationId xmlns:a16="http://schemas.microsoft.com/office/drawing/2014/main" id="{00000000-0008-0000-0800-0000CC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40" name="Text Box 15">
          <a:extLst>
            <a:ext uri="{FF2B5EF4-FFF2-40B4-BE49-F238E27FC236}">
              <a16:creationId xmlns:a16="http://schemas.microsoft.com/office/drawing/2014/main" id="{00000000-0008-0000-0800-0000CD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1" name="Text Box 15">
          <a:extLst>
            <a:ext uri="{FF2B5EF4-FFF2-40B4-BE49-F238E27FC236}">
              <a16:creationId xmlns:a16="http://schemas.microsoft.com/office/drawing/2014/main" id="{00000000-0008-0000-0800-0000CE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2" name="Text Box 15">
          <a:extLst>
            <a:ext uri="{FF2B5EF4-FFF2-40B4-BE49-F238E27FC236}">
              <a16:creationId xmlns:a16="http://schemas.microsoft.com/office/drawing/2014/main" id="{00000000-0008-0000-0800-0000CF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3" name="Text Box 15">
          <a:extLst>
            <a:ext uri="{FF2B5EF4-FFF2-40B4-BE49-F238E27FC236}">
              <a16:creationId xmlns:a16="http://schemas.microsoft.com/office/drawing/2014/main" id="{00000000-0008-0000-0800-0000D0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4" name="Text Box 15">
          <a:extLst>
            <a:ext uri="{FF2B5EF4-FFF2-40B4-BE49-F238E27FC236}">
              <a16:creationId xmlns:a16="http://schemas.microsoft.com/office/drawing/2014/main" id="{00000000-0008-0000-0800-0000D1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5" name="Text Box 15">
          <a:extLst>
            <a:ext uri="{FF2B5EF4-FFF2-40B4-BE49-F238E27FC236}">
              <a16:creationId xmlns:a16="http://schemas.microsoft.com/office/drawing/2014/main" id="{00000000-0008-0000-0800-0000D2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6" name="Text Box 15">
          <a:extLst>
            <a:ext uri="{FF2B5EF4-FFF2-40B4-BE49-F238E27FC236}">
              <a16:creationId xmlns:a16="http://schemas.microsoft.com/office/drawing/2014/main" id="{00000000-0008-0000-0800-0000D3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7" name="Text Box 15">
          <a:extLst>
            <a:ext uri="{FF2B5EF4-FFF2-40B4-BE49-F238E27FC236}">
              <a16:creationId xmlns:a16="http://schemas.microsoft.com/office/drawing/2014/main" id="{00000000-0008-0000-0800-0000D4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48" name="Text Box 15">
          <a:extLst>
            <a:ext uri="{FF2B5EF4-FFF2-40B4-BE49-F238E27FC236}">
              <a16:creationId xmlns:a16="http://schemas.microsoft.com/office/drawing/2014/main" id="{00000000-0008-0000-0800-0000D5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49" name="Text Box 15">
          <a:extLst>
            <a:ext uri="{FF2B5EF4-FFF2-40B4-BE49-F238E27FC236}">
              <a16:creationId xmlns:a16="http://schemas.microsoft.com/office/drawing/2014/main" id="{00000000-0008-0000-0800-0000D6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0" name="Text Box 15">
          <a:extLst>
            <a:ext uri="{FF2B5EF4-FFF2-40B4-BE49-F238E27FC236}">
              <a16:creationId xmlns:a16="http://schemas.microsoft.com/office/drawing/2014/main" id="{00000000-0008-0000-0800-0000D7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1" name="Text Box 15">
          <a:extLst>
            <a:ext uri="{FF2B5EF4-FFF2-40B4-BE49-F238E27FC236}">
              <a16:creationId xmlns:a16="http://schemas.microsoft.com/office/drawing/2014/main" id="{00000000-0008-0000-0800-0000D8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2" name="Text Box 15">
          <a:extLst>
            <a:ext uri="{FF2B5EF4-FFF2-40B4-BE49-F238E27FC236}">
              <a16:creationId xmlns:a16="http://schemas.microsoft.com/office/drawing/2014/main" id="{00000000-0008-0000-0800-0000D9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3" name="Text Box 15">
          <a:extLst>
            <a:ext uri="{FF2B5EF4-FFF2-40B4-BE49-F238E27FC236}">
              <a16:creationId xmlns:a16="http://schemas.microsoft.com/office/drawing/2014/main" id="{00000000-0008-0000-0800-0000DA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4" name="Text Box 15">
          <a:extLst>
            <a:ext uri="{FF2B5EF4-FFF2-40B4-BE49-F238E27FC236}">
              <a16:creationId xmlns:a16="http://schemas.microsoft.com/office/drawing/2014/main" id="{00000000-0008-0000-0800-0000DB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5" name="Text Box 15">
          <a:extLst>
            <a:ext uri="{FF2B5EF4-FFF2-40B4-BE49-F238E27FC236}">
              <a16:creationId xmlns:a16="http://schemas.microsoft.com/office/drawing/2014/main" id="{00000000-0008-0000-0800-0000DC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56" name="Text Box 15">
          <a:extLst>
            <a:ext uri="{FF2B5EF4-FFF2-40B4-BE49-F238E27FC236}">
              <a16:creationId xmlns:a16="http://schemas.microsoft.com/office/drawing/2014/main" id="{00000000-0008-0000-0800-0000DD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57" name="Text Box 15">
          <a:extLst>
            <a:ext uri="{FF2B5EF4-FFF2-40B4-BE49-F238E27FC236}">
              <a16:creationId xmlns:a16="http://schemas.microsoft.com/office/drawing/2014/main" id="{00000000-0008-0000-0800-0000DE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58" name="Text Box 15">
          <a:extLst>
            <a:ext uri="{FF2B5EF4-FFF2-40B4-BE49-F238E27FC236}">
              <a16:creationId xmlns:a16="http://schemas.microsoft.com/office/drawing/2014/main" id="{00000000-0008-0000-0800-0000DF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59" name="Text Box 15">
          <a:extLst>
            <a:ext uri="{FF2B5EF4-FFF2-40B4-BE49-F238E27FC236}">
              <a16:creationId xmlns:a16="http://schemas.microsoft.com/office/drawing/2014/main" id="{00000000-0008-0000-0800-0000E0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60" name="Text Box 15">
          <a:extLst>
            <a:ext uri="{FF2B5EF4-FFF2-40B4-BE49-F238E27FC236}">
              <a16:creationId xmlns:a16="http://schemas.microsoft.com/office/drawing/2014/main" id="{00000000-0008-0000-0800-0000E1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61" name="Text Box 15">
          <a:extLst>
            <a:ext uri="{FF2B5EF4-FFF2-40B4-BE49-F238E27FC236}">
              <a16:creationId xmlns:a16="http://schemas.microsoft.com/office/drawing/2014/main" id="{00000000-0008-0000-0800-0000E2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62" name="Text Box 15">
          <a:extLst>
            <a:ext uri="{FF2B5EF4-FFF2-40B4-BE49-F238E27FC236}">
              <a16:creationId xmlns:a16="http://schemas.microsoft.com/office/drawing/2014/main" id="{00000000-0008-0000-0800-0000E3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63" name="Text Box 15">
          <a:extLst>
            <a:ext uri="{FF2B5EF4-FFF2-40B4-BE49-F238E27FC236}">
              <a16:creationId xmlns:a16="http://schemas.microsoft.com/office/drawing/2014/main" id="{00000000-0008-0000-0800-0000E4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64" name="Text Box 15">
          <a:extLst>
            <a:ext uri="{FF2B5EF4-FFF2-40B4-BE49-F238E27FC236}">
              <a16:creationId xmlns:a16="http://schemas.microsoft.com/office/drawing/2014/main" id="{00000000-0008-0000-0800-0000E5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65" name="Text Box 15">
          <a:extLst>
            <a:ext uri="{FF2B5EF4-FFF2-40B4-BE49-F238E27FC236}">
              <a16:creationId xmlns:a16="http://schemas.microsoft.com/office/drawing/2014/main" id="{00000000-0008-0000-0800-0000E6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66" name="Text Box 15">
          <a:extLst>
            <a:ext uri="{FF2B5EF4-FFF2-40B4-BE49-F238E27FC236}">
              <a16:creationId xmlns:a16="http://schemas.microsoft.com/office/drawing/2014/main" id="{00000000-0008-0000-0800-0000E7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67" name="Text Box 15">
          <a:extLst>
            <a:ext uri="{FF2B5EF4-FFF2-40B4-BE49-F238E27FC236}">
              <a16:creationId xmlns:a16="http://schemas.microsoft.com/office/drawing/2014/main" id="{00000000-0008-0000-0800-0000E8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68" name="Text Box 15">
          <a:extLst>
            <a:ext uri="{FF2B5EF4-FFF2-40B4-BE49-F238E27FC236}">
              <a16:creationId xmlns:a16="http://schemas.microsoft.com/office/drawing/2014/main" id="{00000000-0008-0000-0800-0000E9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69" name="Text Box 15">
          <a:extLst>
            <a:ext uri="{FF2B5EF4-FFF2-40B4-BE49-F238E27FC236}">
              <a16:creationId xmlns:a16="http://schemas.microsoft.com/office/drawing/2014/main" id="{00000000-0008-0000-0800-0000EA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70" name="Text Box 15">
          <a:extLst>
            <a:ext uri="{FF2B5EF4-FFF2-40B4-BE49-F238E27FC236}">
              <a16:creationId xmlns:a16="http://schemas.microsoft.com/office/drawing/2014/main" id="{00000000-0008-0000-0800-0000EB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71" name="Text Box 15">
          <a:extLst>
            <a:ext uri="{FF2B5EF4-FFF2-40B4-BE49-F238E27FC236}">
              <a16:creationId xmlns:a16="http://schemas.microsoft.com/office/drawing/2014/main" id="{00000000-0008-0000-0800-0000EC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7871"/>
    <xdr:sp macro="" textlink="">
      <xdr:nvSpPr>
        <xdr:cNvPr id="4072" name="Text Box 15">
          <a:extLst>
            <a:ext uri="{FF2B5EF4-FFF2-40B4-BE49-F238E27FC236}">
              <a16:creationId xmlns:a16="http://schemas.microsoft.com/office/drawing/2014/main" id="{00000000-0008-0000-0800-0000ED0F0000}"/>
            </a:ext>
          </a:extLst>
        </xdr:cNvPr>
        <xdr:cNvSpPr txBox="1">
          <a:spLocks noChangeArrowheads="1"/>
        </xdr:cNvSpPr>
      </xdr:nvSpPr>
      <xdr:spPr bwMode="auto">
        <a:xfrm>
          <a:off x="1933575" y="731329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3" name="Text Box 15">
          <a:extLst>
            <a:ext uri="{FF2B5EF4-FFF2-40B4-BE49-F238E27FC236}">
              <a16:creationId xmlns:a16="http://schemas.microsoft.com/office/drawing/2014/main" id="{00000000-0008-0000-0800-0000EE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4" name="Text Box 15">
          <a:extLst>
            <a:ext uri="{FF2B5EF4-FFF2-40B4-BE49-F238E27FC236}">
              <a16:creationId xmlns:a16="http://schemas.microsoft.com/office/drawing/2014/main" id="{00000000-0008-0000-0800-0000EF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5" name="Text Box 15">
          <a:extLst>
            <a:ext uri="{FF2B5EF4-FFF2-40B4-BE49-F238E27FC236}">
              <a16:creationId xmlns:a16="http://schemas.microsoft.com/office/drawing/2014/main" id="{00000000-0008-0000-0800-0000F0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6" name="Text Box 15">
          <a:extLst>
            <a:ext uri="{FF2B5EF4-FFF2-40B4-BE49-F238E27FC236}">
              <a16:creationId xmlns:a16="http://schemas.microsoft.com/office/drawing/2014/main" id="{00000000-0008-0000-0800-0000F1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7" name="Text Box 15">
          <a:extLst>
            <a:ext uri="{FF2B5EF4-FFF2-40B4-BE49-F238E27FC236}">
              <a16:creationId xmlns:a16="http://schemas.microsoft.com/office/drawing/2014/main" id="{00000000-0008-0000-0800-0000F2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8" name="Text Box 15">
          <a:extLst>
            <a:ext uri="{FF2B5EF4-FFF2-40B4-BE49-F238E27FC236}">
              <a16:creationId xmlns:a16="http://schemas.microsoft.com/office/drawing/2014/main" id="{00000000-0008-0000-0800-0000F3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79" name="Text Box 15">
          <a:extLst>
            <a:ext uri="{FF2B5EF4-FFF2-40B4-BE49-F238E27FC236}">
              <a16:creationId xmlns:a16="http://schemas.microsoft.com/office/drawing/2014/main" id="{00000000-0008-0000-0800-0000F4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354</xdr:row>
      <xdr:rowOff>0</xdr:rowOff>
    </xdr:from>
    <xdr:ext cx="95250" cy="295275"/>
    <xdr:sp macro="" textlink="">
      <xdr:nvSpPr>
        <xdr:cNvPr id="4080" name="Text Box 15">
          <a:extLst>
            <a:ext uri="{FF2B5EF4-FFF2-40B4-BE49-F238E27FC236}">
              <a16:creationId xmlns:a16="http://schemas.microsoft.com/office/drawing/2014/main" id="{00000000-0008-0000-0800-0000F50F0000}"/>
            </a:ext>
          </a:extLst>
        </xdr:cNvPr>
        <xdr:cNvSpPr txBox="1">
          <a:spLocks noChangeArrowheads="1"/>
        </xdr:cNvSpPr>
      </xdr:nvSpPr>
      <xdr:spPr bwMode="auto">
        <a:xfrm>
          <a:off x="1933575" y="731329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1" name="Text Box 15">
          <a:extLst>
            <a:ext uri="{FF2B5EF4-FFF2-40B4-BE49-F238E27FC236}">
              <a16:creationId xmlns:a16="http://schemas.microsoft.com/office/drawing/2014/main" id="{00000000-0008-0000-0800-0000F6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2" name="Text Box 15">
          <a:extLst>
            <a:ext uri="{FF2B5EF4-FFF2-40B4-BE49-F238E27FC236}">
              <a16:creationId xmlns:a16="http://schemas.microsoft.com/office/drawing/2014/main" id="{00000000-0008-0000-0800-0000F7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3" name="Text Box 15">
          <a:extLst>
            <a:ext uri="{FF2B5EF4-FFF2-40B4-BE49-F238E27FC236}">
              <a16:creationId xmlns:a16="http://schemas.microsoft.com/office/drawing/2014/main" id="{00000000-0008-0000-0800-0000F8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4" name="Text Box 15">
          <a:extLst>
            <a:ext uri="{FF2B5EF4-FFF2-40B4-BE49-F238E27FC236}">
              <a16:creationId xmlns:a16="http://schemas.microsoft.com/office/drawing/2014/main" id="{00000000-0008-0000-0800-0000F9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5" name="Text Box 15">
          <a:extLst>
            <a:ext uri="{FF2B5EF4-FFF2-40B4-BE49-F238E27FC236}">
              <a16:creationId xmlns:a16="http://schemas.microsoft.com/office/drawing/2014/main" id="{00000000-0008-0000-0800-0000FA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6" name="Text Box 15">
          <a:extLst>
            <a:ext uri="{FF2B5EF4-FFF2-40B4-BE49-F238E27FC236}">
              <a16:creationId xmlns:a16="http://schemas.microsoft.com/office/drawing/2014/main" id="{00000000-0008-0000-0800-0000FB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7" name="Text Box 15">
          <a:extLst>
            <a:ext uri="{FF2B5EF4-FFF2-40B4-BE49-F238E27FC236}">
              <a16:creationId xmlns:a16="http://schemas.microsoft.com/office/drawing/2014/main" id="{00000000-0008-0000-0800-0000FC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88" name="Text Box 15">
          <a:extLst>
            <a:ext uri="{FF2B5EF4-FFF2-40B4-BE49-F238E27FC236}">
              <a16:creationId xmlns:a16="http://schemas.microsoft.com/office/drawing/2014/main" id="{00000000-0008-0000-0800-0000FD0F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89" name="Text Box 15">
          <a:extLst>
            <a:ext uri="{FF2B5EF4-FFF2-40B4-BE49-F238E27FC236}">
              <a16:creationId xmlns:a16="http://schemas.microsoft.com/office/drawing/2014/main" id="{00000000-0008-0000-0800-0000FE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0" name="Text Box 15">
          <a:extLst>
            <a:ext uri="{FF2B5EF4-FFF2-40B4-BE49-F238E27FC236}">
              <a16:creationId xmlns:a16="http://schemas.microsoft.com/office/drawing/2014/main" id="{00000000-0008-0000-0800-0000FF0F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1" name="Text Box 15">
          <a:extLst>
            <a:ext uri="{FF2B5EF4-FFF2-40B4-BE49-F238E27FC236}">
              <a16:creationId xmlns:a16="http://schemas.microsoft.com/office/drawing/2014/main" id="{00000000-0008-0000-0800-000000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2" name="Text Box 15">
          <a:extLst>
            <a:ext uri="{FF2B5EF4-FFF2-40B4-BE49-F238E27FC236}">
              <a16:creationId xmlns:a16="http://schemas.microsoft.com/office/drawing/2014/main" id="{00000000-0008-0000-0800-000001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3" name="Text Box 15">
          <a:extLst>
            <a:ext uri="{FF2B5EF4-FFF2-40B4-BE49-F238E27FC236}">
              <a16:creationId xmlns:a16="http://schemas.microsoft.com/office/drawing/2014/main" id="{00000000-0008-0000-0800-000002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4" name="Text Box 15">
          <a:extLst>
            <a:ext uri="{FF2B5EF4-FFF2-40B4-BE49-F238E27FC236}">
              <a16:creationId xmlns:a16="http://schemas.microsoft.com/office/drawing/2014/main" id="{00000000-0008-0000-0800-000003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5" name="Text Box 15">
          <a:extLst>
            <a:ext uri="{FF2B5EF4-FFF2-40B4-BE49-F238E27FC236}">
              <a16:creationId xmlns:a16="http://schemas.microsoft.com/office/drawing/2014/main" id="{00000000-0008-0000-0800-000004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096" name="Text Box 15">
          <a:extLst>
            <a:ext uri="{FF2B5EF4-FFF2-40B4-BE49-F238E27FC236}">
              <a16:creationId xmlns:a16="http://schemas.microsoft.com/office/drawing/2014/main" id="{00000000-0008-0000-0800-000005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97" name="Text Box 15">
          <a:extLst>
            <a:ext uri="{FF2B5EF4-FFF2-40B4-BE49-F238E27FC236}">
              <a16:creationId xmlns:a16="http://schemas.microsoft.com/office/drawing/2014/main" id="{00000000-0008-0000-0800-000006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98" name="Text Box 15">
          <a:extLst>
            <a:ext uri="{FF2B5EF4-FFF2-40B4-BE49-F238E27FC236}">
              <a16:creationId xmlns:a16="http://schemas.microsoft.com/office/drawing/2014/main" id="{00000000-0008-0000-0800-000007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099" name="Text Box 15">
          <a:extLst>
            <a:ext uri="{FF2B5EF4-FFF2-40B4-BE49-F238E27FC236}">
              <a16:creationId xmlns:a16="http://schemas.microsoft.com/office/drawing/2014/main" id="{00000000-0008-0000-0800-000008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100" name="Text Box 15">
          <a:extLst>
            <a:ext uri="{FF2B5EF4-FFF2-40B4-BE49-F238E27FC236}">
              <a16:creationId xmlns:a16="http://schemas.microsoft.com/office/drawing/2014/main" id="{00000000-0008-0000-0800-000009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101" name="Text Box 15">
          <a:extLst>
            <a:ext uri="{FF2B5EF4-FFF2-40B4-BE49-F238E27FC236}">
              <a16:creationId xmlns:a16="http://schemas.microsoft.com/office/drawing/2014/main" id="{00000000-0008-0000-0800-00000A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102" name="Text Box 15">
          <a:extLst>
            <a:ext uri="{FF2B5EF4-FFF2-40B4-BE49-F238E27FC236}">
              <a16:creationId xmlns:a16="http://schemas.microsoft.com/office/drawing/2014/main" id="{00000000-0008-0000-0800-00000B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103" name="Text Box 15">
          <a:extLst>
            <a:ext uri="{FF2B5EF4-FFF2-40B4-BE49-F238E27FC236}">
              <a16:creationId xmlns:a16="http://schemas.microsoft.com/office/drawing/2014/main" id="{00000000-0008-0000-0800-00000C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104" name="Text Box 15">
          <a:extLst>
            <a:ext uri="{FF2B5EF4-FFF2-40B4-BE49-F238E27FC236}">
              <a16:creationId xmlns:a16="http://schemas.microsoft.com/office/drawing/2014/main" id="{00000000-0008-0000-0800-00000D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05" name="Text Box 15">
          <a:extLst>
            <a:ext uri="{FF2B5EF4-FFF2-40B4-BE49-F238E27FC236}">
              <a16:creationId xmlns:a16="http://schemas.microsoft.com/office/drawing/2014/main" id="{00000000-0008-0000-0800-00000E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06" name="Text Box 15">
          <a:extLst>
            <a:ext uri="{FF2B5EF4-FFF2-40B4-BE49-F238E27FC236}">
              <a16:creationId xmlns:a16="http://schemas.microsoft.com/office/drawing/2014/main" id="{00000000-0008-0000-0800-00000F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07" name="Text Box 15">
          <a:extLst>
            <a:ext uri="{FF2B5EF4-FFF2-40B4-BE49-F238E27FC236}">
              <a16:creationId xmlns:a16="http://schemas.microsoft.com/office/drawing/2014/main" id="{00000000-0008-0000-0800-000010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08" name="Text Box 15">
          <a:extLst>
            <a:ext uri="{FF2B5EF4-FFF2-40B4-BE49-F238E27FC236}">
              <a16:creationId xmlns:a16="http://schemas.microsoft.com/office/drawing/2014/main" id="{00000000-0008-0000-0800-000011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09" name="Text Box 15">
          <a:extLst>
            <a:ext uri="{FF2B5EF4-FFF2-40B4-BE49-F238E27FC236}">
              <a16:creationId xmlns:a16="http://schemas.microsoft.com/office/drawing/2014/main" id="{00000000-0008-0000-0800-000012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10" name="Text Box 15">
          <a:extLst>
            <a:ext uri="{FF2B5EF4-FFF2-40B4-BE49-F238E27FC236}">
              <a16:creationId xmlns:a16="http://schemas.microsoft.com/office/drawing/2014/main" id="{00000000-0008-0000-0800-000013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11" name="Text Box 15">
          <a:extLst>
            <a:ext uri="{FF2B5EF4-FFF2-40B4-BE49-F238E27FC236}">
              <a16:creationId xmlns:a16="http://schemas.microsoft.com/office/drawing/2014/main" id="{00000000-0008-0000-0800-000014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112" name="Text Box 15">
          <a:extLst>
            <a:ext uri="{FF2B5EF4-FFF2-40B4-BE49-F238E27FC236}">
              <a16:creationId xmlns:a16="http://schemas.microsoft.com/office/drawing/2014/main" id="{00000000-0008-0000-0800-000015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3" name="Text Box 15">
          <a:extLst>
            <a:ext uri="{FF2B5EF4-FFF2-40B4-BE49-F238E27FC236}">
              <a16:creationId xmlns:a16="http://schemas.microsoft.com/office/drawing/2014/main" id="{00000000-0008-0000-0800-00001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4" name="Text Box 15">
          <a:extLst>
            <a:ext uri="{FF2B5EF4-FFF2-40B4-BE49-F238E27FC236}">
              <a16:creationId xmlns:a16="http://schemas.microsoft.com/office/drawing/2014/main" id="{00000000-0008-0000-0800-00001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5" name="Text Box 15">
          <a:extLst>
            <a:ext uri="{FF2B5EF4-FFF2-40B4-BE49-F238E27FC236}">
              <a16:creationId xmlns:a16="http://schemas.microsoft.com/office/drawing/2014/main" id="{00000000-0008-0000-0800-00001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6" name="Text Box 15">
          <a:extLst>
            <a:ext uri="{FF2B5EF4-FFF2-40B4-BE49-F238E27FC236}">
              <a16:creationId xmlns:a16="http://schemas.microsoft.com/office/drawing/2014/main" id="{00000000-0008-0000-0800-00001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7" name="Text Box 15">
          <a:extLst>
            <a:ext uri="{FF2B5EF4-FFF2-40B4-BE49-F238E27FC236}">
              <a16:creationId xmlns:a16="http://schemas.microsoft.com/office/drawing/2014/main" id="{00000000-0008-0000-0800-00001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8" name="Text Box 15">
          <a:extLst>
            <a:ext uri="{FF2B5EF4-FFF2-40B4-BE49-F238E27FC236}">
              <a16:creationId xmlns:a16="http://schemas.microsoft.com/office/drawing/2014/main" id="{00000000-0008-0000-0800-00001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19" name="Text Box 15">
          <a:extLst>
            <a:ext uri="{FF2B5EF4-FFF2-40B4-BE49-F238E27FC236}">
              <a16:creationId xmlns:a16="http://schemas.microsoft.com/office/drawing/2014/main" id="{00000000-0008-0000-0800-00001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20" name="Text Box 15">
          <a:extLst>
            <a:ext uri="{FF2B5EF4-FFF2-40B4-BE49-F238E27FC236}">
              <a16:creationId xmlns:a16="http://schemas.microsoft.com/office/drawing/2014/main" id="{00000000-0008-0000-0800-00001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1" name="Text Box 15">
          <a:extLst>
            <a:ext uri="{FF2B5EF4-FFF2-40B4-BE49-F238E27FC236}">
              <a16:creationId xmlns:a16="http://schemas.microsoft.com/office/drawing/2014/main" id="{00000000-0008-0000-0800-00001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2" name="Text Box 15">
          <a:extLst>
            <a:ext uri="{FF2B5EF4-FFF2-40B4-BE49-F238E27FC236}">
              <a16:creationId xmlns:a16="http://schemas.microsoft.com/office/drawing/2014/main" id="{00000000-0008-0000-0800-00001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3" name="Text Box 15">
          <a:extLst>
            <a:ext uri="{FF2B5EF4-FFF2-40B4-BE49-F238E27FC236}">
              <a16:creationId xmlns:a16="http://schemas.microsoft.com/office/drawing/2014/main" id="{00000000-0008-0000-0800-00002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4" name="Text Box 15">
          <a:extLst>
            <a:ext uri="{FF2B5EF4-FFF2-40B4-BE49-F238E27FC236}">
              <a16:creationId xmlns:a16="http://schemas.microsoft.com/office/drawing/2014/main" id="{00000000-0008-0000-0800-00002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5" name="Text Box 15">
          <a:extLst>
            <a:ext uri="{FF2B5EF4-FFF2-40B4-BE49-F238E27FC236}">
              <a16:creationId xmlns:a16="http://schemas.microsoft.com/office/drawing/2014/main" id="{00000000-0008-0000-0800-00002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6" name="Text Box 15">
          <a:extLst>
            <a:ext uri="{FF2B5EF4-FFF2-40B4-BE49-F238E27FC236}">
              <a16:creationId xmlns:a16="http://schemas.microsoft.com/office/drawing/2014/main" id="{00000000-0008-0000-0800-00002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7" name="Text Box 15">
          <a:extLst>
            <a:ext uri="{FF2B5EF4-FFF2-40B4-BE49-F238E27FC236}">
              <a16:creationId xmlns:a16="http://schemas.microsoft.com/office/drawing/2014/main" id="{00000000-0008-0000-0800-00002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28" name="Text Box 15">
          <a:extLst>
            <a:ext uri="{FF2B5EF4-FFF2-40B4-BE49-F238E27FC236}">
              <a16:creationId xmlns:a16="http://schemas.microsoft.com/office/drawing/2014/main" id="{00000000-0008-0000-0800-00002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29" name="Text Box 15">
          <a:extLst>
            <a:ext uri="{FF2B5EF4-FFF2-40B4-BE49-F238E27FC236}">
              <a16:creationId xmlns:a16="http://schemas.microsoft.com/office/drawing/2014/main" id="{00000000-0008-0000-0800-00002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0" name="Text Box 15">
          <a:extLst>
            <a:ext uri="{FF2B5EF4-FFF2-40B4-BE49-F238E27FC236}">
              <a16:creationId xmlns:a16="http://schemas.microsoft.com/office/drawing/2014/main" id="{00000000-0008-0000-0800-00002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1" name="Text Box 15">
          <a:extLst>
            <a:ext uri="{FF2B5EF4-FFF2-40B4-BE49-F238E27FC236}">
              <a16:creationId xmlns:a16="http://schemas.microsoft.com/office/drawing/2014/main" id="{00000000-0008-0000-0800-00002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2" name="Text Box 15">
          <a:extLst>
            <a:ext uri="{FF2B5EF4-FFF2-40B4-BE49-F238E27FC236}">
              <a16:creationId xmlns:a16="http://schemas.microsoft.com/office/drawing/2014/main" id="{00000000-0008-0000-0800-00002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3" name="Text Box 15">
          <a:extLst>
            <a:ext uri="{FF2B5EF4-FFF2-40B4-BE49-F238E27FC236}">
              <a16:creationId xmlns:a16="http://schemas.microsoft.com/office/drawing/2014/main" id="{00000000-0008-0000-0800-00002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4" name="Text Box 15">
          <a:extLst>
            <a:ext uri="{FF2B5EF4-FFF2-40B4-BE49-F238E27FC236}">
              <a16:creationId xmlns:a16="http://schemas.microsoft.com/office/drawing/2014/main" id="{00000000-0008-0000-0800-00002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5" name="Text Box 15">
          <a:extLst>
            <a:ext uri="{FF2B5EF4-FFF2-40B4-BE49-F238E27FC236}">
              <a16:creationId xmlns:a16="http://schemas.microsoft.com/office/drawing/2014/main" id="{00000000-0008-0000-0800-00002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36" name="Text Box 15">
          <a:extLst>
            <a:ext uri="{FF2B5EF4-FFF2-40B4-BE49-F238E27FC236}">
              <a16:creationId xmlns:a16="http://schemas.microsoft.com/office/drawing/2014/main" id="{00000000-0008-0000-0800-00002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37" name="Text Box 15">
          <a:extLst>
            <a:ext uri="{FF2B5EF4-FFF2-40B4-BE49-F238E27FC236}">
              <a16:creationId xmlns:a16="http://schemas.microsoft.com/office/drawing/2014/main" id="{00000000-0008-0000-0800-00002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38" name="Text Box 15">
          <a:extLst>
            <a:ext uri="{FF2B5EF4-FFF2-40B4-BE49-F238E27FC236}">
              <a16:creationId xmlns:a16="http://schemas.microsoft.com/office/drawing/2014/main" id="{00000000-0008-0000-0800-00002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39" name="Text Box 15">
          <a:extLst>
            <a:ext uri="{FF2B5EF4-FFF2-40B4-BE49-F238E27FC236}">
              <a16:creationId xmlns:a16="http://schemas.microsoft.com/office/drawing/2014/main" id="{00000000-0008-0000-0800-00003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40" name="Text Box 15">
          <a:extLst>
            <a:ext uri="{FF2B5EF4-FFF2-40B4-BE49-F238E27FC236}">
              <a16:creationId xmlns:a16="http://schemas.microsoft.com/office/drawing/2014/main" id="{00000000-0008-0000-0800-00003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41" name="Text Box 15">
          <a:extLst>
            <a:ext uri="{FF2B5EF4-FFF2-40B4-BE49-F238E27FC236}">
              <a16:creationId xmlns:a16="http://schemas.microsoft.com/office/drawing/2014/main" id="{00000000-0008-0000-0800-00003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42" name="Text Box 15">
          <a:extLst>
            <a:ext uri="{FF2B5EF4-FFF2-40B4-BE49-F238E27FC236}">
              <a16:creationId xmlns:a16="http://schemas.microsoft.com/office/drawing/2014/main" id="{00000000-0008-0000-0800-00003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43" name="Text Box 15">
          <a:extLst>
            <a:ext uri="{FF2B5EF4-FFF2-40B4-BE49-F238E27FC236}">
              <a16:creationId xmlns:a16="http://schemas.microsoft.com/office/drawing/2014/main" id="{00000000-0008-0000-0800-00003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44" name="Text Box 15">
          <a:extLst>
            <a:ext uri="{FF2B5EF4-FFF2-40B4-BE49-F238E27FC236}">
              <a16:creationId xmlns:a16="http://schemas.microsoft.com/office/drawing/2014/main" id="{00000000-0008-0000-0800-00003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45" name="Text Box 15">
          <a:extLst>
            <a:ext uri="{FF2B5EF4-FFF2-40B4-BE49-F238E27FC236}">
              <a16:creationId xmlns:a16="http://schemas.microsoft.com/office/drawing/2014/main" id="{00000000-0008-0000-0800-00003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46" name="Text Box 15">
          <a:extLst>
            <a:ext uri="{FF2B5EF4-FFF2-40B4-BE49-F238E27FC236}">
              <a16:creationId xmlns:a16="http://schemas.microsoft.com/office/drawing/2014/main" id="{00000000-0008-0000-0800-00003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47" name="Text Box 15">
          <a:extLst>
            <a:ext uri="{FF2B5EF4-FFF2-40B4-BE49-F238E27FC236}">
              <a16:creationId xmlns:a16="http://schemas.microsoft.com/office/drawing/2014/main" id="{00000000-0008-0000-0800-00003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48" name="Text Box 15">
          <a:extLst>
            <a:ext uri="{FF2B5EF4-FFF2-40B4-BE49-F238E27FC236}">
              <a16:creationId xmlns:a16="http://schemas.microsoft.com/office/drawing/2014/main" id="{00000000-0008-0000-0800-00003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49" name="Text Box 15">
          <a:extLst>
            <a:ext uri="{FF2B5EF4-FFF2-40B4-BE49-F238E27FC236}">
              <a16:creationId xmlns:a16="http://schemas.microsoft.com/office/drawing/2014/main" id="{00000000-0008-0000-0800-00003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50" name="Text Box 15">
          <a:extLst>
            <a:ext uri="{FF2B5EF4-FFF2-40B4-BE49-F238E27FC236}">
              <a16:creationId xmlns:a16="http://schemas.microsoft.com/office/drawing/2014/main" id="{00000000-0008-0000-0800-00003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51" name="Text Box 15">
          <a:extLst>
            <a:ext uri="{FF2B5EF4-FFF2-40B4-BE49-F238E27FC236}">
              <a16:creationId xmlns:a16="http://schemas.microsoft.com/office/drawing/2014/main" id="{00000000-0008-0000-0800-00003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52" name="Text Box 15">
          <a:extLst>
            <a:ext uri="{FF2B5EF4-FFF2-40B4-BE49-F238E27FC236}">
              <a16:creationId xmlns:a16="http://schemas.microsoft.com/office/drawing/2014/main" id="{00000000-0008-0000-0800-00003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3" name="Text Box 15">
          <a:extLst>
            <a:ext uri="{FF2B5EF4-FFF2-40B4-BE49-F238E27FC236}">
              <a16:creationId xmlns:a16="http://schemas.microsoft.com/office/drawing/2014/main" id="{00000000-0008-0000-0800-00003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4" name="Text Box 15">
          <a:extLst>
            <a:ext uri="{FF2B5EF4-FFF2-40B4-BE49-F238E27FC236}">
              <a16:creationId xmlns:a16="http://schemas.microsoft.com/office/drawing/2014/main" id="{00000000-0008-0000-0800-00003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5" name="Text Box 15">
          <a:extLst>
            <a:ext uri="{FF2B5EF4-FFF2-40B4-BE49-F238E27FC236}">
              <a16:creationId xmlns:a16="http://schemas.microsoft.com/office/drawing/2014/main" id="{00000000-0008-0000-0800-00004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6" name="Text Box 15">
          <a:extLst>
            <a:ext uri="{FF2B5EF4-FFF2-40B4-BE49-F238E27FC236}">
              <a16:creationId xmlns:a16="http://schemas.microsoft.com/office/drawing/2014/main" id="{00000000-0008-0000-0800-00004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7" name="Text Box 15">
          <a:extLst>
            <a:ext uri="{FF2B5EF4-FFF2-40B4-BE49-F238E27FC236}">
              <a16:creationId xmlns:a16="http://schemas.microsoft.com/office/drawing/2014/main" id="{00000000-0008-0000-0800-00004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8" name="Text Box 15">
          <a:extLst>
            <a:ext uri="{FF2B5EF4-FFF2-40B4-BE49-F238E27FC236}">
              <a16:creationId xmlns:a16="http://schemas.microsoft.com/office/drawing/2014/main" id="{00000000-0008-0000-0800-00004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59" name="Text Box 15">
          <a:extLst>
            <a:ext uri="{FF2B5EF4-FFF2-40B4-BE49-F238E27FC236}">
              <a16:creationId xmlns:a16="http://schemas.microsoft.com/office/drawing/2014/main" id="{00000000-0008-0000-0800-00004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60" name="Text Box 15">
          <a:extLst>
            <a:ext uri="{FF2B5EF4-FFF2-40B4-BE49-F238E27FC236}">
              <a16:creationId xmlns:a16="http://schemas.microsoft.com/office/drawing/2014/main" id="{00000000-0008-0000-0800-00004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1" name="Text Box 15">
          <a:extLst>
            <a:ext uri="{FF2B5EF4-FFF2-40B4-BE49-F238E27FC236}">
              <a16:creationId xmlns:a16="http://schemas.microsoft.com/office/drawing/2014/main" id="{00000000-0008-0000-0800-00004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2" name="Text Box 15">
          <a:extLst>
            <a:ext uri="{FF2B5EF4-FFF2-40B4-BE49-F238E27FC236}">
              <a16:creationId xmlns:a16="http://schemas.microsoft.com/office/drawing/2014/main" id="{00000000-0008-0000-0800-00004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3" name="Text Box 15">
          <a:extLst>
            <a:ext uri="{FF2B5EF4-FFF2-40B4-BE49-F238E27FC236}">
              <a16:creationId xmlns:a16="http://schemas.microsoft.com/office/drawing/2014/main" id="{00000000-0008-0000-0800-00004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4" name="Text Box 15">
          <a:extLst>
            <a:ext uri="{FF2B5EF4-FFF2-40B4-BE49-F238E27FC236}">
              <a16:creationId xmlns:a16="http://schemas.microsoft.com/office/drawing/2014/main" id="{00000000-0008-0000-0800-00004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5" name="Text Box 15">
          <a:extLst>
            <a:ext uri="{FF2B5EF4-FFF2-40B4-BE49-F238E27FC236}">
              <a16:creationId xmlns:a16="http://schemas.microsoft.com/office/drawing/2014/main" id="{00000000-0008-0000-0800-00004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6" name="Text Box 15">
          <a:extLst>
            <a:ext uri="{FF2B5EF4-FFF2-40B4-BE49-F238E27FC236}">
              <a16:creationId xmlns:a16="http://schemas.microsoft.com/office/drawing/2014/main" id="{00000000-0008-0000-0800-00004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7" name="Text Box 15">
          <a:extLst>
            <a:ext uri="{FF2B5EF4-FFF2-40B4-BE49-F238E27FC236}">
              <a16:creationId xmlns:a16="http://schemas.microsoft.com/office/drawing/2014/main" id="{00000000-0008-0000-0800-00004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68" name="Text Box 15">
          <a:extLst>
            <a:ext uri="{FF2B5EF4-FFF2-40B4-BE49-F238E27FC236}">
              <a16:creationId xmlns:a16="http://schemas.microsoft.com/office/drawing/2014/main" id="{00000000-0008-0000-0800-00004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69" name="Text Box 15">
          <a:extLst>
            <a:ext uri="{FF2B5EF4-FFF2-40B4-BE49-F238E27FC236}">
              <a16:creationId xmlns:a16="http://schemas.microsoft.com/office/drawing/2014/main" id="{00000000-0008-0000-0800-00004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0" name="Text Box 15">
          <a:extLst>
            <a:ext uri="{FF2B5EF4-FFF2-40B4-BE49-F238E27FC236}">
              <a16:creationId xmlns:a16="http://schemas.microsoft.com/office/drawing/2014/main" id="{00000000-0008-0000-0800-00004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1" name="Text Box 15">
          <a:extLst>
            <a:ext uri="{FF2B5EF4-FFF2-40B4-BE49-F238E27FC236}">
              <a16:creationId xmlns:a16="http://schemas.microsoft.com/office/drawing/2014/main" id="{00000000-0008-0000-0800-00005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2" name="Text Box 15">
          <a:extLst>
            <a:ext uri="{FF2B5EF4-FFF2-40B4-BE49-F238E27FC236}">
              <a16:creationId xmlns:a16="http://schemas.microsoft.com/office/drawing/2014/main" id="{00000000-0008-0000-0800-00005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3" name="Text Box 15">
          <a:extLst>
            <a:ext uri="{FF2B5EF4-FFF2-40B4-BE49-F238E27FC236}">
              <a16:creationId xmlns:a16="http://schemas.microsoft.com/office/drawing/2014/main" id="{00000000-0008-0000-0800-00005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4" name="Text Box 15">
          <a:extLst>
            <a:ext uri="{FF2B5EF4-FFF2-40B4-BE49-F238E27FC236}">
              <a16:creationId xmlns:a16="http://schemas.microsoft.com/office/drawing/2014/main" id="{00000000-0008-0000-0800-00005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5" name="Text Box 15">
          <a:extLst>
            <a:ext uri="{FF2B5EF4-FFF2-40B4-BE49-F238E27FC236}">
              <a16:creationId xmlns:a16="http://schemas.microsoft.com/office/drawing/2014/main" id="{00000000-0008-0000-0800-00005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76" name="Text Box 15">
          <a:extLst>
            <a:ext uri="{FF2B5EF4-FFF2-40B4-BE49-F238E27FC236}">
              <a16:creationId xmlns:a16="http://schemas.microsoft.com/office/drawing/2014/main" id="{00000000-0008-0000-0800-00005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77" name="Text Box 15">
          <a:extLst>
            <a:ext uri="{FF2B5EF4-FFF2-40B4-BE49-F238E27FC236}">
              <a16:creationId xmlns:a16="http://schemas.microsoft.com/office/drawing/2014/main" id="{00000000-0008-0000-0800-00005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78" name="Text Box 15">
          <a:extLst>
            <a:ext uri="{FF2B5EF4-FFF2-40B4-BE49-F238E27FC236}">
              <a16:creationId xmlns:a16="http://schemas.microsoft.com/office/drawing/2014/main" id="{00000000-0008-0000-0800-00005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79" name="Text Box 15">
          <a:extLst>
            <a:ext uri="{FF2B5EF4-FFF2-40B4-BE49-F238E27FC236}">
              <a16:creationId xmlns:a16="http://schemas.microsoft.com/office/drawing/2014/main" id="{00000000-0008-0000-0800-00005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80" name="Text Box 15">
          <a:extLst>
            <a:ext uri="{FF2B5EF4-FFF2-40B4-BE49-F238E27FC236}">
              <a16:creationId xmlns:a16="http://schemas.microsoft.com/office/drawing/2014/main" id="{00000000-0008-0000-0800-00005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81" name="Text Box 15">
          <a:extLst>
            <a:ext uri="{FF2B5EF4-FFF2-40B4-BE49-F238E27FC236}">
              <a16:creationId xmlns:a16="http://schemas.microsoft.com/office/drawing/2014/main" id="{00000000-0008-0000-0800-00005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82" name="Text Box 15">
          <a:extLst>
            <a:ext uri="{FF2B5EF4-FFF2-40B4-BE49-F238E27FC236}">
              <a16:creationId xmlns:a16="http://schemas.microsoft.com/office/drawing/2014/main" id="{00000000-0008-0000-0800-00005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83" name="Text Box 15">
          <a:extLst>
            <a:ext uri="{FF2B5EF4-FFF2-40B4-BE49-F238E27FC236}">
              <a16:creationId xmlns:a16="http://schemas.microsoft.com/office/drawing/2014/main" id="{00000000-0008-0000-0800-00005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84" name="Text Box 15">
          <a:extLst>
            <a:ext uri="{FF2B5EF4-FFF2-40B4-BE49-F238E27FC236}">
              <a16:creationId xmlns:a16="http://schemas.microsoft.com/office/drawing/2014/main" id="{00000000-0008-0000-0800-00005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85" name="Text Box 15">
          <a:extLst>
            <a:ext uri="{FF2B5EF4-FFF2-40B4-BE49-F238E27FC236}">
              <a16:creationId xmlns:a16="http://schemas.microsoft.com/office/drawing/2014/main" id="{00000000-0008-0000-0800-00005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86" name="Text Box 15">
          <a:extLst>
            <a:ext uri="{FF2B5EF4-FFF2-40B4-BE49-F238E27FC236}">
              <a16:creationId xmlns:a16="http://schemas.microsoft.com/office/drawing/2014/main" id="{00000000-0008-0000-0800-00005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87" name="Text Box 15">
          <a:extLst>
            <a:ext uri="{FF2B5EF4-FFF2-40B4-BE49-F238E27FC236}">
              <a16:creationId xmlns:a16="http://schemas.microsoft.com/office/drawing/2014/main" id="{00000000-0008-0000-0800-00006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88" name="Text Box 15">
          <a:extLst>
            <a:ext uri="{FF2B5EF4-FFF2-40B4-BE49-F238E27FC236}">
              <a16:creationId xmlns:a16="http://schemas.microsoft.com/office/drawing/2014/main" id="{00000000-0008-0000-0800-00006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89" name="Text Box 15">
          <a:extLst>
            <a:ext uri="{FF2B5EF4-FFF2-40B4-BE49-F238E27FC236}">
              <a16:creationId xmlns:a16="http://schemas.microsoft.com/office/drawing/2014/main" id="{00000000-0008-0000-0800-00006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90" name="Text Box 15">
          <a:extLst>
            <a:ext uri="{FF2B5EF4-FFF2-40B4-BE49-F238E27FC236}">
              <a16:creationId xmlns:a16="http://schemas.microsoft.com/office/drawing/2014/main" id="{00000000-0008-0000-0800-00006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91" name="Text Box 15">
          <a:extLst>
            <a:ext uri="{FF2B5EF4-FFF2-40B4-BE49-F238E27FC236}">
              <a16:creationId xmlns:a16="http://schemas.microsoft.com/office/drawing/2014/main" id="{00000000-0008-0000-0800-00006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192" name="Text Box 15">
          <a:extLst>
            <a:ext uri="{FF2B5EF4-FFF2-40B4-BE49-F238E27FC236}">
              <a16:creationId xmlns:a16="http://schemas.microsoft.com/office/drawing/2014/main" id="{00000000-0008-0000-0800-00006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3" name="Text Box 15">
          <a:extLst>
            <a:ext uri="{FF2B5EF4-FFF2-40B4-BE49-F238E27FC236}">
              <a16:creationId xmlns:a16="http://schemas.microsoft.com/office/drawing/2014/main" id="{00000000-0008-0000-0800-00006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4" name="Text Box 15">
          <a:extLst>
            <a:ext uri="{FF2B5EF4-FFF2-40B4-BE49-F238E27FC236}">
              <a16:creationId xmlns:a16="http://schemas.microsoft.com/office/drawing/2014/main" id="{00000000-0008-0000-0800-00006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5" name="Text Box 15">
          <a:extLst>
            <a:ext uri="{FF2B5EF4-FFF2-40B4-BE49-F238E27FC236}">
              <a16:creationId xmlns:a16="http://schemas.microsoft.com/office/drawing/2014/main" id="{00000000-0008-0000-0800-00006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6" name="Text Box 15">
          <a:extLst>
            <a:ext uri="{FF2B5EF4-FFF2-40B4-BE49-F238E27FC236}">
              <a16:creationId xmlns:a16="http://schemas.microsoft.com/office/drawing/2014/main" id="{00000000-0008-0000-0800-00006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7" name="Text Box 15">
          <a:extLst>
            <a:ext uri="{FF2B5EF4-FFF2-40B4-BE49-F238E27FC236}">
              <a16:creationId xmlns:a16="http://schemas.microsoft.com/office/drawing/2014/main" id="{00000000-0008-0000-0800-00006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8" name="Text Box 15">
          <a:extLst>
            <a:ext uri="{FF2B5EF4-FFF2-40B4-BE49-F238E27FC236}">
              <a16:creationId xmlns:a16="http://schemas.microsoft.com/office/drawing/2014/main" id="{00000000-0008-0000-0800-00006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199" name="Text Box 15">
          <a:extLst>
            <a:ext uri="{FF2B5EF4-FFF2-40B4-BE49-F238E27FC236}">
              <a16:creationId xmlns:a16="http://schemas.microsoft.com/office/drawing/2014/main" id="{00000000-0008-0000-0800-00006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00" name="Text Box 15">
          <a:extLst>
            <a:ext uri="{FF2B5EF4-FFF2-40B4-BE49-F238E27FC236}">
              <a16:creationId xmlns:a16="http://schemas.microsoft.com/office/drawing/2014/main" id="{00000000-0008-0000-0800-00006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1" name="Text Box 15">
          <a:extLst>
            <a:ext uri="{FF2B5EF4-FFF2-40B4-BE49-F238E27FC236}">
              <a16:creationId xmlns:a16="http://schemas.microsoft.com/office/drawing/2014/main" id="{00000000-0008-0000-0800-00006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2" name="Text Box 15">
          <a:extLst>
            <a:ext uri="{FF2B5EF4-FFF2-40B4-BE49-F238E27FC236}">
              <a16:creationId xmlns:a16="http://schemas.microsoft.com/office/drawing/2014/main" id="{00000000-0008-0000-0800-00006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3" name="Text Box 15">
          <a:extLst>
            <a:ext uri="{FF2B5EF4-FFF2-40B4-BE49-F238E27FC236}">
              <a16:creationId xmlns:a16="http://schemas.microsoft.com/office/drawing/2014/main" id="{00000000-0008-0000-0800-00007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4" name="Text Box 15">
          <a:extLst>
            <a:ext uri="{FF2B5EF4-FFF2-40B4-BE49-F238E27FC236}">
              <a16:creationId xmlns:a16="http://schemas.microsoft.com/office/drawing/2014/main" id="{00000000-0008-0000-0800-00007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5" name="Text Box 15">
          <a:extLst>
            <a:ext uri="{FF2B5EF4-FFF2-40B4-BE49-F238E27FC236}">
              <a16:creationId xmlns:a16="http://schemas.microsoft.com/office/drawing/2014/main" id="{00000000-0008-0000-0800-00007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6" name="Text Box 15">
          <a:extLst>
            <a:ext uri="{FF2B5EF4-FFF2-40B4-BE49-F238E27FC236}">
              <a16:creationId xmlns:a16="http://schemas.microsoft.com/office/drawing/2014/main" id="{00000000-0008-0000-0800-00007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7" name="Text Box 15">
          <a:extLst>
            <a:ext uri="{FF2B5EF4-FFF2-40B4-BE49-F238E27FC236}">
              <a16:creationId xmlns:a16="http://schemas.microsoft.com/office/drawing/2014/main" id="{00000000-0008-0000-0800-00007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08" name="Text Box 15">
          <a:extLst>
            <a:ext uri="{FF2B5EF4-FFF2-40B4-BE49-F238E27FC236}">
              <a16:creationId xmlns:a16="http://schemas.microsoft.com/office/drawing/2014/main" id="{00000000-0008-0000-0800-00007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09" name="Text Box 15">
          <a:extLst>
            <a:ext uri="{FF2B5EF4-FFF2-40B4-BE49-F238E27FC236}">
              <a16:creationId xmlns:a16="http://schemas.microsoft.com/office/drawing/2014/main" id="{00000000-0008-0000-0800-000076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0" name="Text Box 15">
          <a:extLst>
            <a:ext uri="{FF2B5EF4-FFF2-40B4-BE49-F238E27FC236}">
              <a16:creationId xmlns:a16="http://schemas.microsoft.com/office/drawing/2014/main" id="{00000000-0008-0000-0800-000077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1" name="Text Box 15">
          <a:extLst>
            <a:ext uri="{FF2B5EF4-FFF2-40B4-BE49-F238E27FC236}">
              <a16:creationId xmlns:a16="http://schemas.microsoft.com/office/drawing/2014/main" id="{00000000-0008-0000-0800-000078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2" name="Text Box 15">
          <a:extLst>
            <a:ext uri="{FF2B5EF4-FFF2-40B4-BE49-F238E27FC236}">
              <a16:creationId xmlns:a16="http://schemas.microsoft.com/office/drawing/2014/main" id="{00000000-0008-0000-0800-000079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3" name="Text Box 15">
          <a:extLst>
            <a:ext uri="{FF2B5EF4-FFF2-40B4-BE49-F238E27FC236}">
              <a16:creationId xmlns:a16="http://schemas.microsoft.com/office/drawing/2014/main" id="{00000000-0008-0000-0800-00007A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4" name="Text Box 15">
          <a:extLst>
            <a:ext uri="{FF2B5EF4-FFF2-40B4-BE49-F238E27FC236}">
              <a16:creationId xmlns:a16="http://schemas.microsoft.com/office/drawing/2014/main" id="{00000000-0008-0000-0800-00007B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5" name="Text Box 15">
          <a:extLst>
            <a:ext uri="{FF2B5EF4-FFF2-40B4-BE49-F238E27FC236}">
              <a16:creationId xmlns:a16="http://schemas.microsoft.com/office/drawing/2014/main" id="{00000000-0008-0000-0800-00007C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16" name="Text Box 15">
          <a:extLst>
            <a:ext uri="{FF2B5EF4-FFF2-40B4-BE49-F238E27FC236}">
              <a16:creationId xmlns:a16="http://schemas.microsoft.com/office/drawing/2014/main" id="{00000000-0008-0000-0800-00007D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17" name="Text Box 15">
          <a:extLst>
            <a:ext uri="{FF2B5EF4-FFF2-40B4-BE49-F238E27FC236}">
              <a16:creationId xmlns:a16="http://schemas.microsoft.com/office/drawing/2014/main" id="{00000000-0008-0000-0800-00007E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18" name="Text Box 15">
          <a:extLst>
            <a:ext uri="{FF2B5EF4-FFF2-40B4-BE49-F238E27FC236}">
              <a16:creationId xmlns:a16="http://schemas.microsoft.com/office/drawing/2014/main" id="{00000000-0008-0000-0800-00007F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19" name="Text Box 15">
          <a:extLst>
            <a:ext uri="{FF2B5EF4-FFF2-40B4-BE49-F238E27FC236}">
              <a16:creationId xmlns:a16="http://schemas.microsoft.com/office/drawing/2014/main" id="{00000000-0008-0000-0800-000080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20" name="Text Box 15">
          <a:extLst>
            <a:ext uri="{FF2B5EF4-FFF2-40B4-BE49-F238E27FC236}">
              <a16:creationId xmlns:a16="http://schemas.microsoft.com/office/drawing/2014/main" id="{00000000-0008-0000-0800-000081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21" name="Text Box 15">
          <a:extLst>
            <a:ext uri="{FF2B5EF4-FFF2-40B4-BE49-F238E27FC236}">
              <a16:creationId xmlns:a16="http://schemas.microsoft.com/office/drawing/2014/main" id="{00000000-0008-0000-0800-000082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22" name="Text Box 15">
          <a:extLst>
            <a:ext uri="{FF2B5EF4-FFF2-40B4-BE49-F238E27FC236}">
              <a16:creationId xmlns:a16="http://schemas.microsoft.com/office/drawing/2014/main" id="{00000000-0008-0000-0800-000083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23" name="Text Box 15">
          <a:extLst>
            <a:ext uri="{FF2B5EF4-FFF2-40B4-BE49-F238E27FC236}">
              <a16:creationId xmlns:a16="http://schemas.microsoft.com/office/drawing/2014/main" id="{00000000-0008-0000-0800-000084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24" name="Text Box 15">
          <a:extLst>
            <a:ext uri="{FF2B5EF4-FFF2-40B4-BE49-F238E27FC236}">
              <a16:creationId xmlns:a16="http://schemas.microsoft.com/office/drawing/2014/main" id="{00000000-0008-0000-0800-000085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25" name="Text Box 15">
          <a:extLst>
            <a:ext uri="{FF2B5EF4-FFF2-40B4-BE49-F238E27FC236}">
              <a16:creationId xmlns:a16="http://schemas.microsoft.com/office/drawing/2014/main" id="{00000000-0008-0000-0800-00008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26" name="Text Box 15">
          <a:extLst>
            <a:ext uri="{FF2B5EF4-FFF2-40B4-BE49-F238E27FC236}">
              <a16:creationId xmlns:a16="http://schemas.microsoft.com/office/drawing/2014/main" id="{00000000-0008-0000-0800-00008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27" name="Text Box 15">
          <a:extLst>
            <a:ext uri="{FF2B5EF4-FFF2-40B4-BE49-F238E27FC236}">
              <a16:creationId xmlns:a16="http://schemas.microsoft.com/office/drawing/2014/main" id="{00000000-0008-0000-0800-00008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28" name="Text Box 15">
          <a:extLst>
            <a:ext uri="{FF2B5EF4-FFF2-40B4-BE49-F238E27FC236}">
              <a16:creationId xmlns:a16="http://schemas.microsoft.com/office/drawing/2014/main" id="{00000000-0008-0000-0800-00008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29" name="Text Box 15">
          <a:extLst>
            <a:ext uri="{FF2B5EF4-FFF2-40B4-BE49-F238E27FC236}">
              <a16:creationId xmlns:a16="http://schemas.microsoft.com/office/drawing/2014/main" id="{00000000-0008-0000-0800-00008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30" name="Text Box 15">
          <a:extLst>
            <a:ext uri="{FF2B5EF4-FFF2-40B4-BE49-F238E27FC236}">
              <a16:creationId xmlns:a16="http://schemas.microsoft.com/office/drawing/2014/main" id="{00000000-0008-0000-0800-00008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31" name="Text Box 15">
          <a:extLst>
            <a:ext uri="{FF2B5EF4-FFF2-40B4-BE49-F238E27FC236}">
              <a16:creationId xmlns:a16="http://schemas.microsoft.com/office/drawing/2014/main" id="{00000000-0008-0000-0800-00008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32" name="Text Box 15">
          <a:extLst>
            <a:ext uri="{FF2B5EF4-FFF2-40B4-BE49-F238E27FC236}">
              <a16:creationId xmlns:a16="http://schemas.microsoft.com/office/drawing/2014/main" id="{00000000-0008-0000-0800-00008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3" name="Text Box 15">
          <a:extLst>
            <a:ext uri="{FF2B5EF4-FFF2-40B4-BE49-F238E27FC236}">
              <a16:creationId xmlns:a16="http://schemas.microsoft.com/office/drawing/2014/main" id="{00000000-0008-0000-0800-00008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4" name="Text Box 15">
          <a:extLst>
            <a:ext uri="{FF2B5EF4-FFF2-40B4-BE49-F238E27FC236}">
              <a16:creationId xmlns:a16="http://schemas.microsoft.com/office/drawing/2014/main" id="{00000000-0008-0000-0800-00008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5" name="Text Box 15">
          <a:extLst>
            <a:ext uri="{FF2B5EF4-FFF2-40B4-BE49-F238E27FC236}">
              <a16:creationId xmlns:a16="http://schemas.microsoft.com/office/drawing/2014/main" id="{00000000-0008-0000-0800-00009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6" name="Text Box 15">
          <a:extLst>
            <a:ext uri="{FF2B5EF4-FFF2-40B4-BE49-F238E27FC236}">
              <a16:creationId xmlns:a16="http://schemas.microsoft.com/office/drawing/2014/main" id="{00000000-0008-0000-0800-00009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7" name="Text Box 15">
          <a:extLst>
            <a:ext uri="{FF2B5EF4-FFF2-40B4-BE49-F238E27FC236}">
              <a16:creationId xmlns:a16="http://schemas.microsoft.com/office/drawing/2014/main" id="{00000000-0008-0000-0800-00009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8" name="Text Box 15">
          <a:extLst>
            <a:ext uri="{FF2B5EF4-FFF2-40B4-BE49-F238E27FC236}">
              <a16:creationId xmlns:a16="http://schemas.microsoft.com/office/drawing/2014/main" id="{00000000-0008-0000-0800-00009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39" name="Text Box 15">
          <a:extLst>
            <a:ext uri="{FF2B5EF4-FFF2-40B4-BE49-F238E27FC236}">
              <a16:creationId xmlns:a16="http://schemas.microsoft.com/office/drawing/2014/main" id="{00000000-0008-0000-0800-00009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40" name="Text Box 15">
          <a:extLst>
            <a:ext uri="{FF2B5EF4-FFF2-40B4-BE49-F238E27FC236}">
              <a16:creationId xmlns:a16="http://schemas.microsoft.com/office/drawing/2014/main" id="{00000000-0008-0000-0800-00009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1" name="Text Box 15">
          <a:extLst>
            <a:ext uri="{FF2B5EF4-FFF2-40B4-BE49-F238E27FC236}">
              <a16:creationId xmlns:a16="http://schemas.microsoft.com/office/drawing/2014/main" id="{00000000-0008-0000-0800-00009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2" name="Text Box 15">
          <a:extLst>
            <a:ext uri="{FF2B5EF4-FFF2-40B4-BE49-F238E27FC236}">
              <a16:creationId xmlns:a16="http://schemas.microsoft.com/office/drawing/2014/main" id="{00000000-0008-0000-0800-00009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3" name="Text Box 15">
          <a:extLst>
            <a:ext uri="{FF2B5EF4-FFF2-40B4-BE49-F238E27FC236}">
              <a16:creationId xmlns:a16="http://schemas.microsoft.com/office/drawing/2014/main" id="{00000000-0008-0000-0800-00009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4" name="Text Box 15">
          <a:extLst>
            <a:ext uri="{FF2B5EF4-FFF2-40B4-BE49-F238E27FC236}">
              <a16:creationId xmlns:a16="http://schemas.microsoft.com/office/drawing/2014/main" id="{00000000-0008-0000-0800-00009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5" name="Text Box 15">
          <a:extLst>
            <a:ext uri="{FF2B5EF4-FFF2-40B4-BE49-F238E27FC236}">
              <a16:creationId xmlns:a16="http://schemas.microsoft.com/office/drawing/2014/main" id="{00000000-0008-0000-0800-00009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6" name="Text Box 15">
          <a:extLst>
            <a:ext uri="{FF2B5EF4-FFF2-40B4-BE49-F238E27FC236}">
              <a16:creationId xmlns:a16="http://schemas.microsoft.com/office/drawing/2014/main" id="{00000000-0008-0000-0800-00009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7" name="Text Box 15">
          <a:extLst>
            <a:ext uri="{FF2B5EF4-FFF2-40B4-BE49-F238E27FC236}">
              <a16:creationId xmlns:a16="http://schemas.microsoft.com/office/drawing/2014/main" id="{00000000-0008-0000-0800-00009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48" name="Text Box 15">
          <a:extLst>
            <a:ext uri="{FF2B5EF4-FFF2-40B4-BE49-F238E27FC236}">
              <a16:creationId xmlns:a16="http://schemas.microsoft.com/office/drawing/2014/main" id="{00000000-0008-0000-0800-00009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49" name="Text Box 15">
          <a:extLst>
            <a:ext uri="{FF2B5EF4-FFF2-40B4-BE49-F238E27FC236}">
              <a16:creationId xmlns:a16="http://schemas.microsoft.com/office/drawing/2014/main" id="{00000000-0008-0000-0800-00009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0" name="Text Box 15">
          <a:extLst>
            <a:ext uri="{FF2B5EF4-FFF2-40B4-BE49-F238E27FC236}">
              <a16:creationId xmlns:a16="http://schemas.microsoft.com/office/drawing/2014/main" id="{00000000-0008-0000-0800-00009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1" name="Text Box 15">
          <a:extLst>
            <a:ext uri="{FF2B5EF4-FFF2-40B4-BE49-F238E27FC236}">
              <a16:creationId xmlns:a16="http://schemas.microsoft.com/office/drawing/2014/main" id="{00000000-0008-0000-0800-0000A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2" name="Text Box 15">
          <a:extLst>
            <a:ext uri="{FF2B5EF4-FFF2-40B4-BE49-F238E27FC236}">
              <a16:creationId xmlns:a16="http://schemas.microsoft.com/office/drawing/2014/main" id="{00000000-0008-0000-0800-0000A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3" name="Text Box 15">
          <a:extLst>
            <a:ext uri="{FF2B5EF4-FFF2-40B4-BE49-F238E27FC236}">
              <a16:creationId xmlns:a16="http://schemas.microsoft.com/office/drawing/2014/main" id="{00000000-0008-0000-0800-0000A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4" name="Text Box 15">
          <a:extLst>
            <a:ext uri="{FF2B5EF4-FFF2-40B4-BE49-F238E27FC236}">
              <a16:creationId xmlns:a16="http://schemas.microsoft.com/office/drawing/2014/main" id="{00000000-0008-0000-0800-0000A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5" name="Text Box 15">
          <a:extLst>
            <a:ext uri="{FF2B5EF4-FFF2-40B4-BE49-F238E27FC236}">
              <a16:creationId xmlns:a16="http://schemas.microsoft.com/office/drawing/2014/main" id="{00000000-0008-0000-0800-0000A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56" name="Text Box 15">
          <a:extLst>
            <a:ext uri="{FF2B5EF4-FFF2-40B4-BE49-F238E27FC236}">
              <a16:creationId xmlns:a16="http://schemas.microsoft.com/office/drawing/2014/main" id="{00000000-0008-0000-0800-0000A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57" name="Text Box 15">
          <a:extLst>
            <a:ext uri="{FF2B5EF4-FFF2-40B4-BE49-F238E27FC236}">
              <a16:creationId xmlns:a16="http://schemas.microsoft.com/office/drawing/2014/main" id="{00000000-0008-0000-0800-0000A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58" name="Text Box 15">
          <a:extLst>
            <a:ext uri="{FF2B5EF4-FFF2-40B4-BE49-F238E27FC236}">
              <a16:creationId xmlns:a16="http://schemas.microsoft.com/office/drawing/2014/main" id="{00000000-0008-0000-0800-0000A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59" name="Text Box 15">
          <a:extLst>
            <a:ext uri="{FF2B5EF4-FFF2-40B4-BE49-F238E27FC236}">
              <a16:creationId xmlns:a16="http://schemas.microsoft.com/office/drawing/2014/main" id="{00000000-0008-0000-0800-0000A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60" name="Text Box 15">
          <a:extLst>
            <a:ext uri="{FF2B5EF4-FFF2-40B4-BE49-F238E27FC236}">
              <a16:creationId xmlns:a16="http://schemas.microsoft.com/office/drawing/2014/main" id="{00000000-0008-0000-0800-0000A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61" name="Text Box 15">
          <a:extLst>
            <a:ext uri="{FF2B5EF4-FFF2-40B4-BE49-F238E27FC236}">
              <a16:creationId xmlns:a16="http://schemas.microsoft.com/office/drawing/2014/main" id="{00000000-0008-0000-0800-0000A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62" name="Text Box 15">
          <a:extLst>
            <a:ext uri="{FF2B5EF4-FFF2-40B4-BE49-F238E27FC236}">
              <a16:creationId xmlns:a16="http://schemas.microsoft.com/office/drawing/2014/main" id="{00000000-0008-0000-0800-0000A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63" name="Text Box 15">
          <a:extLst>
            <a:ext uri="{FF2B5EF4-FFF2-40B4-BE49-F238E27FC236}">
              <a16:creationId xmlns:a16="http://schemas.microsoft.com/office/drawing/2014/main" id="{00000000-0008-0000-0800-0000A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64" name="Text Box 15">
          <a:extLst>
            <a:ext uri="{FF2B5EF4-FFF2-40B4-BE49-F238E27FC236}">
              <a16:creationId xmlns:a16="http://schemas.microsoft.com/office/drawing/2014/main" id="{00000000-0008-0000-0800-0000A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65" name="Text Box 15">
          <a:extLst>
            <a:ext uri="{FF2B5EF4-FFF2-40B4-BE49-F238E27FC236}">
              <a16:creationId xmlns:a16="http://schemas.microsoft.com/office/drawing/2014/main" id="{00000000-0008-0000-0800-0000A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66" name="Text Box 15">
          <a:extLst>
            <a:ext uri="{FF2B5EF4-FFF2-40B4-BE49-F238E27FC236}">
              <a16:creationId xmlns:a16="http://schemas.microsoft.com/office/drawing/2014/main" id="{00000000-0008-0000-0800-0000A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67" name="Text Box 15">
          <a:extLst>
            <a:ext uri="{FF2B5EF4-FFF2-40B4-BE49-F238E27FC236}">
              <a16:creationId xmlns:a16="http://schemas.microsoft.com/office/drawing/2014/main" id="{00000000-0008-0000-0800-0000B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68" name="Text Box 15">
          <a:extLst>
            <a:ext uri="{FF2B5EF4-FFF2-40B4-BE49-F238E27FC236}">
              <a16:creationId xmlns:a16="http://schemas.microsoft.com/office/drawing/2014/main" id="{00000000-0008-0000-0800-0000B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69" name="Text Box 15">
          <a:extLst>
            <a:ext uri="{FF2B5EF4-FFF2-40B4-BE49-F238E27FC236}">
              <a16:creationId xmlns:a16="http://schemas.microsoft.com/office/drawing/2014/main" id="{00000000-0008-0000-0800-0000B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70" name="Text Box 15">
          <a:extLst>
            <a:ext uri="{FF2B5EF4-FFF2-40B4-BE49-F238E27FC236}">
              <a16:creationId xmlns:a16="http://schemas.microsoft.com/office/drawing/2014/main" id="{00000000-0008-0000-0800-0000B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71" name="Text Box 15">
          <a:extLst>
            <a:ext uri="{FF2B5EF4-FFF2-40B4-BE49-F238E27FC236}">
              <a16:creationId xmlns:a16="http://schemas.microsoft.com/office/drawing/2014/main" id="{00000000-0008-0000-0800-0000B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72" name="Text Box 15">
          <a:extLst>
            <a:ext uri="{FF2B5EF4-FFF2-40B4-BE49-F238E27FC236}">
              <a16:creationId xmlns:a16="http://schemas.microsoft.com/office/drawing/2014/main" id="{00000000-0008-0000-0800-0000B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3" name="Text Box 15">
          <a:extLst>
            <a:ext uri="{FF2B5EF4-FFF2-40B4-BE49-F238E27FC236}">
              <a16:creationId xmlns:a16="http://schemas.microsoft.com/office/drawing/2014/main" id="{00000000-0008-0000-0800-0000B6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4" name="Text Box 15">
          <a:extLst>
            <a:ext uri="{FF2B5EF4-FFF2-40B4-BE49-F238E27FC236}">
              <a16:creationId xmlns:a16="http://schemas.microsoft.com/office/drawing/2014/main" id="{00000000-0008-0000-0800-0000B7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5" name="Text Box 15">
          <a:extLst>
            <a:ext uri="{FF2B5EF4-FFF2-40B4-BE49-F238E27FC236}">
              <a16:creationId xmlns:a16="http://schemas.microsoft.com/office/drawing/2014/main" id="{00000000-0008-0000-0800-0000B8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6" name="Text Box 15">
          <a:extLst>
            <a:ext uri="{FF2B5EF4-FFF2-40B4-BE49-F238E27FC236}">
              <a16:creationId xmlns:a16="http://schemas.microsoft.com/office/drawing/2014/main" id="{00000000-0008-0000-0800-0000B9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7" name="Text Box 15">
          <a:extLst>
            <a:ext uri="{FF2B5EF4-FFF2-40B4-BE49-F238E27FC236}">
              <a16:creationId xmlns:a16="http://schemas.microsoft.com/office/drawing/2014/main" id="{00000000-0008-0000-0800-0000BA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8" name="Text Box 15">
          <a:extLst>
            <a:ext uri="{FF2B5EF4-FFF2-40B4-BE49-F238E27FC236}">
              <a16:creationId xmlns:a16="http://schemas.microsoft.com/office/drawing/2014/main" id="{00000000-0008-0000-0800-0000BB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79" name="Text Box 15">
          <a:extLst>
            <a:ext uri="{FF2B5EF4-FFF2-40B4-BE49-F238E27FC236}">
              <a16:creationId xmlns:a16="http://schemas.microsoft.com/office/drawing/2014/main" id="{00000000-0008-0000-0800-0000BC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280" name="Text Box 15">
          <a:extLst>
            <a:ext uri="{FF2B5EF4-FFF2-40B4-BE49-F238E27FC236}">
              <a16:creationId xmlns:a16="http://schemas.microsoft.com/office/drawing/2014/main" id="{00000000-0008-0000-0800-0000BD10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1" name="Text Box 15">
          <a:extLst>
            <a:ext uri="{FF2B5EF4-FFF2-40B4-BE49-F238E27FC236}">
              <a16:creationId xmlns:a16="http://schemas.microsoft.com/office/drawing/2014/main" id="{00000000-0008-0000-0800-0000BE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2" name="Text Box 15">
          <a:extLst>
            <a:ext uri="{FF2B5EF4-FFF2-40B4-BE49-F238E27FC236}">
              <a16:creationId xmlns:a16="http://schemas.microsoft.com/office/drawing/2014/main" id="{00000000-0008-0000-0800-0000BF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3" name="Text Box 15">
          <a:extLst>
            <a:ext uri="{FF2B5EF4-FFF2-40B4-BE49-F238E27FC236}">
              <a16:creationId xmlns:a16="http://schemas.microsoft.com/office/drawing/2014/main" id="{00000000-0008-0000-0800-0000C0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4" name="Text Box 15">
          <a:extLst>
            <a:ext uri="{FF2B5EF4-FFF2-40B4-BE49-F238E27FC236}">
              <a16:creationId xmlns:a16="http://schemas.microsoft.com/office/drawing/2014/main" id="{00000000-0008-0000-0800-0000C1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5" name="Text Box 15">
          <a:extLst>
            <a:ext uri="{FF2B5EF4-FFF2-40B4-BE49-F238E27FC236}">
              <a16:creationId xmlns:a16="http://schemas.microsoft.com/office/drawing/2014/main" id="{00000000-0008-0000-0800-0000C2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6" name="Text Box 15">
          <a:extLst>
            <a:ext uri="{FF2B5EF4-FFF2-40B4-BE49-F238E27FC236}">
              <a16:creationId xmlns:a16="http://schemas.microsoft.com/office/drawing/2014/main" id="{00000000-0008-0000-0800-0000C3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7" name="Text Box 15">
          <a:extLst>
            <a:ext uri="{FF2B5EF4-FFF2-40B4-BE49-F238E27FC236}">
              <a16:creationId xmlns:a16="http://schemas.microsoft.com/office/drawing/2014/main" id="{00000000-0008-0000-0800-0000C4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288" name="Text Box 15">
          <a:extLst>
            <a:ext uri="{FF2B5EF4-FFF2-40B4-BE49-F238E27FC236}">
              <a16:creationId xmlns:a16="http://schemas.microsoft.com/office/drawing/2014/main" id="{00000000-0008-0000-0800-0000C510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89" name="Text Box 15">
          <a:extLst>
            <a:ext uri="{FF2B5EF4-FFF2-40B4-BE49-F238E27FC236}">
              <a16:creationId xmlns:a16="http://schemas.microsoft.com/office/drawing/2014/main" id="{00000000-0008-0000-0800-0000C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0" name="Text Box 15">
          <a:extLst>
            <a:ext uri="{FF2B5EF4-FFF2-40B4-BE49-F238E27FC236}">
              <a16:creationId xmlns:a16="http://schemas.microsoft.com/office/drawing/2014/main" id="{00000000-0008-0000-0800-0000C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1" name="Text Box 15">
          <a:extLst>
            <a:ext uri="{FF2B5EF4-FFF2-40B4-BE49-F238E27FC236}">
              <a16:creationId xmlns:a16="http://schemas.microsoft.com/office/drawing/2014/main" id="{00000000-0008-0000-0800-0000C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2" name="Text Box 15">
          <a:extLst>
            <a:ext uri="{FF2B5EF4-FFF2-40B4-BE49-F238E27FC236}">
              <a16:creationId xmlns:a16="http://schemas.microsoft.com/office/drawing/2014/main" id="{00000000-0008-0000-0800-0000C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3" name="Text Box 15">
          <a:extLst>
            <a:ext uri="{FF2B5EF4-FFF2-40B4-BE49-F238E27FC236}">
              <a16:creationId xmlns:a16="http://schemas.microsoft.com/office/drawing/2014/main" id="{00000000-0008-0000-0800-0000C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4" name="Text Box 15">
          <a:extLst>
            <a:ext uri="{FF2B5EF4-FFF2-40B4-BE49-F238E27FC236}">
              <a16:creationId xmlns:a16="http://schemas.microsoft.com/office/drawing/2014/main" id="{00000000-0008-0000-0800-0000C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5" name="Text Box 15">
          <a:extLst>
            <a:ext uri="{FF2B5EF4-FFF2-40B4-BE49-F238E27FC236}">
              <a16:creationId xmlns:a16="http://schemas.microsoft.com/office/drawing/2014/main" id="{00000000-0008-0000-0800-0000C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296" name="Text Box 15">
          <a:extLst>
            <a:ext uri="{FF2B5EF4-FFF2-40B4-BE49-F238E27FC236}">
              <a16:creationId xmlns:a16="http://schemas.microsoft.com/office/drawing/2014/main" id="{00000000-0008-0000-0800-0000C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97" name="Text Box 15">
          <a:extLst>
            <a:ext uri="{FF2B5EF4-FFF2-40B4-BE49-F238E27FC236}">
              <a16:creationId xmlns:a16="http://schemas.microsoft.com/office/drawing/2014/main" id="{00000000-0008-0000-0800-0000C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98" name="Text Box 15">
          <a:extLst>
            <a:ext uri="{FF2B5EF4-FFF2-40B4-BE49-F238E27FC236}">
              <a16:creationId xmlns:a16="http://schemas.microsoft.com/office/drawing/2014/main" id="{00000000-0008-0000-0800-0000C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299" name="Text Box 15">
          <a:extLst>
            <a:ext uri="{FF2B5EF4-FFF2-40B4-BE49-F238E27FC236}">
              <a16:creationId xmlns:a16="http://schemas.microsoft.com/office/drawing/2014/main" id="{00000000-0008-0000-0800-0000D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00" name="Text Box 15">
          <a:extLst>
            <a:ext uri="{FF2B5EF4-FFF2-40B4-BE49-F238E27FC236}">
              <a16:creationId xmlns:a16="http://schemas.microsoft.com/office/drawing/2014/main" id="{00000000-0008-0000-0800-0000D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01" name="Text Box 15">
          <a:extLst>
            <a:ext uri="{FF2B5EF4-FFF2-40B4-BE49-F238E27FC236}">
              <a16:creationId xmlns:a16="http://schemas.microsoft.com/office/drawing/2014/main" id="{00000000-0008-0000-0800-0000D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02" name="Text Box 15">
          <a:extLst>
            <a:ext uri="{FF2B5EF4-FFF2-40B4-BE49-F238E27FC236}">
              <a16:creationId xmlns:a16="http://schemas.microsoft.com/office/drawing/2014/main" id="{00000000-0008-0000-0800-0000D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03" name="Text Box 15">
          <a:extLst>
            <a:ext uri="{FF2B5EF4-FFF2-40B4-BE49-F238E27FC236}">
              <a16:creationId xmlns:a16="http://schemas.microsoft.com/office/drawing/2014/main" id="{00000000-0008-0000-0800-0000D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04" name="Text Box 15">
          <a:extLst>
            <a:ext uri="{FF2B5EF4-FFF2-40B4-BE49-F238E27FC236}">
              <a16:creationId xmlns:a16="http://schemas.microsoft.com/office/drawing/2014/main" id="{00000000-0008-0000-0800-0000D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05" name="Text Box 15">
          <a:extLst>
            <a:ext uri="{FF2B5EF4-FFF2-40B4-BE49-F238E27FC236}">
              <a16:creationId xmlns:a16="http://schemas.microsoft.com/office/drawing/2014/main" id="{00000000-0008-0000-0800-0000D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06" name="Text Box 15">
          <a:extLst>
            <a:ext uri="{FF2B5EF4-FFF2-40B4-BE49-F238E27FC236}">
              <a16:creationId xmlns:a16="http://schemas.microsoft.com/office/drawing/2014/main" id="{00000000-0008-0000-0800-0000D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07" name="Text Box 15">
          <a:extLst>
            <a:ext uri="{FF2B5EF4-FFF2-40B4-BE49-F238E27FC236}">
              <a16:creationId xmlns:a16="http://schemas.microsoft.com/office/drawing/2014/main" id="{00000000-0008-0000-0800-0000D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08" name="Text Box 15">
          <a:extLst>
            <a:ext uri="{FF2B5EF4-FFF2-40B4-BE49-F238E27FC236}">
              <a16:creationId xmlns:a16="http://schemas.microsoft.com/office/drawing/2014/main" id="{00000000-0008-0000-0800-0000D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09" name="Text Box 15">
          <a:extLst>
            <a:ext uri="{FF2B5EF4-FFF2-40B4-BE49-F238E27FC236}">
              <a16:creationId xmlns:a16="http://schemas.microsoft.com/office/drawing/2014/main" id="{00000000-0008-0000-0800-0000D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10" name="Text Box 15">
          <a:extLst>
            <a:ext uri="{FF2B5EF4-FFF2-40B4-BE49-F238E27FC236}">
              <a16:creationId xmlns:a16="http://schemas.microsoft.com/office/drawing/2014/main" id="{00000000-0008-0000-0800-0000D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11" name="Text Box 15">
          <a:extLst>
            <a:ext uri="{FF2B5EF4-FFF2-40B4-BE49-F238E27FC236}">
              <a16:creationId xmlns:a16="http://schemas.microsoft.com/office/drawing/2014/main" id="{00000000-0008-0000-0800-0000D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12" name="Text Box 15">
          <a:extLst>
            <a:ext uri="{FF2B5EF4-FFF2-40B4-BE49-F238E27FC236}">
              <a16:creationId xmlns:a16="http://schemas.microsoft.com/office/drawing/2014/main" id="{00000000-0008-0000-0800-0000D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3" name="Text Box 15">
          <a:extLst>
            <a:ext uri="{FF2B5EF4-FFF2-40B4-BE49-F238E27FC236}">
              <a16:creationId xmlns:a16="http://schemas.microsoft.com/office/drawing/2014/main" id="{00000000-0008-0000-0800-0000D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4" name="Text Box 15">
          <a:extLst>
            <a:ext uri="{FF2B5EF4-FFF2-40B4-BE49-F238E27FC236}">
              <a16:creationId xmlns:a16="http://schemas.microsoft.com/office/drawing/2014/main" id="{00000000-0008-0000-0800-0000D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5" name="Text Box 15">
          <a:extLst>
            <a:ext uri="{FF2B5EF4-FFF2-40B4-BE49-F238E27FC236}">
              <a16:creationId xmlns:a16="http://schemas.microsoft.com/office/drawing/2014/main" id="{00000000-0008-0000-0800-0000E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6" name="Text Box 15">
          <a:extLst>
            <a:ext uri="{FF2B5EF4-FFF2-40B4-BE49-F238E27FC236}">
              <a16:creationId xmlns:a16="http://schemas.microsoft.com/office/drawing/2014/main" id="{00000000-0008-0000-0800-0000E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7" name="Text Box 15">
          <a:extLst>
            <a:ext uri="{FF2B5EF4-FFF2-40B4-BE49-F238E27FC236}">
              <a16:creationId xmlns:a16="http://schemas.microsoft.com/office/drawing/2014/main" id="{00000000-0008-0000-0800-0000E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8" name="Text Box 15">
          <a:extLst>
            <a:ext uri="{FF2B5EF4-FFF2-40B4-BE49-F238E27FC236}">
              <a16:creationId xmlns:a16="http://schemas.microsoft.com/office/drawing/2014/main" id="{00000000-0008-0000-0800-0000E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19" name="Text Box 15">
          <a:extLst>
            <a:ext uri="{FF2B5EF4-FFF2-40B4-BE49-F238E27FC236}">
              <a16:creationId xmlns:a16="http://schemas.microsoft.com/office/drawing/2014/main" id="{00000000-0008-0000-0800-0000E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20" name="Text Box 15">
          <a:extLst>
            <a:ext uri="{FF2B5EF4-FFF2-40B4-BE49-F238E27FC236}">
              <a16:creationId xmlns:a16="http://schemas.microsoft.com/office/drawing/2014/main" id="{00000000-0008-0000-0800-0000E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1" name="Text Box 15">
          <a:extLst>
            <a:ext uri="{FF2B5EF4-FFF2-40B4-BE49-F238E27FC236}">
              <a16:creationId xmlns:a16="http://schemas.microsoft.com/office/drawing/2014/main" id="{00000000-0008-0000-0800-0000E6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2" name="Text Box 15">
          <a:extLst>
            <a:ext uri="{FF2B5EF4-FFF2-40B4-BE49-F238E27FC236}">
              <a16:creationId xmlns:a16="http://schemas.microsoft.com/office/drawing/2014/main" id="{00000000-0008-0000-0800-0000E7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3" name="Text Box 15">
          <a:extLst>
            <a:ext uri="{FF2B5EF4-FFF2-40B4-BE49-F238E27FC236}">
              <a16:creationId xmlns:a16="http://schemas.microsoft.com/office/drawing/2014/main" id="{00000000-0008-0000-0800-0000E8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4" name="Text Box 15">
          <a:extLst>
            <a:ext uri="{FF2B5EF4-FFF2-40B4-BE49-F238E27FC236}">
              <a16:creationId xmlns:a16="http://schemas.microsoft.com/office/drawing/2014/main" id="{00000000-0008-0000-0800-0000E9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5" name="Text Box 15">
          <a:extLst>
            <a:ext uri="{FF2B5EF4-FFF2-40B4-BE49-F238E27FC236}">
              <a16:creationId xmlns:a16="http://schemas.microsoft.com/office/drawing/2014/main" id="{00000000-0008-0000-0800-0000EA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6" name="Text Box 15">
          <a:extLst>
            <a:ext uri="{FF2B5EF4-FFF2-40B4-BE49-F238E27FC236}">
              <a16:creationId xmlns:a16="http://schemas.microsoft.com/office/drawing/2014/main" id="{00000000-0008-0000-0800-0000EB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7" name="Text Box 15">
          <a:extLst>
            <a:ext uri="{FF2B5EF4-FFF2-40B4-BE49-F238E27FC236}">
              <a16:creationId xmlns:a16="http://schemas.microsoft.com/office/drawing/2014/main" id="{00000000-0008-0000-0800-0000EC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7871"/>
    <xdr:sp macro="" textlink="">
      <xdr:nvSpPr>
        <xdr:cNvPr id="4328" name="Text Box 15">
          <a:extLst>
            <a:ext uri="{FF2B5EF4-FFF2-40B4-BE49-F238E27FC236}">
              <a16:creationId xmlns:a16="http://schemas.microsoft.com/office/drawing/2014/main" id="{00000000-0008-0000-0800-0000ED100000}"/>
            </a:ext>
          </a:extLst>
        </xdr:cNvPr>
        <xdr:cNvSpPr txBox="1">
          <a:spLocks noChangeArrowheads="1"/>
        </xdr:cNvSpPr>
      </xdr:nvSpPr>
      <xdr:spPr bwMode="auto">
        <a:xfrm>
          <a:off x="1933575" y="73856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29" name="Text Box 15">
          <a:extLst>
            <a:ext uri="{FF2B5EF4-FFF2-40B4-BE49-F238E27FC236}">
              <a16:creationId xmlns:a16="http://schemas.microsoft.com/office/drawing/2014/main" id="{00000000-0008-0000-0800-0000EE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0" name="Text Box 15">
          <a:extLst>
            <a:ext uri="{FF2B5EF4-FFF2-40B4-BE49-F238E27FC236}">
              <a16:creationId xmlns:a16="http://schemas.microsoft.com/office/drawing/2014/main" id="{00000000-0008-0000-0800-0000EF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1" name="Text Box 15">
          <a:extLst>
            <a:ext uri="{FF2B5EF4-FFF2-40B4-BE49-F238E27FC236}">
              <a16:creationId xmlns:a16="http://schemas.microsoft.com/office/drawing/2014/main" id="{00000000-0008-0000-0800-0000F0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2" name="Text Box 15">
          <a:extLst>
            <a:ext uri="{FF2B5EF4-FFF2-40B4-BE49-F238E27FC236}">
              <a16:creationId xmlns:a16="http://schemas.microsoft.com/office/drawing/2014/main" id="{00000000-0008-0000-0800-0000F1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3" name="Text Box 15">
          <a:extLst>
            <a:ext uri="{FF2B5EF4-FFF2-40B4-BE49-F238E27FC236}">
              <a16:creationId xmlns:a16="http://schemas.microsoft.com/office/drawing/2014/main" id="{00000000-0008-0000-0800-0000F2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4" name="Text Box 15">
          <a:extLst>
            <a:ext uri="{FF2B5EF4-FFF2-40B4-BE49-F238E27FC236}">
              <a16:creationId xmlns:a16="http://schemas.microsoft.com/office/drawing/2014/main" id="{00000000-0008-0000-0800-0000F3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5" name="Text Box 15">
          <a:extLst>
            <a:ext uri="{FF2B5EF4-FFF2-40B4-BE49-F238E27FC236}">
              <a16:creationId xmlns:a16="http://schemas.microsoft.com/office/drawing/2014/main" id="{00000000-0008-0000-0800-0000F4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357</xdr:row>
      <xdr:rowOff>0</xdr:rowOff>
    </xdr:from>
    <xdr:ext cx="95250" cy="295275"/>
    <xdr:sp macro="" textlink="">
      <xdr:nvSpPr>
        <xdr:cNvPr id="4336" name="Text Box 15">
          <a:extLst>
            <a:ext uri="{FF2B5EF4-FFF2-40B4-BE49-F238E27FC236}">
              <a16:creationId xmlns:a16="http://schemas.microsoft.com/office/drawing/2014/main" id="{00000000-0008-0000-0800-0000F5100000}"/>
            </a:ext>
          </a:extLst>
        </xdr:cNvPr>
        <xdr:cNvSpPr txBox="1">
          <a:spLocks noChangeArrowheads="1"/>
        </xdr:cNvSpPr>
      </xdr:nvSpPr>
      <xdr:spPr bwMode="auto">
        <a:xfrm>
          <a:off x="1933575" y="73856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37" name="Text Box 15">
          <a:extLst>
            <a:ext uri="{FF2B5EF4-FFF2-40B4-BE49-F238E27FC236}">
              <a16:creationId xmlns:a16="http://schemas.microsoft.com/office/drawing/2014/main" id="{00000000-0008-0000-0800-0000F6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38" name="Text Box 15">
          <a:extLst>
            <a:ext uri="{FF2B5EF4-FFF2-40B4-BE49-F238E27FC236}">
              <a16:creationId xmlns:a16="http://schemas.microsoft.com/office/drawing/2014/main" id="{00000000-0008-0000-0800-0000F7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39" name="Text Box 15">
          <a:extLst>
            <a:ext uri="{FF2B5EF4-FFF2-40B4-BE49-F238E27FC236}">
              <a16:creationId xmlns:a16="http://schemas.microsoft.com/office/drawing/2014/main" id="{00000000-0008-0000-0800-0000F8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40" name="Text Box 15">
          <a:extLst>
            <a:ext uri="{FF2B5EF4-FFF2-40B4-BE49-F238E27FC236}">
              <a16:creationId xmlns:a16="http://schemas.microsoft.com/office/drawing/2014/main" id="{00000000-0008-0000-0800-0000F9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41" name="Text Box 15">
          <a:extLst>
            <a:ext uri="{FF2B5EF4-FFF2-40B4-BE49-F238E27FC236}">
              <a16:creationId xmlns:a16="http://schemas.microsoft.com/office/drawing/2014/main" id="{00000000-0008-0000-0800-0000FA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42" name="Text Box 15">
          <a:extLst>
            <a:ext uri="{FF2B5EF4-FFF2-40B4-BE49-F238E27FC236}">
              <a16:creationId xmlns:a16="http://schemas.microsoft.com/office/drawing/2014/main" id="{00000000-0008-0000-0800-0000FB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43" name="Text Box 15">
          <a:extLst>
            <a:ext uri="{FF2B5EF4-FFF2-40B4-BE49-F238E27FC236}">
              <a16:creationId xmlns:a16="http://schemas.microsoft.com/office/drawing/2014/main" id="{00000000-0008-0000-0800-0000FC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44" name="Text Box 15">
          <a:extLst>
            <a:ext uri="{FF2B5EF4-FFF2-40B4-BE49-F238E27FC236}">
              <a16:creationId xmlns:a16="http://schemas.microsoft.com/office/drawing/2014/main" id="{00000000-0008-0000-0800-0000FD10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45" name="Text Box 15">
          <a:extLst>
            <a:ext uri="{FF2B5EF4-FFF2-40B4-BE49-F238E27FC236}">
              <a16:creationId xmlns:a16="http://schemas.microsoft.com/office/drawing/2014/main" id="{00000000-0008-0000-0800-0000FE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46" name="Text Box 15">
          <a:extLst>
            <a:ext uri="{FF2B5EF4-FFF2-40B4-BE49-F238E27FC236}">
              <a16:creationId xmlns:a16="http://schemas.microsoft.com/office/drawing/2014/main" id="{00000000-0008-0000-0800-0000FF10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47" name="Text Box 15">
          <a:extLst>
            <a:ext uri="{FF2B5EF4-FFF2-40B4-BE49-F238E27FC236}">
              <a16:creationId xmlns:a16="http://schemas.microsoft.com/office/drawing/2014/main" id="{00000000-0008-0000-0800-000000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48" name="Text Box 15">
          <a:extLst>
            <a:ext uri="{FF2B5EF4-FFF2-40B4-BE49-F238E27FC236}">
              <a16:creationId xmlns:a16="http://schemas.microsoft.com/office/drawing/2014/main" id="{00000000-0008-0000-0800-000001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49" name="Text Box 15">
          <a:extLst>
            <a:ext uri="{FF2B5EF4-FFF2-40B4-BE49-F238E27FC236}">
              <a16:creationId xmlns:a16="http://schemas.microsoft.com/office/drawing/2014/main" id="{00000000-0008-0000-0800-000002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50" name="Text Box 15">
          <a:extLst>
            <a:ext uri="{FF2B5EF4-FFF2-40B4-BE49-F238E27FC236}">
              <a16:creationId xmlns:a16="http://schemas.microsoft.com/office/drawing/2014/main" id="{00000000-0008-0000-0800-000003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51" name="Text Box 15">
          <a:extLst>
            <a:ext uri="{FF2B5EF4-FFF2-40B4-BE49-F238E27FC236}">
              <a16:creationId xmlns:a16="http://schemas.microsoft.com/office/drawing/2014/main" id="{00000000-0008-0000-0800-000004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52" name="Text Box 15">
          <a:extLst>
            <a:ext uri="{FF2B5EF4-FFF2-40B4-BE49-F238E27FC236}">
              <a16:creationId xmlns:a16="http://schemas.microsoft.com/office/drawing/2014/main" id="{00000000-0008-0000-0800-000005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3" name="Text Box 15">
          <a:extLst>
            <a:ext uri="{FF2B5EF4-FFF2-40B4-BE49-F238E27FC236}">
              <a16:creationId xmlns:a16="http://schemas.microsoft.com/office/drawing/2014/main" id="{00000000-0008-0000-0800-000006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4" name="Text Box 15">
          <a:extLst>
            <a:ext uri="{FF2B5EF4-FFF2-40B4-BE49-F238E27FC236}">
              <a16:creationId xmlns:a16="http://schemas.microsoft.com/office/drawing/2014/main" id="{00000000-0008-0000-0800-000007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5" name="Text Box 15">
          <a:extLst>
            <a:ext uri="{FF2B5EF4-FFF2-40B4-BE49-F238E27FC236}">
              <a16:creationId xmlns:a16="http://schemas.microsoft.com/office/drawing/2014/main" id="{00000000-0008-0000-0800-000008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6" name="Text Box 15">
          <a:extLst>
            <a:ext uri="{FF2B5EF4-FFF2-40B4-BE49-F238E27FC236}">
              <a16:creationId xmlns:a16="http://schemas.microsoft.com/office/drawing/2014/main" id="{00000000-0008-0000-0800-000009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7" name="Text Box 15">
          <a:extLst>
            <a:ext uri="{FF2B5EF4-FFF2-40B4-BE49-F238E27FC236}">
              <a16:creationId xmlns:a16="http://schemas.microsoft.com/office/drawing/2014/main" id="{00000000-0008-0000-0800-00000A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8" name="Text Box 15">
          <a:extLst>
            <a:ext uri="{FF2B5EF4-FFF2-40B4-BE49-F238E27FC236}">
              <a16:creationId xmlns:a16="http://schemas.microsoft.com/office/drawing/2014/main" id="{00000000-0008-0000-0800-00000B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59" name="Text Box 15">
          <a:extLst>
            <a:ext uri="{FF2B5EF4-FFF2-40B4-BE49-F238E27FC236}">
              <a16:creationId xmlns:a16="http://schemas.microsoft.com/office/drawing/2014/main" id="{00000000-0008-0000-0800-00000C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60" name="Text Box 15">
          <a:extLst>
            <a:ext uri="{FF2B5EF4-FFF2-40B4-BE49-F238E27FC236}">
              <a16:creationId xmlns:a16="http://schemas.microsoft.com/office/drawing/2014/main" id="{00000000-0008-0000-0800-00000D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1" name="Text Box 15">
          <a:extLst>
            <a:ext uri="{FF2B5EF4-FFF2-40B4-BE49-F238E27FC236}">
              <a16:creationId xmlns:a16="http://schemas.microsoft.com/office/drawing/2014/main" id="{00000000-0008-0000-0800-00000E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2" name="Text Box 15">
          <a:extLst>
            <a:ext uri="{FF2B5EF4-FFF2-40B4-BE49-F238E27FC236}">
              <a16:creationId xmlns:a16="http://schemas.microsoft.com/office/drawing/2014/main" id="{00000000-0008-0000-0800-00000F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3" name="Text Box 15">
          <a:extLst>
            <a:ext uri="{FF2B5EF4-FFF2-40B4-BE49-F238E27FC236}">
              <a16:creationId xmlns:a16="http://schemas.microsoft.com/office/drawing/2014/main" id="{00000000-0008-0000-0800-000010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4" name="Text Box 15">
          <a:extLst>
            <a:ext uri="{FF2B5EF4-FFF2-40B4-BE49-F238E27FC236}">
              <a16:creationId xmlns:a16="http://schemas.microsoft.com/office/drawing/2014/main" id="{00000000-0008-0000-0800-000011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5" name="Text Box 15">
          <a:extLst>
            <a:ext uri="{FF2B5EF4-FFF2-40B4-BE49-F238E27FC236}">
              <a16:creationId xmlns:a16="http://schemas.microsoft.com/office/drawing/2014/main" id="{00000000-0008-0000-0800-000012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6" name="Text Box 15">
          <a:extLst>
            <a:ext uri="{FF2B5EF4-FFF2-40B4-BE49-F238E27FC236}">
              <a16:creationId xmlns:a16="http://schemas.microsoft.com/office/drawing/2014/main" id="{00000000-0008-0000-0800-000013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7" name="Text Box 15">
          <a:extLst>
            <a:ext uri="{FF2B5EF4-FFF2-40B4-BE49-F238E27FC236}">
              <a16:creationId xmlns:a16="http://schemas.microsoft.com/office/drawing/2014/main" id="{00000000-0008-0000-0800-000014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68" name="Text Box 15">
          <a:extLst>
            <a:ext uri="{FF2B5EF4-FFF2-40B4-BE49-F238E27FC236}">
              <a16:creationId xmlns:a16="http://schemas.microsoft.com/office/drawing/2014/main" id="{00000000-0008-0000-0800-000015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69" name="Text Box 15">
          <a:extLst>
            <a:ext uri="{FF2B5EF4-FFF2-40B4-BE49-F238E27FC236}">
              <a16:creationId xmlns:a16="http://schemas.microsoft.com/office/drawing/2014/main" id="{00000000-0008-0000-0800-000016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0" name="Text Box 15">
          <a:extLst>
            <a:ext uri="{FF2B5EF4-FFF2-40B4-BE49-F238E27FC236}">
              <a16:creationId xmlns:a16="http://schemas.microsoft.com/office/drawing/2014/main" id="{00000000-0008-0000-0800-000017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1" name="Text Box 15">
          <a:extLst>
            <a:ext uri="{FF2B5EF4-FFF2-40B4-BE49-F238E27FC236}">
              <a16:creationId xmlns:a16="http://schemas.microsoft.com/office/drawing/2014/main" id="{00000000-0008-0000-0800-000018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2" name="Text Box 15">
          <a:extLst>
            <a:ext uri="{FF2B5EF4-FFF2-40B4-BE49-F238E27FC236}">
              <a16:creationId xmlns:a16="http://schemas.microsoft.com/office/drawing/2014/main" id="{00000000-0008-0000-0800-000019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3" name="Text Box 15">
          <a:extLst>
            <a:ext uri="{FF2B5EF4-FFF2-40B4-BE49-F238E27FC236}">
              <a16:creationId xmlns:a16="http://schemas.microsoft.com/office/drawing/2014/main" id="{00000000-0008-0000-0800-00001A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4" name="Text Box 15">
          <a:extLst>
            <a:ext uri="{FF2B5EF4-FFF2-40B4-BE49-F238E27FC236}">
              <a16:creationId xmlns:a16="http://schemas.microsoft.com/office/drawing/2014/main" id="{00000000-0008-0000-0800-00001B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5" name="Text Box 15">
          <a:extLst>
            <a:ext uri="{FF2B5EF4-FFF2-40B4-BE49-F238E27FC236}">
              <a16:creationId xmlns:a16="http://schemas.microsoft.com/office/drawing/2014/main" id="{00000000-0008-0000-0800-00001C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376" name="Text Box 15">
          <a:extLst>
            <a:ext uri="{FF2B5EF4-FFF2-40B4-BE49-F238E27FC236}">
              <a16:creationId xmlns:a16="http://schemas.microsoft.com/office/drawing/2014/main" id="{00000000-0008-0000-0800-00001D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77" name="Text Box 15">
          <a:extLst>
            <a:ext uri="{FF2B5EF4-FFF2-40B4-BE49-F238E27FC236}">
              <a16:creationId xmlns:a16="http://schemas.microsoft.com/office/drawing/2014/main" id="{00000000-0008-0000-0800-00001E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78" name="Text Box 15">
          <a:extLst>
            <a:ext uri="{FF2B5EF4-FFF2-40B4-BE49-F238E27FC236}">
              <a16:creationId xmlns:a16="http://schemas.microsoft.com/office/drawing/2014/main" id="{00000000-0008-0000-0800-00001F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79" name="Text Box 15">
          <a:extLst>
            <a:ext uri="{FF2B5EF4-FFF2-40B4-BE49-F238E27FC236}">
              <a16:creationId xmlns:a16="http://schemas.microsoft.com/office/drawing/2014/main" id="{00000000-0008-0000-0800-000020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80" name="Text Box 15">
          <a:extLst>
            <a:ext uri="{FF2B5EF4-FFF2-40B4-BE49-F238E27FC236}">
              <a16:creationId xmlns:a16="http://schemas.microsoft.com/office/drawing/2014/main" id="{00000000-0008-0000-0800-000021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81" name="Text Box 15">
          <a:extLst>
            <a:ext uri="{FF2B5EF4-FFF2-40B4-BE49-F238E27FC236}">
              <a16:creationId xmlns:a16="http://schemas.microsoft.com/office/drawing/2014/main" id="{00000000-0008-0000-0800-000022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82" name="Text Box 15">
          <a:extLst>
            <a:ext uri="{FF2B5EF4-FFF2-40B4-BE49-F238E27FC236}">
              <a16:creationId xmlns:a16="http://schemas.microsoft.com/office/drawing/2014/main" id="{00000000-0008-0000-0800-000023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83" name="Text Box 15">
          <a:extLst>
            <a:ext uri="{FF2B5EF4-FFF2-40B4-BE49-F238E27FC236}">
              <a16:creationId xmlns:a16="http://schemas.microsoft.com/office/drawing/2014/main" id="{00000000-0008-0000-0800-000024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384" name="Text Box 15">
          <a:extLst>
            <a:ext uri="{FF2B5EF4-FFF2-40B4-BE49-F238E27FC236}">
              <a16:creationId xmlns:a16="http://schemas.microsoft.com/office/drawing/2014/main" id="{00000000-0008-0000-0800-000025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85" name="Text Box 15">
          <a:extLst>
            <a:ext uri="{FF2B5EF4-FFF2-40B4-BE49-F238E27FC236}">
              <a16:creationId xmlns:a16="http://schemas.microsoft.com/office/drawing/2014/main" id="{00000000-0008-0000-0800-000026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86" name="Text Box 15">
          <a:extLst>
            <a:ext uri="{FF2B5EF4-FFF2-40B4-BE49-F238E27FC236}">
              <a16:creationId xmlns:a16="http://schemas.microsoft.com/office/drawing/2014/main" id="{00000000-0008-0000-0800-000027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87" name="Text Box 15">
          <a:extLst>
            <a:ext uri="{FF2B5EF4-FFF2-40B4-BE49-F238E27FC236}">
              <a16:creationId xmlns:a16="http://schemas.microsoft.com/office/drawing/2014/main" id="{00000000-0008-0000-0800-000028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88" name="Text Box 15">
          <a:extLst>
            <a:ext uri="{FF2B5EF4-FFF2-40B4-BE49-F238E27FC236}">
              <a16:creationId xmlns:a16="http://schemas.microsoft.com/office/drawing/2014/main" id="{00000000-0008-0000-0800-000029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89" name="Text Box 15">
          <a:extLst>
            <a:ext uri="{FF2B5EF4-FFF2-40B4-BE49-F238E27FC236}">
              <a16:creationId xmlns:a16="http://schemas.microsoft.com/office/drawing/2014/main" id="{00000000-0008-0000-0800-00002A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90" name="Text Box 15">
          <a:extLst>
            <a:ext uri="{FF2B5EF4-FFF2-40B4-BE49-F238E27FC236}">
              <a16:creationId xmlns:a16="http://schemas.microsoft.com/office/drawing/2014/main" id="{00000000-0008-0000-0800-00002B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91" name="Text Box 15">
          <a:extLst>
            <a:ext uri="{FF2B5EF4-FFF2-40B4-BE49-F238E27FC236}">
              <a16:creationId xmlns:a16="http://schemas.microsoft.com/office/drawing/2014/main" id="{00000000-0008-0000-0800-00002C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392" name="Text Box 15">
          <a:extLst>
            <a:ext uri="{FF2B5EF4-FFF2-40B4-BE49-F238E27FC236}">
              <a16:creationId xmlns:a16="http://schemas.microsoft.com/office/drawing/2014/main" id="{00000000-0008-0000-0800-00002D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3" name="Text Box 15">
          <a:extLst>
            <a:ext uri="{FF2B5EF4-FFF2-40B4-BE49-F238E27FC236}">
              <a16:creationId xmlns:a16="http://schemas.microsoft.com/office/drawing/2014/main" id="{00000000-0008-0000-0800-00002E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4" name="Text Box 15">
          <a:extLst>
            <a:ext uri="{FF2B5EF4-FFF2-40B4-BE49-F238E27FC236}">
              <a16:creationId xmlns:a16="http://schemas.microsoft.com/office/drawing/2014/main" id="{00000000-0008-0000-0800-00002F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5" name="Text Box 15">
          <a:extLst>
            <a:ext uri="{FF2B5EF4-FFF2-40B4-BE49-F238E27FC236}">
              <a16:creationId xmlns:a16="http://schemas.microsoft.com/office/drawing/2014/main" id="{00000000-0008-0000-0800-000030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6" name="Text Box 15">
          <a:extLst>
            <a:ext uri="{FF2B5EF4-FFF2-40B4-BE49-F238E27FC236}">
              <a16:creationId xmlns:a16="http://schemas.microsoft.com/office/drawing/2014/main" id="{00000000-0008-0000-0800-000031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7" name="Text Box 15">
          <a:extLst>
            <a:ext uri="{FF2B5EF4-FFF2-40B4-BE49-F238E27FC236}">
              <a16:creationId xmlns:a16="http://schemas.microsoft.com/office/drawing/2014/main" id="{00000000-0008-0000-0800-000032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8" name="Text Box 15">
          <a:extLst>
            <a:ext uri="{FF2B5EF4-FFF2-40B4-BE49-F238E27FC236}">
              <a16:creationId xmlns:a16="http://schemas.microsoft.com/office/drawing/2014/main" id="{00000000-0008-0000-0800-000033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399" name="Text Box 15">
          <a:extLst>
            <a:ext uri="{FF2B5EF4-FFF2-40B4-BE49-F238E27FC236}">
              <a16:creationId xmlns:a16="http://schemas.microsoft.com/office/drawing/2014/main" id="{00000000-0008-0000-0800-000034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00" name="Text Box 15">
          <a:extLst>
            <a:ext uri="{FF2B5EF4-FFF2-40B4-BE49-F238E27FC236}">
              <a16:creationId xmlns:a16="http://schemas.microsoft.com/office/drawing/2014/main" id="{00000000-0008-0000-0800-000035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1" name="Text Box 15">
          <a:extLst>
            <a:ext uri="{FF2B5EF4-FFF2-40B4-BE49-F238E27FC236}">
              <a16:creationId xmlns:a16="http://schemas.microsoft.com/office/drawing/2014/main" id="{00000000-0008-0000-0800-000036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2" name="Text Box 15">
          <a:extLst>
            <a:ext uri="{FF2B5EF4-FFF2-40B4-BE49-F238E27FC236}">
              <a16:creationId xmlns:a16="http://schemas.microsoft.com/office/drawing/2014/main" id="{00000000-0008-0000-0800-000037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3" name="Text Box 15">
          <a:extLst>
            <a:ext uri="{FF2B5EF4-FFF2-40B4-BE49-F238E27FC236}">
              <a16:creationId xmlns:a16="http://schemas.microsoft.com/office/drawing/2014/main" id="{00000000-0008-0000-0800-000038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4" name="Text Box 15">
          <a:extLst>
            <a:ext uri="{FF2B5EF4-FFF2-40B4-BE49-F238E27FC236}">
              <a16:creationId xmlns:a16="http://schemas.microsoft.com/office/drawing/2014/main" id="{00000000-0008-0000-0800-000039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5" name="Text Box 15">
          <a:extLst>
            <a:ext uri="{FF2B5EF4-FFF2-40B4-BE49-F238E27FC236}">
              <a16:creationId xmlns:a16="http://schemas.microsoft.com/office/drawing/2014/main" id="{00000000-0008-0000-0800-00003A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6" name="Text Box 15">
          <a:extLst>
            <a:ext uri="{FF2B5EF4-FFF2-40B4-BE49-F238E27FC236}">
              <a16:creationId xmlns:a16="http://schemas.microsoft.com/office/drawing/2014/main" id="{00000000-0008-0000-0800-00003B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7" name="Text Box 15">
          <a:extLst>
            <a:ext uri="{FF2B5EF4-FFF2-40B4-BE49-F238E27FC236}">
              <a16:creationId xmlns:a16="http://schemas.microsoft.com/office/drawing/2014/main" id="{00000000-0008-0000-0800-00003C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08" name="Text Box 15">
          <a:extLst>
            <a:ext uri="{FF2B5EF4-FFF2-40B4-BE49-F238E27FC236}">
              <a16:creationId xmlns:a16="http://schemas.microsoft.com/office/drawing/2014/main" id="{00000000-0008-0000-0800-00003D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09" name="Text Box 15">
          <a:extLst>
            <a:ext uri="{FF2B5EF4-FFF2-40B4-BE49-F238E27FC236}">
              <a16:creationId xmlns:a16="http://schemas.microsoft.com/office/drawing/2014/main" id="{00000000-0008-0000-0800-00003E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0" name="Text Box 15">
          <a:extLst>
            <a:ext uri="{FF2B5EF4-FFF2-40B4-BE49-F238E27FC236}">
              <a16:creationId xmlns:a16="http://schemas.microsoft.com/office/drawing/2014/main" id="{00000000-0008-0000-0800-00003F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1" name="Text Box 15">
          <a:extLst>
            <a:ext uri="{FF2B5EF4-FFF2-40B4-BE49-F238E27FC236}">
              <a16:creationId xmlns:a16="http://schemas.microsoft.com/office/drawing/2014/main" id="{00000000-0008-0000-0800-000040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2" name="Text Box 15">
          <a:extLst>
            <a:ext uri="{FF2B5EF4-FFF2-40B4-BE49-F238E27FC236}">
              <a16:creationId xmlns:a16="http://schemas.microsoft.com/office/drawing/2014/main" id="{00000000-0008-0000-0800-000041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3" name="Text Box 15">
          <a:extLst>
            <a:ext uri="{FF2B5EF4-FFF2-40B4-BE49-F238E27FC236}">
              <a16:creationId xmlns:a16="http://schemas.microsoft.com/office/drawing/2014/main" id="{00000000-0008-0000-0800-000042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4" name="Text Box 15">
          <a:extLst>
            <a:ext uri="{FF2B5EF4-FFF2-40B4-BE49-F238E27FC236}">
              <a16:creationId xmlns:a16="http://schemas.microsoft.com/office/drawing/2014/main" id="{00000000-0008-0000-0800-000043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5" name="Text Box 15">
          <a:extLst>
            <a:ext uri="{FF2B5EF4-FFF2-40B4-BE49-F238E27FC236}">
              <a16:creationId xmlns:a16="http://schemas.microsoft.com/office/drawing/2014/main" id="{00000000-0008-0000-0800-000044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5275"/>
    <xdr:sp macro="" textlink="">
      <xdr:nvSpPr>
        <xdr:cNvPr id="4416" name="Text Box 15">
          <a:extLst>
            <a:ext uri="{FF2B5EF4-FFF2-40B4-BE49-F238E27FC236}">
              <a16:creationId xmlns:a16="http://schemas.microsoft.com/office/drawing/2014/main" id="{00000000-0008-0000-0800-000045110000}"/>
            </a:ext>
          </a:extLst>
        </xdr:cNvPr>
        <xdr:cNvSpPr txBox="1">
          <a:spLocks noChangeArrowheads="1"/>
        </xdr:cNvSpPr>
      </xdr:nvSpPr>
      <xdr:spPr bwMode="auto">
        <a:xfrm>
          <a:off x="1933575" y="733044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17" name="Text Box 15">
          <a:extLst>
            <a:ext uri="{FF2B5EF4-FFF2-40B4-BE49-F238E27FC236}">
              <a16:creationId xmlns:a16="http://schemas.microsoft.com/office/drawing/2014/main" id="{00000000-0008-0000-0800-000046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18" name="Text Box 15">
          <a:extLst>
            <a:ext uri="{FF2B5EF4-FFF2-40B4-BE49-F238E27FC236}">
              <a16:creationId xmlns:a16="http://schemas.microsoft.com/office/drawing/2014/main" id="{00000000-0008-0000-0800-000047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19" name="Text Box 15">
          <a:extLst>
            <a:ext uri="{FF2B5EF4-FFF2-40B4-BE49-F238E27FC236}">
              <a16:creationId xmlns:a16="http://schemas.microsoft.com/office/drawing/2014/main" id="{00000000-0008-0000-0800-000048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20" name="Text Box 15">
          <a:extLst>
            <a:ext uri="{FF2B5EF4-FFF2-40B4-BE49-F238E27FC236}">
              <a16:creationId xmlns:a16="http://schemas.microsoft.com/office/drawing/2014/main" id="{00000000-0008-0000-0800-000049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21" name="Text Box 15">
          <a:extLst>
            <a:ext uri="{FF2B5EF4-FFF2-40B4-BE49-F238E27FC236}">
              <a16:creationId xmlns:a16="http://schemas.microsoft.com/office/drawing/2014/main" id="{00000000-0008-0000-0800-00004A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22" name="Text Box 15">
          <a:extLst>
            <a:ext uri="{FF2B5EF4-FFF2-40B4-BE49-F238E27FC236}">
              <a16:creationId xmlns:a16="http://schemas.microsoft.com/office/drawing/2014/main" id="{00000000-0008-0000-0800-00004B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23" name="Text Box 15">
          <a:extLst>
            <a:ext uri="{FF2B5EF4-FFF2-40B4-BE49-F238E27FC236}">
              <a16:creationId xmlns:a16="http://schemas.microsoft.com/office/drawing/2014/main" id="{00000000-0008-0000-0800-00004C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24" name="Text Box 15">
          <a:extLst>
            <a:ext uri="{FF2B5EF4-FFF2-40B4-BE49-F238E27FC236}">
              <a16:creationId xmlns:a16="http://schemas.microsoft.com/office/drawing/2014/main" id="{00000000-0008-0000-0800-00004D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25" name="Text Box 15">
          <a:extLst>
            <a:ext uri="{FF2B5EF4-FFF2-40B4-BE49-F238E27FC236}">
              <a16:creationId xmlns:a16="http://schemas.microsoft.com/office/drawing/2014/main" id="{00000000-0008-0000-0800-00004E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26" name="Text Box 15">
          <a:extLst>
            <a:ext uri="{FF2B5EF4-FFF2-40B4-BE49-F238E27FC236}">
              <a16:creationId xmlns:a16="http://schemas.microsoft.com/office/drawing/2014/main" id="{00000000-0008-0000-0800-00004F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27" name="Text Box 15">
          <a:extLst>
            <a:ext uri="{FF2B5EF4-FFF2-40B4-BE49-F238E27FC236}">
              <a16:creationId xmlns:a16="http://schemas.microsoft.com/office/drawing/2014/main" id="{00000000-0008-0000-0800-000050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28" name="Text Box 15">
          <a:extLst>
            <a:ext uri="{FF2B5EF4-FFF2-40B4-BE49-F238E27FC236}">
              <a16:creationId xmlns:a16="http://schemas.microsoft.com/office/drawing/2014/main" id="{00000000-0008-0000-0800-000051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29" name="Text Box 15">
          <a:extLst>
            <a:ext uri="{FF2B5EF4-FFF2-40B4-BE49-F238E27FC236}">
              <a16:creationId xmlns:a16="http://schemas.microsoft.com/office/drawing/2014/main" id="{00000000-0008-0000-0800-000052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30" name="Text Box 15">
          <a:extLst>
            <a:ext uri="{FF2B5EF4-FFF2-40B4-BE49-F238E27FC236}">
              <a16:creationId xmlns:a16="http://schemas.microsoft.com/office/drawing/2014/main" id="{00000000-0008-0000-0800-000053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31" name="Text Box 15">
          <a:extLst>
            <a:ext uri="{FF2B5EF4-FFF2-40B4-BE49-F238E27FC236}">
              <a16:creationId xmlns:a16="http://schemas.microsoft.com/office/drawing/2014/main" id="{00000000-0008-0000-0800-000054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32" name="Text Box 15">
          <a:extLst>
            <a:ext uri="{FF2B5EF4-FFF2-40B4-BE49-F238E27FC236}">
              <a16:creationId xmlns:a16="http://schemas.microsoft.com/office/drawing/2014/main" id="{00000000-0008-0000-0800-000055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3" name="Text Box 15">
          <a:extLst>
            <a:ext uri="{FF2B5EF4-FFF2-40B4-BE49-F238E27FC236}">
              <a16:creationId xmlns:a16="http://schemas.microsoft.com/office/drawing/2014/main" id="{00000000-0008-0000-0800-000056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4" name="Text Box 15">
          <a:extLst>
            <a:ext uri="{FF2B5EF4-FFF2-40B4-BE49-F238E27FC236}">
              <a16:creationId xmlns:a16="http://schemas.microsoft.com/office/drawing/2014/main" id="{00000000-0008-0000-0800-000057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5" name="Text Box 15">
          <a:extLst>
            <a:ext uri="{FF2B5EF4-FFF2-40B4-BE49-F238E27FC236}">
              <a16:creationId xmlns:a16="http://schemas.microsoft.com/office/drawing/2014/main" id="{00000000-0008-0000-0800-000058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6" name="Text Box 15">
          <a:extLst>
            <a:ext uri="{FF2B5EF4-FFF2-40B4-BE49-F238E27FC236}">
              <a16:creationId xmlns:a16="http://schemas.microsoft.com/office/drawing/2014/main" id="{00000000-0008-0000-0800-000059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7" name="Text Box 15">
          <a:extLst>
            <a:ext uri="{FF2B5EF4-FFF2-40B4-BE49-F238E27FC236}">
              <a16:creationId xmlns:a16="http://schemas.microsoft.com/office/drawing/2014/main" id="{00000000-0008-0000-0800-00005A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8" name="Text Box 15">
          <a:extLst>
            <a:ext uri="{FF2B5EF4-FFF2-40B4-BE49-F238E27FC236}">
              <a16:creationId xmlns:a16="http://schemas.microsoft.com/office/drawing/2014/main" id="{00000000-0008-0000-0800-00005B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355</xdr:row>
      <xdr:rowOff>0</xdr:rowOff>
    </xdr:from>
    <xdr:ext cx="95250" cy="297871"/>
    <xdr:sp macro="" textlink="">
      <xdr:nvSpPr>
        <xdr:cNvPr id="4439" name="Text Box 15">
          <a:extLst>
            <a:ext uri="{FF2B5EF4-FFF2-40B4-BE49-F238E27FC236}">
              <a16:creationId xmlns:a16="http://schemas.microsoft.com/office/drawing/2014/main" id="{00000000-0008-0000-0800-00005C110000}"/>
            </a:ext>
          </a:extLst>
        </xdr:cNvPr>
        <xdr:cNvSpPr txBox="1">
          <a:spLocks noChangeArrowheads="1"/>
        </xdr:cNvSpPr>
      </xdr:nvSpPr>
      <xdr:spPr bwMode="auto">
        <a:xfrm>
          <a:off x="1933575" y="7330440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0" name="Text Box 15">
          <a:extLst>
            <a:ext uri="{FF2B5EF4-FFF2-40B4-BE49-F238E27FC236}">
              <a16:creationId xmlns:a16="http://schemas.microsoft.com/office/drawing/2014/main" id="{00000000-0008-0000-0800-00005D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1" name="Text Box 15">
          <a:extLst>
            <a:ext uri="{FF2B5EF4-FFF2-40B4-BE49-F238E27FC236}">
              <a16:creationId xmlns:a16="http://schemas.microsoft.com/office/drawing/2014/main" id="{00000000-0008-0000-0800-00005E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2" name="Text Box 15">
          <a:extLst>
            <a:ext uri="{FF2B5EF4-FFF2-40B4-BE49-F238E27FC236}">
              <a16:creationId xmlns:a16="http://schemas.microsoft.com/office/drawing/2014/main" id="{00000000-0008-0000-0800-00005F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3" name="Text Box 15">
          <a:extLst>
            <a:ext uri="{FF2B5EF4-FFF2-40B4-BE49-F238E27FC236}">
              <a16:creationId xmlns:a16="http://schemas.microsoft.com/office/drawing/2014/main" id="{00000000-0008-0000-0800-000060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4" name="Text Box 15">
          <a:extLst>
            <a:ext uri="{FF2B5EF4-FFF2-40B4-BE49-F238E27FC236}">
              <a16:creationId xmlns:a16="http://schemas.microsoft.com/office/drawing/2014/main" id="{00000000-0008-0000-0800-000061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5" name="Text Box 15">
          <a:extLst>
            <a:ext uri="{FF2B5EF4-FFF2-40B4-BE49-F238E27FC236}">
              <a16:creationId xmlns:a16="http://schemas.microsoft.com/office/drawing/2014/main" id="{00000000-0008-0000-0800-000062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6" name="Text Box 15">
          <a:extLst>
            <a:ext uri="{FF2B5EF4-FFF2-40B4-BE49-F238E27FC236}">
              <a16:creationId xmlns:a16="http://schemas.microsoft.com/office/drawing/2014/main" id="{00000000-0008-0000-0800-000063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7871"/>
    <xdr:sp macro="" textlink="">
      <xdr:nvSpPr>
        <xdr:cNvPr id="4447" name="Text Box 15">
          <a:extLst>
            <a:ext uri="{FF2B5EF4-FFF2-40B4-BE49-F238E27FC236}">
              <a16:creationId xmlns:a16="http://schemas.microsoft.com/office/drawing/2014/main" id="{00000000-0008-0000-0800-000064110000}"/>
            </a:ext>
          </a:extLst>
        </xdr:cNvPr>
        <xdr:cNvSpPr txBox="1">
          <a:spLocks noChangeArrowheads="1"/>
        </xdr:cNvSpPr>
      </xdr:nvSpPr>
      <xdr:spPr bwMode="auto">
        <a:xfrm>
          <a:off x="1933575" y="73475850"/>
          <a:ext cx="95250" cy="29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48" name="Text Box 15">
          <a:extLst>
            <a:ext uri="{FF2B5EF4-FFF2-40B4-BE49-F238E27FC236}">
              <a16:creationId xmlns:a16="http://schemas.microsoft.com/office/drawing/2014/main" id="{00000000-0008-0000-0800-000065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49" name="Text Box 15">
          <a:extLst>
            <a:ext uri="{FF2B5EF4-FFF2-40B4-BE49-F238E27FC236}">
              <a16:creationId xmlns:a16="http://schemas.microsoft.com/office/drawing/2014/main" id="{00000000-0008-0000-0800-000066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50" name="Text Box 15">
          <a:extLst>
            <a:ext uri="{FF2B5EF4-FFF2-40B4-BE49-F238E27FC236}">
              <a16:creationId xmlns:a16="http://schemas.microsoft.com/office/drawing/2014/main" id="{00000000-0008-0000-0800-000067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51" name="Text Box 15">
          <a:extLst>
            <a:ext uri="{FF2B5EF4-FFF2-40B4-BE49-F238E27FC236}">
              <a16:creationId xmlns:a16="http://schemas.microsoft.com/office/drawing/2014/main" id="{00000000-0008-0000-0800-000068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356</xdr:row>
      <xdr:rowOff>0</xdr:rowOff>
    </xdr:from>
    <xdr:ext cx="95250" cy="295275"/>
    <xdr:sp macro="" textlink="">
      <xdr:nvSpPr>
        <xdr:cNvPr id="4452" name="Text Box 15">
          <a:extLst>
            <a:ext uri="{FF2B5EF4-FFF2-40B4-BE49-F238E27FC236}">
              <a16:creationId xmlns:a16="http://schemas.microsoft.com/office/drawing/2014/main" id="{00000000-0008-0000-0800-000069110000}"/>
            </a:ext>
          </a:extLst>
        </xdr:cNvPr>
        <xdr:cNvSpPr txBox="1">
          <a:spLocks noChangeArrowheads="1"/>
        </xdr:cNvSpPr>
      </xdr:nvSpPr>
      <xdr:spPr bwMode="auto">
        <a:xfrm>
          <a:off x="1933575" y="7347585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proyecto01\FORTUNA%2520(E)\backup\DATOS\Zona4-B\Monte%2520Plata\Ac.%2520Las%2520Guazumas%2520Parte%2520A-ING.%2520INOCENCIO%2520GUZMAN%2520PEREZ\CU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IAN\C\BASE%2520DATOS%2520PARA%2520ANALISIS\BASE%2520DATOS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ps-fs-05\docs_compartidos$\Users\miguel.taveras\OneDrive%20-%20INAPA\Documentos\Proyectos\Presupuestos\2021\ZONA%20II\Azua\2021-03%20Villarpando\Planta%20Potabilizadora%20Villarpando%20V-3.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nalisis/LOMA%20DE%20CABRERA/PROYECTO/IMBERT_PEAD_21abr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2%20al%2098-05%20terminacion%20ac.%20la%20cueva%20de%20cevicos%202da.%20etapa%20ac.%20mult.%20guanabano-%20cruce%20de%20maguaca%20parte%20b%20y%20guanabano%20como%20ext.%20al%20ac.%20la%20cueva%20de%20cevico%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CUBICACION-NUEVA-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Garibaldy%20Bautista%20(actualizaciones)/analisis%20el%20pino%20junumuc&#25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ps-fs-05\docs_compartidos$\Users\miguel.taveras\Desktop\PROYECTO%2520PUCMM\BASE%2520DATOS%2520PARA%2520ANALISIS\BASE%2520DATOS2.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b-02\D\Documents%2520and%2520Settings\FRED\Mis%2520documentos\ARCHIVOS%2520PERSONALES\FRED\FRANCISCO\PRESUPUESTO%2520MELLIZAS_2_NIVELES_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7B7048AA\PROYECTO%20AQN-WC"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analisis%20seopc/Copia%20de%20Analisis%20PARA%20PRESUPUESTO%20OBRAS%20PUBLICA%20df%20enero%2020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0C0845F\analisis%20el%20pino%20junumuc&#25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IMBERT_PEAD_21abr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TRABAJOS\Transfer\Costos\Proyectos\Galerias\pres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ec-costos-05\servidor%2520de%2520red%2520de%2520costos%2520(ervita)\MIS%2520DOCUMENTOS\PROYECTO%2520TERMINACION%2520SOFTBALL%2520COJPD\PRESUPUESTO%2520MODIFICADO\PRESUPUESTO_FEDOSA_14NOV20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webmail.codetel.net.do/Documents%20and%20Settings/Administrator/My%20Documents/PROYECTOS/LICITACION%20011-2006/PROPUESTA/2005%2012%20Dic%20Text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stos3\C\Documents%2520and%2520Settings\CLAUDIA\Mis%2520documentos\TRABAJO%2520CLAUDIA\analisis%2520seopc\Copia%2520de%2520Analisis%2520PARA%2520PRESUPUESTO%2520OBRAS%2520PUBLICA%2520df%2520enero%252020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s>
    <sheetDataSet>
      <sheetData sheetId="0" refreshError="1"/>
      <sheetData sheetId="1" refreshError="1"/>
      <sheetData sheetId="2" refreshError="1"/>
      <sheetData sheetId="3" refreshError="1"/>
      <sheetData sheetId="4" refreshError="1"/>
      <sheetData sheetId="5" refreshError="1"/>
      <sheetData sheetId="6" refreshError="1">
        <row r="4">
          <cell r="D4">
            <v>2547.17</v>
          </cell>
        </row>
        <row r="9">
          <cell r="D9">
            <v>26</v>
          </cell>
        </row>
        <row r="10">
          <cell r="D10">
            <v>30</v>
          </cell>
        </row>
        <row r="13">
          <cell r="D13">
            <v>265</v>
          </cell>
        </row>
        <row r="14">
          <cell r="D14">
            <v>295</v>
          </cell>
        </row>
        <row r="15">
          <cell r="D15">
            <v>290</v>
          </cell>
        </row>
        <row r="16">
          <cell r="D16">
            <v>295</v>
          </cell>
        </row>
        <row r="17">
          <cell r="D17">
            <v>290</v>
          </cell>
        </row>
        <row r="19">
          <cell r="D19">
            <v>30</v>
          </cell>
        </row>
        <row r="36">
          <cell r="D36">
            <v>5916</v>
          </cell>
        </row>
      </sheetData>
      <sheetData sheetId="7" refreshError="1">
        <row r="10">
          <cell r="F10">
            <v>4838.6400000000003</v>
          </cell>
        </row>
        <row r="17">
          <cell r="F17">
            <v>4289.4381999999996</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ow r="63">
          <cell r="D63">
            <v>5342</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sheetData sheetId="5"/>
      <sheetData sheetId="6"/>
      <sheetData sheetId="7"/>
      <sheetData sheetId="8">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7">
          <cell r="C7" t="str">
            <v>Cant.</v>
          </cell>
        </row>
      </sheetData>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s>
    <sheetDataSet>
      <sheetData sheetId="0">
        <row r="1512">
          <cell r="G1512">
            <v>3526.1216021874998</v>
          </cell>
        </row>
      </sheetData>
      <sheetData sheetId="1"/>
      <sheetData sheetId="2"/>
      <sheetData sheetId="3"/>
      <sheetData sheetId="4"/>
      <sheetData sheetId="5"/>
      <sheetData sheetId="6"/>
      <sheetData sheetId="7">
        <row r="391">
          <cell r="F391">
            <v>14781.061545997285</v>
          </cell>
        </row>
      </sheetData>
      <sheetData sheetId="8">
        <row r="14">
          <cell r="D14">
            <v>1240</v>
          </cell>
        </row>
      </sheetData>
      <sheetData sheetId="9" refreshError="1">
        <row r="1512">
          <cell r="G1512">
            <v>3526.1216021874998</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sheetData sheetId="51"/>
      <sheetData sheetId="52"/>
      <sheetData sheetId="53"/>
      <sheetData sheetId="54"/>
      <sheetData sheetId="55">
        <row r="1512">
          <cell r="G1512">
            <v>3526.1216021874998</v>
          </cell>
        </row>
      </sheetData>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s>
    <sheetDataSet>
      <sheetData sheetId="0" refreshError="1"/>
      <sheetData sheetId="1" refreshError="1"/>
      <sheetData sheetId="2">
        <row r="7">
          <cell r="C7" t="str">
            <v>Cant.</v>
          </cell>
        </row>
      </sheetData>
      <sheetData sheetId="3" refreshError="1"/>
      <sheetData sheetId="4"/>
      <sheetData sheetId="5"/>
      <sheetData sheetId="6"/>
      <sheetData sheetId="7"/>
      <sheetData sheetId="8">
        <row r="8">
          <cell r="C8" t="str">
            <v>Cant.</v>
          </cell>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s>
    <sheetDataSet>
      <sheetData sheetId="0" refreshError="1"/>
      <sheetData sheetId="1" refreshError="1"/>
      <sheetData sheetId="2">
        <row r="7">
          <cell r="C7" t="str">
            <v>Cant.</v>
          </cell>
        </row>
      </sheetData>
      <sheetData sheetId="3" refreshError="1"/>
      <sheetData sheetId="4"/>
      <sheetData sheetId="5"/>
      <sheetData sheetId="6"/>
      <sheetData sheetId="7"/>
      <sheetData sheetId="8">
        <row r="8">
          <cell r="C8" t="str">
            <v>Cant.</v>
          </cell>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s>
    <sheetDataSet>
      <sheetData sheetId="0" refreshError="1">
        <row r="16">
          <cell r="C16" t="str">
            <v>13/7 -</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Volumetría"/>
      <sheetName val="Hoja8"/>
      <sheetName val="Pre Villar Pando"/>
      <sheetName val="ANALISIS PLANTA"/>
      <sheetName val="Analisis Definitivo"/>
      <sheetName val="ANALISIS PTAP"/>
      <sheetName val="ANALISIS General"/>
      <sheetName val="Hoja4"/>
      <sheetName val="Analic. Estruc."/>
      <sheetName val="Analic. Alim."/>
      <sheetName val="ANALISIS PTAP-Elec"/>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9"/>
      <sheetName val="PARA PREGUNTAR"/>
    </sheetNames>
    <sheetDataSet>
      <sheetData sheetId="0"/>
      <sheetData sheetId="1"/>
      <sheetData sheetId="2"/>
      <sheetData sheetId="3"/>
      <sheetData sheetId="4"/>
      <sheetData sheetId="5">
        <row r="13">
          <cell r="E13">
            <v>3</v>
          </cell>
        </row>
        <row r="14">
          <cell r="E14">
            <v>390</v>
          </cell>
        </row>
        <row r="17">
          <cell r="E17">
            <v>1200</v>
          </cell>
        </row>
        <row r="18">
          <cell r="E18">
            <v>1200</v>
          </cell>
        </row>
        <row r="92">
          <cell r="F92">
            <v>1296.7733333333333</v>
          </cell>
        </row>
        <row r="111">
          <cell r="F111">
            <v>6354.9500000000007</v>
          </cell>
        </row>
        <row r="273">
          <cell r="F273">
            <v>3047.63</v>
          </cell>
        </row>
        <row r="1519">
          <cell r="F1519">
            <v>8284.3602083333335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s>
    <sheetDataSet>
      <sheetData sheetId="0">
        <row r="9">
          <cell r="D9">
            <v>1500</v>
          </cell>
        </row>
        <row r="17">
          <cell r="D17">
            <v>35</v>
          </cell>
        </row>
        <row r="130">
          <cell r="D130">
            <v>45</v>
          </cell>
        </row>
        <row r="131">
          <cell r="D131">
            <v>20</v>
          </cell>
        </row>
        <row r="132">
          <cell r="D132">
            <v>35</v>
          </cell>
        </row>
        <row r="133">
          <cell r="D133">
            <v>1350</v>
          </cell>
        </row>
      </sheetData>
      <sheetData sheetId="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107">
          <cell r="G107">
            <v>1409090.7024497506</v>
          </cell>
        </row>
      </sheetData>
      <sheetData sheetId="7" refreshError="1">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efreshError="1"/>
      <sheetData sheetId="5" refreshError="1"/>
      <sheetData sheetId="6" refreshError="1"/>
      <sheetData sheetId="7">
        <row r="9">
          <cell r="C9">
            <v>1</v>
          </cell>
        </row>
      </sheetData>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REC. 2"/>
      <sheetName val="analisis rec.2"/>
      <sheetName val="MEMO (2)"/>
      <sheetName val="Módulo1"/>
    </sheetNames>
    <sheetDataSet>
      <sheetData sheetId="0"/>
      <sheetData sheetId="1">
        <row r="1710">
          <cell r="F1710">
            <v>41829857.560000002</v>
          </cell>
        </row>
      </sheetData>
      <sheetData sheetId="2"/>
      <sheetData sheetId="3"/>
      <sheetData sheetId="4">
        <row r="1757">
          <cell r="F1757">
            <v>44557056.409999996</v>
          </cell>
        </row>
      </sheetData>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s>
    <sheetDataSet>
      <sheetData sheetId="0" refreshError="1"/>
      <sheetData sheetId="1" refreshError="1">
        <row r="14">
          <cell r="C14">
            <v>250</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s>
    <sheetDataSet>
      <sheetData sheetId="0" refreshError="1">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ow r="11">
          <cell r="B11">
            <v>1140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s>
    <sheetDataSet>
      <sheetData sheetId="0">
        <row r="9">
          <cell r="C9">
            <v>1525</v>
          </cell>
        </row>
        <row r="12">
          <cell r="C12">
            <v>356</v>
          </cell>
        </row>
      </sheetData>
      <sheetData sheetId="1"/>
      <sheetData sheetId="2"/>
      <sheetData sheetId="3"/>
      <sheetData sheetId="4">
        <row r="9">
          <cell r="C9">
            <v>1</v>
          </cell>
        </row>
      </sheetData>
      <sheetData sheetId="5"/>
      <sheetData sheetId="6"/>
      <sheetData sheetId="7"/>
      <sheetData sheetId="8"/>
      <sheetData sheetId="9"/>
      <sheetData sheetId="10">
        <row r="9">
          <cell r="C9">
            <v>1</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s>
    <sheetDataSet>
      <sheetData sheetId="0">
        <row r="23">
          <cell r="G23">
            <v>1.3036438662750036</v>
          </cell>
        </row>
      </sheetData>
      <sheetData sheetId="1">
        <row r="23">
          <cell r="G23">
            <v>1.3036438662750036</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Analisis de Costos Aceras"/>
      <sheetName val="CAMPAMENTO2"/>
      <sheetName val="ingenieria"/>
      <sheetName val="MANT.TRANSITO"/>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M.O."/>
      <sheetName val="Ins"/>
      <sheetName val="Ana"/>
      <sheetName val="Análisis de Precios"/>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3">
          <cell r="F43">
            <v>30</v>
          </cell>
        </row>
        <row r="72">
          <cell r="F72">
            <v>43.4</v>
          </cell>
        </row>
        <row r="75">
          <cell r="F75">
            <v>37.200000000000003</v>
          </cell>
        </row>
        <row r="76">
          <cell r="F76">
            <v>43.4</v>
          </cell>
        </row>
        <row r="77">
          <cell r="F77">
            <v>43.4</v>
          </cell>
        </row>
      </sheetData>
      <sheetData sheetId="13" refreshError="1">
        <row r="8">
          <cell r="I8">
            <v>726.05</v>
          </cell>
        </row>
        <row r="9">
          <cell r="I9">
            <v>512.15</v>
          </cell>
        </row>
        <row r="11">
          <cell r="I11">
            <v>344.75</v>
          </cell>
        </row>
        <row r="14">
          <cell r="I14">
            <v>414.5</v>
          </cell>
        </row>
        <row r="15">
          <cell r="I15">
            <v>414.5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ow r="767">
          <cell r="D767">
            <v>20</v>
          </cell>
        </row>
        <row r="770">
          <cell r="D770">
            <v>45.14</v>
          </cell>
        </row>
      </sheetData>
      <sheetData sheetId="1">
        <row r="10">
          <cell r="C10">
            <v>350</v>
          </cell>
        </row>
      </sheetData>
      <sheetData sheetId="2"/>
      <sheetData sheetId="3">
        <row r="212">
          <cell r="H212">
            <v>2563.4295469815961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ow r="212">
          <cell r="H212">
            <v>2563.4295469815961</v>
          </cell>
        </row>
      </sheetData>
      <sheetData sheetId="23"/>
      <sheetData sheetId="24"/>
      <sheetData sheetId="25"/>
      <sheetData sheetId="26"/>
      <sheetData sheetId="27"/>
      <sheetData sheetId="28"/>
      <sheetData sheetId="29"/>
      <sheetData sheetId="30"/>
      <sheetData sheetId="31"/>
      <sheetData sheetId="32"/>
      <sheetData sheetId="33"/>
      <sheetData sheetId="34">
        <row r="212">
          <cell r="H212">
            <v>2563.4295469815961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s>
    <sheetDataSet>
      <sheetData sheetId="0"/>
      <sheetData sheetId="1"/>
      <sheetData sheetId="2"/>
      <sheetData sheetId="3"/>
      <sheetData sheetId="4"/>
      <sheetData sheetId="5"/>
      <sheetData sheetId="6"/>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s>
    <sheetDataSet>
      <sheetData sheetId="0"/>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sheetData sheetId="9"/>
      <sheetData sheetId="10"/>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row r="10">
          <cell r="C10">
            <v>578</v>
          </cell>
        </row>
      </sheetData>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OS LIMONES ACERO "/>
      <sheetName val="AC. LOS LIMONES HIERRO DUCTIL"/>
      <sheetName val="AC. LOS LIMONES G.R.P (2)"/>
      <sheetName val="MOV. TIERRA"/>
      <sheetName val="Hoja2"/>
      <sheetName val="MO"/>
      <sheetName val="INSU"/>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s>
    <sheetDataSet>
      <sheetData sheetId="0">
        <row r="2">
          <cell r="D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s>
    <sheetDataSet>
      <sheetData sheetId="0">
        <row r="561">
          <cell r="D561">
            <v>36.01</v>
          </cell>
        </row>
      </sheetData>
      <sheetData sheetId="1" refreshError="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s>
    <sheetDataSet>
      <sheetData sheetId="0">
        <row r="4">
          <cell r="A4" t="str">
            <v>Id.</v>
          </cell>
          <cell r="B4" t="str">
            <v>Descripción</v>
          </cell>
          <cell r="C4" t="str">
            <v>Ud</v>
          </cell>
          <cell r="D4" t="str">
            <v>Factor</v>
          </cell>
          <cell r="E4" t="str">
            <v>Precio Base</v>
          </cell>
          <cell r="F4" t="str">
            <v>Precio</v>
          </cell>
        </row>
        <row r="5">
          <cell r="A5" t="str">
            <v>AC</v>
          </cell>
          <cell r="B5" t="str">
            <v>ACEROS Y ALAMBRE DULCE</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row>
        <row r="82">
          <cell r="A82" t="str">
            <v>BF01.</v>
          </cell>
          <cell r="B82" t="str">
            <v>Baños</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Llave sencilla cromada, para lavamanos pequeño</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Plywood  / formaleta 4' x 8' x 3/4"</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row>
        <row r="418">
          <cell r="A418" t="str">
            <v>TP01.</v>
          </cell>
          <cell r="B418" t="str">
            <v>Tuberías y Piezas PVC Drenaje</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row>
        <row r="611">
          <cell r="A611" t="str">
            <v>PZ01.</v>
          </cell>
          <cell r="B611" t="str">
            <v>Piso y Zócalos</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MANO DE OBRA</v>
          </cell>
        </row>
        <row r="717">
          <cell r="A717" t="str">
            <v>MO01-30.</v>
          </cell>
          <cell r="B717" t="str">
            <v>Albañileria</v>
          </cell>
        </row>
        <row r="718">
          <cell r="A718" t="str">
            <v>MO01.</v>
          </cell>
          <cell r="B718" t="str">
            <v>Colocacion de Bloques</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MO Encofrado y desencofrado, zapatas columnas</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row>
        <row r="839">
          <cell r="A839" t="str">
            <v>MO41.</v>
          </cell>
          <cell r="B839" t="str">
            <v>Montura Bidet,Inodoros y Orinales</v>
          </cell>
        </row>
        <row r="840">
          <cell r="A840" t="str">
            <v>MO41.001</v>
          </cell>
          <cell r="B840" t="str">
            <v>Inodoros de Dos Cuerpos</v>
          </cell>
          <cell r="C840" t="str">
            <v>u</v>
          </cell>
          <cell r="D840">
            <v>1</v>
          </cell>
          <cell r="E840">
            <v>200</v>
          </cell>
          <cell r="F840">
            <v>200</v>
          </cell>
        </row>
        <row r="841">
          <cell r="A841" t="str">
            <v>MO42.</v>
          </cell>
          <cell r="B841" t="str">
            <v>Montura Lavamanos</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row>
        <row r="868">
          <cell r="A868" t="str">
            <v>MO48.009</v>
          </cell>
          <cell r="B868" t="str">
            <v>Conexión Cloaca.</v>
          </cell>
          <cell r="C868" t="str">
            <v>u</v>
          </cell>
          <cell r="D868">
            <v>1</v>
          </cell>
          <cell r="E868">
            <v>250</v>
          </cell>
          <cell r="F868">
            <v>250</v>
          </cell>
        </row>
        <row r="869">
          <cell r="A869" t="str">
            <v>MO49.</v>
          </cell>
          <cell r="B869" t="str">
            <v>Bajante o Ventilación por Planta</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Mortero (1:3)</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Mortero (1:2)</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Muros de Bloques de Hormigón 8"</v>
          </cell>
          <cell r="C938" t="str">
            <v>m2</v>
          </cell>
          <cell r="D938">
            <v>1</v>
          </cell>
          <cell r="E938">
            <v>294.55</v>
          </cell>
          <cell r="F938">
            <v>294.55</v>
          </cell>
        </row>
        <row r="939">
          <cell r="A939" t="str">
            <v>05.201</v>
          </cell>
          <cell r="B939" t="str">
            <v>Muros de Bloques de Hormigón 6"</v>
          </cell>
          <cell r="C939" t="str">
            <v>m2</v>
          </cell>
          <cell r="D939">
            <v>1</v>
          </cell>
          <cell r="E939">
            <v>200.3</v>
          </cell>
          <cell r="F939">
            <v>200.3</v>
          </cell>
        </row>
        <row r="940">
          <cell r="A940" t="str">
            <v>05.301</v>
          </cell>
          <cell r="B940" t="str">
            <v>Muros de Bloques de Hormigón 4"</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s>
    <sheetDataSet>
      <sheetData sheetId="0">
        <row r="107">
          <cell r="H107">
            <v>8351734.1800199989</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Ana"/>
      <sheetName val="Resu"/>
      <sheetName val="Indice"/>
      <sheetName val="Pasarela de L=60.00"/>
    </sheetNames>
    <sheetDataSet>
      <sheetData sheetId="0" refreshError="1"/>
      <sheetData sheetId="1" refreshError="1"/>
      <sheetData sheetId="2" refreshError="1">
        <row r="51">
          <cell r="E51">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1022"/>
  <sheetViews>
    <sheetView workbookViewId="0">
      <selection sqref="A1:F1"/>
    </sheetView>
  </sheetViews>
  <sheetFormatPr baseColWidth="10" defaultColWidth="11.42578125" defaultRowHeight="12.75"/>
  <cols>
    <col min="1" max="1" width="7.5703125" style="8" customWidth="1"/>
    <col min="2" max="2" width="55.85546875" style="8" customWidth="1"/>
    <col min="3" max="3" width="12" style="24" customWidth="1"/>
    <col min="4" max="4" width="7.28515625" style="1413" customWidth="1"/>
    <col min="5" max="5" width="11.42578125" style="8" customWidth="1"/>
    <col min="6" max="6" width="13.140625" style="8" customWidth="1"/>
    <col min="7" max="7" width="15.140625" style="8" customWidth="1"/>
    <col min="8" max="9" width="11.42578125" style="8"/>
    <col min="10" max="10" width="13.28515625" style="8" customWidth="1"/>
    <col min="11" max="16384" width="11.42578125" style="8"/>
  </cols>
  <sheetData>
    <row r="1" spans="1:256" s="1360" customFormat="1" ht="12.75" customHeight="1">
      <c r="A1" s="5065" t="s">
        <v>5</v>
      </c>
      <c r="B1" s="5065"/>
      <c r="C1" s="5065"/>
      <c r="D1" s="5065"/>
      <c r="E1" s="5065"/>
      <c r="F1" s="5065"/>
    </row>
    <row r="2" spans="1:256" s="1360" customFormat="1" ht="12.75" customHeight="1">
      <c r="A2" s="5065" t="s">
        <v>6</v>
      </c>
      <c r="B2" s="5065"/>
      <c r="C2" s="5065"/>
      <c r="D2" s="5065"/>
      <c r="E2" s="5065"/>
      <c r="F2" s="5065"/>
      <c r="G2" s="1539"/>
      <c r="H2" s="1539"/>
      <c r="I2" s="1539"/>
      <c r="J2" s="1539"/>
      <c r="K2" s="1539"/>
      <c r="L2" s="1539"/>
      <c r="M2" s="1586"/>
      <c r="N2" s="1586"/>
      <c r="O2" s="1586"/>
      <c r="P2" s="1586"/>
      <c r="Q2" s="1586"/>
      <c r="R2" s="1586"/>
      <c r="S2" s="5065"/>
      <c r="T2" s="5065"/>
      <c r="U2" s="5065"/>
      <c r="V2" s="5065"/>
      <c r="W2" s="5065"/>
      <c r="X2" s="5065"/>
      <c r="Y2" s="5065"/>
      <c r="Z2" s="5065"/>
      <c r="AA2" s="5065"/>
      <c r="AB2" s="5065"/>
      <c r="AC2" s="5065"/>
      <c r="AD2" s="5065"/>
      <c r="AE2" s="5065"/>
      <c r="AF2" s="5065"/>
      <c r="AG2" s="5065"/>
      <c r="AH2" s="5065"/>
      <c r="AI2" s="5065"/>
      <c r="AJ2" s="5065"/>
      <c r="AK2" s="5065"/>
      <c r="AL2" s="5065"/>
      <c r="AM2" s="5065"/>
      <c r="AN2" s="5065"/>
      <c r="AO2" s="5065"/>
      <c r="AP2" s="5065"/>
      <c r="AQ2" s="5065"/>
      <c r="AR2" s="5065"/>
      <c r="AS2" s="5065"/>
      <c r="AT2" s="5065"/>
      <c r="AU2" s="5065"/>
      <c r="AV2" s="5065"/>
      <c r="AW2" s="5065"/>
      <c r="AX2" s="5065"/>
      <c r="AY2" s="5065"/>
      <c r="AZ2" s="5065"/>
      <c r="BA2" s="5065"/>
      <c r="BB2" s="5065"/>
      <c r="BC2" s="5065"/>
      <c r="BD2" s="5065"/>
      <c r="BE2" s="5065"/>
      <c r="BF2" s="5065"/>
      <c r="BG2" s="5065"/>
      <c r="BH2" s="5065"/>
      <c r="BI2" s="5065"/>
      <c r="BJ2" s="5065"/>
      <c r="BK2" s="5065"/>
      <c r="BL2" s="5065"/>
      <c r="BM2" s="5065"/>
      <c r="BN2" s="5065"/>
      <c r="BO2" s="5065"/>
      <c r="BP2" s="5065"/>
      <c r="BQ2" s="5065"/>
      <c r="BR2" s="5065"/>
      <c r="BS2" s="5065"/>
      <c r="BT2" s="5065"/>
      <c r="BU2" s="5065"/>
      <c r="BV2" s="5065"/>
      <c r="BW2" s="5065"/>
      <c r="BX2" s="5065"/>
      <c r="BY2" s="5065"/>
      <c r="BZ2" s="5065"/>
      <c r="CA2" s="5065"/>
      <c r="CB2" s="5065"/>
      <c r="CC2" s="5065"/>
      <c r="CD2" s="5065"/>
      <c r="CE2" s="5065"/>
      <c r="CF2" s="5065"/>
      <c r="CG2" s="5065"/>
      <c r="CH2" s="5065"/>
      <c r="CI2" s="5065"/>
      <c r="CJ2" s="5065"/>
      <c r="CK2" s="5065"/>
      <c r="CL2" s="5065"/>
      <c r="CM2" s="5065"/>
      <c r="CN2" s="5065"/>
      <c r="CO2" s="5065"/>
      <c r="CP2" s="5065"/>
      <c r="CQ2" s="5065"/>
      <c r="CR2" s="5065"/>
      <c r="CS2" s="5065"/>
      <c r="CT2" s="5065"/>
      <c r="CU2" s="5065"/>
      <c r="CV2" s="5065"/>
      <c r="CW2" s="5065"/>
      <c r="CX2" s="5065"/>
      <c r="CY2" s="5065"/>
      <c r="CZ2" s="5065"/>
      <c r="DA2" s="5065"/>
      <c r="DB2" s="5065"/>
      <c r="DC2" s="5065"/>
      <c r="DD2" s="5065"/>
      <c r="DE2" s="5065"/>
      <c r="DF2" s="5065"/>
      <c r="DG2" s="5065"/>
      <c r="DH2" s="5065"/>
      <c r="DI2" s="5065"/>
      <c r="DJ2" s="5065"/>
      <c r="DK2" s="5065"/>
      <c r="DL2" s="5065"/>
      <c r="DM2" s="5065"/>
      <c r="DN2" s="5065"/>
      <c r="DO2" s="5065"/>
      <c r="DP2" s="5065"/>
      <c r="DQ2" s="5065"/>
      <c r="DR2" s="5065"/>
      <c r="DS2" s="5065"/>
      <c r="DT2" s="5065"/>
      <c r="DU2" s="5065"/>
      <c r="DV2" s="5065"/>
      <c r="DW2" s="5065"/>
      <c r="DX2" s="5065"/>
      <c r="DY2" s="5065"/>
      <c r="DZ2" s="5065"/>
      <c r="EA2" s="5065"/>
      <c r="EB2" s="5065"/>
      <c r="EC2" s="5065"/>
      <c r="ED2" s="5065"/>
      <c r="EE2" s="5065"/>
      <c r="EF2" s="5065"/>
      <c r="EG2" s="5065"/>
      <c r="EH2" s="5065"/>
      <c r="EI2" s="5065"/>
      <c r="EJ2" s="5065"/>
      <c r="EK2" s="5065"/>
      <c r="EL2" s="5065"/>
      <c r="EM2" s="5065"/>
      <c r="EN2" s="5065"/>
      <c r="EO2" s="5065"/>
      <c r="EP2" s="5065"/>
      <c r="EQ2" s="5065"/>
      <c r="ER2" s="5065"/>
      <c r="ES2" s="5065"/>
      <c r="ET2" s="5065"/>
      <c r="EU2" s="5065"/>
      <c r="EV2" s="5065"/>
      <c r="EW2" s="5065"/>
      <c r="EX2" s="5065"/>
      <c r="EY2" s="5065"/>
      <c r="EZ2" s="5065"/>
      <c r="FA2" s="5065"/>
      <c r="FB2" s="5065"/>
      <c r="FC2" s="5065"/>
      <c r="FD2" s="5065"/>
      <c r="FE2" s="5065"/>
      <c r="FF2" s="5065"/>
      <c r="FG2" s="5065"/>
      <c r="FH2" s="5065"/>
      <c r="FI2" s="5065"/>
      <c r="FJ2" s="5065"/>
      <c r="FK2" s="5065"/>
      <c r="FL2" s="5065"/>
      <c r="FM2" s="5065"/>
      <c r="FN2" s="5065"/>
      <c r="FO2" s="5065"/>
      <c r="FP2" s="5065"/>
      <c r="FQ2" s="5065"/>
      <c r="FR2" s="5065"/>
      <c r="FS2" s="5065"/>
      <c r="FT2" s="5065"/>
      <c r="FU2" s="5065"/>
      <c r="FV2" s="5065"/>
      <c r="FW2" s="5065"/>
      <c r="FX2" s="5065"/>
      <c r="FY2" s="5065"/>
      <c r="FZ2" s="5065"/>
      <c r="GA2" s="5065"/>
      <c r="GB2" s="5065"/>
      <c r="GC2" s="5065"/>
      <c r="GD2" s="5065"/>
      <c r="GE2" s="5065"/>
      <c r="GF2" s="5065"/>
      <c r="GG2" s="5065"/>
      <c r="GH2" s="5065"/>
      <c r="GI2" s="5065"/>
      <c r="GJ2" s="5065"/>
      <c r="GK2" s="5065"/>
      <c r="GL2" s="5065"/>
      <c r="GM2" s="5065"/>
      <c r="GN2" s="5065"/>
      <c r="GO2" s="5065"/>
      <c r="GP2" s="5065"/>
      <c r="GQ2" s="5065"/>
      <c r="GR2" s="5065"/>
      <c r="GS2" s="5065"/>
      <c r="GT2" s="5065"/>
      <c r="GU2" s="5065"/>
      <c r="GV2" s="5065"/>
      <c r="GW2" s="5065"/>
      <c r="GX2" s="5065"/>
      <c r="GY2" s="5065"/>
      <c r="GZ2" s="5065"/>
      <c r="HA2" s="5065"/>
      <c r="HB2" s="5065"/>
      <c r="HC2" s="5065"/>
      <c r="HD2" s="5065"/>
      <c r="HE2" s="5065"/>
      <c r="HF2" s="5065"/>
      <c r="HG2" s="5065"/>
      <c r="HH2" s="5065"/>
      <c r="HI2" s="5065"/>
      <c r="HJ2" s="5065"/>
      <c r="HK2" s="5065"/>
      <c r="HL2" s="5065"/>
      <c r="HM2" s="5065"/>
      <c r="HN2" s="5065"/>
      <c r="HO2" s="5065"/>
      <c r="HP2" s="5065"/>
      <c r="HQ2" s="5065"/>
      <c r="HR2" s="5065"/>
      <c r="HS2" s="5065"/>
      <c r="HT2" s="5065"/>
      <c r="HU2" s="5065"/>
      <c r="HV2" s="5065"/>
      <c r="HW2" s="5065"/>
      <c r="HX2" s="5065"/>
      <c r="HY2" s="5065"/>
      <c r="HZ2" s="5065"/>
      <c r="IA2" s="5065"/>
      <c r="IB2" s="5065"/>
      <c r="IC2" s="5065"/>
      <c r="ID2" s="5065"/>
      <c r="IE2" s="5065"/>
      <c r="IF2" s="5065"/>
      <c r="IG2" s="5065"/>
      <c r="IH2" s="5065"/>
      <c r="II2" s="5065"/>
      <c r="IJ2" s="5065"/>
      <c r="IK2" s="5065"/>
      <c r="IL2" s="5065"/>
      <c r="IM2" s="5065"/>
      <c r="IN2" s="5065"/>
      <c r="IO2" s="5065"/>
      <c r="IP2" s="5065"/>
      <c r="IQ2" s="5065"/>
      <c r="IR2" s="5065"/>
      <c r="IS2" s="5065"/>
      <c r="IT2" s="5065"/>
      <c r="IU2" s="5065"/>
      <c r="IV2" s="5065"/>
    </row>
    <row r="3" spans="1:256" s="1360" customFormat="1" ht="12.75" customHeight="1">
      <c r="A3" s="5065" t="s">
        <v>7</v>
      </c>
      <c r="B3" s="5065"/>
      <c r="C3" s="5065"/>
      <c r="D3" s="5065"/>
      <c r="E3" s="5065"/>
      <c r="F3" s="5065"/>
      <c r="G3" s="1539"/>
      <c r="H3" s="1539"/>
      <c r="I3" s="1539"/>
      <c r="J3" s="1539"/>
      <c r="K3" s="1539"/>
      <c r="L3" s="1539"/>
      <c r="M3" s="1586"/>
      <c r="N3" s="1586"/>
      <c r="O3" s="1586"/>
      <c r="P3" s="1586"/>
      <c r="Q3" s="1586"/>
      <c r="R3" s="1586"/>
      <c r="S3" s="5065"/>
      <c r="T3" s="5065"/>
      <c r="U3" s="5065"/>
      <c r="V3" s="5065"/>
      <c r="W3" s="5065"/>
      <c r="X3" s="5065"/>
      <c r="Y3" s="5065"/>
      <c r="Z3" s="5065"/>
      <c r="AA3" s="5065"/>
      <c r="AB3" s="5065"/>
      <c r="AC3" s="5065"/>
      <c r="AD3" s="5065"/>
      <c r="AE3" s="5065"/>
      <c r="AF3" s="5065"/>
      <c r="AG3" s="5065"/>
      <c r="AH3" s="5065"/>
      <c r="AI3" s="5065"/>
      <c r="AJ3" s="5065"/>
      <c r="AK3" s="5065"/>
      <c r="AL3" s="5065"/>
      <c r="AM3" s="5065"/>
      <c r="AN3" s="5065"/>
      <c r="AO3" s="5065"/>
      <c r="AP3" s="5065"/>
      <c r="AQ3" s="5065"/>
      <c r="AR3" s="5065"/>
      <c r="AS3" s="5065"/>
      <c r="AT3" s="5065"/>
      <c r="AU3" s="5065"/>
      <c r="AV3" s="5065"/>
      <c r="AW3" s="5065"/>
      <c r="AX3" s="5065"/>
      <c r="AY3" s="5065"/>
      <c r="AZ3" s="5065"/>
      <c r="BA3" s="5065"/>
      <c r="BB3" s="5065"/>
      <c r="BC3" s="5065"/>
      <c r="BD3" s="5065"/>
      <c r="BE3" s="5065"/>
      <c r="BF3" s="5065"/>
      <c r="BG3" s="5065"/>
      <c r="BH3" s="5065"/>
      <c r="BI3" s="5065"/>
      <c r="BJ3" s="5065"/>
      <c r="BK3" s="5065"/>
      <c r="BL3" s="5065"/>
      <c r="BM3" s="5065"/>
      <c r="BN3" s="5065"/>
      <c r="BO3" s="5065"/>
      <c r="BP3" s="5065"/>
      <c r="BQ3" s="5065"/>
      <c r="BR3" s="5065"/>
      <c r="BS3" s="5065"/>
      <c r="BT3" s="5065"/>
      <c r="BU3" s="5065"/>
      <c r="BV3" s="5065"/>
      <c r="BW3" s="5065"/>
      <c r="BX3" s="5065"/>
      <c r="BY3" s="5065"/>
      <c r="BZ3" s="5065"/>
      <c r="CA3" s="5065"/>
      <c r="CB3" s="5065"/>
      <c r="CC3" s="5065"/>
      <c r="CD3" s="5065"/>
      <c r="CE3" s="5065"/>
      <c r="CF3" s="5065"/>
      <c r="CG3" s="5065"/>
      <c r="CH3" s="5065"/>
      <c r="CI3" s="5065"/>
      <c r="CJ3" s="5065"/>
      <c r="CK3" s="5065"/>
      <c r="CL3" s="5065"/>
      <c r="CM3" s="5065"/>
      <c r="CN3" s="5065"/>
      <c r="CO3" s="5065"/>
      <c r="CP3" s="5065"/>
      <c r="CQ3" s="5065"/>
      <c r="CR3" s="5065"/>
      <c r="CS3" s="5065"/>
      <c r="CT3" s="5065"/>
      <c r="CU3" s="5065"/>
      <c r="CV3" s="5065"/>
      <c r="CW3" s="5065"/>
      <c r="CX3" s="5065"/>
      <c r="CY3" s="5065"/>
      <c r="CZ3" s="5065"/>
      <c r="DA3" s="5065"/>
      <c r="DB3" s="5065"/>
      <c r="DC3" s="5065"/>
      <c r="DD3" s="5065"/>
      <c r="DE3" s="5065"/>
      <c r="DF3" s="5065"/>
      <c r="DG3" s="5065"/>
      <c r="DH3" s="5065"/>
      <c r="DI3" s="5065"/>
      <c r="DJ3" s="5065"/>
      <c r="DK3" s="5065"/>
      <c r="DL3" s="5065"/>
      <c r="DM3" s="5065"/>
      <c r="DN3" s="5065"/>
      <c r="DO3" s="5065"/>
      <c r="DP3" s="5065"/>
      <c r="DQ3" s="5065"/>
      <c r="DR3" s="5065"/>
      <c r="DS3" s="5065"/>
      <c r="DT3" s="5065"/>
      <c r="DU3" s="5065"/>
      <c r="DV3" s="5065"/>
      <c r="DW3" s="5065"/>
      <c r="DX3" s="5065"/>
      <c r="DY3" s="5065"/>
      <c r="DZ3" s="5065"/>
      <c r="EA3" s="5065"/>
      <c r="EB3" s="5065"/>
      <c r="EC3" s="5065"/>
      <c r="ED3" s="5065"/>
      <c r="EE3" s="5065"/>
      <c r="EF3" s="5065"/>
      <c r="EG3" s="5065"/>
      <c r="EH3" s="5065"/>
      <c r="EI3" s="5065"/>
      <c r="EJ3" s="5065"/>
      <c r="EK3" s="5065"/>
      <c r="EL3" s="5065"/>
      <c r="EM3" s="5065"/>
      <c r="EN3" s="5065"/>
      <c r="EO3" s="5065"/>
      <c r="EP3" s="5065"/>
      <c r="EQ3" s="5065"/>
      <c r="ER3" s="5065"/>
      <c r="ES3" s="5065"/>
      <c r="ET3" s="5065"/>
      <c r="EU3" s="5065"/>
      <c r="EV3" s="5065"/>
      <c r="EW3" s="5065"/>
      <c r="EX3" s="5065"/>
      <c r="EY3" s="5065"/>
      <c r="EZ3" s="5065"/>
      <c r="FA3" s="5065"/>
      <c r="FB3" s="5065"/>
      <c r="FC3" s="5065"/>
      <c r="FD3" s="5065"/>
      <c r="FE3" s="5065"/>
      <c r="FF3" s="5065"/>
      <c r="FG3" s="5065"/>
      <c r="FH3" s="5065"/>
      <c r="FI3" s="5065"/>
      <c r="FJ3" s="5065"/>
      <c r="FK3" s="5065"/>
      <c r="FL3" s="5065"/>
      <c r="FM3" s="5065"/>
      <c r="FN3" s="5065"/>
      <c r="FO3" s="5065"/>
      <c r="FP3" s="5065"/>
      <c r="FQ3" s="5065"/>
      <c r="FR3" s="5065"/>
      <c r="FS3" s="5065"/>
      <c r="FT3" s="5065"/>
      <c r="FU3" s="5065"/>
      <c r="FV3" s="5065"/>
      <c r="FW3" s="5065"/>
      <c r="FX3" s="5065"/>
      <c r="FY3" s="5065"/>
      <c r="FZ3" s="5065"/>
      <c r="GA3" s="5065"/>
      <c r="GB3" s="5065"/>
      <c r="GC3" s="5065"/>
      <c r="GD3" s="5065"/>
      <c r="GE3" s="5065"/>
      <c r="GF3" s="5065"/>
      <c r="GG3" s="5065"/>
      <c r="GH3" s="5065"/>
      <c r="GI3" s="5065"/>
      <c r="GJ3" s="5065"/>
      <c r="GK3" s="5065"/>
      <c r="GL3" s="5065"/>
      <c r="GM3" s="5065"/>
      <c r="GN3" s="5065"/>
      <c r="GO3" s="5065"/>
      <c r="GP3" s="5065"/>
      <c r="GQ3" s="5065"/>
      <c r="GR3" s="5065"/>
      <c r="GS3" s="5065"/>
      <c r="GT3" s="5065"/>
      <c r="GU3" s="5065"/>
      <c r="GV3" s="5065"/>
      <c r="GW3" s="5065"/>
      <c r="GX3" s="5065"/>
      <c r="GY3" s="5065"/>
      <c r="GZ3" s="5065"/>
      <c r="HA3" s="5065"/>
      <c r="HB3" s="5065"/>
      <c r="HC3" s="5065"/>
      <c r="HD3" s="5065"/>
      <c r="HE3" s="5065"/>
      <c r="HF3" s="5065"/>
      <c r="HG3" s="5065"/>
      <c r="HH3" s="5065"/>
      <c r="HI3" s="5065"/>
      <c r="HJ3" s="5065"/>
      <c r="HK3" s="5065"/>
      <c r="HL3" s="5065"/>
      <c r="HM3" s="5065"/>
      <c r="HN3" s="5065"/>
      <c r="HO3" s="5065"/>
      <c r="HP3" s="5065"/>
      <c r="HQ3" s="5065"/>
      <c r="HR3" s="5065"/>
      <c r="HS3" s="5065"/>
      <c r="HT3" s="5065"/>
      <c r="HU3" s="5065"/>
      <c r="HV3" s="5065"/>
      <c r="HW3" s="5065"/>
      <c r="HX3" s="5065"/>
      <c r="HY3" s="5065"/>
      <c r="HZ3" s="5065"/>
      <c r="IA3" s="5065"/>
      <c r="IB3" s="5065"/>
      <c r="IC3" s="5065"/>
      <c r="ID3" s="5065"/>
      <c r="IE3" s="5065"/>
      <c r="IF3" s="5065"/>
      <c r="IG3" s="5065"/>
      <c r="IH3" s="5065"/>
      <c r="II3" s="5065"/>
      <c r="IJ3" s="5065"/>
      <c r="IK3" s="5065"/>
      <c r="IL3" s="5065"/>
      <c r="IM3" s="5065"/>
      <c r="IN3" s="5065"/>
      <c r="IO3" s="5065"/>
      <c r="IP3" s="5065"/>
      <c r="IQ3" s="5065"/>
      <c r="IR3" s="5065"/>
      <c r="IS3" s="5065"/>
      <c r="IT3" s="5065"/>
      <c r="IU3" s="5065"/>
      <c r="IV3" s="5065"/>
    </row>
    <row r="4" spans="1:256" s="1360" customFormat="1" ht="12.75" customHeight="1">
      <c r="A4" s="5065" t="s">
        <v>60</v>
      </c>
      <c r="B4" s="5065"/>
      <c r="C4" s="5065"/>
      <c r="D4" s="5065"/>
      <c r="E4" s="5065"/>
      <c r="F4" s="5065"/>
      <c r="G4" s="1539"/>
      <c r="H4" s="1539"/>
      <c r="I4" s="1539"/>
      <c r="J4" s="1539"/>
      <c r="K4" s="1539"/>
      <c r="L4" s="1539"/>
      <c r="M4" s="1586"/>
      <c r="N4" s="1586"/>
      <c r="O4" s="1586"/>
      <c r="P4" s="1586"/>
      <c r="Q4" s="1586"/>
      <c r="R4" s="1586"/>
      <c r="S4" s="5065"/>
      <c r="T4" s="5065"/>
      <c r="U4" s="5065"/>
      <c r="V4" s="5065"/>
      <c r="W4" s="5065"/>
      <c r="X4" s="5065"/>
      <c r="Y4" s="5065"/>
      <c r="Z4" s="5065"/>
      <c r="AA4" s="5065"/>
      <c r="AB4" s="5065"/>
      <c r="AC4" s="5065"/>
      <c r="AD4" s="5065"/>
      <c r="AE4" s="5065"/>
      <c r="AF4" s="5065"/>
      <c r="AG4" s="5065"/>
      <c r="AH4" s="5065"/>
      <c r="AI4" s="5065"/>
      <c r="AJ4" s="5065"/>
      <c r="AK4" s="5065"/>
      <c r="AL4" s="5065"/>
      <c r="AM4" s="5065"/>
      <c r="AN4" s="5065"/>
      <c r="AO4" s="5065"/>
      <c r="AP4" s="5065"/>
      <c r="AQ4" s="5065"/>
      <c r="AR4" s="5065"/>
      <c r="AS4" s="5065"/>
      <c r="AT4" s="5065"/>
      <c r="AU4" s="5065"/>
      <c r="AV4" s="5065"/>
      <c r="AW4" s="5065"/>
      <c r="AX4" s="5065"/>
      <c r="AY4" s="5065"/>
      <c r="AZ4" s="5065"/>
      <c r="BA4" s="5065"/>
      <c r="BB4" s="5065"/>
      <c r="BC4" s="5065"/>
      <c r="BD4" s="5065"/>
      <c r="BE4" s="5065"/>
      <c r="BF4" s="5065"/>
      <c r="BG4" s="5065"/>
      <c r="BH4" s="5065"/>
      <c r="BI4" s="5065"/>
      <c r="BJ4" s="5065"/>
      <c r="BK4" s="5065"/>
      <c r="BL4" s="5065"/>
      <c r="BM4" s="5065"/>
      <c r="BN4" s="5065"/>
      <c r="BO4" s="5065"/>
      <c r="BP4" s="5065"/>
      <c r="BQ4" s="5065"/>
      <c r="BR4" s="5065"/>
      <c r="BS4" s="5065"/>
      <c r="BT4" s="5065"/>
      <c r="BU4" s="5065"/>
      <c r="BV4" s="5065"/>
      <c r="BW4" s="5065"/>
      <c r="BX4" s="5065"/>
      <c r="BY4" s="5065"/>
      <c r="BZ4" s="5065"/>
      <c r="CA4" s="5065"/>
      <c r="CB4" s="5065"/>
      <c r="CC4" s="5065"/>
      <c r="CD4" s="5065"/>
      <c r="CE4" s="5065"/>
      <c r="CF4" s="5065"/>
      <c r="CG4" s="5065"/>
      <c r="CH4" s="5065"/>
      <c r="CI4" s="5065"/>
      <c r="CJ4" s="5065"/>
      <c r="CK4" s="5065"/>
      <c r="CL4" s="5065"/>
      <c r="CM4" s="5065"/>
      <c r="CN4" s="5065"/>
      <c r="CO4" s="5065"/>
      <c r="CP4" s="5065"/>
      <c r="CQ4" s="5065"/>
      <c r="CR4" s="5065"/>
      <c r="CS4" s="5065"/>
      <c r="CT4" s="5065"/>
      <c r="CU4" s="5065"/>
      <c r="CV4" s="5065"/>
      <c r="CW4" s="5065"/>
      <c r="CX4" s="5065"/>
      <c r="CY4" s="5065"/>
      <c r="CZ4" s="5065"/>
      <c r="DA4" s="5065"/>
      <c r="DB4" s="5065"/>
      <c r="DC4" s="5065"/>
      <c r="DD4" s="5065"/>
      <c r="DE4" s="5065"/>
      <c r="DF4" s="5065"/>
      <c r="DG4" s="5065"/>
      <c r="DH4" s="5065"/>
      <c r="DI4" s="5065"/>
      <c r="DJ4" s="5065"/>
      <c r="DK4" s="5065"/>
      <c r="DL4" s="5065"/>
      <c r="DM4" s="5065"/>
      <c r="DN4" s="5065"/>
      <c r="DO4" s="5065"/>
      <c r="DP4" s="5065"/>
      <c r="DQ4" s="5065"/>
      <c r="DR4" s="5065"/>
      <c r="DS4" s="5065"/>
      <c r="DT4" s="5065"/>
      <c r="DU4" s="5065"/>
      <c r="DV4" s="5065"/>
      <c r="DW4" s="5065"/>
      <c r="DX4" s="5065"/>
      <c r="DY4" s="5065"/>
      <c r="DZ4" s="5065"/>
      <c r="EA4" s="5065"/>
      <c r="EB4" s="5065"/>
      <c r="EC4" s="5065"/>
      <c r="ED4" s="5065"/>
      <c r="EE4" s="5065"/>
      <c r="EF4" s="5065"/>
      <c r="EG4" s="5065"/>
      <c r="EH4" s="5065"/>
      <c r="EI4" s="5065"/>
      <c r="EJ4" s="5065"/>
      <c r="EK4" s="5065"/>
      <c r="EL4" s="5065"/>
      <c r="EM4" s="5065"/>
      <c r="EN4" s="5065"/>
      <c r="EO4" s="5065"/>
      <c r="EP4" s="5065"/>
      <c r="EQ4" s="5065"/>
      <c r="ER4" s="5065"/>
      <c r="ES4" s="5065"/>
      <c r="ET4" s="5065"/>
      <c r="EU4" s="5065"/>
      <c r="EV4" s="5065"/>
      <c r="EW4" s="5065"/>
      <c r="EX4" s="5065"/>
      <c r="EY4" s="5065"/>
      <c r="EZ4" s="5065"/>
      <c r="FA4" s="5065"/>
      <c r="FB4" s="5065"/>
      <c r="FC4" s="5065"/>
      <c r="FD4" s="5065"/>
      <c r="FE4" s="5065"/>
      <c r="FF4" s="5065"/>
      <c r="FG4" s="5065"/>
      <c r="FH4" s="5065"/>
      <c r="FI4" s="5065"/>
      <c r="FJ4" s="5065"/>
      <c r="FK4" s="5065"/>
      <c r="FL4" s="5065"/>
      <c r="FM4" s="5065"/>
      <c r="FN4" s="5065"/>
      <c r="FO4" s="5065"/>
      <c r="FP4" s="5065"/>
      <c r="FQ4" s="5065"/>
      <c r="FR4" s="5065"/>
      <c r="FS4" s="5065"/>
      <c r="FT4" s="5065"/>
      <c r="FU4" s="5065"/>
      <c r="FV4" s="5065"/>
      <c r="FW4" s="5065"/>
      <c r="FX4" s="5065"/>
      <c r="FY4" s="5065"/>
      <c r="FZ4" s="5065"/>
      <c r="GA4" s="5065"/>
      <c r="GB4" s="5065"/>
      <c r="GC4" s="5065"/>
      <c r="GD4" s="5065"/>
      <c r="GE4" s="5065"/>
      <c r="GF4" s="5065"/>
      <c r="GG4" s="5065"/>
      <c r="GH4" s="5065"/>
      <c r="GI4" s="5065"/>
      <c r="GJ4" s="5065"/>
      <c r="GK4" s="5065"/>
      <c r="GL4" s="5065"/>
      <c r="GM4" s="5065"/>
      <c r="GN4" s="5065"/>
      <c r="GO4" s="5065"/>
      <c r="GP4" s="5065"/>
      <c r="GQ4" s="5065"/>
      <c r="GR4" s="5065"/>
      <c r="GS4" s="5065"/>
      <c r="GT4" s="5065"/>
      <c r="GU4" s="5065"/>
      <c r="GV4" s="5065"/>
      <c r="GW4" s="5065"/>
      <c r="GX4" s="5065"/>
      <c r="GY4" s="5065"/>
      <c r="GZ4" s="5065"/>
      <c r="HA4" s="5065"/>
      <c r="HB4" s="5065"/>
      <c r="HC4" s="5065"/>
      <c r="HD4" s="5065"/>
      <c r="HE4" s="5065"/>
      <c r="HF4" s="5065"/>
      <c r="HG4" s="5065"/>
      <c r="HH4" s="5065"/>
      <c r="HI4" s="5065"/>
      <c r="HJ4" s="5065"/>
      <c r="HK4" s="5065"/>
      <c r="HL4" s="5065"/>
      <c r="HM4" s="5065"/>
      <c r="HN4" s="5065"/>
      <c r="HO4" s="5065"/>
      <c r="HP4" s="5065"/>
      <c r="HQ4" s="5065"/>
      <c r="HR4" s="5065"/>
      <c r="HS4" s="5065"/>
      <c r="HT4" s="5065"/>
      <c r="HU4" s="5065"/>
      <c r="HV4" s="5065"/>
      <c r="HW4" s="5065"/>
      <c r="HX4" s="5065"/>
      <c r="HY4" s="5065"/>
      <c r="HZ4" s="5065"/>
      <c r="IA4" s="5065"/>
      <c r="IB4" s="5065"/>
      <c r="IC4" s="5065"/>
      <c r="ID4" s="5065"/>
      <c r="IE4" s="5065"/>
      <c r="IF4" s="5065"/>
      <c r="IG4" s="5065"/>
      <c r="IH4" s="5065"/>
      <c r="II4" s="5065"/>
      <c r="IJ4" s="5065"/>
      <c r="IK4" s="5065"/>
      <c r="IL4" s="5065"/>
      <c r="IM4" s="5065"/>
      <c r="IN4" s="5065"/>
      <c r="IO4" s="5065"/>
      <c r="IP4" s="5065"/>
      <c r="IQ4" s="5065"/>
      <c r="IR4" s="5065"/>
      <c r="IS4" s="5065"/>
      <c r="IT4" s="5065"/>
      <c r="IU4" s="5065"/>
      <c r="IV4" s="5065"/>
    </row>
    <row r="5" spans="1:256" s="1360" customFormat="1" ht="12.75" customHeight="1">
      <c r="A5" s="1587"/>
      <c r="B5" s="1587"/>
      <c r="C5" s="1587"/>
      <c r="D5" s="1587"/>
      <c r="E5" s="1587"/>
      <c r="F5" s="1587"/>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586"/>
      <c r="BN5" s="1586"/>
      <c r="BO5" s="1586"/>
      <c r="BP5" s="1586"/>
      <c r="BQ5" s="1586"/>
      <c r="BR5" s="1586"/>
      <c r="BS5" s="1586"/>
      <c r="BT5" s="1586"/>
      <c r="BU5" s="1586"/>
      <c r="BV5" s="1586"/>
      <c r="BW5" s="1586"/>
      <c r="BX5" s="1586"/>
      <c r="BY5" s="1586"/>
      <c r="BZ5" s="1586"/>
      <c r="CA5" s="1586"/>
      <c r="CB5" s="1586"/>
      <c r="CC5" s="1586"/>
      <c r="CD5" s="1586"/>
      <c r="CE5" s="1586"/>
      <c r="CF5" s="1586"/>
      <c r="CG5" s="1586"/>
      <c r="CH5" s="1586"/>
      <c r="CI5" s="1586"/>
      <c r="CJ5" s="1586"/>
      <c r="CK5" s="1586"/>
      <c r="CL5" s="1586"/>
      <c r="CM5" s="1586"/>
      <c r="CN5" s="1586"/>
      <c r="CO5" s="1586"/>
      <c r="CP5" s="1586"/>
      <c r="CQ5" s="1586"/>
      <c r="CR5" s="1586"/>
      <c r="CS5" s="1586"/>
      <c r="CT5" s="1586"/>
      <c r="CU5" s="1586"/>
      <c r="CV5" s="1586"/>
      <c r="CW5" s="1586"/>
      <c r="CX5" s="1586"/>
      <c r="CY5" s="1586"/>
      <c r="CZ5" s="1586"/>
      <c r="DA5" s="1586"/>
      <c r="DB5" s="1586"/>
      <c r="DC5" s="1586"/>
      <c r="DD5" s="1586"/>
      <c r="DE5" s="1586"/>
      <c r="DF5" s="1586"/>
      <c r="DG5" s="1586"/>
      <c r="DH5" s="1586"/>
      <c r="DI5" s="1586"/>
      <c r="DJ5" s="1586"/>
      <c r="DK5" s="1586"/>
      <c r="DL5" s="1586"/>
      <c r="DM5" s="1586"/>
      <c r="DN5" s="1586"/>
      <c r="DO5" s="1586"/>
      <c r="DP5" s="1586"/>
      <c r="DQ5" s="1586"/>
      <c r="DR5" s="1586"/>
      <c r="DS5" s="1586"/>
      <c r="DT5" s="1586"/>
      <c r="DU5" s="1586"/>
      <c r="DV5" s="1586"/>
      <c r="DW5" s="1586"/>
      <c r="DX5" s="1586"/>
      <c r="DY5" s="1586"/>
      <c r="DZ5" s="1586"/>
      <c r="EA5" s="1586"/>
      <c r="EB5" s="1586"/>
      <c r="EC5" s="1586"/>
      <c r="ED5" s="1586"/>
      <c r="EE5" s="1586"/>
      <c r="EF5" s="1586"/>
      <c r="EG5" s="1586"/>
      <c r="EH5" s="1586"/>
      <c r="EI5" s="1586"/>
      <c r="EJ5" s="1586"/>
      <c r="EK5" s="1586"/>
      <c r="EL5" s="1586"/>
      <c r="EM5" s="1586"/>
      <c r="EN5" s="1586"/>
      <c r="EO5" s="1586"/>
      <c r="EP5" s="1586"/>
      <c r="EQ5" s="1586"/>
      <c r="ER5" s="1586"/>
      <c r="ES5" s="1586"/>
      <c r="ET5" s="1586"/>
      <c r="EU5" s="1586"/>
      <c r="EV5" s="1586"/>
      <c r="EW5" s="1586"/>
      <c r="EX5" s="1586"/>
      <c r="EY5" s="1586"/>
      <c r="EZ5" s="1586"/>
      <c r="FA5" s="1586"/>
      <c r="FB5" s="1586"/>
      <c r="FC5" s="1586"/>
      <c r="FD5" s="1586"/>
      <c r="FE5" s="1586"/>
      <c r="FF5" s="1586"/>
      <c r="FG5" s="1586"/>
      <c r="FH5" s="1586"/>
      <c r="FI5" s="1586"/>
      <c r="FJ5" s="1586"/>
      <c r="FK5" s="1586"/>
      <c r="FL5" s="1586"/>
      <c r="FM5" s="1586"/>
      <c r="FN5" s="1586"/>
      <c r="FO5" s="1586"/>
      <c r="FP5" s="1586"/>
      <c r="FQ5" s="1586"/>
      <c r="FR5" s="1586"/>
      <c r="FS5" s="1586"/>
      <c r="FT5" s="1586"/>
      <c r="FU5" s="1586"/>
      <c r="FV5" s="1586"/>
      <c r="FW5" s="1586"/>
      <c r="FX5" s="1586"/>
      <c r="FY5" s="1586"/>
      <c r="FZ5" s="1586"/>
      <c r="GA5" s="1586"/>
      <c r="GB5" s="1586"/>
      <c r="GC5" s="1586"/>
      <c r="GD5" s="1586"/>
      <c r="GE5" s="1586"/>
      <c r="GF5" s="1586"/>
      <c r="GG5" s="1586"/>
      <c r="GH5" s="1586"/>
      <c r="GI5" s="1586"/>
      <c r="GJ5" s="1586"/>
      <c r="GK5" s="1586"/>
      <c r="GL5" s="1586"/>
      <c r="GM5" s="1586"/>
      <c r="GN5" s="1586"/>
      <c r="GO5" s="1586"/>
      <c r="GP5" s="1586"/>
      <c r="GQ5" s="1586"/>
      <c r="GR5" s="1586"/>
      <c r="GS5" s="1586"/>
      <c r="GT5" s="1586"/>
      <c r="GU5" s="1586"/>
      <c r="GV5" s="1586"/>
      <c r="GW5" s="1586"/>
      <c r="GX5" s="1586"/>
      <c r="GY5" s="1586"/>
      <c r="GZ5" s="1586"/>
      <c r="HA5" s="1586"/>
      <c r="HB5" s="1586"/>
      <c r="HC5" s="1586"/>
      <c r="HD5" s="1586"/>
      <c r="HE5" s="1586"/>
      <c r="HF5" s="1586"/>
      <c r="HG5" s="1586"/>
      <c r="HH5" s="1586"/>
      <c r="HI5" s="1586"/>
      <c r="HJ5" s="1586"/>
      <c r="HK5" s="1586"/>
      <c r="HL5" s="1586"/>
      <c r="HM5" s="1586"/>
      <c r="HN5" s="1586"/>
      <c r="HO5" s="1586"/>
      <c r="HP5" s="1586"/>
      <c r="HQ5" s="1586"/>
      <c r="HR5" s="1586"/>
      <c r="HS5" s="1586"/>
      <c r="HT5" s="1586"/>
      <c r="HU5" s="1586"/>
      <c r="HV5" s="1586"/>
      <c r="HW5" s="1586"/>
      <c r="HX5" s="1586"/>
      <c r="HY5" s="1586"/>
      <c r="HZ5" s="1586"/>
      <c r="IA5" s="1586"/>
      <c r="IB5" s="1586"/>
      <c r="IC5" s="1586"/>
      <c r="ID5" s="1586"/>
      <c r="IE5" s="1586"/>
      <c r="IF5" s="1586"/>
      <c r="IG5" s="1586"/>
      <c r="IH5" s="1586"/>
      <c r="II5" s="1586"/>
      <c r="IJ5" s="1586"/>
      <c r="IK5" s="1586"/>
      <c r="IL5" s="1586"/>
      <c r="IM5" s="1586"/>
      <c r="IN5" s="1586"/>
      <c r="IO5" s="1586"/>
      <c r="IP5" s="1586"/>
      <c r="IQ5" s="1586"/>
      <c r="IR5" s="1586"/>
      <c r="IS5" s="1586"/>
      <c r="IT5" s="1586"/>
      <c r="IU5" s="1586"/>
      <c r="IV5" s="1586"/>
    </row>
    <row r="6" spans="1:256" s="1360" customFormat="1" ht="27.75" customHeight="1">
      <c r="A6" s="5065" t="s">
        <v>547</v>
      </c>
      <c r="B6" s="5065"/>
      <c r="C6" s="5065"/>
      <c r="D6" s="5065"/>
      <c r="E6" s="5065"/>
      <c r="F6" s="5065"/>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c r="GE6" s="1586"/>
      <c r="GF6" s="1586"/>
      <c r="GG6" s="1586"/>
      <c r="GH6" s="1586"/>
      <c r="GI6" s="1586"/>
      <c r="GJ6" s="1586"/>
      <c r="GK6" s="1586"/>
      <c r="GL6" s="1586"/>
      <c r="GM6" s="1586"/>
      <c r="GN6" s="1586"/>
      <c r="GO6" s="1586"/>
      <c r="GP6" s="1586"/>
      <c r="GQ6" s="1586"/>
      <c r="GR6" s="1586"/>
      <c r="GS6" s="1586"/>
      <c r="GT6" s="1586"/>
      <c r="GU6" s="1586"/>
      <c r="GV6" s="1586"/>
      <c r="GW6" s="1586"/>
      <c r="GX6" s="1586"/>
      <c r="GY6" s="1586"/>
      <c r="GZ6" s="1586"/>
      <c r="HA6" s="1586"/>
      <c r="HB6" s="1586"/>
      <c r="HC6" s="1586"/>
      <c r="HD6" s="1586"/>
      <c r="HE6" s="1586"/>
      <c r="HF6" s="1586"/>
      <c r="HG6" s="1586"/>
      <c r="HH6" s="1586"/>
      <c r="HI6" s="1586"/>
      <c r="HJ6" s="1586"/>
      <c r="HK6" s="1586"/>
      <c r="HL6" s="1586"/>
      <c r="HM6" s="1586"/>
      <c r="HN6" s="1586"/>
      <c r="HO6" s="1586"/>
      <c r="HP6" s="1586"/>
      <c r="HQ6" s="1586"/>
      <c r="HR6" s="1586"/>
      <c r="HS6" s="1586"/>
      <c r="HT6" s="1586"/>
      <c r="HU6" s="1586"/>
      <c r="HV6" s="1586"/>
      <c r="HW6" s="1586"/>
      <c r="HX6" s="1586"/>
      <c r="HY6" s="1586"/>
      <c r="HZ6" s="1586"/>
      <c r="IA6" s="1586"/>
      <c r="IB6" s="1586"/>
      <c r="IC6" s="1586"/>
      <c r="ID6" s="1586"/>
      <c r="IE6" s="1586"/>
      <c r="IF6" s="1586"/>
      <c r="IG6" s="1586"/>
      <c r="IH6" s="1586"/>
      <c r="II6" s="1586"/>
      <c r="IJ6" s="1586"/>
      <c r="IK6" s="1586"/>
      <c r="IL6" s="1586"/>
      <c r="IM6" s="1586"/>
      <c r="IN6" s="1586"/>
      <c r="IO6" s="1586"/>
      <c r="IP6" s="1586"/>
      <c r="IQ6" s="1586"/>
      <c r="IR6" s="1586"/>
      <c r="IS6" s="1586"/>
      <c r="IT6" s="1586"/>
      <c r="IU6" s="1586"/>
      <c r="IV6" s="1586"/>
    </row>
    <row r="7" spans="1:256" s="655" customFormat="1" ht="15" customHeight="1">
      <c r="A7" s="6" t="s">
        <v>27</v>
      </c>
      <c r="B7" s="5"/>
      <c r="C7" s="20" t="s">
        <v>31</v>
      </c>
      <c r="D7" s="1410"/>
      <c r="E7" s="1"/>
      <c r="F7" s="1"/>
    </row>
    <row r="8" spans="1:256" s="655" customFormat="1" ht="8.25" customHeight="1">
      <c r="A8" s="6"/>
      <c r="B8" s="5"/>
      <c r="C8" s="20"/>
      <c r="D8" s="1410"/>
      <c r="E8" s="1"/>
      <c r="F8" s="1"/>
    </row>
    <row r="9" spans="1:256" s="1361" customFormat="1" ht="15" customHeight="1">
      <c r="A9" s="694" t="s">
        <v>28</v>
      </c>
      <c r="B9" s="694" t="s">
        <v>29</v>
      </c>
      <c r="C9" s="694" t="s">
        <v>30</v>
      </c>
      <c r="D9" s="694" t="s">
        <v>976</v>
      </c>
      <c r="E9" s="694" t="s">
        <v>44</v>
      </c>
      <c r="F9" s="1327" t="s">
        <v>45</v>
      </c>
    </row>
    <row r="10" spans="1:256" s="655" customFormat="1" ht="12.75" customHeight="1">
      <c r="A10" s="34"/>
      <c r="B10" s="35"/>
      <c r="C10" s="36"/>
      <c r="D10" s="37"/>
      <c r="E10" s="38"/>
      <c r="F10" s="1328"/>
    </row>
    <row r="11" spans="1:256" s="655" customFormat="1" ht="14.25" customHeight="1">
      <c r="A11" s="2"/>
      <c r="B11" s="3"/>
      <c r="C11" s="21"/>
      <c r="D11" s="4"/>
      <c r="E11" s="654"/>
      <c r="F11" s="1329"/>
      <c r="G11" s="1362"/>
    </row>
    <row r="12" spans="1:256" s="650" customFormat="1" ht="30">
      <c r="A12" s="708" t="s">
        <v>0</v>
      </c>
      <c r="B12" s="1403" t="s">
        <v>1249</v>
      </c>
      <c r="C12" s="22"/>
      <c r="D12" s="9"/>
      <c r="E12" s="31"/>
      <c r="F12" s="1330"/>
      <c r="G12" s="1362"/>
    </row>
    <row r="13" spans="1:256" s="655" customFormat="1">
      <c r="A13" s="27"/>
      <c r="B13" s="51"/>
      <c r="C13" s="22"/>
      <c r="D13" s="9"/>
      <c r="E13" s="31"/>
      <c r="F13" s="1330"/>
      <c r="G13" s="1362"/>
    </row>
    <row r="14" spans="1:256" s="655" customFormat="1">
      <c r="A14" s="27">
        <v>1</v>
      </c>
      <c r="B14" s="51" t="s">
        <v>1250</v>
      </c>
      <c r="C14" s="22"/>
      <c r="D14" s="9"/>
      <c r="E14" s="31"/>
      <c r="F14" s="1330"/>
      <c r="G14" s="1362"/>
    </row>
    <row r="15" spans="1:256" s="655" customFormat="1">
      <c r="A15" s="14">
        <v>1.1000000000000001</v>
      </c>
      <c r="B15" s="28" t="s">
        <v>577</v>
      </c>
      <c r="C15" s="803">
        <v>718</v>
      </c>
      <c r="D15" s="9" t="s">
        <v>1</v>
      </c>
      <c r="E15" s="803">
        <v>45</v>
      </c>
      <c r="F15" s="1330">
        <f t="shared" ref="F15:F31" si="0">+ROUND(C15*E15,2)</f>
        <v>32310</v>
      </c>
      <c r="G15" s="1362"/>
    </row>
    <row r="16" spans="1:256" s="655" customFormat="1">
      <c r="A16" s="14"/>
      <c r="B16" s="51"/>
      <c r="C16" s="803"/>
      <c r="D16" s="9"/>
      <c r="E16" s="803"/>
      <c r="F16" s="1330">
        <f t="shared" si="0"/>
        <v>0</v>
      </c>
      <c r="G16" s="1362"/>
    </row>
    <row r="17" spans="1:9" s="655" customFormat="1">
      <c r="A17" s="16">
        <v>2</v>
      </c>
      <c r="B17" s="711" t="s">
        <v>14</v>
      </c>
      <c r="C17" s="804"/>
      <c r="D17" s="10"/>
      <c r="E17" s="1039"/>
      <c r="F17" s="1330">
        <f t="shared" si="0"/>
        <v>0</v>
      </c>
      <c r="G17" s="1362"/>
    </row>
    <row r="18" spans="1:9" s="655" customFormat="1">
      <c r="A18" s="1204" t="s">
        <v>1182</v>
      </c>
      <c r="B18" s="1205" t="s">
        <v>1179</v>
      </c>
      <c r="C18" s="805">
        <f>0.7*'MT-A'!F26</f>
        <v>53.61</v>
      </c>
      <c r="D18" s="1206" t="s">
        <v>2</v>
      </c>
      <c r="E18" s="1207">
        <v>154.53</v>
      </c>
      <c r="F18" s="1331">
        <f t="shared" si="0"/>
        <v>8284.35</v>
      </c>
      <c r="G18" s="1362"/>
      <c r="H18" s="1363"/>
      <c r="I18" s="1364"/>
    </row>
    <row r="19" spans="1:9" s="655" customFormat="1" ht="25.5">
      <c r="A19" s="1204" t="s">
        <v>1183</v>
      </c>
      <c r="B19" s="1205" t="s">
        <v>1180</v>
      </c>
      <c r="C19" s="805">
        <f>0.3*'MT-A'!F26</f>
        <v>22.98</v>
      </c>
      <c r="D19" s="1206" t="s">
        <v>2</v>
      </c>
      <c r="E19" s="1207">
        <v>1125.8</v>
      </c>
      <c r="F19" s="1331">
        <f t="shared" si="0"/>
        <v>25870.880000000001</v>
      </c>
      <c r="G19" s="1362"/>
      <c r="H19" s="1363"/>
      <c r="I19" s="1364"/>
    </row>
    <row r="20" spans="1:9" s="655" customFormat="1">
      <c r="A20" s="1204">
        <v>2.2000000000000002</v>
      </c>
      <c r="B20" s="1205" t="s">
        <v>1181</v>
      </c>
      <c r="C20" s="805">
        <f>+C15*0.85</f>
        <v>610.29999999999995</v>
      </c>
      <c r="D20" s="1206" t="s">
        <v>11</v>
      </c>
      <c r="E20" s="1207">
        <v>28.5</v>
      </c>
      <c r="F20" s="1331">
        <f t="shared" si="0"/>
        <v>17393.55</v>
      </c>
      <c r="G20" s="1362"/>
      <c r="H20" s="1363"/>
      <c r="I20" s="1364"/>
    </row>
    <row r="21" spans="1:9" s="655" customFormat="1">
      <c r="A21" s="715">
        <v>2.2999999999999998</v>
      </c>
      <c r="B21" s="716" t="s">
        <v>4</v>
      </c>
      <c r="C21" s="805">
        <f>+'MT-A'!I26</f>
        <v>5.87</v>
      </c>
      <c r="D21" s="713" t="s">
        <v>2</v>
      </c>
      <c r="E21" s="1207">
        <v>1108.8900000000001</v>
      </c>
      <c r="F21" s="1332">
        <f t="shared" si="0"/>
        <v>6509.18</v>
      </c>
      <c r="G21" s="1362"/>
    </row>
    <row r="22" spans="1:9" s="655" customFormat="1" ht="27.75" customHeight="1">
      <c r="A22" s="715">
        <v>2.4</v>
      </c>
      <c r="B22" s="747" t="s">
        <v>1185</v>
      </c>
      <c r="C22" s="805">
        <f>+C19*1.25</f>
        <v>28.73</v>
      </c>
      <c r="D22" s="713" t="s">
        <v>2</v>
      </c>
      <c r="E22" s="1207">
        <v>668.95</v>
      </c>
      <c r="F22" s="1332">
        <f t="shared" si="0"/>
        <v>19218.93</v>
      </c>
      <c r="G22" s="1362"/>
    </row>
    <row r="23" spans="1:9" s="655" customFormat="1" ht="25.5">
      <c r="A23" s="12">
        <v>2.5</v>
      </c>
      <c r="B23" s="1205" t="s">
        <v>1184</v>
      </c>
      <c r="C23" s="805">
        <f>+'MT-A'!I28</f>
        <v>62.4</v>
      </c>
      <c r="D23" s="713" t="s">
        <v>2</v>
      </c>
      <c r="E23" s="1207">
        <v>183.5</v>
      </c>
      <c r="F23" s="1332">
        <f t="shared" si="0"/>
        <v>11450.4</v>
      </c>
      <c r="G23" s="1362"/>
    </row>
    <row r="24" spans="1:9" s="655" customFormat="1">
      <c r="A24" s="715">
        <v>2.6</v>
      </c>
      <c r="B24" s="716" t="s">
        <v>35</v>
      </c>
      <c r="C24" s="805">
        <f>+C19*1.4+C21*1.25+'MT-A'!I30</f>
        <v>57.25</v>
      </c>
      <c r="D24" s="713" t="s">
        <v>2</v>
      </c>
      <c r="E24" s="1207">
        <v>165</v>
      </c>
      <c r="F24" s="1332">
        <f t="shared" si="0"/>
        <v>9446.25</v>
      </c>
      <c r="G24" s="1362"/>
    </row>
    <row r="25" spans="1:9" s="655" customFormat="1">
      <c r="A25" s="12"/>
      <c r="B25" s="28"/>
      <c r="C25" s="803"/>
      <c r="D25" s="9"/>
      <c r="E25" s="803"/>
      <c r="F25" s="1332">
        <f t="shared" si="0"/>
        <v>0</v>
      </c>
      <c r="G25" s="1362"/>
    </row>
    <row r="26" spans="1:9" s="655" customFormat="1">
      <c r="A26" s="718">
        <v>3</v>
      </c>
      <c r="B26" s="711" t="s">
        <v>25</v>
      </c>
      <c r="C26" s="804"/>
      <c r="D26" s="10"/>
      <c r="E26" s="1039"/>
      <c r="F26" s="1332">
        <f t="shared" si="0"/>
        <v>0</v>
      </c>
      <c r="G26" s="1362"/>
    </row>
    <row r="27" spans="1:9" s="1365" customFormat="1" ht="25.5">
      <c r="A27" s="14">
        <v>3.1</v>
      </c>
      <c r="B27" s="853" t="s">
        <v>981</v>
      </c>
      <c r="C27" s="803">
        <f>+C15*1.04</f>
        <v>746.72</v>
      </c>
      <c r="D27" s="9" t="s">
        <v>1</v>
      </c>
      <c r="E27" s="1062">
        <v>5605</v>
      </c>
      <c r="F27" s="1332">
        <f t="shared" si="0"/>
        <v>4185365.6</v>
      </c>
      <c r="G27" s="1221"/>
    </row>
    <row r="28" spans="1:9" s="655" customFormat="1">
      <c r="A28" s="719"/>
      <c r="B28" s="51"/>
      <c r="C28" s="803"/>
      <c r="D28" s="9"/>
      <c r="E28" s="803"/>
      <c r="F28" s="1332">
        <f t="shared" si="0"/>
        <v>0</v>
      </c>
      <c r="G28" s="1362"/>
    </row>
    <row r="29" spans="1:9" s="655" customFormat="1">
      <c r="A29" s="720">
        <v>4</v>
      </c>
      <c r="B29" s="51" t="s">
        <v>26</v>
      </c>
      <c r="C29" s="803"/>
      <c r="D29" s="9"/>
      <c r="E29" s="803"/>
      <c r="F29" s="1332">
        <f t="shared" si="0"/>
        <v>0</v>
      </c>
      <c r="G29" s="1362"/>
    </row>
    <row r="30" spans="1:9" s="1365" customFormat="1" ht="25.5">
      <c r="A30" s="14">
        <v>4.0999999999999996</v>
      </c>
      <c r="B30" s="853" t="s">
        <v>981</v>
      </c>
      <c r="C30" s="803">
        <f>+C27</f>
        <v>746.72</v>
      </c>
      <c r="D30" s="9" t="s">
        <v>1</v>
      </c>
      <c r="E30" s="1062">
        <v>481.64</v>
      </c>
      <c r="F30" s="1332">
        <f t="shared" si="0"/>
        <v>359650.22</v>
      </c>
      <c r="G30" s="1221"/>
    </row>
    <row r="31" spans="1:9" s="655" customFormat="1" ht="15" customHeight="1">
      <c r="A31" s="17"/>
      <c r="B31" s="28"/>
      <c r="C31" s="806"/>
      <c r="D31" s="15"/>
      <c r="E31" s="1047"/>
      <c r="F31" s="1332">
        <f t="shared" si="0"/>
        <v>0</v>
      </c>
      <c r="G31" s="1362"/>
    </row>
    <row r="32" spans="1:9" s="1365" customFormat="1" ht="30" customHeight="1">
      <c r="A32" s="1239">
        <v>5</v>
      </c>
      <c r="B32" s="1240" t="s">
        <v>980</v>
      </c>
      <c r="C32" s="1040"/>
      <c r="D32" s="1220"/>
      <c r="E32" s="1040"/>
      <c r="F32" s="1333"/>
      <c r="G32" s="1221"/>
    </row>
    <row r="33" spans="1:7" s="1365" customFormat="1" ht="25.5" customHeight="1">
      <c r="A33" s="1218">
        <v>5.0999999999999996</v>
      </c>
      <c r="B33" s="1219" t="s">
        <v>1189</v>
      </c>
      <c r="C33" s="1040">
        <v>1</v>
      </c>
      <c r="D33" s="1220" t="s">
        <v>3</v>
      </c>
      <c r="E33" s="1221">
        <v>135474.66</v>
      </c>
      <c r="F33" s="1331">
        <f>ROUND(C33*E33,2)</f>
        <v>135474.66</v>
      </c>
      <c r="G33" s="1221"/>
    </row>
    <row r="34" spans="1:7" s="655" customFormat="1" ht="25.5" customHeight="1">
      <c r="A34" s="1222">
        <v>5.2</v>
      </c>
      <c r="B34" s="1217" t="s">
        <v>1190</v>
      </c>
      <c r="C34" s="1216">
        <v>3</v>
      </c>
      <c r="D34" s="1223" t="s">
        <v>3</v>
      </c>
      <c r="E34" s="1224">
        <v>11305.07</v>
      </c>
      <c r="F34" s="1334">
        <f>ROUND(C34*E34,2)</f>
        <v>33915.21</v>
      </c>
      <c r="G34" s="1362"/>
    </row>
    <row r="35" spans="1:7" s="655" customFormat="1" ht="25.5" customHeight="1">
      <c r="A35" s="1222">
        <v>5.3</v>
      </c>
      <c r="B35" s="1217" t="s">
        <v>1191</v>
      </c>
      <c r="C35" s="1216">
        <v>2</v>
      </c>
      <c r="D35" s="1223" t="s">
        <v>3</v>
      </c>
      <c r="E35" s="1224">
        <v>14160.67</v>
      </c>
      <c r="F35" s="1334">
        <f>ROUND(C35*E35,2)</f>
        <v>28321.34</v>
      </c>
      <c r="G35" s="1362"/>
    </row>
    <row r="36" spans="1:7" s="655" customFormat="1" ht="25.5">
      <c r="A36" s="17">
        <v>5.4</v>
      </c>
      <c r="B36" s="28" t="s">
        <v>413</v>
      </c>
      <c r="C36" s="806">
        <v>6</v>
      </c>
      <c r="D36" s="15" t="s">
        <v>3</v>
      </c>
      <c r="E36" s="1047">
        <v>2500</v>
      </c>
      <c r="F36" s="1330">
        <f>+ROUND(C36*E36,2)</f>
        <v>15000</v>
      </c>
      <c r="G36" s="1362"/>
    </row>
    <row r="37" spans="1:7" s="655" customFormat="1" ht="12.75" customHeight="1">
      <c r="A37" s="743">
        <v>5.5</v>
      </c>
      <c r="B37" s="745" t="s">
        <v>487</v>
      </c>
      <c r="C37" s="1216">
        <v>6</v>
      </c>
      <c r="D37" s="727" t="s">
        <v>3</v>
      </c>
      <c r="E37" s="1216">
        <f>0.15*I37</f>
        <v>0</v>
      </c>
      <c r="F37" s="1335">
        <f>ROUND(C37*E37,2)</f>
        <v>0</v>
      </c>
      <c r="G37" s="1362"/>
    </row>
    <row r="38" spans="1:7" s="655" customFormat="1" ht="15" customHeight="1">
      <c r="A38" s="17"/>
      <c r="B38" s="28"/>
      <c r="C38" s="806"/>
      <c r="D38" s="1046"/>
      <c r="E38" s="1047"/>
      <c r="F38" s="1332"/>
      <c r="G38" s="1362"/>
    </row>
    <row r="39" spans="1:7" s="655" customFormat="1" ht="25.5">
      <c r="A39" s="25">
        <v>6</v>
      </c>
      <c r="B39" s="51" t="s">
        <v>1228</v>
      </c>
      <c r="C39" s="806"/>
      <c r="D39" s="1046"/>
      <c r="E39" s="1047"/>
      <c r="F39" s="1330"/>
      <c r="G39" s="1362"/>
    </row>
    <row r="40" spans="1:7" s="656" customFormat="1">
      <c r="A40" s="8"/>
      <c r="B40" s="40"/>
      <c r="C40" s="1236"/>
      <c r="D40" s="662"/>
      <c r="E40" s="40"/>
      <c r="F40" s="1336"/>
    </row>
    <row r="41" spans="1:7" s="1365" customFormat="1" ht="25.5">
      <c r="A41" s="14">
        <v>6.1</v>
      </c>
      <c r="B41" s="1053" t="s">
        <v>1193</v>
      </c>
      <c r="C41" s="1040">
        <f>1+108</f>
        <v>109</v>
      </c>
      <c r="D41" s="814" t="s">
        <v>3</v>
      </c>
      <c r="E41" s="1040">
        <f>+'ANALISIS General'!F566</f>
        <v>16415.560000000001</v>
      </c>
      <c r="F41" s="1337">
        <f>ROUND(C41*E41,2)</f>
        <v>1789296.04</v>
      </c>
      <c r="G41" s="1221"/>
    </row>
    <row r="42" spans="1:7" s="1365" customFormat="1" ht="15" customHeight="1">
      <c r="A42" s="14">
        <v>6.2</v>
      </c>
      <c r="B42" s="1201" t="s">
        <v>62</v>
      </c>
      <c r="C42" s="1237">
        <f>4*C41</f>
        <v>436</v>
      </c>
      <c r="D42" s="713" t="s">
        <v>47</v>
      </c>
      <c r="E42" s="1207">
        <v>397.75</v>
      </c>
      <c r="F42" s="1332">
        <f>+ROUND(C42*E42,2)</f>
        <v>173419</v>
      </c>
      <c r="G42" s="1221"/>
    </row>
    <row r="43" spans="1:7" s="655" customFormat="1" ht="9.75" customHeight="1">
      <c r="A43" s="17"/>
      <c r="B43" s="18"/>
      <c r="C43" s="804"/>
      <c r="D43" s="10"/>
      <c r="E43" s="1039"/>
      <c r="F43" s="1338"/>
      <c r="G43" s="1362"/>
    </row>
    <row r="44" spans="1:7" s="655" customFormat="1">
      <c r="A44" s="721">
        <v>7</v>
      </c>
      <c r="B44" s="722" t="s">
        <v>39</v>
      </c>
      <c r="C44" s="804"/>
      <c r="D44" s="10"/>
      <c r="E44" s="1039"/>
      <c r="F44" s="1330">
        <f>+ROUND(C44*E44,2)</f>
        <v>0</v>
      </c>
      <c r="G44" s="1362"/>
    </row>
    <row r="45" spans="1:7" s="655" customFormat="1">
      <c r="A45" s="1238">
        <v>7.1</v>
      </c>
      <c r="B45" s="1217" t="s">
        <v>1198</v>
      </c>
      <c r="C45" s="804">
        <v>2</v>
      </c>
      <c r="D45" s="1049" t="s">
        <v>3</v>
      </c>
      <c r="E45" s="1039">
        <v>38964.559999999998</v>
      </c>
      <c r="F45" s="1339">
        <f>+ROUND(C45*E45,2)</f>
        <v>77929.119999999995</v>
      </c>
      <c r="G45" s="1362"/>
    </row>
    <row r="46" spans="1:7" s="655" customFormat="1">
      <c r="A46" s="1238">
        <v>7.2</v>
      </c>
      <c r="B46" s="1217" t="s">
        <v>1197</v>
      </c>
      <c r="C46" s="804">
        <v>2</v>
      </c>
      <c r="D46" s="1049" t="s">
        <v>3</v>
      </c>
      <c r="E46" s="1039">
        <v>14652.98</v>
      </c>
      <c r="F46" s="1339">
        <f>+ROUND(C46*E46,2)</f>
        <v>29305.96</v>
      </c>
      <c r="G46" s="1362"/>
    </row>
    <row r="47" spans="1:7" s="655" customFormat="1">
      <c r="A47" s="1238">
        <v>7.3</v>
      </c>
      <c r="B47" s="1217" t="s">
        <v>983</v>
      </c>
      <c r="C47" s="804">
        <v>2</v>
      </c>
      <c r="D47" s="1049" t="s">
        <v>3</v>
      </c>
      <c r="E47" s="1039">
        <v>50772.81</v>
      </c>
      <c r="F47" s="1339">
        <f>+ROUND(C47*E47,2)</f>
        <v>101545.62</v>
      </c>
      <c r="G47" s="1362"/>
    </row>
    <row r="48" spans="1:7" s="655" customFormat="1" ht="14.25" customHeight="1">
      <c r="A48" s="1303">
        <v>7.4</v>
      </c>
      <c r="B48" s="1304" t="s">
        <v>414</v>
      </c>
      <c r="C48" s="804">
        <v>2</v>
      </c>
      <c r="D48" s="1049" t="s">
        <v>3</v>
      </c>
      <c r="E48" s="1039">
        <v>3500</v>
      </c>
      <c r="F48" s="1339">
        <f>+ROUND(C48*E48,2)</f>
        <v>7000</v>
      </c>
      <c r="G48" s="1362"/>
    </row>
    <row r="49" spans="1:10" s="655" customFormat="1" ht="14.25" customHeight="1">
      <c r="A49" s="1303"/>
      <c r="B49" s="1304"/>
      <c r="C49" s="804"/>
      <c r="D49" s="1049"/>
      <c r="E49" s="1039"/>
      <c r="F49" s="1339"/>
      <c r="G49" s="1362"/>
    </row>
    <row r="50" spans="1:10" s="655" customFormat="1" ht="10.5" customHeight="1">
      <c r="A50" s="17"/>
      <c r="B50" s="28"/>
      <c r="C50" s="806"/>
      <c r="D50" s="15"/>
      <c r="E50" s="1047"/>
      <c r="F50" s="1330"/>
      <c r="G50" s="1362"/>
    </row>
    <row r="51" spans="1:10" s="655" customFormat="1">
      <c r="A51" s="721">
        <v>8</v>
      </c>
      <c r="B51" s="722" t="s">
        <v>59</v>
      </c>
      <c r="C51" s="855"/>
      <c r="D51" s="730"/>
      <c r="E51" s="1051"/>
      <c r="F51" s="1330">
        <f>+ROUND(C51*E51,2)</f>
        <v>0</v>
      </c>
      <c r="G51" s="1362"/>
    </row>
    <row r="52" spans="1:10" s="1365" customFormat="1" ht="25.5">
      <c r="A52" s="1054">
        <v>8.1</v>
      </c>
      <c r="B52" s="853" t="s">
        <v>981</v>
      </c>
      <c r="C52" s="1055">
        <f>+C15</f>
        <v>718</v>
      </c>
      <c r="D52" s="713" t="s">
        <v>1</v>
      </c>
      <c r="E52" s="1056">
        <v>53.28</v>
      </c>
      <c r="F52" s="1332">
        <f>+ROUND(C52*E52,2)</f>
        <v>38255.040000000001</v>
      </c>
      <c r="G52" s="1221"/>
    </row>
    <row r="53" spans="1:10" s="1365" customFormat="1" ht="11.25" customHeight="1">
      <c r="A53" s="1057"/>
      <c r="B53" s="1052"/>
      <c r="C53" s="1055"/>
      <c r="D53" s="713"/>
      <c r="E53" s="1056"/>
      <c r="F53" s="1332">
        <f>+ROUND(C53*E53,2)</f>
        <v>0</v>
      </c>
      <c r="G53" s="1221"/>
    </row>
    <row r="54" spans="1:10" s="1365" customFormat="1" ht="38.25">
      <c r="A54" s="1058">
        <v>9</v>
      </c>
      <c r="B54" s="1053" t="s">
        <v>520</v>
      </c>
      <c r="C54" s="1059">
        <f>+C15</f>
        <v>718</v>
      </c>
      <c r="D54" s="814" t="s">
        <v>1</v>
      </c>
      <c r="E54" s="1059">
        <v>23.11</v>
      </c>
      <c r="F54" s="1340">
        <f>ROUND(C54*E54,2)</f>
        <v>16592.98</v>
      </c>
      <c r="G54" s="1221"/>
      <c r="J54" s="1366"/>
    </row>
    <row r="55" spans="1:10" s="1365" customFormat="1" ht="12.75" customHeight="1">
      <c r="A55" s="1060"/>
      <c r="B55" s="1052"/>
      <c r="C55" s="1061"/>
      <c r="D55" s="814"/>
      <c r="E55" s="1061"/>
      <c r="F55" s="1340"/>
      <c r="G55" s="1221"/>
    </row>
    <row r="56" spans="1:10" s="1365" customFormat="1" ht="12.75" customHeight="1">
      <c r="A56" s="1060">
        <v>10</v>
      </c>
      <c r="B56" s="1052" t="s">
        <v>462</v>
      </c>
      <c r="C56" s="1061">
        <f>+C54</f>
        <v>718</v>
      </c>
      <c r="D56" s="814" t="s">
        <v>1</v>
      </c>
      <c r="E56" s="1061">
        <v>15</v>
      </c>
      <c r="F56" s="1340">
        <f>ROUND(C56*E56,2)</f>
        <v>10770</v>
      </c>
      <c r="G56" s="1221"/>
      <c r="J56" s="1366"/>
    </row>
    <row r="57" spans="1:10" s="655" customFormat="1" ht="16.5" customHeight="1">
      <c r="A57" s="663"/>
      <c r="B57" s="693" t="s">
        <v>456</v>
      </c>
      <c r="C57" s="665"/>
      <c r="D57" s="666"/>
      <c r="E57" s="665"/>
      <c r="F57" s="1341">
        <f>SUM(F12:F56)</f>
        <v>7132324.3300000001</v>
      </c>
      <c r="G57" s="1362"/>
    </row>
    <row r="58" spans="1:10" s="655" customFormat="1" ht="12.75" customHeight="1">
      <c r="A58" s="856"/>
      <c r="B58" s="857"/>
      <c r="C58" s="858"/>
      <c r="D58" s="859"/>
      <c r="E58" s="858"/>
      <c r="F58" s="1342"/>
      <c r="G58" s="1362"/>
    </row>
    <row r="59" spans="1:10" s="50" customFormat="1" ht="25.5" customHeight="1">
      <c r="A59" s="857" t="s">
        <v>9</v>
      </c>
      <c r="B59" s="860" t="s">
        <v>1178</v>
      </c>
      <c r="C59" s="861"/>
      <c r="D59" s="862"/>
      <c r="E59" s="863"/>
      <c r="F59" s="1343"/>
      <c r="G59" s="328"/>
      <c r="H59" s="328"/>
      <c r="I59" s="328"/>
      <c r="J59" s="328"/>
    </row>
    <row r="60" spans="1:10" s="50" customFormat="1" ht="12.75" customHeight="1">
      <c r="A60" s="857"/>
      <c r="B60" s="860"/>
      <c r="C60" s="861"/>
      <c r="D60" s="862"/>
      <c r="E60" s="863"/>
      <c r="F60" s="1343"/>
      <c r="G60" s="328"/>
      <c r="H60" s="328"/>
      <c r="I60" s="328"/>
      <c r="J60" s="328"/>
    </row>
    <row r="61" spans="1:10" s="50" customFormat="1" ht="15" customHeight="1">
      <c r="A61" s="864" t="s">
        <v>482</v>
      </c>
      <c r="B61" s="860" t="s">
        <v>576</v>
      </c>
      <c r="C61" s="865"/>
      <c r="D61" s="866"/>
      <c r="E61" s="867"/>
      <c r="F61" s="1344">
        <f>+C61*E61</f>
        <v>0</v>
      </c>
      <c r="G61" s="251"/>
      <c r="H61" s="251"/>
      <c r="I61" s="251"/>
      <c r="J61" s="251"/>
    </row>
    <row r="62" spans="1:10" s="50" customFormat="1" ht="12.75" customHeight="1">
      <c r="A62" s="868"/>
      <c r="B62" s="864"/>
      <c r="C62" s="865"/>
      <c r="D62" s="866"/>
      <c r="E62" s="867"/>
      <c r="F62" s="1344"/>
      <c r="G62" s="251"/>
      <c r="H62" s="251"/>
      <c r="I62" s="251"/>
      <c r="J62" s="251"/>
    </row>
    <row r="63" spans="1:10" s="50" customFormat="1" ht="12.75" customHeight="1">
      <c r="A63" s="868">
        <v>1</v>
      </c>
      <c r="B63" s="869" t="s">
        <v>577</v>
      </c>
      <c r="C63" s="865">
        <v>9</v>
      </c>
      <c r="D63" s="866" t="s">
        <v>578</v>
      </c>
      <c r="E63" s="867">
        <v>35000</v>
      </c>
      <c r="F63" s="1345">
        <f t="shared" ref="F63:F150" si="1">+ROUND((E63*C63),2)</f>
        <v>315000</v>
      </c>
      <c r="G63" s="251"/>
      <c r="H63" s="251"/>
      <c r="I63" s="251"/>
      <c r="J63" s="251"/>
    </row>
    <row r="64" spans="1:10" s="50" customFormat="1" ht="12.75" customHeight="1">
      <c r="A64" s="868"/>
      <c r="B64" s="869"/>
      <c r="C64" s="865"/>
      <c r="D64" s="866"/>
      <c r="E64" s="867"/>
      <c r="F64" s="1345">
        <f t="shared" si="1"/>
        <v>0</v>
      </c>
      <c r="G64" s="251"/>
      <c r="H64" s="251"/>
      <c r="I64" s="251"/>
      <c r="J64" s="251"/>
    </row>
    <row r="65" spans="1:10" s="50" customFormat="1" ht="12.75" customHeight="1">
      <c r="A65" s="1405">
        <v>2</v>
      </c>
      <c r="B65" s="870" t="s">
        <v>579</v>
      </c>
      <c r="C65" s="871"/>
      <c r="D65" s="872"/>
      <c r="E65" s="873"/>
      <c r="F65" s="1345">
        <f t="shared" si="1"/>
        <v>0</v>
      </c>
      <c r="G65" s="840"/>
      <c r="H65" s="840"/>
      <c r="I65" s="840"/>
      <c r="J65" s="840"/>
    </row>
    <row r="66" spans="1:10" s="50" customFormat="1" ht="26.25" customHeight="1">
      <c r="A66" s="874">
        <f>A65+0.1</f>
        <v>2.1</v>
      </c>
      <c r="B66" s="875" t="s">
        <v>580</v>
      </c>
      <c r="C66" s="876">
        <v>3434.3</v>
      </c>
      <c r="D66" s="877" t="s">
        <v>2</v>
      </c>
      <c r="E66" s="878">
        <v>58.92</v>
      </c>
      <c r="F66" s="1345">
        <f t="shared" si="1"/>
        <v>202348.96</v>
      </c>
      <c r="G66" s="840"/>
      <c r="H66" s="840"/>
      <c r="I66" s="840"/>
      <c r="J66" s="840"/>
    </row>
    <row r="67" spans="1:10" s="50" customFormat="1" ht="12.75" customHeight="1">
      <c r="A67" s="874">
        <f>A66+0.1</f>
        <v>2.2000000000000002</v>
      </c>
      <c r="B67" s="879" t="s">
        <v>581</v>
      </c>
      <c r="C67" s="876">
        <v>1467.08</v>
      </c>
      <c r="D67" s="877" t="s">
        <v>2</v>
      </c>
      <c r="E67" s="878">
        <v>134.19</v>
      </c>
      <c r="F67" s="1345">
        <f t="shared" si="1"/>
        <v>196867.47</v>
      </c>
      <c r="G67" s="840"/>
      <c r="H67" s="840"/>
      <c r="I67" s="840"/>
      <c r="J67" s="840"/>
    </row>
    <row r="68" spans="1:10" s="657" customFormat="1" ht="12.75" customHeight="1">
      <c r="A68" s="874">
        <f>A67+0.1</f>
        <v>2.2999999999999998</v>
      </c>
      <c r="B68" s="880" t="s">
        <v>550</v>
      </c>
      <c r="C68" s="876">
        <v>2484</v>
      </c>
      <c r="D68" s="877" t="s">
        <v>2</v>
      </c>
      <c r="E68" s="878">
        <v>126.55</v>
      </c>
      <c r="F68" s="1345">
        <f t="shared" si="1"/>
        <v>314350.2</v>
      </c>
      <c r="G68" s="840"/>
      <c r="H68" s="840"/>
      <c r="I68" s="840"/>
      <c r="J68" s="840"/>
    </row>
    <row r="69" spans="1:10" s="656" customFormat="1" ht="12.75" customHeight="1">
      <c r="A69" s="874">
        <f>A68+0.1</f>
        <v>2.4</v>
      </c>
      <c r="B69" s="869" t="s">
        <v>551</v>
      </c>
      <c r="C69" s="876">
        <v>2900.86</v>
      </c>
      <c r="D69" s="877" t="s">
        <v>2</v>
      </c>
      <c r="E69" s="878">
        <v>150</v>
      </c>
      <c r="F69" s="1345">
        <f t="shared" si="1"/>
        <v>435129</v>
      </c>
      <c r="G69" s="840"/>
      <c r="H69" s="840"/>
      <c r="I69" s="840"/>
      <c r="J69" s="840"/>
    </row>
    <row r="70" spans="1:10" s="656" customFormat="1" ht="12.75" customHeight="1">
      <c r="A70" s="874"/>
      <c r="B70" s="875"/>
      <c r="C70" s="876"/>
      <c r="D70" s="877"/>
      <c r="E70" s="878"/>
      <c r="F70" s="1345">
        <f t="shared" si="1"/>
        <v>0</v>
      </c>
      <c r="G70" s="840"/>
      <c r="H70" s="840"/>
      <c r="I70" s="840"/>
      <c r="J70" s="840"/>
    </row>
    <row r="71" spans="1:10" s="656" customFormat="1" ht="12.75" customHeight="1">
      <c r="A71" s="874">
        <v>3</v>
      </c>
      <c r="B71" s="875" t="s">
        <v>1514</v>
      </c>
      <c r="C71" s="876"/>
      <c r="D71" s="877"/>
      <c r="E71" s="878"/>
      <c r="F71" s="1345"/>
      <c r="G71" s="840"/>
      <c r="H71" s="840"/>
      <c r="I71" s="840"/>
      <c r="J71" s="840"/>
    </row>
    <row r="72" spans="1:10" s="656" customFormat="1" ht="12.75" customHeight="1">
      <c r="A72" s="874"/>
      <c r="B72" s="882" t="s">
        <v>1515</v>
      </c>
      <c r="C72" s="876"/>
      <c r="D72" s="877"/>
      <c r="E72" s="878"/>
      <c r="F72" s="1345"/>
      <c r="G72" s="840"/>
      <c r="H72" s="840"/>
      <c r="I72" s="840"/>
      <c r="J72" s="840"/>
    </row>
    <row r="73" spans="1:10" s="656" customFormat="1" ht="12.75" customHeight="1">
      <c r="A73" s="874" t="s">
        <v>488</v>
      </c>
      <c r="B73" s="1388" t="s">
        <v>1534</v>
      </c>
      <c r="C73" s="1588">
        <v>2.2999999999999998</v>
      </c>
      <c r="D73" s="866" t="s">
        <v>2</v>
      </c>
      <c r="E73" s="867">
        <f>+'ANALISIS PTAP'!F101</f>
        <v>7195.11</v>
      </c>
      <c r="F73" s="1345">
        <f t="shared" ref="F73:F94" si="2">+ROUND((E73*C73),2)</f>
        <v>16548.75</v>
      </c>
      <c r="G73" s="840"/>
      <c r="H73" s="840"/>
      <c r="I73" s="840"/>
      <c r="J73" s="840"/>
    </row>
    <row r="74" spans="1:10" s="656" customFormat="1" ht="25.5">
      <c r="A74" s="874"/>
      <c r="B74" s="1589" t="s">
        <v>1532</v>
      </c>
      <c r="C74" s="1588">
        <f>3.69+0.49</f>
        <v>4.18</v>
      </c>
      <c r="D74" s="866" t="s">
        <v>2</v>
      </c>
      <c r="E74" s="867">
        <f>+'ANALISIS PTAP'!F233</f>
        <v>14.85</v>
      </c>
      <c r="F74" s="1345">
        <f t="shared" si="2"/>
        <v>62.07</v>
      </c>
      <c r="G74" s="840"/>
      <c r="H74" s="840"/>
      <c r="I74" s="840"/>
      <c r="J74" s="840"/>
    </row>
    <row r="75" spans="1:10" s="656" customFormat="1" ht="12.75" customHeight="1">
      <c r="A75" s="868" t="s">
        <v>489</v>
      </c>
      <c r="B75" s="1389" t="s">
        <v>1522</v>
      </c>
      <c r="C75" s="1588">
        <v>224.41</v>
      </c>
      <c r="D75" s="866" t="s">
        <v>2</v>
      </c>
      <c r="E75" s="867">
        <f>+'ANALISIS PTAP'!F234</f>
        <v>10</v>
      </c>
      <c r="F75" s="1345">
        <f t="shared" si="2"/>
        <v>2244.1</v>
      </c>
      <c r="G75" s="251"/>
      <c r="H75" s="251"/>
      <c r="I75" s="251"/>
      <c r="J75" s="251"/>
    </row>
    <row r="76" spans="1:10" s="656" customFormat="1" ht="12.75" customHeight="1">
      <c r="A76" s="874" t="s">
        <v>490</v>
      </c>
      <c r="B76" s="1389" t="s">
        <v>1523</v>
      </c>
      <c r="C76" s="1588">
        <v>1.79</v>
      </c>
      <c r="D76" s="866" t="s">
        <v>2</v>
      </c>
      <c r="E76" s="867">
        <f>+'ANALISIS PTAP'!F235</f>
        <v>10</v>
      </c>
      <c r="F76" s="1345">
        <f t="shared" si="2"/>
        <v>17.899999999999999</v>
      </c>
      <c r="G76" s="251"/>
      <c r="H76" s="251"/>
      <c r="I76" s="251"/>
      <c r="J76" s="251"/>
    </row>
    <row r="77" spans="1:10" s="656" customFormat="1" ht="12.75" customHeight="1">
      <c r="A77" s="868" t="s">
        <v>1516</v>
      </c>
      <c r="B77" s="1389" t="s">
        <v>1524</v>
      </c>
      <c r="C77" s="1588">
        <v>15.46</v>
      </c>
      <c r="D77" s="866" t="s">
        <v>2</v>
      </c>
      <c r="E77" s="867">
        <f>+'ANALISIS PTAP'!F236</f>
        <v>120</v>
      </c>
      <c r="F77" s="1345">
        <f t="shared" si="2"/>
        <v>1855.2</v>
      </c>
      <c r="G77" s="251"/>
      <c r="H77" s="251"/>
      <c r="I77" s="251"/>
      <c r="J77" s="251"/>
    </row>
    <row r="78" spans="1:10" s="656" customFormat="1" ht="12.75" customHeight="1">
      <c r="A78" s="874" t="s">
        <v>1517</v>
      </c>
      <c r="B78" s="1388" t="s">
        <v>1525</v>
      </c>
      <c r="C78" s="1588">
        <f>1.55+3.35</f>
        <v>4.9000000000000004</v>
      </c>
      <c r="D78" s="866" t="s">
        <v>2</v>
      </c>
      <c r="E78" s="867">
        <f>+'ANALISIS PTAP'!F250</f>
        <v>10</v>
      </c>
      <c r="F78" s="1345">
        <f t="shared" si="2"/>
        <v>49</v>
      </c>
      <c r="G78" s="840">
        <f>4.82/3.35</f>
        <v>1.44</v>
      </c>
      <c r="H78" s="840"/>
      <c r="I78" s="840"/>
      <c r="J78" s="840"/>
    </row>
    <row r="79" spans="1:10" s="656" customFormat="1" ht="12.75" customHeight="1">
      <c r="A79" s="868" t="s">
        <v>1518</v>
      </c>
      <c r="B79" s="1388" t="s">
        <v>1526</v>
      </c>
      <c r="C79" s="1588">
        <v>7.32</v>
      </c>
      <c r="D79" s="866" t="s">
        <v>2</v>
      </c>
      <c r="E79" s="867">
        <f>+'ANALISIS PTAP'!F251</f>
        <v>17.23</v>
      </c>
      <c r="F79" s="1345">
        <f t="shared" si="2"/>
        <v>126.12</v>
      </c>
      <c r="G79" s="840">
        <f>(18.98/1.05)/7.32*1.05</f>
        <v>2.59</v>
      </c>
      <c r="H79" s="840"/>
      <c r="I79" s="840"/>
      <c r="J79" s="840"/>
    </row>
    <row r="80" spans="1:10" s="656" customFormat="1" ht="12.75" customHeight="1">
      <c r="A80" s="874" t="s">
        <v>1519</v>
      </c>
      <c r="B80" s="1389" t="s">
        <v>1527</v>
      </c>
      <c r="C80" s="1588">
        <v>7.4</v>
      </c>
      <c r="D80" s="866" t="s">
        <v>2</v>
      </c>
      <c r="E80" s="867" t="e">
        <f>+'ANALISIS PTAP'!#REF!</f>
        <v>#REF!</v>
      </c>
      <c r="F80" s="1345" t="e">
        <f t="shared" si="2"/>
        <v>#REF!</v>
      </c>
      <c r="G80" s="251">
        <f>31.39/7.4</f>
        <v>4.24189189189189</v>
      </c>
      <c r="H80" s="251"/>
      <c r="I80" s="251"/>
      <c r="J80" s="251"/>
    </row>
    <row r="81" spans="1:10" s="656" customFormat="1" ht="12.75" customHeight="1">
      <c r="A81" s="874" t="s">
        <v>1519</v>
      </c>
      <c r="B81" s="1389" t="s">
        <v>1528</v>
      </c>
      <c r="C81" s="1588">
        <v>2.93</v>
      </c>
      <c r="D81" s="866" t="s">
        <v>2</v>
      </c>
      <c r="E81" s="867">
        <f>+'ANALISIS PTAP'!F248</f>
        <v>146.99</v>
      </c>
      <c r="F81" s="1345">
        <f t="shared" si="2"/>
        <v>430.68</v>
      </c>
      <c r="G81" s="251">
        <f>6.19/2.93</f>
        <v>2.1126279863481199</v>
      </c>
      <c r="H81" s="251"/>
      <c r="I81" s="251"/>
      <c r="J81" s="251"/>
    </row>
    <row r="82" spans="1:10" s="656" customFormat="1" ht="12.75" customHeight="1">
      <c r="A82" s="868" t="s">
        <v>1520</v>
      </c>
      <c r="B82" s="1389" t="s">
        <v>1529</v>
      </c>
      <c r="C82" s="1588">
        <v>13.72</v>
      </c>
      <c r="D82" s="866" t="s">
        <v>2</v>
      </c>
      <c r="E82" s="867">
        <f>+'ANALISIS PTAP'!F248</f>
        <v>146.99</v>
      </c>
      <c r="F82" s="1345">
        <f t="shared" si="2"/>
        <v>2016.7</v>
      </c>
      <c r="G82" s="251">
        <f>17.44/13.72</f>
        <v>1.27113702623907</v>
      </c>
      <c r="H82" s="251"/>
      <c r="I82" s="251"/>
      <c r="J82" s="251"/>
    </row>
    <row r="83" spans="1:10" s="656" customFormat="1" ht="12.75" customHeight="1">
      <c r="A83" s="874" t="s">
        <v>1521</v>
      </c>
      <c r="B83" s="1388" t="s">
        <v>1530</v>
      </c>
      <c r="C83" s="1588">
        <f>0.62+0.62+1.68</f>
        <v>2.92</v>
      </c>
      <c r="D83" s="866" t="s">
        <v>2</v>
      </c>
      <c r="E83" s="867">
        <f>+'ANALISIS PTAP'!F251</f>
        <v>17.23</v>
      </c>
      <c r="F83" s="1345">
        <f t="shared" si="2"/>
        <v>50.31</v>
      </c>
      <c r="G83" s="251"/>
      <c r="H83" s="251"/>
      <c r="I83" s="251"/>
      <c r="J83" s="251"/>
    </row>
    <row r="84" spans="1:10" s="656" customFormat="1" ht="12.75" customHeight="1">
      <c r="A84" s="874" t="s">
        <v>1521</v>
      </c>
      <c r="B84" s="1388" t="s">
        <v>1531</v>
      </c>
      <c r="C84" s="1588">
        <v>0.04</v>
      </c>
      <c r="D84" s="866" t="s">
        <v>2</v>
      </c>
      <c r="E84" s="867">
        <f>+'ANALISIS PTAP'!F252</f>
        <v>137</v>
      </c>
      <c r="F84" s="1345">
        <f t="shared" si="2"/>
        <v>5.48</v>
      </c>
      <c r="G84" s="251">
        <f>10.96/4.473</f>
        <v>2.4502570981444198</v>
      </c>
      <c r="H84" s="251"/>
      <c r="I84" s="251"/>
      <c r="J84" s="251"/>
    </row>
    <row r="85" spans="1:10" s="656" customFormat="1" ht="12.75" customHeight="1">
      <c r="A85" s="874" t="s">
        <v>1521</v>
      </c>
      <c r="B85" s="1388" t="s">
        <v>1539</v>
      </c>
      <c r="C85" s="1588">
        <v>87.63</v>
      </c>
      <c r="D85" s="866" t="s">
        <v>2</v>
      </c>
      <c r="E85" s="867">
        <f>+'ANALISIS PTAP'!F252</f>
        <v>137</v>
      </c>
      <c r="F85" s="1345">
        <f t="shared" si="2"/>
        <v>12005.31</v>
      </c>
      <c r="G85" s="251">
        <f>120.03/87.63</f>
        <v>1.3697363916467</v>
      </c>
      <c r="H85" s="251"/>
      <c r="I85" s="251"/>
      <c r="J85" s="251"/>
    </row>
    <row r="86" spans="1:10" s="656" customFormat="1" ht="12.75" customHeight="1">
      <c r="A86" s="874" t="s">
        <v>1521</v>
      </c>
      <c r="B86" s="1388" t="s">
        <v>1533</v>
      </c>
      <c r="C86" s="1588">
        <v>4.47</v>
      </c>
      <c r="D86" s="866" t="s">
        <v>2</v>
      </c>
      <c r="E86" s="867">
        <f>+'ANALISIS PTAP'!F253</f>
        <v>312.7</v>
      </c>
      <c r="F86" s="1345">
        <f t="shared" si="2"/>
        <v>1397.77</v>
      </c>
      <c r="G86" s="251">
        <f>0.09/0.04</f>
        <v>2.25</v>
      </c>
      <c r="H86" s="251"/>
      <c r="I86" s="251"/>
      <c r="J86" s="251"/>
    </row>
    <row r="87" spans="1:10" s="656" customFormat="1" ht="12.75" customHeight="1">
      <c r="A87" s="874" t="s">
        <v>1521</v>
      </c>
      <c r="B87" s="1388" t="s">
        <v>1535</v>
      </c>
      <c r="C87" s="1588">
        <v>1.1299999999999999</v>
      </c>
      <c r="D87" s="866" t="s">
        <v>2</v>
      </c>
      <c r="E87" s="867">
        <f>+'ANALISIS PTAP'!F254</f>
        <v>295.47000000000003</v>
      </c>
      <c r="F87" s="1345">
        <f t="shared" si="2"/>
        <v>333.88</v>
      </c>
      <c r="G87" s="251">
        <f>10.08/1.13</f>
        <v>8.9203539823008899</v>
      </c>
      <c r="H87" s="251"/>
      <c r="I87" s="251"/>
      <c r="J87" s="251"/>
    </row>
    <row r="88" spans="1:10" s="656" customFormat="1" ht="12.75" customHeight="1">
      <c r="A88" s="874" t="s">
        <v>1521</v>
      </c>
      <c r="B88" s="1388" t="s">
        <v>1536</v>
      </c>
      <c r="C88" s="1588">
        <v>0.86</v>
      </c>
      <c r="D88" s="866" t="s">
        <v>2</v>
      </c>
      <c r="E88" s="867">
        <f>+'ANALISIS PTAP'!F255</f>
        <v>0</v>
      </c>
      <c r="F88" s="1345">
        <f t="shared" si="2"/>
        <v>0</v>
      </c>
      <c r="G88" s="251">
        <f>0.99/0.86</f>
        <v>1.15116279069767</v>
      </c>
      <c r="H88" s="251"/>
      <c r="I88" s="251"/>
      <c r="J88" s="251"/>
    </row>
    <row r="89" spans="1:10" s="656" customFormat="1" ht="12.75" customHeight="1">
      <c r="A89" s="874" t="s">
        <v>1521</v>
      </c>
      <c r="B89" s="1388" t="s">
        <v>1537</v>
      </c>
      <c r="C89" s="1588">
        <v>6.6</v>
      </c>
      <c r="D89" s="866" t="s">
        <v>2</v>
      </c>
      <c r="E89" s="867">
        <f>+'ANALISIS PTAP'!F256</f>
        <v>0</v>
      </c>
      <c r="F89" s="1345">
        <f t="shared" si="2"/>
        <v>0</v>
      </c>
      <c r="G89" s="251">
        <f>9.09/6.6</f>
        <v>1.3772727272727301</v>
      </c>
      <c r="H89" s="251"/>
      <c r="I89" s="251"/>
      <c r="J89" s="251"/>
    </row>
    <row r="90" spans="1:10" s="656" customFormat="1" ht="12.75" customHeight="1">
      <c r="A90" s="874" t="s">
        <v>1521</v>
      </c>
      <c r="B90" s="1388" t="s">
        <v>1538</v>
      </c>
      <c r="C90" s="1588">
        <v>0.75</v>
      </c>
      <c r="D90" s="866" t="s">
        <v>2</v>
      </c>
      <c r="E90" s="867">
        <f>+'ANALISIS PTAP'!F257</f>
        <v>146.99</v>
      </c>
      <c r="F90" s="1345">
        <f t="shared" si="2"/>
        <v>110.24</v>
      </c>
      <c r="G90" s="251">
        <f>1.2/0.75</f>
        <v>1.6</v>
      </c>
      <c r="H90" s="251"/>
      <c r="I90" s="251"/>
      <c r="J90" s="251"/>
    </row>
    <row r="91" spans="1:10" s="656" customFormat="1" ht="12.75" customHeight="1">
      <c r="A91" s="874" t="s">
        <v>1521</v>
      </c>
      <c r="B91" s="1388" t="s">
        <v>1540</v>
      </c>
      <c r="C91" s="1588">
        <v>0.54</v>
      </c>
      <c r="D91" s="866" t="s">
        <v>2</v>
      </c>
      <c r="E91" s="867">
        <f>+'ANALISIS PTAP'!F258</f>
        <v>1.49</v>
      </c>
      <c r="F91" s="1345">
        <f t="shared" si="2"/>
        <v>0.8</v>
      </c>
      <c r="G91" s="251">
        <f>0.47/0.54</f>
        <v>0.87037037037037002</v>
      </c>
      <c r="H91" s="251"/>
      <c r="I91" s="251"/>
      <c r="J91" s="251"/>
    </row>
    <row r="92" spans="1:10" s="656" customFormat="1" ht="12.75" customHeight="1">
      <c r="A92" s="874" t="s">
        <v>1521</v>
      </c>
      <c r="B92" s="1388" t="s">
        <v>1542</v>
      </c>
      <c r="C92" s="1588">
        <v>0.66</v>
      </c>
      <c r="D92" s="866" t="s">
        <v>2</v>
      </c>
      <c r="E92" s="867">
        <f>+'ANALISIS PTAP'!F259</f>
        <v>10</v>
      </c>
      <c r="F92" s="1345">
        <f t="shared" si="2"/>
        <v>6.6</v>
      </c>
      <c r="G92" s="251">
        <f>0.4/0.66</f>
        <v>0.60606060606060597</v>
      </c>
      <c r="H92" s="251"/>
      <c r="I92" s="251"/>
      <c r="J92" s="251"/>
    </row>
    <row r="93" spans="1:10" s="656" customFormat="1" ht="12.75" customHeight="1">
      <c r="A93" s="874" t="s">
        <v>1521</v>
      </c>
      <c r="B93" s="1388" t="s">
        <v>1541</v>
      </c>
      <c r="C93" s="1588">
        <v>7.16</v>
      </c>
      <c r="D93" s="866" t="s">
        <v>2</v>
      </c>
      <c r="E93" s="867">
        <f>+'ANALISIS PTAP'!F260</f>
        <v>173</v>
      </c>
      <c r="F93" s="1345">
        <f t="shared" si="2"/>
        <v>1238.68</v>
      </c>
      <c r="G93" s="251">
        <f>7.21/7.16</f>
        <v>1.00698324022346</v>
      </c>
      <c r="H93" s="251"/>
      <c r="I93" s="251"/>
      <c r="J93" s="251"/>
    </row>
    <row r="94" spans="1:10" s="656" customFormat="1" ht="12.75" customHeight="1">
      <c r="A94" s="874" t="s">
        <v>1521</v>
      </c>
      <c r="B94" s="1388" t="s">
        <v>1543</v>
      </c>
      <c r="C94" s="1588">
        <v>0.56999999999999995</v>
      </c>
      <c r="D94" s="866" t="s">
        <v>2</v>
      </c>
      <c r="E94" s="867">
        <f>+'ANALISIS PTAP'!F261</f>
        <v>331.47</v>
      </c>
      <c r="F94" s="1345">
        <f t="shared" si="2"/>
        <v>188.94</v>
      </c>
      <c r="G94" s="251">
        <f>1.08/0.57</f>
        <v>1.8947368421052599</v>
      </c>
      <c r="H94" s="251"/>
      <c r="I94" s="251"/>
      <c r="J94" s="251"/>
    </row>
    <row r="95" spans="1:10" s="656" customFormat="1" ht="12.75" customHeight="1">
      <c r="A95" s="874"/>
      <c r="B95" s="875"/>
      <c r="C95" s="876"/>
      <c r="D95" s="877"/>
      <c r="E95" s="878"/>
      <c r="F95" s="1345"/>
      <c r="G95" s="840"/>
      <c r="H95" s="840"/>
      <c r="I95" s="840"/>
      <c r="J95" s="840"/>
    </row>
    <row r="96" spans="1:10" s="656" customFormat="1" ht="12.75" customHeight="1">
      <c r="A96" s="881">
        <v>4.2</v>
      </c>
      <c r="B96" s="882" t="s">
        <v>600</v>
      </c>
      <c r="C96" s="865"/>
      <c r="D96" s="866"/>
      <c r="E96" s="867"/>
      <c r="F96" s="1345">
        <f>+ROUND((E96*C96),2)</f>
        <v>0</v>
      </c>
      <c r="G96" s="251"/>
      <c r="H96" s="251"/>
      <c r="I96" s="251"/>
      <c r="J96" s="251"/>
    </row>
    <row r="97" spans="1:10" s="656" customFormat="1" ht="12.75" customHeight="1">
      <c r="A97" s="868" t="s">
        <v>601</v>
      </c>
      <c r="B97" s="1389" t="s">
        <v>587</v>
      </c>
      <c r="C97" s="865">
        <v>2.72</v>
      </c>
      <c r="D97" s="866" t="s">
        <v>11</v>
      </c>
      <c r="E97" s="867">
        <f>+E62</f>
        <v>0</v>
      </c>
      <c r="F97" s="1345">
        <f>+ROUND((E97*C97),2)</f>
        <v>0</v>
      </c>
      <c r="G97" s="251"/>
      <c r="H97" s="251"/>
      <c r="I97" s="251"/>
      <c r="J97" s="251"/>
    </row>
    <row r="98" spans="1:10" s="659" customFormat="1" ht="12.75" customHeight="1">
      <c r="A98" s="868" t="s">
        <v>602</v>
      </c>
      <c r="B98" s="1389" t="s">
        <v>165</v>
      </c>
      <c r="C98" s="865">
        <v>10.38</v>
      </c>
      <c r="D98" s="866" t="s">
        <v>11</v>
      </c>
      <c r="E98" s="867">
        <f>+E63</f>
        <v>35000</v>
      </c>
      <c r="F98" s="1345">
        <f>+ROUND((E98*C98),2)</f>
        <v>363300</v>
      </c>
      <c r="G98" s="251"/>
      <c r="H98" s="251"/>
      <c r="I98" s="251"/>
      <c r="J98" s="251"/>
    </row>
    <row r="99" spans="1:10" s="659" customFormat="1" ht="12.75" customHeight="1">
      <c r="A99" s="868" t="s">
        <v>602</v>
      </c>
      <c r="B99" s="1389" t="s">
        <v>152</v>
      </c>
      <c r="C99" s="865">
        <f>13.49+1.33</f>
        <v>14.82</v>
      </c>
      <c r="D99" s="866" t="s">
        <v>11</v>
      </c>
      <c r="E99" s="867">
        <f>+E64</f>
        <v>0</v>
      </c>
      <c r="F99" s="1345">
        <f>+ROUND((E99*C99),2)</f>
        <v>0</v>
      </c>
      <c r="G99" s="251"/>
      <c r="H99" s="251"/>
      <c r="I99" s="251"/>
      <c r="J99" s="251"/>
    </row>
    <row r="100" spans="1:10" s="656" customFormat="1" ht="12.75" customHeight="1">
      <c r="A100" s="868" t="s">
        <v>603</v>
      </c>
      <c r="B100" s="1389" t="s">
        <v>177</v>
      </c>
      <c r="C100" s="865">
        <f>0.07+18.92</f>
        <v>18.989999999999998</v>
      </c>
      <c r="D100" s="866" t="s">
        <v>13</v>
      </c>
      <c r="E100" s="867">
        <f>+E65</f>
        <v>0</v>
      </c>
      <c r="F100" s="1345">
        <f>+ROUND((E100*C100),2)</f>
        <v>0</v>
      </c>
      <c r="G100" s="251"/>
      <c r="H100" s="251"/>
      <c r="I100" s="251"/>
      <c r="J100" s="251"/>
    </row>
    <row r="101" spans="1:10" s="656" customFormat="1" ht="12.75" customHeight="1">
      <c r="A101" s="874"/>
      <c r="B101" s="875"/>
      <c r="C101" s="876"/>
      <c r="D101" s="877"/>
      <c r="E101" s="878"/>
      <c r="F101" s="1345"/>
      <c r="G101" s="840"/>
      <c r="H101" s="840"/>
      <c r="I101" s="840"/>
      <c r="J101" s="840"/>
    </row>
    <row r="102" spans="1:10" s="656" customFormat="1" ht="12.75" customHeight="1">
      <c r="A102" s="868">
        <v>4.3</v>
      </c>
      <c r="B102" s="1389" t="s">
        <v>604</v>
      </c>
      <c r="C102" s="865">
        <v>0.4</v>
      </c>
      <c r="D102" s="866" t="s">
        <v>2</v>
      </c>
      <c r="E102" s="867">
        <f>+'ANALISIS PTAP'!F14</f>
        <v>1100</v>
      </c>
      <c r="F102" s="1345">
        <f>+ROUND((E102*C102),2)</f>
        <v>440</v>
      </c>
      <c r="G102" s="251"/>
      <c r="H102" s="251"/>
      <c r="I102" s="251"/>
      <c r="J102" s="251"/>
    </row>
    <row r="103" spans="1:10" s="656" customFormat="1" ht="12.75" customHeight="1">
      <c r="A103" s="874"/>
      <c r="B103" s="875"/>
      <c r="C103" s="876"/>
      <c r="D103" s="877"/>
      <c r="E103" s="878"/>
      <c r="F103" s="1345"/>
      <c r="G103" s="840"/>
      <c r="H103" s="840"/>
      <c r="I103" s="840"/>
      <c r="J103" s="840"/>
    </row>
    <row r="104" spans="1:10" s="656" customFormat="1" ht="10.5" customHeight="1">
      <c r="A104" s="1406">
        <v>3</v>
      </c>
      <c r="B104" s="882" t="s">
        <v>582</v>
      </c>
      <c r="C104" s="865"/>
      <c r="D104" s="866"/>
      <c r="E104" s="867"/>
      <c r="F104" s="1345">
        <f t="shared" si="1"/>
        <v>0</v>
      </c>
      <c r="G104" s="251"/>
      <c r="H104" s="251"/>
      <c r="I104" s="251"/>
      <c r="J104" s="251"/>
    </row>
    <row r="105" spans="1:10" s="49" customFormat="1" ht="12.75" customHeight="1">
      <c r="A105" s="868"/>
      <c r="B105" s="869"/>
      <c r="C105" s="865"/>
      <c r="D105" s="866"/>
      <c r="E105" s="867"/>
      <c r="F105" s="1345">
        <f t="shared" si="1"/>
        <v>0</v>
      </c>
      <c r="G105" s="251"/>
      <c r="H105" s="251"/>
      <c r="I105" s="251"/>
      <c r="J105" s="251"/>
    </row>
    <row r="106" spans="1:10" s="49" customFormat="1" ht="12.75" customHeight="1">
      <c r="A106" s="868">
        <v>3.3</v>
      </c>
      <c r="B106" s="869" t="s">
        <v>589</v>
      </c>
      <c r="C106" s="865">
        <v>1</v>
      </c>
      <c r="D106" s="866" t="s">
        <v>3</v>
      </c>
      <c r="E106" s="867">
        <v>2100</v>
      </c>
      <c r="F106" s="1345">
        <f t="shared" si="1"/>
        <v>2100</v>
      </c>
      <c r="G106" s="251"/>
      <c r="H106" s="251"/>
      <c r="I106" s="251"/>
      <c r="J106" s="251"/>
    </row>
    <row r="107" spans="1:10" s="49" customFormat="1" ht="12.75" customHeight="1">
      <c r="A107" s="868"/>
      <c r="B107" s="869"/>
      <c r="C107" s="865"/>
      <c r="D107" s="866"/>
      <c r="E107" s="867"/>
      <c r="F107" s="1345">
        <f t="shared" si="1"/>
        <v>0</v>
      </c>
      <c r="G107" s="251"/>
      <c r="H107" s="251"/>
      <c r="I107" s="251"/>
      <c r="J107" s="251"/>
    </row>
    <row r="108" spans="1:10" s="50" customFormat="1" ht="12.75" customHeight="1">
      <c r="A108" s="1406">
        <v>4</v>
      </c>
      <c r="B108" s="887" t="s">
        <v>590</v>
      </c>
      <c r="C108" s="865"/>
      <c r="D108" s="866"/>
      <c r="E108" s="867"/>
      <c r="F108" s="1345">
        <f t="shared" si="1"/>
        <v>0</v>
      </c>
      <c r="G108" s="251"/>
      <c r="H108" s="251"/>
      <c r="I108" s="251"/>
      <c r="J108" s="251"/>
    </row>
    <row r="109" spans="1:10" s="656" customFormat="1" ht="12.75" customHeight="1">
      <c r="A109" s="888">
        <v>4.0999999999999996</v>
      </c>
      <c r="B109" s="882" t="s">
        <v>591</v>
      </c>
      <c r="C109" s="865"/>
      <c r="D109" s="866"/>
      <c r="E109" s="867"/>
      <c r="F109" s="1345">
        <f t="shared" si="1"/>
        <v>0</v>
      </c>
      <c r="G109" s="251"/>
      <c r="H109" s="251"/>
      <c r="I109" s="251"/>
      <c r="J109" s="251"/>
    </row>
    <row r="110" spans="1:10" s="655" customFormat="1" ht="14.25" customHeight="1">
      <c r="A110" s="868" t="s">
        <v>592</v>
      </c>
      <c r="B110" s="869" t="s">
        <v>593</v>
      </c>
      <c r="C110" s="865">
        <v>1.33</v>
      </c>
      <c r="D110" s="866" t="s">
        <v>2</v>
      </c>
      <c r="E110" s="867">
        <v>8196.24</v>
      </c>
      <c r="F110" s="1345">
        <f t="shared" si="1"/>
        <v>10901</v>
      </c>
      <c r="G110" s="251"/>
      <c r="H110" s="251"/>
      <c r="I110" s="251"/>
      <c r="J110" s="251"/>
    </row>
    <row r="111" spans="1:10" s="659" customFormat="1" ht="27" customHeight="1">
      <c r="A111" s="868" t="s">
        <v>594</v>
      </c>
      <c r="B111" s="869" t="s">
        <v>595</v>
      </c>
      <c r="C111" s="865">
        <v>7.0000000000000007E-2</v>
      </c>
      <c r="D111" s="866" t="s">
        <v>2</v>
      </c>
      <c r="E111" s="867">
        <v>15058.36</v>
      </c>
      <c r="F111" s="1345">
        <f t="shared" si="1"/>
        <v>1054.0899999999999</v>
      </c>
      <c r="G111" s="251"/>
      <c r="H111" s="251"/>
      <c r="I111" s="251"/>
      <c r="J111" s="251"/>
    </row>
    <row r="112" spans="1:10" s="656" customFormat="1" ht="12.75" customHeight="1">
      <c r="A112" s="868" t="s">
        <v>596</v>
      </c>
      <c r="B112" s="1389" t="s">
        <v>597</v>
      </c>
      <c r="C112" s="865">
        <v>0.64</v>
      </c>
      <c r="D112" s="866" t="s">
        <v>2</v>
      </c>
      <c r="E112" s="867" t="e">
        <f>+'ANALISIS PTAP'!F293</f>
        <v>#REF!</v>
      </c>
      <c r="F112" s="1345" t="e">
        <f t="shared" si="1"/>
        <v>#REF!</v>
      </c>
      <c r="G112" s="251"/>
      <c r="H112" s="251"/>
      <c r="I112" s="251"/>
      <c r="J112" s="251"/>
    </row>
    <row r="113" spans="1:10" s="656" customFormat="1" ht="12.75" customHeight="1">
      <c r="A113" s="868" t="s">
        <v>598</v>
      </c>
      <c r="B113" s="1389" t="s">
        <v>599</v>
      </c>
      <c r="C113" s="865">
        <v>1.26</v>
      </c>
      <c r="D113" s="866" t="s">
        <v>2</v>
      </c>
      <c r="E113" s="867" t="e">
        <f>+'ANALISIS PTAP'!F299</f>
        <v>#REF!</v>
      </c>
      <c r="F113" s="1345" t="e">
        <f t="shared" si="1"/>
        <v>#REF!</v>
      </c>
      <c r="G113" s="251"/>
      <c r="H113" s="251"/>
      <c r="I113" s="251"/>
      <c r="J113" s="251"/>
    </row>
    <row r="114" spans="1:10" s="656" customFormat="1" ht="12.75" customHeight="1">
      <c r="A114" s="868"/>
      <c r="B114" s="869"/>
      <c r="C114" s="865"/>
      <c r="D114" s="866"/>
      <c r="E114" s="867"/>
      <c r="F114" s="1345">
        <f t="shared" si="1"/>
        <v>0</v>
      </c>
      <c r="G114" s="251"/>
      <c r="H114" s="251"/>
      <c r="I114" s="251"/>
      <c r="J114" s="251"/>
    </row>
    <row r="115" spans="1:10" s="656" customFormat="1" ht="12.75" customHeight="1">
      <c r="A115" s="881">
        <v>4.2</v>
      </c>
      <c r="B115" s="882" t="s">
        <v>600</v>
      </c>
      <c r="C115" s="865"/>
      <c r="D115" s="866"/>
      <c r="E115" s="867"/>
      <c r="F115" s="1345">
        <f t="shared" si="1"/>
        <v>0</v>
      </c>
      <c r="G115" s="251"/>
      <c r="H115" s="251"/>
      <c r="I115" s="251"/>
      <c r="J115" s="251"/>
    </row>
    <row r="116" spans="1:10" s="656" customFormat="1" ht="12.75" customHeight="1">
      <c r="A116" s="868" t="s">
        <v>601</v>
      </c>
      <c r="B116" s="1389" t="s">
        <v>587</v>
      </c>
      <c r="C116" s="865">
        <v>2.72</v>
      </c>
      <c r="D116" s="866" t="s">
        <v>11</v>
      </c>
      <c r="E116" s="867" t="e">
        <f>+#REF!</f>
        <v>#REF!</v>
      </c>
      <c r="F116" s="1345" t="e">
        <f t="shared" si="1"/>
        <v>#REF!</v>
      </c>
      <c r="G116" s="251"/>
      <c r="H116" s="251"/>
      <c r="I116" s="251"/>
      <c r="J116" s="251"/>
    </row>
    <row r="117" spans="1:10" s="659" customFormat="1" ht="12.75" customHeight="1">
      <c r="A117" s="868" t="s">
        <v>602</v>
      </c>
      <c r="B117" s="1389" t="s">
        <v>165</v>
      </c>
      <c r="C117" s="865">
        <v>10.38</v>
      </c>
      <c r="D117" s="866" t="s">
        <v>11</v>
      </c>
      <c r="E117" s="867" t="e">
        <f>+#REF!</f>
        <v>#REF!</v>
      </c>
      <c r="F117" s="1345" t="e">
        <f t="shared" si="1"/>
        <v>#REF!</v>
      </c>
      <c r="G117" s="251"/>
      <c r="H117" s="251"/>
      <c r="I117" s="251"/>
      <c r="J117" s="251"/>
    </row>
    <row r="118" spans="1:10" s="659" customFormat="1" ht="12.75" customHeight="1">
      <c r="A118" s="868" t="s">
        <v>602</v>
      </c>
      <c r="B118" s="1389" t="s">
        <v>152</v>
      </c>
      <c r="C118" s="865">
        <f>13.49+1.33</f>
        <v>14.82</v>
      </c>
      <c r="D118" s="866" t="s">
        <v>11</v>
      </c>
      <c r="E118" s="867" t="e">
        <f>+#REF!</f>
        <v>#REF!</v>
      </c>
      <c r="F118" s="1345" t="e">
        <f t="shared" si="1"/>
        <v>#REF!</v>
      </c>
      <c r="G118" s="251"/>
      <c r="H118" s="251"/>
      <c r="I118" s="251"/>
      <c r="J118" s="251"/>
    </row>
    <row r="119" spans="1:10" s="656" customFormat="1" ht="12.75" customHeight="1">
      <c r="A119" s="868" t="s">
        <v>603</v>
      </c>
      <c r="B119" s="1389" t="s">
        <v>177</v>
      </c>
      <c r="C119" s="865">
        <f>0.07+18.92</f>
        <v>18.989999999999998</v>
      </c>
      <c r="D119" s="866" t="s">
        <v>13</v>
      </c>
      <c r="E119" s="867" t="e">
        <f>+#REF!</f>
        <v>#REF!</v>
      </c>
      <c r="F119" s="1345" t="e">
        <f t="shared" si="1"/>
        <v>#REF!</v>
      </c>
      <c r="G119" s="251"/>
      <c r="H119" s="251"/>
      <c r="I119" s="251"/>
      <c r="J119" s="251"/>
    </row>
    <row r="120" spans="1:10" s="656" customFormat="1" ht="12.75" customHeight="1">
      <c r="A120" s="868"/>
      <c r="B120" s="869"/>
      <c r="C120" s="865"/>
      <c r="D120" s="866"/>
      <c r="E120" s="867"/>
      <c r="F120" s="1345">
        <f t="shared" si="1"/>
        <v>0</v>
      </c>
      <c r="G120" s="251"/>
      <c r="H120" s="251"/>
      <c r="I120" s="251"/>
      <c r="J120" s="251"/>
    </row>
    <row r="121" spans="1:10" s="656" customFormat="1" ht="12.75" customHeight="1">
      <c r="A121" s="868">
        <v>4.3</v>
      </c>
      <c r="B121" s="1389" t="s">
        <v>604</v>
      </c>
      <c r="C121" s="865">
        <v>0.4</v>
      </c>
      <c r="D121" s="866" t="s">
        <v>2</v>
      </c>
      <c r="E121" s="867" t="e">
        <f>+'ANALISIS PTAP'!#REF!</f>
        <v>#REF!</v>
      </c>
      <c r="F121" s="1345" t="e">
        <f t="shared" si="1"/>
        <v>#REF!</v>
      </c>
      <c r="G121" s="251"/>
      <c r="H121" s="251"/>
      <c r="I121" s="251"/>
      <c r="J121" s="251"/>
    </row>
    <row r="122" spans="1:10" s="656" customFormat="1" ht="12.75" customHeight="1">
      <c r="A122" s="889"/>
      <c r="B122" s="869"/>
      <c r="C122" s="865"/>
      <c r="D122" s="866"/>
      <c r="E122" s="867"/>
      <c r="F122" s="1345">
        <f t="shared" si="1"/>
        <v>0</v>
      </c>
      <c r="G122" s="251"/>
      <c r="H122" s="251"/>
      <c r="I122" s="251"/>
      <c r="J122" s="251"/>
    </row>
    <row r="123" spans="1:10" s="656" customFormat="1" ht="25.5" customHeight="1">
      <c r="A123" s="890">
        <v>4.4000000000000004</v>
      </c>
      <c r="B123" s="891" t="s">
        <v>605</v>
      </c>
      <c r="C123" s="865">
        <v>1</v>
      </c>
      <c r="D123" s="866" t="s">
        <v>3</v>
      </c>
      <c r="E123" s="867">
        <v>188000</v>
      </c>
      <c r="F123" s="1345">
        <f t="shared" si="1"/>
        <v>188000</v>
      </c>
      <c r="G123" s="251"/>
      <c r="H123" s="251"/>
      <c r="I123" s="251"/>
      <c r="J123" s="251"/>
    </row>
    <row r="124" spans="1:10" s="656" customFormat="1" ht="12.75" customHeight="1">
      <c r="A124" s="889">
        <v>4.5</v>
      </c>
      <c r="B124" s="869" t="s">
        <v>606</v>
      </c>
      <c r="C124" s="865">
        <v>1</v>
      </c>
      <c r="D124" s="866" t="s">
        <v>3</v>
      </c>
      <c r="E124" s="867">
        <v>1500</v>
      </c>
      <c r="F124" s="1345">
        <f t="shared" si="1"/>
        <v>1500</v>
      </c>
      <c r="G124" s="251"/>
      <c r="H124" s="251"/>
      <c r="I124" s="251"/>
      <c r="J124" s="251"/>
    </row>
    <row r="125" spans="1:10" s="656" customFormat="1" ht="12.75" customHeight="1">
      <c r="A125" s="889"/>
      <c r="B125" s="869"/>
      <c r="C125" s="865"/>
      <c r="D125" s="866"/>
      <c r="E125" s="867"/>
      <c r="F125" s="1345">
        <f t="shared" si="1"/>
        <v>0</v>
      </c>
      <c r="G125" s="251"/>
      <c r="H125" s="251"/>
      <c r="I125" s="251"/>
      <c r="J125" s="251"/>
    </row>
    <row r="126" spans="1:10" s="656" customFormat="1" ht="12.75" customHeight="1">
      <c r="A126" s="1406">
        <v>5</v>
      </c>
      <c r="B126" s="882" t="s">
        <v>607</v>
      </c>
      <c r="C126" s="865"/>
      <c r="D126" s="866"/>
      <c r="E126" s="867"/>
      <c r="F126" s="1345">
        <f t="shared" si="1"/>
        <v>0</v>
      </c>
      <c r="G126" s="251"/>
      <c r="H126" s="251"/>
      <c r="I126" s="251"/>
      <c r="J126" s="251"/>
    </row>
    <row r="127" spans="1:10" s="656" customFormat="1" ht="12.75" customHeight="1">
      <c r="A127" s="881">
        <v>5.0999999999999996</v>
      </c>
      <c r="B127" s="882" t="s">
        <v>591</v>
      </c>
      <c r="C127" s="865"/>
      <c r="D127" s="866"/>
      <c r="E127" s="867"/>
      <c r="F127" s="1345">
        <f t="shared" si="1"/>
        <v>0</v>
      </c>
      <c r="G127" s="251"/>
      <c r="H127" s="251"/>
      <c r="I127" s="251"/>
      <c r="J127" s="251"/>
    </row>
    <row r="128" spans="1:10" s="656" customFormat="1" ht="12.75" customHeight="1">
      <c r="A128" s="868" t="s">
        <v>608</v>
      </c>
      <c r="B128" s="1389" t="s">
        <v>609</v>
      </c>
      <c r="C128" s="865">
        <v>4.6399999999999997</v>
      </c>
      <c r="D128" s="866" t="s">
        <v>2</v>
      </c>
      <c r="E128" s="867" t="e">
        <f>+'ANALISIS PTAP'!F311</f>
        <v>#REF!</v>
      </c>
      <c r="F128" s="1345" t="e">
        <f t="shared" si="1"/>
        <v>#REF!</v>
      </c>
      <c r="G128" s="251"/>
      <c r="H128" s="251"/>
      <c r="I128" s="251"/>
      <c r="J128" s="251"/>
    </row>
    <row r="129" spans="1:10" s="656" customFormat="1" ht="12.75" customHeight="1">
      <c r="A129" s="868" t="s">
        <v>610</v>
      </c>
      <c r="B129" s="1389" t="s">
        <v>611</v>
      </c>
      <c r="C129" s="865">
        <v>28.7</v>
      </c>
      <c r="D129" s="866" t="s">
        <v>2</v>
      </c>
      <c r="E129" s="867" t="e">
        <f>+'ANALISIS PTAP'!F317</f>
        <v>#REF!</v>
      </c>
      <c r="F129" s="1345" t="e">
        <f t="shared" si="1"/>
        <v>#REF!</v>
      </c>
      <c r="G129" s="251"/>
      <c r="H129" s="251"/>
      <c r="I129" s="251"/>
      <c r="J129" s="251"/>
    </row>
    <row r="130" spans="1:10" s="660" customFormat="1" ht="12.75" customHeight="1">
      <c r="A130" s="868" t="s">
        <v>612</v>
      </c>
      <c r="B130" s="1389" t="s">
        <v>613</v>
      </c>
      <c r="C130" s="865">
        <v>4.3099999999999996</v>
      </c>
      <c r="D130" s="866" t="s">
        <v>2</v>
      </c>
      <c r="E130" s="867" t="e">
        <f>+'ANALISIS PTAP'!F323</f>
        <v>#REF!</v>
      </c>
      <c r="F130" s="1345" t="e">
        <f t="shared" si="1"/>
        <v>#REF!</v>
      </c>
      <c r="G130" s="251"/>
      <c r="H130" s="251"/>
      <c r="I130" s="251"/>
      <c r="J130" s="251"/>
    </row>
    <row r="131" spans="1:10" s="660" customFormat="1" ht="12.75" customHeight="1">
      <c r="A131" s="868"/>
      <c r="B131" s="869"/>
      <c r="C131" s="865"/>
      <c r="D131" s="866"/>
      <c r="E131" s="867"/>
      <c r="F131" s="1345">
        <f t="shared" si="1"/>
        <v>0</v>
      </c>
      <c r="G131" s="251"/>
      <c r="H131" s="251"/>
      <c r="I131" s="251"/>
      <c r="J131" s="251"/>
    </row>
    <row r="132" spans="1:10" s="660" customFormat="1" ht="14.25" customHeight="1">
      <c r="A132" s="881">
        <v>5.2</v>
      </c>
      <c r="B132" s="882" t="s">
        <v>600</v>
      </c>
      <c r="C132" s="865"/>
      <c r="D132" s="866"/>
      <c r="E132" s="867"/>
      <c r="F132" s="1345">
        <f t="shared" si="1"/>
        <v>0</v>
      </c>
      <c r="G132" s="251"/>
      <c r="H132" s="251"/>
      <c r="I132" s="251"/>
      <c r="J132" s="251"/>
    </row>
    <row r="133" spans="1:10" s="660" customFormat="1" ht="14.25" customHeight="1">
      <c r="A133" s="868" t="s">
        <v>614</v>
      </c>
      <c r="B133" s="1389" t="s">
        <v>152</v>
      </c>
      <c r="C133" s="865">
        <v>83.57</v>
      </c>
      <c r="D133" s="866" t="s">
        <v>11</v>
      </c>
      <c r="E133" s="867" t="e">
        <f>+E118</f>
        <v>#REF!</v>
      </c>
      <c r="F133" s="1345" t="e">
        <f t="shared" si="1"/>
        <v>#REF!</v>
      </c>
      <c r="G133" s="251"/>
      <c r="H133" s="251"/>
      <c r="I133" s="251"/>
      <c r="J133" s="251"/>
    </row>
    <row r="134" spans="1:10" s="660" customFormat="1" ht="14.25" customHeight="1">
      <c r="A134" s="868" t="s">
        <v>614</v>
      </c>
      <c r="B134" s="1389" t="s">
        <v>165</v>
      </c>
      <c r="C134" s="865">
        <v>209.71</v>
      </c>
      <c r="D134" s="866" t="s">
        <v>11</v>
      </c>
      <c r="E134" s="867" t="e">
        <f>+E117</f>
        <v>#REF!</v>
      </c>
      <c r="F134" s="1345" t="e">
        <f t="shared" si="1"/>
        <v>#REF!</v>
      </c>
      <c r="G134" s="251"/>
      <c r="H134" s="251"/>
      <c r="I134" s="251"/>
      <c r="J134" s="251"/>
    </row>
    <row r="135" spans="1:10" s="660" customFormat="1" ht="14.25" customHeight="1">
      <c r="A135" s="868" t="s">
        <v>615</v>
      </c>
      <c r="B135" s="1389" t="s">
        <v>616</v>
      </c>
      <c r="C135" s="865">
        <v>22.5</v>
      </c>
      <c r="D135" s="866" t="s">
        <v>11</v>
      </c>
      <c r="E135" s="867" t="e">
        <f>+E116</f>
        <v>#REF!</v>
      </c>
      <c r="F135" s="1345" t="e">
        <f t="shared" si="1"/>
        <v>#REF!</v>
      </c>
      <c r="G135" s="251"/>
      <c r="H135" s="251"/>
      <c r="I135" s="251"/>
      <c r="J135" s="251"/>
    </row>
    <row r="136" spans="1:10" s="660" customFormat="1" ht="14.25" customHeight="1">
      <c r="A136" s="868" t="s">
        <v>617</v>
      </c>
      <c r="B136" s="1389" t="s">
        <v>618</v>
      </c>
      <c r="C136" s="865">
        <v>61</v>
      </c>
      <c r="D136" s="866" t="s">
        <v>1</v>
      </c>
      <c r="E136" s="867" t="e">
        <f>+E119</f>
        <v>#REF!</v>
      </c>
      <c r="F136" s="1345" t="e">
        <f t="shared" si="1"/>
        <v>#REF!</v>
      </c>
      <c r="G136" s="251"/>
      <c r="H136" s="251"/>
      <c r="I136" s="251"/>
      <c r="J136" s="251"/>
    </row>
    <row r="137" spans="1:10" s="660" customFormat="1" ht="14.25" customHeight="1">
      <c r="A137" s="868"/>
      <c r="B137" s="869"/>
      <c r="C137" s="865"/>
      <c r="D137" s="866"/>
      <c r="E137" s="867"/>
      <c r="F137" s="1345">
        <f t="shared" si="1"/>
        <v>0</v>
      </c>
      <c r="G137" s="251"/>
      <c r="H137" s="251"/>
      <c r="I137" s="251"/>
      <c r="J137" s="251"/>
    </row>
    <row r="138" spans="1:10" s="660" customFormat="1" ht="14.25" customHeight="1">
      <c r="A138" s="892">
        <v>5.3</v>
      </c>
      <c r="B138" s="891" t="s">
        <v>619</v>
      </c>
      <c r="C138" s="865">
        <v>2742.07</v>
      </c>
      <c r="D138" s="866" t="s">
        <v>155</v>
      </c>
      <c r="E138" s="867">
        <v>1450</v>
      </c>
      <c r="F138" s="1345">
        <f t="shared" si="1"/>
        <v>3976001.5</v>
      </c>
      <c r="G138" s="251"/>
      <c r="H138" s="251"/>
      <c r="I138" s="251"/>
      <c r="J138" s="251"/>
    </row>
    <row r="139" spans="1:10" s="660" customFormat="1" ht="14.25" customHeight="1">
      <c r="A139" s="892"/>
      <c r="B139" s="891"/>
      <c r="C139" s="865"/>
      <c r="D139" s="866"/>
      <c r="E139" s="867"/>
      <c r="F139" s="1345">
        <f t="shared" si="1"/>
        <v>0</v>
      </c>
      <c r="G139" s="251"/>
      <c r="H139" s="251"/>
      <c r="I139" s="251"/>
      <c r="J139" s="251"/>
    </row>
    <row r="140" spans="1:10" s="660" customFormat="1" ht="14.25" customHeight="1">
      <c r="A140" s="868">
        <v>5.4</v>
      </c>
      <c r="B140" s="1388" t="s">
        <v>620</v>
      </c>
      <c r="C140" s="865">
        <v>11.03</v>
      </c>
      <c r="D140" s="866" t="s">
        <v>2</v>
      </c>
      <c r="E140" s="867" t="e">
        <f>+E121</f>
        <v>#REF!</v>
      </c>
      <c r="F140" s="1345" t="e">
        <f t="shared" si="1"/>
        <v>#REF!</v>
      </c>
      <c r="G140" s="251"/>
      <c r="H140" s="251"/>
      <c r="I140" s="251"/>
      <c r="J140" s="251"/>
    </row>
    <row r="141" spans="1:10" s="660" customFormat="1" ht="14.25" customHeight="1">
      <c r="A141" s="868"/>
      <c r="B141" s="869"/>
      <c r="C141" s="865"/>
      <c r="D141" s="866"/>
      <c r="E141" s="867"/>
      <c r="F141" s="1345">
        <f t="shared" si="1"/>
        <v>0</v>
      </c>
      <c r="G141" s="251"/>
      <c r="H141" s="251"/>
      <c r="I141" s="251"/>
      <c r="J141" s="251"/>
    </row>
    <row r="142" spans="1:10" s="660" customFormat="1" ht="14.25" customHeight="1">
      <c r="A142" s="881">
        <v>5.5</v>
      </c>
      <c r="B142" s="882" t="s">
        <v>621</v>
      </c>
      <c r="C142" s="865"/>
      <c r="D142" s="866"/>
      <c r="E142" s="867"/>
      <c r="F142" s="1345">
        <f t="shared" si="1"/>
        <v>0</v>
      </c>
      <c r="G142" s="251"/>
      <c r="H142" s="251"/>
      <c r="I142" s="251"/>
      <c r="J142" s="251"/>
    </row>
    <row r="143" spans="1:10" s="660" customFormat="1" ht="14.25" customHeight="1">
      <c r="A143" s="893" t="s">
        <v>622</v>
      </c>
      <c r="B143" s="891" t="s">
        <v>623</v>
      </c>
      <c r="C143" s="865">
        <v>1</v>
      </c>
      <c r="D143" s="866" t="s">
        <v>3</v>
      </c>
      <c r="E143" s="867">
        <v>186200</v>
      </c>
      <c r="F143" s="1345">
        <f t="shared" si="1"/>
        <v>186200</v>
      </c>
      <c r="G143" s="251"/>
      <c r="H143" s="251"/>
      <c r="I143" s="251"/>
      <c r="J143" s="251"/>
    </row>
    <row r="144" spans="1:10" s="660" customFormat="1" ht="14.25" customHeight="1">
      <c r="A144" s="893" t="s">
        <v>624</v>
      </c>
      <c r="B144" s="891" t="s">
        <v>625</v>
      </c>
      <c r="C144" s="865">
        <v>1</v>
      </c>
      <c r="D144" s="866" t="s">
        <v>3</v>
      </c>
      <c r="E144" s="867">
        <v>2100</v>
      </c>
      <c r="F144" s="1345">
        <f t="shared" si="1"/>
        <v>2100</v>
      </c>
      <c r="G144" s="251"/>
      <c r="H144" s="251"/>
      <c r="I144" s="251"/>
      <c r="J144" s="251"/>
    </row>
    <row r="145" spans="1:10" s="660" customFormat="1" ht="14.25" customHeight="1">
      <c r="A145" s="893"/>
      <c r="B145" s="891"/>
      <c r="C145" s="865"/>
      <c r="D145" s="866"/>
      <c r="E145" s="867"/>
      <c r="F145" s="1345">
        <f t="shared" si="1"/>
        <v>0</v>
      </c>
      <c r="G145" s="251"/>
      <c r="H145" s="251"/>
      <c r="I145" s="251"/>
      <c r="J145" s="251"/>
    </row>
    <row r="146" spans="1:10" s="660" customFormat="1" ht="14.25" customHeight="1">
      <c r="A146" s="1407">
        <v>6</v>
      </c>
      <c r="B146" s="895" t="s">
        <v>626</v>
      </c>
      <c r="C146" s="865"/>
      <c r="D146" s="866"/>
      <c r="E146" s="867"/>
      <c r="F146" s="1345">
        <f t="shared" si="1"/>
        <v>0</v>
      </c>
      <c r="G146" s="251"/>
      <c r="H146" s="251"/>
      <c r="I146" s="251"/>
      <c r="J146" s="251"/>
    </row>
    <row r="147" spans="1:10" s="660" customFormat="1" ht="14.25" customHeight="1">
      <c r="A147" s="894">
        <v>6.1</v>
      </c>
      <c r="B147" s="896" t="s">
        <v>627</v>
      </c>
      <c r="C147" s="865"/>
      <c r="D147" s="866"/>
      <c r="E147" s="867"/>
      <c r="F147" s="1345">
        <f t="shared" si="1"/>
        <v>0</v>
      </c>
      <c r="G147" s="251"/>
      <c r="H147" s="251"/>
      <c r="I147" s="251"/>
      <c r="J147" s="251"/>
    </row>
    <row r="148" spans="1:10" s="660" customFormat="1" ht="14.25" customHeight="1">
      <c r="A148" s="893" t="s">
        <v>628</v>
      </c>
      <c r="B148" s="1393" t="s">
        <v>629</v>
      </c>
      <c r="C148" s="865">
        <v>0.6</v>
      </c>
      <c r="D148" s="866" t="s">
        <v>2</v>
      </c>
      <c r="E148" s="867" t="e">
        <f>+'ANALISIS PTAP'!F330</f>
        <v>#REF!</v>
      </c>
      <c r="F148" s="1345" t="e">
        <f t="shared" si="1"/>
        <v>#REF!</v>
      </c>
      <c r="G148" s="251"/>
      <c r="H148" s="251"/>
      <c r="I148" s="251"/>
      <c r="J148" s="251"/>
    </row>
    <row r="149" spans="1:10" s="656" customFormat="1" ht="12.75" customHeight="1">
      <c r="A149" s="893"/>
      <c r="B149" s="891"/>
      <c r="C149" s="865"/>
      <c r="D149" s="866"/>
      <c r="E149" s="867"/>
      <c r="F149" s="1345">
        <f t="shared" si="1"/>
        <v>0</v>
      </c>
      <c r="G149" s="251"/>
      <c r="H149" s="251"/>
      <c r="I149" s="251"/>
      <c r="J149" s="251"/>
    </row>
    <row r="150" spans="1:10" s="656" customFormat="1" ht="12.75" customHeight="1">
      <c r="A150" s="894">
        <v>6.2</v>
      </c>
      <c r="B150" s="897" t="s">
        <v>586</v>
      </c>
      <c r="C150" s="865"/>
      <c r="D150" s="866"/>
      <c r="E150" s="867"/>
      <c r="F150" s="1345">
        <f t="shared" si="1"/>
        <v>0</v>
      </c>
      <c r="G150" s="251"/>
      <c r="H150" s="251"/>
      <c r="I150" s="251"/>
      <c r="J150" s="251"/>
    </row>
    <row r="151" spans="1:10" s="656" customFormat="1" ht="12.75" customHeight="1">
      <c r="A151" s="893" t="s">
        <v>630</v>
      </c>
      <c r="B151" s="1393" t="s">
        <v>587</v>
      </c>
      <c r="C151" s="865">
        <v>4.0199999999999996</v>
      </c>
      <c r="D151" s="866" t="s">
        <v>11</v>
      </c>
      <c r="E151" s="867" t="e">
        <f>+E135</f>
        <v>#REF!</v>
      </c>
      <c r="F151" s="1345" t="e">
        <f t="shared" ref="F151:F214" si="3">+ROUND((E151*C151),2)</f>
        <v>#REF!</v>
      </c>
      <c r="G151" s="251"/>
      <c r="H151" s="251"/>
      <c r="I151" s="251"/>
      <c r="J151" s="251"/>
    </row>
    <row r="152" spans="1:10" s="656" customFormat="1" ht="12.75" customHeight="1">
      <c r="A152" s="893" t="s">
        <v>631</v>
      </c>
      <c r="B152" s="1393" t="s">
        <v>165</v>
      </c>
      <c r="C152" s="865">
        <v>15.06</v>
      </c>
      <c r="D152" s="866" t="s">
        <v>11</v>
      </c>
      <c r="E152" s="867" t="e">
        <f>+E134</f>
        <v>#REF!</v>
      </c>
      <c r="F152" s="1345" t="e">
        <f t="shared" si="3"/>
        <v>#REF!</v>
      </c>
      <c r="G152" s="251"/>
      <c r="H152" s="251"/>
      <c r="I152" s="251"/>
      <c r="J152" s="251"/>
    </row>
    <row r="153" spans="1:10" s="656" customFormat="1" ht="12.75" customHeight="1">
      <c r="A153" s="868" t="s">
        <v>632</v>
      </c>
      <c r="B153" s="1389" t="s">
        <v>177</v>
      </c>
      <c r="C153" s="865">
        <v>3.46</v>
      </c>
      <c r="D153" s="866" t="s">
        <v>1</v>
      </c>
      <c r="E153" s="867" t="e">
        <f>+E136</f>
        <v>#REF!</v>
      </c>
      <c r="F153" s="1345" t="e">
        <f t="shared" si="3"/>
        <v>#REF!</v>
      </c>
      <c r="G153" s="251"/>
      <c r="H153" s="251"/>
      <c r="I153" s="251"/>
      <c r="J153" s="251"/>
    </row>
    <row r="154" spans="1:10" s="656" customFormat="1" ht="12.75" customHeight="1">
      <c r="A154" s="898"/>
      <c r="B154" s="899"/>
      <c r="C154" s="900"/>
      <c r="D154" s="901"/>
      <c r="E154" s="902"/>
      <c r="F154" s="1345">
        <f t="shared" si="3"/>
        <v>0</v>
      </c>
      <c r="G154" s="251"/>
      <c r="H154" s="251"/>
      <c r="I154" s="251"/>
      <c r="J154" s="251"/>
    </row>
    <row r="155" spans="1:10" s="656" customFormat="1" ht="12.75" customHeight="1">
      <c r="A155" s="1408">
        <v>7</v>
      </c>
      <c r="B155" s="882" t="s">
        <v>633</v>
      </c>
      <c r="C155" s="865"/>
      <c r="D155" s="866"/>
      <c r="E155" s="867"/>
      <c r="F155" s="1345">
        <f t="shared" si="3"/>
        <v>0</v>
      </c>
      <c r="G155" s="251"/>
      <c r="H155" s="251"/>
      <c r="I155" s="251"/>
      <c r="J155" s="251"/>
    </row>
    <row r="156" spans="1:10" s="656" customFormat="1" ht="12.75" customHeight="1">
      <c r="A156" s="903">
        <v>7.1</v>
      </c>
      <c r="B156" s="904" t="s">
        <v>634</v>
      </c>
      <c r="C156" s="865"/>
      <c r="D156" s="866"/>
      <c r="E156" s="867"/>
      <c r="F156" s="1345">
        <f t="shared" si="3"/>
        <v>0</v>
      </c>
      <c r="G156" s="251"/>
      <c r="H156" s="251"/>
      <c r="I156" s="251"/>
      <c r="J156" s="251"/>
    </row>
    <row r="157" spans="1:10" s="656" customFormat="1" ht="12.75" customHeight="1">
      <c r="A157" s="898" t="s">
        <v>635</v>
      </c>
      <c r="B157" s="1389" t="s">
        <v>629</v>
      </c>
      <c r="C157" s="865">
        <v>0.34</v>
      </c>
      <c r="D157" s="866" t="s">
        <v>2</v>
      </c>
      <c r="E157" s="867" t="e">
        <f>+'ANALISIS PTAP'!F337</f>
        <v>#REF!</v>
      </c>
      <c r="F157" s="1345" t="e">
        <f t="shared" si="3"/>
        <v>#REF!</v>
      </c>
      <c r="G157" s="251"/>
      <c r="H157" s="251"/>
      <c r="I157" s="251"/>
      <c r="J157" s="251"/>
    </row>
    <row r="158" spans="1:10" s="656" customFormat="1" ht="12.75" customHeight="1">
      <c r="A158" s="898"/>
      <c r="B158" s="869"/>
      <c r="C158" s="865"/>
      <c r="D158" s="866"/>
      <c r="E158" s="867"/>
      <c r="F158" s="1345">
        <f t="shared" si="3"/>
        <v>0</v>
      </c>
      <c r="G158" s="251"/>
      <c r="H158" s="251"/>
      <c r="I158" s="251"/>
      <c r="J158" s="251"/>
    </row>
    <row r="159" spans="1:10" s="656" customFormat="1" ht="12.75" customHeight="1">
      <c r="A159" s="903">
        <v>7.2</v>
      </c>
      <c r="B159" s="882" t="s">
        <v>586</v>
      </c>
      <c r="C159" s="865"/>
      <c r="D159" s="866"/>
      <c r="E159" s="867"/>
      <c r="F159" s="1345">
        <f t="shared" si="3"/>
        <v>0</v>
      </c>
      <c r="G159" s="251"/>
      <c r="H159" s="251"/>
      <c r="I159" s="251"/>
      <c r="J159" s="251"/>
    </row>
    <row r="160" spans="1:10" s="656" customFormat="1" ht="42.75" customHeight="1">
      <c r="A160" s="898" t="s">
        <v>636</v>
      </c>
      <c r="B160" s="1389" t="s">
        <v>587</v>
      </c>
      <c r="C160" s="865">
        <v>4.5</v>
      </c>
      <c r="D160" s="866" t="s">
        <v>11</v>
      </c>
      <c r="E160" s="867" t="e">
        <f>+E151</f>
        <v>#REF!</v>
      </c>
      <c r="F160" s="1345" t="e">
        <f t="shared" si="3"/>
        <v>#REF!</v>
      </c>
      <c r="G160" s="251"/>
      <c r="H160" s="251"/>
      <c r="I160" s="251"/>
      <c r="J160" s="251"/>
    </row>
    <row r="161" spans="1:10" s="656" customFormat="1" ht="12.75" customHeight="1">
      <c r="A161" s="898" t="s">
        <v>637</v>
      </c>
      <c r="B161" s="1389" t="s">
        <v>1226</v>
      </c>
      <c r="C161" s="865">
        <v>33.21</v>
      </c>
      <c r="D161" s="866" t="s">
        <v>11</v>
      </c>
      <c r="E161" s="867" t="e">
        <f>+E152</f>
        <v>#REF!</v>
      </c>
      <c r="F161" s="1345" t="e">
        <f t="shared" si="3"/>
        <v>#REF!</v>
      </c>
      <c r="G161" s="251"/>
      <c r="H161" s="251"/>
      <c r="I161" s="251"/>
      <c r="J161" s="251"/>
    </row>
    <row r="162" spans="1:10" s="656" customFormat="1" ht="12.75" customHeight="1">
      <c r="A162" s="898" t="s">
        <v>638</v>
      </c>
      <c r="B162" s="1389" t="s">
        <v>177</v>
      </c>
      <c r="C162" s="865">
        <v>9.4600000000000009</v>
      </c>
      <c r="D162" s="866" t="s">
        <v>1</v>
      </c>
      <c r="E162" s="867" t="e">
        <f>+E153</f>
        <v>#REF!</v>
      </c>
      <c r="F162" s="1345" t="e">
        <f t="shared" si="3"/>
        <v>#REF!</v>
      </c>
      <c r="G162" s="251"/>
      <c r="H162" s="251"/>
      <c r="I162" s="251"/>
      <c r="J162" s="251"/>
    </row>
    <row r="163" spans="1:10" s="656" customFormat="1" ht="12.75" customHeight="1">
      <c r="A163" s="898"/>
      <c r="B163" s="869"/>
      <c r="C163" s="865"/>
      <c r="D163" s="866"/>
      <c r="E163" s="867"/>
      <c r="F163" s="1345">
        <f t="shared" si="3"/>
        <v>0</v>
      </c>
      <c r="G163" s="251"/>
      <c r="H163" s="251"/>
      <c r="I163" s="251"/>
      <c r="J163" s="251"/>
    </row>
    <row r="164" spans="1:10" s="656" customFormat="1" ht="12.75" customHeight="1">
      <c r="A164" s="903">
        <v>7.3</v>
      </c>
      <c r="B164" s="882" t="s">
        <v>639</v>
      </c>
      <c r="C164" s="865"/>
      <c r="D164" s="866"/>
      <c r="E164" s="867"/>
      <c r="F164" s="1345">
        <f t="shared" si="3"/>
        <v>0</v>
      </c>
      <c r="G164" s="251"/>
      <c r="H164" s="251"/>
      <c r="I164" s="251"/>
      <c r="J164" s="251"/>
    </row>
    <row r="165" spans="1:10" s="656" customFormat="1" ht="25.5" customHeight="1">
      <c r="A165" s="892" t="s">
        <v>640</v>
      </c>
      <c r="B165" s="879" t="s">
        <v>641</v>
      </c>
      <c r="C165" s="865">
        <v>1</v>
      </c>
      <c r="D165" s="866" t="s">
        <v>3</v>
      </c>
      <c r="E165" s="867">
        <v>180000</v>
      </c>
      <c r="F165" s="1345">
        <f t="shared" si="3"/>
        <v>180000</v>
      </c>
      <c r="G165" s="251"/>
      <c r="H165" s="251"/>
      <c r="I165" s="251"/>
      <c r="J165" s="251"/>
    </row>
    <row r="166" spans="1:10" s="656" customFormat="1" ht="12.75" customHeight="1">
      <c r="A166" s="868"/>
      <c r="B166" s="869"/>
      <c r="C166" s="865"/>
      <c r="D166" s="866"/>
      <c r="E166" s="867"/>
      <c r="F166" s="1345">
        <f t="shared" si="3"/>
        <v>0</v>
      </c>
      <c r="G166" s="251"/>
      <c r="H166" s="251"/>
      <c r="I166" s="251"/>
      <c r="J166" s="251"/>
    </row>
    <row r="167" spans="1:10" s="656" customFormat="1" ht="12.75" customHeight="1">
      <c r="A167" s="1408">
        <v>8</v>
      </c>
      <c r="B167" s="882" t="s">
        <v>642</v>
      </c>
      <c r="C167" s="865"/>
      <c r="D167" s="866"/>
      <c r="E167" s="867"/>
      <c r="F167" s="1345">
        <f t="shared" si="3"/>
        <v>0</v>
      </c>
      <c r="G167" s="251"/>
      <c r="H167" s="251"/>
      <c r="I167" s="251"/>
      <c r="J167" s="251"/>
    </row>
    <row r="168" spans="1:10" s="656" customFormat="1" ht="12.75" customHeight="1">
      <c r="A168" s="903">
        <v>8.1</v>
      </c>
      <c r="B168" s="904" t="s">
        <v>634</v>
      </c>
      <c r="C168" s="865"/>
      <c r="D168" s="866"/>
      <c r="E168" s="867"/>
      <c r="F168" s="1345">
        <f t="shared" si="3"/>
        <v>0</v>
      </c>
      <c r="G168" s="251"/>
      <c r="H168" s="251"/>
      <c r="I168" s="251"/>
      <c r="J168" s="251"/>
    </row>
    <row r="169" spans="1:10" s="656" customFormat="1" ht="12.75" customHeight="1">
      <c r="A169" s="898" t="s">
        <v>493</v>
      </c>
      <c r="B169" s="1388" t="s">
        <v>643</v>
      </c>
      <c r="C169" s="865">
        <v>10.69</v>
      </c>
      <c r="D169" s="866" t="s">
        <v>2</v>
      </c>
      <c r="E169" s="867" t="e">
        <f>+'ANALISIS PTAP'!F344</f>
        <v>#REF!</v>
      </c>
      <c r="F169" s="1345" t="e">
        <f t="shared" si="3"/>
        <v>#REF!</v>
      </c>
      <c r="G169" s="251"/>
      <c r="H169" s="251"/>
      <c r="I169" s="251"/>
      <c r="J169" s="251"/>
    </row>
    <row r="170" spans="1:10" s="656" customFormat="1" ht="12.75" customHeight="1">
      <c r="A170" s="898" t="s">
        <v>494</v>
      </c>
      <c r="B170" s="1389" t="s">
        <v>644</v>
      </c>
      <c r="C170" s="865">
        <v>13.15</v>
      </c>
      <c r="D170" s="866" t="s">
        <v>2</v>
      </c>
      <c r="E170" s="867" t="e">
        <f>+'ANALISIS PTAP'!F350</f>
        <v>#REF!</v>
      </c>
      <c r="F170" s="1345" t="e">
        <f t="shared" si="3"/>
        <v>#REF!</v>
      </c>
      <c r="G170" s="251"/>
      <c r="H170" s="251"/>
      <c r="I170" s="251"/>
      <c r="J170" s="251"/>
    </row>
    <row r="171" spans="1:10" s="656" customFormat="1" ht="12.75" customHeight="1">
      <c r="A171" s="898" t="s">
        <v>496</v>
      </c>
      <c r="B171" s="1388" t="s">
        <v>645</v>
      </c>
      <c r="C171" s="865">
        <v>21.77</v>
      </c>
      <c r="D171" s="866" t="s">
        <v>2</v>
      </c>
      <c r="E171" s="867" t="e">
        <f>+'ANALISIS PTAP'!F356</f>
        <v>#REF!</v>
      </c>
      <c r="F171" s="1345" t="e">
        <f t="shared" si="3"/>
        <v>#REF!</v>
      </c>
      <c r="G171" s="251"/>
      <c r="H171" s="251"/>
      <c r="I171" s="251"/>
      <c r="J171" s="251"/>
    </row>
    <row r="172" spans="1:10" s="44" customFormat="1" ht="12.75" customHeight="1">
      <c r="A172" s="898" t="s">
        <v>497</v>
      </c>
      <c r="B172" s="885" t="s">
        <v>646</v>
      </c>
      <c r="C172" s="865">
        <v>4</v>
      </c>
      <c r="D172" s="866" t="s">
        <v>3</v>
      </c>
      <c r="E172" s="867">
        <v>5000</v>
      </c>
      <c r="F172" s="1345">
        <f t="shared" si="3"/>
        <v>20000</v>
      </c>
      <c r="G172" s="251"/>
      <c r="H172" s="251"/>
      <c r="I172" s="251"/>
      <c r="J172" s="251"/>
    </row>
    <row r="173" spans="1:10" s="44" customFormat="1" ht="12.75" customHeight="1">
      <c r="A173" s="898"/>
      <c r="B173" s="869"/>
      <c r="C173" s="865"/>
      <c r="D173" s="866"/>
      <c r="E173" s="867"/>
      <c r="F173" s="1345">
        <f t="shared" si="3"/>
        <v>0</v>
      </c>
      <c r="G173" s="251"/>
      <c r="H173" s="251"/>
      <c r="I173" s="251"/>
      <c r="J173" s="251"/>
    </row>
    <row r="174" spans="1:10" s="44" customFormat="1" ht="12.75" customHeight="1">
      <c r="A174" s="881">
        <v>8.1999999999999993</v>
      </c>
      <c r="B174" s="882" t="s">
        <v>586</v>
      </c>
      <c r="C174" s="865"/>
      <c r="D174" s="905"/>
      <c r="E174" s="867"/>
      <c r="F174" s="1345">
        <f t="shared" si="3"/>
        <v>0</v>
      </c>
      <c r="G174" s="251"/>
      <c r="H174" s="251"/>
      <c r="I174" s="251"/>
      <c r="J174" s="251"/>
    </row>
    <row r="175" spans="1:10" s="44" customFormat="1" ht="12.75" customHeight="1">
      <c r="A175" s="868" t="s">
        <v>506</v>
      </c>
      <c r="B175" s="1389" t="s">
        <v>587</v>
      </c>
      <c r="C175" s="865">
        <v>28.69</v>
      </c>
      <c r="D175" s="866" t="s">
        <v>11</v>
      </c>
      <c r="E175" s="867" t="e">
        <f>+E160</f>
        <v>#REF!</v>
      </c>
      <c r="F175" s="1345" t="e">
        <f t="shared" si="3"/>
        <v>#REF!</v>
      </c>
      <c r="G175" s="251"/>
      <c r="H175" s="251"/>
      <c r="I175" s="251"/>
      <c r="J175" s="251"/>
    </row>
    <row r="176" spans="1:10" s="44" customFormat="1" ht="12.75" customHeight="1">
      <c r="A176" s="868" t="s">
        <v>507</v>
      </c>
      <c r="B176" s="1389" t="s">
        <v>165</v>
      </c>
      <c r="C176" s="865">
        <v>44.57</v>
      </c>
      <c r="D176" s="866" t="s">
        <v>11</v>
      </c>
      <c r="E176" s="867" t="e">
        <f>+E161</f>
        <v>#REF!</v>
      </c>
      <c r="F176" s="1345" t="e">
        <f t="shared" si="3"/>
        <v>#REF!</v>
      </c>
      <c r="G176" s="251"/>
      <c r="H176" s="251"/>
      <c r="I176" s="251"/>
      <c r="J176" s="251"/>
    </row>
    <row r="177" spans="1:10" s="44" customFormat="1" ht="12.75" customHeight="1">
      <c r="A177" s="868" t="s">
        <v>509</v>
      </c>
      <c r="B177" s="1389" t="s">
        <v>177</v>
      </c>
      <c r="C177" s="865">
        <v>28.16</v>
      </c>
      <c r="D177" s="866" t="s">
        <v>13</v>
      </c>
      <c r="E177" s="867" t="e">
        <f>+E162</f>
        <v>#REF!</v>
      </c>
      <c r="F177" s="1345" t="e">
        <f t="shared" si="3"/>
        <v>#REF!</v>
      </c>
      <c r="G177" s="251"/>
      <c r="H177" s="251"/>
      <c r="I177" s="251"/>
      <c r="J177" s="251"/>
    </row>
    <row r="178" spans="1:10" s="44" customFormat="1" ht="12.75" customHeight="1">
      <c r="A178" s="868"/>
      <c r="B178" s="869"/>
      <c r="C178" s="865"/>
      <c r="D178" s="905"/>
      <c r="E178" s="867"/>
      <c r="F178" s="1345">
        <f t="shared" si="3"/>
        <v>0</v>
      </c>
      <c r="G178" s="251"/>
      <c r="H178" s="251"/>
      <c r="I178" s="251"/>
      <c r="J178" s="251"/>
    </row>
    <row r="179" spans="1:10" s="44" customFormat="1" ht="12.75" customHeight="1">
      <c r="A179" s="868">
        <v>8.3000000000000007</v>
      </c>
      <c r="B179" s="869" t="s">
        <v>647</v>
      </c>
      <c r="C179" s="865">
        <v>35.479999999999997</v>
      </c>
      <c r="D179" s="866" t="s">
        <v>2</v>
      </c>
      <c r="E179" s="867">
        <v>6349.9</v>
      </c>
      <c r="F179" s="1345">
        <f t="shared" si="3"/>
        <v>225294.45</v>
      </c>
      <c r="G179" s="251"/>
      <c r="H179" s="251"/>
      <c r="I179" s="251"/>
      <c r="J179" s="251"/>
    </row>
    <row r="180" spans="1:10" s="44" customFormat="1" ht="12.75" customHeight="1">
      <c r="A180" s="868"/>
      <c r="B180" s="869"/>
      <c r="C180" s="865"/>
      <c r="D180" s="866"/>
      <c r="E180" s="867"/>
      <c r="F180" s="1345">
        <f t="shared" si="3"/>
        <v>0</v>
      </c>
      <c r="G180" s="251"/>
      <c r="H180" s="251"/>
      <c r="I180" s="251"/>
      <c r="J180" s="251"/>
    </row>
    <row r="181" spans="1:10" s="44" customFormat="1" ht="12.75" customHeight="1">
      <c r="A181" s="881">
        <v>8.4</v>
      </c>
      <c r="B181" s="882" t="s">
        <v>648</v>
      </c>
      <c r="C181" s="865"/>
      <c r="D181" s="905"/>
      <c r="E181" s="867"/>
      <c r="F181" s="1345">
        <f t="shared" si="3"/>
        <v>0</v>
      </c>
      <c r="G181" s="251"/>
      <c r="H181" s="251"/>
      <c r="I181" s="251"/>
      <c r="J181" s="251"/>
    </row>
    <row r="182" spans="1:10" s="44" customFormat="1" ht="12.75" customHeight="1">
      <c r="A182" s="868" t="s">
        <v>649</v>
      </c>
      <c r="B182" s="869" t="s">
        <v>650</v>
      </c>
      <c r="C182" s="865">
        <v>9.1999999999999993</v>
      </c>
      <c r="D182" s="866" t="s">
        <v>1</v>
      </c>
      <c r="E182" s="867">
        <v>5245.9</v>
      </c>
      <c r="F182" s="1345">
        <f t="shared" si="3"/>
        <v>48262.28</v>
      </c>
      <c r="G182" s="251"/>
      <c r="H182" s="251"/>
      <c r="I182" s="251"/>
      <c r="J182" s="251"/>
    </row>
    <row r="183" spans="1:10" s="44" customFormat="1" ht="12.75" customHeight="1">
      <c r="A183" s="868" t="s">
        <v>651</v>
      </c>
      <c r="B183" s="906" t="s">
        <v>652</v>
      </c>
      <c r="C183" s="907">
        <v>6</v>
      </c>
      <c r="D183" s="908" t="s">
        <v>3</v>
      </c>
      <c r="E183" s="909">
        <v>1000</v>
      </c>
      <c r="F183" s="1345">
        <f t="shared" si="3"/>
        <v>6000</v>
      </c>
      <c r="G183" s="1367"/>
      <c r="H183" s="1367"/>
      <c r="I183" s="1367"/>
      <c r="J183" s="1367"/>
    </row>
    <row r="184" spans="1:10" s="44" customFormat="1" ht="25.5" customHeight="1">
      <c r="A184" s="868" t="s">
        <v>653</v>
      </c>
      <c r="B184" s="891" t="s">
        <v>654</v>
      </c>
      <c r="C184" s="865">
        <v>2</v>
      </c>
      <c r="D184" s="866" t="s">
        <v>3</v>
      </c>
      <c r="E184" s="867">
        <v>272428</v>
      </c>
      <c r="F184" s="1345">
        <f t="shared" si="3"/>
        <v>544856</v>
      </c>
      <c r="G184" s="251"/>
      <c r="H184" s="251"/>
      <c r="I184" s="251"/>
      <c r="J184" s="251"/>
    </row>
    <row r="185" spans="1:10" s="44" customFormat="1" ht="12.75" customHeight="1">
      <c r="A185" s="868" t="s">
        <v>655</v>
      </c>
      <c r="B185" s="869" t="s">
        <v>656</v>
      </c>
      <c r="C185" s="865">
        <v>6</v>
      </c>
      <c r="D185" s="866" t="s">
        <v>3</v>
      </c>
      <c r="E185" s="867">
        <v>2724</v>
      </c>
      <c r="F185" s="1345">
        <f t="shared" si="3"/>
        <v>16344</v>
      </c>
      <c r="G185" s="251"/>
      <c r="H185" s="251"/>
      <c r="I185" s="251"/>
      <c r="J185" s="251"/>
    </row>
    <row r="186" spans="1:10" s="44" customFormat="1" ht="12.75" customHeight="1">
      <c r="A186" s="868" t="s">
        <v>657</v>
      </c>
      <c r="B186" s="869" t="s">
        <v>658</v>
      </c>
      <c r="C186" s="865">
        <v>14</v>
      </c>
      <c r="D186" s="866" t="s">
        <v>3</v>
      </c>
      <c r="E186" s="867">
        <v>250</v>
      </c>
      <c r="F186" s="1345">
        <f t="shared" si="3"/>
        <v>3500</v>
      </c>
      <c r="G186" s="251"/>
      <c r="H186" s="251"/>
      <c r="I186" s="251"/>
      <c r="J186" s="251"/>
    </row>
    <row r="187" spans="1:10" s="44" customFormat="1" ht="63.75" customHeight="1">
      <c r="A187" s="868" t="s">
        <v>659</v>
      </c>
      <c r="B187" s="891" t="s">
        <v>660</v>
      </c>
      <c r="C187" s="865">
        <v>895.25</v>
      </c>
      <c r="D187" s="910" t="s">
        <v>661</v>
      </c>
      <c r="E187" s="867">
        <v>1290</v>
      </c>
      <c r="F187" s="1345">
        <f t="shared" si="3"/>
        <v>1154872.5</v>
      </c>
      <c r="G187" s="251"/>
      <c r="H187" s="251"/>
      <c r="I187" s="251"/>
      <c r="J187" s="251"/>
    </row>
    <row r="188" spans="1:10" s="44" customFormat="1" ht="12.75" customHeight="1">
      <c r="A188" s="868"/>
      <c r="B188" s="869"/>
      <c r="C188" s="865"/>
      <c r="D188" s="866"/>
      <c r="E188" s="867"/>
      <c r="F188" s="1345">
        <f t="shared" si="3"/>
        <v>0</v>
      </c>
      <c r="G188" s="251"/>
      <c r="H188" s="251"/>
      <c r="I188" s="251"/>
      <c r="J188" s="251"/>
    </row>
    <row r="189" spans="1:10" s="44" customFormat="1" ht="12.75" customHeight="1">
      <c r="A189" s="1407">
        <v>9</v>
      </c>
      <c r="B189" s="895" t="s">
        <v>662</v>
      </c>
      <c r="C189" s="865"/>
      <c r="D189" s="866"/>
      <c r="E189" s="867"/>
      <c r="F189" s="1345">
        <f t="shared" si="3"/>
        <v>0</v>
      </c>
      <c r="G189" s="251"/>
      <c r="H189" s="251"/>
      <c r="I189" s="251"/>
      <c r="J189" s="251"/>
    </row>
    <row r="190" spans="1:10" s="44" customFormat="1" ht="12.75" customHeight="1">
      <c r="A190" s="881">
        <v>9.1</v>
      </c>
      <c r="B190" s="904" t="s">
        <v>663</v>
      </c>
      <c r="C190" s="865"/>
      <c r="D190" s="866"/>
      <c r="E190" s="867"/>
      <c r="F190" s="1345">
        <f t="shared" si="3"/>
        <v>0</v>
      </c>
      <c r="G190" s="251"/>
      <c r="H190" s="251"/>
      <c r="I190" s="251"/>
      <c r="J190" s="251"/>
    </row>
    <row r="191" spans="1:10" s="656" customFormat="1" ht="12.75" customHeight="1">
      <c r="A191" s="868" t="s">
        <v>541</v>
      </c>
      <c r="B191" s="1389" t="s">
        <v>664</v>
      </c>
      <c r="C191" s="865">
        <v>0.61</v>
      </c>
      <c r="D191" s="866" t="s">
        <v>2</v>
      </c>
      <c r="E191" s="867" t="e">
        <f>+'ANALISIS PTAP'!F368</f>
        <v>#REF!</v>
      </c>
      <c r="F191" s="1345" t="e">
        <f t="shared" si="3"/>
        <v>#REF!</v>
      </c>
      <c r="G191" s="251"/>
      <c r="H191" s="251"/>
      <c r="I191" s="251"/>
      <c r="J191" s="251"/>
    </row>
    <row r="192" spans="1:10" s="656" customFormat="1" ht="12.75" customHeight="1">
      <c r="A192" s="868" t="s">
        <v>542</v>
      </c>
      <c r="B192" s="1389" t="s">
        <v>613</v>
      </c>
      <c r="C192" s="865">
        <v>0.19</v>
      </c>
      <c r="D192" s="866" t="s">
        <v>2</v>
      </c>
      <c r="E192" s="867" t="e">
        <f>+'ANALISIS PTAP'!F374</f>
        <v>#REF!</v>
      </c>
      <c r="F192" s="1345" t="e">
        <f t="shared" si="3"/>
        <v>#REF!</v>
      </c>
      <c r="G192" s="251"/>
      <c r="H192" s="251"/>
      <c r="I192" s="251"/>
      <c r="J192" s="251"/>
    </row>
    <row r="193" spans="1:10" s="656" customFormat="1" ht="12.75" customHeight="1">
      <c r="A193" s="881"/>
      <c r="B193" s="882"/>
      <c r="C193" s="865"/>
      <c r="D193" s="866"/>
      <c r="E193" s="867"/>
      <c r="F193" s="1345">
        <f t="shared" si="3"/>
        <v>0</v>
      </c>
      <c r="G193" s="251"/>
      <c r="H193" s="251"/>
      <c r="I193" s="251"/>
      <c r="J193" s="251"/>
    </row>
    <row r="194" spans="1:10" s="656" customFormat="1" ht="12.75" customHeight="1">
      <c r="A194" s="881">
        <v>9.1999999999999993</v>
      </c>
      <c r="B194" s="882" t="s">
        <v>665</v>
      </c>
      <c r="C194" s="865"/>
      <c r="D194" s="866"/>
      <c r="E194" s="867"/>
      <c r="F194" s="1345">
        <f t="shared" si="3"/>
        <v>0</v>
      </c>
      <c r="G194" s="251"/>
      <c r="H194" s="251"/>
      <c r="I194" s="251"/>
      <c r="J194" s="251"/>
    </row>
    <row r="195" spans="1:10" s="656" customFormat="1" ht="12.75" customHeight="1">
      <c r="A195" s="868" t="s">
        <v>543</v>
      </c>
      <c r="B195" s="1389" t="s">
        <v>260</v>
      </c>
      <c r="C195" s="865">
        <v>4.25</v>
      </c>
      <c r="D195" s="905" t="s">
        <v>11</v>
      </c>
      <c r="E195" s="867" t="e">
        <f>+E175</f>
        <v>#REF!</v>
      </c>
      <c r="F195" s="1345" t="e">
        <f t="shared" si="3"/>
        <v>#REF!</v>
      </c>
      <c r="G195" s="251"/>
      <c r="H195" s="251"/>
      <c r="I195" s="251"/>
      <c r="J195" s="251"/>
    </row>
    <row r="196" spans="1:10" s="656" customFormat="1" ht="12.75" customHeight="1">
      <c r="A196" s="868" t="s">
        <v>544</v>
      </c>
      <c r="B196" s="1389" t="s">
        <v>165</v>
      </c>
      <c r="C196" s="865">
        <v>15.12</v>
      </c>
      <c r="D196" s="905" t="s">
        <v>11</v>
      </c>
      <c r="E196" s="867" t="e">
        <f>+E176</f>
        <v>#REF!</v>
      </c>
      <c r="F196" s="1345" t="e">
        <f t="shared" si="3"/>
        <v>#REF!</v>
      </c>
      <c r="G196" s="251"/>
      <c r="H196" s="251"/>
      <c r="I196" s="251"/>
      <c r="J196" s="251"/>
    </row>
    <row r="197" spans="1:10" s="656" customFormat="1" ht="12.75" customHeight="1">
      <c r="A197" s="868" t="s">
        <v>545</v>
      </c>
      <c r="B197" s="1389" t="s">
        <v>177</v>
      </c>
      <c r="C197" s="865">
        <v>13.64</v>
      </c>
      <c r="D197" s="905" t="s">
        <v>1</v>
      </c>
      <c r="E197" s="867" t="e">
        <f>+E177</f>
        <v>#REF!</v>
      </c>
      <c r="F197" s="1345" t="e">
        <f t="shared" si="3"/>
        <v>#REF!</v>
      </c>
      <c r="G197" s="251"/>
      <c r="H197" s="251"/>
      <c r="I197" s="251"/>
      <c r="J197" s="251"/>
    </row>
    <row r="198" spans="1:10" s="656" customFormat="1" ht="12.75" customHeight="1">
      <c r="A198" s="868"/>
      <c r="B198" s="869"/>
      <c r="C198" s="865"/>
      <c r="D198" s="866"/>
      <c r="E198" s="867"/>
      <c r="F198" s="1345">
        <f t="shared" si="3"/>
        <v>0</v>
      </c>
      <c r="G198" s="251"/>
      <c r="H198" s="251"/>
      <c r="I198" s="251"/>
      <c r="J198" s="251"/>
    </row>
    <row r="199" spans="1:10" s="656" customFormat="1" ht="12.75" customHeight="1">
      <c r="A199" s="1406">
        <v>10</v>
      </c>
      <c r="B199" s="882" t="s">
        <v>666</v>
      </c>
      <c r="C199" s="865"/>
      <c r="D199" s="866"/>
      <c r="E199" s="867"/>
      <c r="F199" s="1345">
        <f t="shared" si="3"/>
        <v>0</v>
      </c>
      <c r="G199" s="251"/>
      <c r="H199" s="251"/>
      <c r="I199" s="251"/>
      <c r="J199" s="251"/>
    </row>
    <row r="200" spans="1:10" s="656" customFormat="1" ht="12.75" customHeight="1">
      <c r="A200" s="881">
        <v>10.1</v>
      </c>
      <c r="B200" s="882" t="s">
        <v>663</v>
      </c>
      <c r="C200" s="865"/>
      <c r="D200" s="866"/>
      <c r="E200" s="867"/>
      <c r="F200" s="1345">
        <f t="shared" si="3"/>
        <v>0</v>
      </c>
      <c r="G200" s="251"/>
      <c r="H200" s="251"/>
      <c r="I200" s="251"/>
      <c r="J200" s="251"/>
    </row>
    <row r="201" spans="1:10" s="656" customFormat="1" ht="12.75" customHeight="1">
      <c r="A201" s="868" t="s">
        <v>667</v>
      </c>
      <c r="B201" s="1389" t="s">
        <v>668</v>
      </c>
      <c r="C201" s="865">
        <v>1.49</v>
      </c>
      <c r="D201" s="866" t="s">
        <v>2</v>
      </c>
      <c r="E201" s="867" t="e">
        <f>+'ANALISIS PTAP'!F381</f>
        <v>#REF!</v>
      </c>
      <c r="F201" s="1345" t="e">
        <f t="shared" si="3"/>
        <v>#REF!</v>
      </c>
      <c r="G201" s="251"/>
      <c r="H201" s="251"/>
      <c r="I201" s="251"/>
      <c r="J201" s="251"/>
    </row>
    <row r="202" spans="1:10" s="656" customFormat="1" ht="12.75" customHeight="1">
      <c r="A202" s="868"/>
      <c r="B202" s="911"/>
      <c r="C202" s="865"/>
      <c r="D202" s="866"/>
      <c r="E202" s="902"/>
      <c r="F202" s="1345">
        <f t="shared" si="3"/>
        <v>0</v>
      </c>
      <c r="G202" s="251"/>
      <c r="H202" s="251"/>
      <c r="I202" s="251"/>
      <c r="J202" s="251"/>
    </row>
    <row r="203" spans="1:10" s="656" customFormat="1" ht="12.75" customHeight="1">
      <c r="A203" s="881">
        <v>10.199999999999999</v>
      </c>
      <c r="B203" s="882" t="s">
        <v>586</v>
      </c>
      <c r="C203" s="865"/>
      <c r="D203" s="866"/>
      <c r="E203" s="867"/>
      <c r="F203" s="1345">
        <f t="shared" si="3"/>
        <v>0</v>
      </c>
      <c r="G203" s="251"/>
      <c r="H203" s="251"/>
      <c r="I203" s="251"/>
      <c r="J203" s="251"/>
    </row>
    <row r="204" spans="1:10" s="656" customFormat="1" ht="12.75" customHeight="1">
      <c r="A204" s="868" t="s">
        <v>669</v>
      </c>
      <c r="B204" s="1389" t="s">
        <v>587</v>
      </c>
      <c r="C204" s="865">
        <v>4.5</v>
      </c>
      <c r="D204" s="866" t="s">
        <v>11</v>
      </c>
      <c r="E204" s="867" t="e">
        <f>+E195</f>
        <v>#REF!</v>
      </c>
      <c r="F204" s="1345" t="e">
        <f t="shared" si="3"/>
        <v>#REF!</v>
      </c>
      <c r="G204" s="251"/>
      <c r="H204" s="251"/>
      <c r="I204" s="251"/>
      <c r="J204" s="251"/>
    </row>
    <row r="205" spans="1:10" s="656" customFormat="1" ht="12.75" customHeight="1">
      <c r="A205" s="868" t="s">
        <v>670</v>
      </c>
      <c r="B205" s="1389" t="s">
        <v>165</v>
      </c>
      <c r="C205" s="865">
        <v>18.71</v>
      </c>
      <c r="D205" s="866" t="s">
        <v>11</v>
      </c>
      <c r="E205" s="867" t="e">
        <f>+E196</f>
        <v>#REF!</v>
      </c>
      <c r="F205" s="1345" t="e">
        <f t="shared" si="3"/>
        <v>#REF!</v>
      </c>
      <c r="G205" s="251"/>
      <c r="H205" s="251"/>
      <c r="I205" s="251"/>
      <c r="J205" s="251"/>
    </row>
    <row r="206" spans="1:10" s="656" customFormat="1" ht="12.75" customHeight="1">
      <c r="A206" s="892"/>
      <c r="B206" s="891"/>
      <c r="C206" s="865"/>
      <c r="D206" s="866"/>
      <c r="E206" s="867"/>
      <c r="F206" s="1345">
        <f t="shared" si="3"/>
        <v>0</v>
      </c>
      <c r="G206" s="251"/>
      <c r="H206" s="251"/>
      <c r="I206" s="251"/>
      <c r="J206" s="251"/>
    </row>
    <row r="207" spans="1:10" s="656" customFormat="1" ht="12.75" customHeight="1">
      <c r="A207" s="1406">
        <v>11</v>
      </c>
      <c r="B207" s="882" t="s">
        <v>671</v>
      </c>
      <c r="C207" s="865"/>
      <c r="D207" s="866"/>
      <c r="E207" s="867"/>
      <c r="F207" s="1345">
        <f t="shared" si="3"/>
        <v>0</v>
      </c>
      <c r="G207" s="251"/>
      <c r="H207" s="251"/>
      <c r="I207" s="251"/>
      <c r="J207" s="251"/>
    </row>
    <row r="208" spans="1:10" s="656" customFormat="1" ht="12.75" customHeight="1">
      <c r="A208" s="868">
        <v>11.1</v>
      </c>
      <c r="B208" s="1389" t="s">
        <v>629</v>
      </c>
      <c r="C208" s="865">
        <v>2.2999999999999998</v>
      </c>
      <c r="D208" s="866" t="s">
        <v>2</v>
      </c>
      <c r="E208" s="867" t="e">
        <f>+'ANALISIS PTAP'!F388</f>
        <v>#REF!</v>
      </c>
      <c r="F208" s="1345" t="e">
        <f t="shared" si="3"/>
        <v>#REF!</v>
      </c>
      <c r="G208" s="251"/>
      <c r="H208" s="251"/>
      <c r="I208" s="251"/>
      <c r="J208" s="251"/>
    </row>
    <row r="209" spans="1:10" s="656" customFormat="1" ht="12.75" customHeight="1">
      <c r="A209" s="881"/>
      <c r="B209" s="882"/>
      <c r="C209" s="865"/>
      <c r="D209" s="866"/>
      <c r="E209" s="867"/>
      <c r="F209" s="1345">
        <f t="shared" si="3"/>
        <v>0</v>
      </c>
      <c r="G209" s="251"/>
      <c r="H209" s="251"/>
      <c r="I209" s="251"/>
      <c r="J209" s="251"/>
    </row>
    <row r="210" spans="1:10" s="656" customFormat="1" ht="12.75" customHeight="1">
      <c r="A210" s="881">
        <v>11.2</v>
      </c>
      <c r="B210" s="882" t="s">
        <v>586</v>
      </c>
      <c r="C210" s="865"/>
      <c r="D210" s="866"/>
      <c r="E210" s="867"/>
      <c r="F210" s="1345">
        <f t="shared" si="3"/>
        <v>0</v>
      </c>
      <c r="G210" s="251"/>
      <c r="H210" s="251"/>
      <c r="I210" s="251"/>
      <c r="J210" s="251"/>
    </row>
    <row r="211" spans="1:10" s="656" customFormat="1" ht="12.75" customHeight="1">
      <c r="A211" s="868" t="s">
        <v>491</v>
      </c>
      <c r="B211" s="1389" t="s">
        <v>260</v>
      </c>
      <c r="C211" s="865">
        <v>15.36</v>
      </c>
      <c r="D211" s="866" t="s">
        <v>11</v>
      </c>
      <c r="E211" s="867" t="e">
        <f>+E195</f>
        <v>#REF!</v>
      </c>
      <c r="F211" s="1345" t="e">
        <f t="shared" si="3"/>
        <v>#REF!</v>
      </c>
      <c r="G211" s="251"/>
      <c r="H211" s="251"/>
      <c r="I211" s="251"/>
      <c r="J211" s="251"/>
    </row>
    <row r="212" spans="1:10" s="656" customFormat="1" ht="12.75" customHeight="1">
      <c r="A212" s="868" t="s">
        <v>492</v>
      </c>
      <c r="B212" s="1389" t="s">
        <v>165</v>
      </c>
      <c r="C212" s="865">
        <v>73.44</v>
      </c>
      <c r="D212" s="866" t="s">
        <v>11</v>
      </c>
      <c r="E212" s="867" t="e">
        <f>+E196</f>
        <v>#REF!</v>
      </c>
      <c r="F212" s="1345" t="e">
        <f t="shared" si="3"/>
        <v>#REF!</v>
      </c>
      <c r="G212" s="251"/>
      <c r="H212" s="251"/>
      <c r="I212" s="251"/>
      <c r="J212" s="251"/>
    </row>
    <row r="213" spans="1:10" s="656" customFormat="1" ht="12.75" customHeight="1">
      <c r="A213" s="868" t="s">
        <v>672</v>
      </c>
      <c r="B213" s="1389" t="s">
        <v>177</v>
      </c>
      <c r="C213" s="865">
        <v>7.46</v>
      </c>
      <c r="D213" s="905" t="s">
        <v>1</v>
      </c>
      <c r="E213" s="867" t="e">
        <f>+E197</f>
        <v>#REF!</v>
      </c>
      <c r="F213" s="1345" t="e">
        <f t="shared" si="3"/>
        <v>#REF!</v>
      </c>
      <c r="G213" s="251"/>
      <c r="H213" s="251"/>
      <c r="I213" s="251"/>
      <c r="J213" s="251"/>
    </row>
    <row r="214" spans="1:10" s="656" customFormat="1" ht="12.75" customHeight="1">
      <c r="A214" s="881"/>
      <c r="B214" s="882"/>
      <c r="C214" s="865"/>
      <c r="D214" s="866"/>
      <c r="E214" s="867"/>
      <c r="F214" s="1345">
        <f t="shared" si="3"/>
        <v>0</v>
      </c>
      <c r="G214" s="251"/>
      <c r="H214" s="251"/>
      <c r="I214" s="251"/>
      <c r="J214" s="251"/>
    </row>
    <row r="215" spans="1:10" s="656" customFormat="1" ht="12.75" customHeight="1">
      <c r="A215" s="1406">
        <v>12</v>
      </c>
      <c r="B215" s="882" t="s">
        <v>673</v>
      </c>
      <c r="C215" s="865"/>
      <c r="D215" s="866"/>
      <c r="E215" s="867"/>
      <c r="F215" s="1345">
        <f t="shared" ref="F215:F278" si="4">+ROUND((E215*C215),2)</f>
        <v>0</v>
      </c>
      <c r="G215" s="251"/>
      <c r="H215" s="251"/>
      <c r="I215" s="251"/>
      <c r="J215" s="251"/>
    </row>
    <row r="216" spans="1:10" s="656" customFormat="1" ht="12.75" customHeight="1">
      <c r="A216" s="881">
        <v>11.1</v>
      </c>
      <c r="B216" s="882" t="s">
        <v>583</v>
      </c>
      <c r="C216" s="865"/>
      <c r="D216" s="866"/>
      <c r="E216" s="867"/>
      <c r="F216" s="1345">
        <f t="shared" si="4"/>
        <v>0</v>
      </c>
      <c r="G216" s="251"/>
      <c r="H216" s="251"/>
      <c r="I216" s="251"/>
      <c r="J216" s="251"/>
    </row>
    <row r="217" spans="1:10" s="656" customFormat="1" ht="12.75" customHeight="1">
      <c r="A217" s="868" t="s">
        <v>488</v>
      </c>
      <c r="B217" s="1388" t="s">
        <v>674</v>
      </c>
      <c r="C217" s="865">
        <v>14.26</v>
      </c>
      <c r="D217" s="866" t="s">
        <v>2</v>
      </c>
      <c r="E217" s="867" t="e">
        <f>+'ANALISIS PTAP'!F395</f>
        <v>#REF!</v>
      </c>
      <c r="F217" s="1345" t="e">
        <f t="shared" si="4"/>
        <v>#REF!</v>
      </c>
      <c r="G217" s="251"/>
      <c r="H217" s="251"/>
      <c r="I217" s="251"/>
      <c r="J217" s="251"/>
    </row>
    <row r="218" spans="1:10" s="656" customFormat="1" ht="12.75" customHeight="1">
      <c r="A218" s="868" t="s">
        <v>489</v>
      </c>
      <c r="B218" s="1389" t="s">
        <v>675</v>
      </c>
      <c r="C218" s="865">
        <v>36.79</v>
      </c>
      <c r="D218" s="866" t="s">
        <v>2</v>
      </c>
      <c r="E218" s="867" t="e">
        <f>+'ANALISIS PTAP'!F401</f>
        <v>#REF!</v>
      </c>
      <c r="F218" s="1345" t="e">
        <f t="shared" si="4"/>
        <v>#REF!</v>
      </c>
      <c r="G218" s="251"/>
      <c r="H218" s="251"/>
      <c r="I218" s="251"/>
      <c r="J218" s="251"/>
    </row>
    <row r="219" spans="1:10" s="656" customFormat="1" ht="12.75" customHeight="1">
      <c r="A219" s="868" t="s">
        <v>612</v>
      </c>
      <c r="B219" s="1389" t="s">
        <v>613</v>
      </c>
      <c r="C219" s="865">
        <v>48.19</v>
      </c>
      <c r="D219" s="866" t="s">
        <v>2</v>
      </c>
      <c r="E219" s="867" t="e">
        <f>+'ANALISIS PTAP'!F407</f>
        <v>#REF!</v>
      </c>
      <c r="F219" s="1345" t="e">
        <f t="shared" si="4"/>
        <v>#REF!</v>
      </c>
      <c r="G219" s="251"/>
      <c r="H219" s="251"/>
      <c r="I219" s="251"/>
      <c r="J219" s="251"/>
    </row>
    <row r="220" spans="1:10" s="656" customFormat="1" ht="12.75" customHeight="1">
      <c r="A220" s="868" t="s">
        <v>490</v>
      </c>
      <c r="B220" s="1388" t="s">
        <v>676</v>
      </c>
      <c r="C220" s="865">
        <v>2.34</v>
      </c>
      <c r="D220" s="866" t="s">
        <v>2</v>
      </c>
      <c r="E220" s="867" t="e">
        <f>+'ANALISIS PTAP'!F413</f>
        <v>#REF!</v>
      </c>
      <c r="F220" s="1345" t="e">
        <f t="shared" si="4"/>
        <v>#REF!</v>
      </c>
      <c r="G220" s="251"/>
      <c r="H220" s="251"/>
      <c r="I220" s="251"/>
      <c r="J220" s="251"/>
    </row>
    <row r="221" spans="1:10" s="656" customFormat="1" ht="12.75" customHeight="1">
      <c r="A221" s="868"/>
      <c r="B221" s="869"/>
      <c r="C221" s="865"/>
      <c r="D221" s="866"/>
      <c r="E221" s="867"/>
      <c r="F221" s="1345">
        <f t="shared" si="4"/>
        <v>0</v>
      </c>
      <c r="G221" s="251"/>
      <c r="H221" s="251"/>
      <c r="I221" s="251"/>
      <c r="J221" s="251"/>
    </row>
    <row r="222" spans="1:10" s="656" customFormat="1" ht="12.75" customHeight="1">
      <c r="A222" s="881">
        <v>11.2</v>
      </c>
      <c r="B222" s="882" t="s">
        <v>586</v>
      </c>
      <c r="C222" s="865"/>
      <c r="D222" s="866"/>
      <c r="E222" s="867"/>
      <c r="F222" s="1345">
        <f t="shared" si="4"/>
        <v>0</v>
      </c>
      <c r="G222" s="251"/>
      <c r="H222" s="251"/>
      <c r="I222" s="251"/>
      <c r="J222" s="251"/>
    </row>
    <row r="223" spans="1:10" s="656" customFormat="1" ht="12.75" customHeight="1">
      <c r="A223" s="868" t="s">
        <v>491</v>
      </c>
      <c r="B223" s="1389" t="s">
        <v>587</v>
      </c>
      <c r="C223" s="865">
        <v>21.06</v>
      </c>
      <c r="D223" s="866" t="s">
        <v>11</v>
      </c>
      <c r="E223" s="867" t="e">
        <f>+E211</f>
        <v>#REF!</v>
      </c>
      <c r="F223" s="1345" t="e">
        <f t="shared" si="4"/>
        <v>#REF!</v>
      </c>
      <c r="G223" s="251"/>
      <c r="H223" s="251"/>
      <c r="I223" s="251"/>
      <c r="J223" s="251"/>
    </row>
    <row r="224" spans="1:10" s="656" customFormat="1" ht="12.75" customHeight="1">
      <c r="A224" s="868" t="s">
        <v>492</v>
      </c>
      <c r="B224" s="1390" t="s">
        <v>165</v>
      </c>
      <c r="C224" s="865">
        <v>181.86</v>
      </c>
      <c r="D224" s="866" t="s">
        <v>11</v>
      </c>
      <c r="E224" s="867" t="e">
        <f>+E212</f>
        <v>#REF!</v>
      </c>
      <c r="F224" s="1345" t="e">
        <f t="shared" si="4"/>
        <v>#REF!</v>
      </c>
      <c r="G224" s="251"/>
      <c r="H224" s="251"/>
      <c r="I224" s="251"/>
      <c r="J224" s="251"/>
    </row>
    <row r="225" spans="1:10" s="656" customFormat="1" ht="12.75" customHeight="1">
      <c r="A225" s="868" t="s">
        <v>672</v>
      </c>
      <c r="B225" s="1390" t="s">
        <v>177</v>
      </c>
      <c r="C225" s="865">
        <v>116.41</v>
      </c>
      <c r="D225" s="866" t="s">
        <v>13</v>
      </c>
      <c r="E225" s="867" t="e">
        <f>+E213</f>
        <v>#REF!</v>
      </c>
      <c r="F225" s="1345" t="e">
        <f t="shared" si="4"/>
        <v>#REF!</v>
      </c>
      <c r="G225" s="251"/>
      <c r="H225" s="251"/>
      <c r="I225" s="251"/>
      <c r="J225" s="251"/>
    </row>
    <row r="226" spans="1:10" s="656" customFormat="1" ht="12.75" customHeight="1">
      <c r="A226" s="881"/>
      <c r="B226" s="882"/>
      <c r="C226" s="865"/>
      <c r="D226" s="866"/>
      <c r="E226" s="867"/>
      <c r="F226" s="1345">
        <f t="shared" si="4"/>
        <v>0</v>
      </c>
      <c r="G226" s="251"/>
      <c r="H226" s="251"/>
      <c r="I226" s="251"/>
      <c r="J226" s="251"/>
    </row>
    <row r="227" spans="1:10" s="656" customFormat="1" ht="12.75" customHeight="1">
      <c r="A227" s="868">
        <v>11.4</v>
      </c>
      <c r="B227" s="1389" t="s">
        <v>677</v>
      </c>
      <c r="C227" s="865">
        <v>0.45</v>
      </c>
      <c r="D227" s="866" t="s">
        <v>2</v>
      </c>
      <c r="E227" s="867" t="e">
        <f>+E140</f>
        <v>#REF!</v>
      </c>
      <c r="F227" s="1345" t="e">
        <f t="shared" si="4"/>
        <v>#REF!</v>
      </c>
      <c r="G227" s="251"/>
      <c r="H227" s="251"/>
      <c r="I227" s="251"/>
      <c r="J227" s="251"/>
    </row>
    <row r="228" spans="1:10" s="656" customFormat="1" ht="12.75" customHeight="1">
      <c r="A228" s="868"/>
      <c r="B228" s="869"/>
      <c r="C228" s="865"/>
      <c r="D228" s="866"/>
      <c r="E228" s="867"/>
      <c r="F228" s="1345">
        <f t="shared" si="4"/>
        <v>0</v>
      </c>
      <c r="G228" s="251"/>
      <c r="H228" s="251"/>
      <c r="I228" s="251"/>
      <c r="J228" s="251"/>
    </row>
    <row r="229" spans="1:10" s="656" customFormat="1" ht="12.75" customHeight="1">
      <c r="A229" s="881">
        <v>11.5</v>
      </c>
      <c r="B229" s="883" t="s">
        <v>678</v>
      </c>
      <c r="C229" s="865"/>
      <c r="D229" s="866"/>
      <c r="E229" s="867"/>
      <c r="F229" s="1345">
        <f t="shared" si="4"/>
        <v>0</v>
      </c>
      <c r="G229" s="251"/>
      <c r="H229" s="251"/>
      <c r="I229" s="251"/>
      <c r="J229" s="251"/>
    </row>
    <row r="230" spans="1:10" s="656" customFormat="1" ht="12.75" customHeight="1">
      <c r="A230" s="881" t="s">
        <v>679</v>
      </c>
      <c r="B230" s="883" t="s">
        <v>583</v>
      </c>
      <c r="C230" s="865"/>
      <c r="D230" s="866"/>
      <c r="E230" s="867"/>
      <c r="F230" s="1345">
        <f t="shared" si="4"/>
        <v>0</v>
      </c>
      <c r="G230" s="251"/>
      <c r="H230" s="251"/>
      <c r="I230" s="251"/>
      <c r="J230" s="251"/>
    </row>
    <row r="231" spans="1:10" s="656" customFormat="1" ht="12.75" customHeight="1">
      <c r="A231" s="868" t="s">
        <v>680</v>
      </c>
      <c r="B231" s="1389" t="s">
        <v>681</v>
      </c>
      <c r="C231" s="865">
        <v>0.65</v>
      </c>
      <c r="D231" s="866" t="s">
        <v>2</v>
      </c>
      <c r="E231" s="867" t="e">
        <f>+'ANALISIS PTAP'!F420</f>
        <v>#REF!</v>
      </c>
      <c r="F231" s="1345" t="e">
        <f t="shared" si="4"/>
        <v>#REF!</v>
      </c>
      <c r="G231" s="251"/>
      <c r="H231" s="251"/>
      <c r="I231" s="251"/>
      <c r="J231" s="251"/>
    </row>
    <row r="232" spans="1:10" s="656" customFormat="1" ht="12.75" customHeight="1">
      <c r="A232" s="868" t="s">
        <v>682</v>
      </c>
      <c r="B232" s="1389" t="s">
        <v>683</v>
      </c>
      <c r="C232" s="865">
        <v>0.86</v>
      </c>
      <c r="D232" s="866" t="s">
        <v>2</v>
      </c>
      <c r="E232" s="867" t="e">
        <f>+'ANALISIS PTAP'!F426</f>
        <v>#REF!</v>
      </c>
      <c r="F232" s="1345" t="e">
        <f t="shared" si="4"/>
        <v>#REF!</v>
      </c>
      <c r="G232" s="251"/>
      <c r="H232" s="251"/>
      <c r="I232" s="251"/>
      <c r="J232" s="251"/>
    </row>
    <row r="233" spans="1:10" s="656" customFormat="1" ht="12.75" customHeight="1">
      <c r="A233" s="868"/>
      <c r="B233" s="869"/>
      <c r="C233" s="865"/>
      <c r="D233" s="866"/>
      <c r="E233" s="867"/>
      <c r="F233" s="1345">
        <f t="shared" si="4"/>
        <v>0</v>
      </c>
      <c r="G233" s="251"/>
      <c r="H233" s="251"/>
      <c r="I233" s="251"/>
      <c r="J233" s="251"/>
    </row>
    <row r="234" spans="1:10" s="656" customFormat="1" ht="12.75" customHeight="1">
      <c r="A234" s="881" t="s">
        <v>684</v>
      </c>
      <c r="B234" s="882" t="s">
        <v>586</v>
      </c>
      <c r="C234" s="865"/>
      <c r="D234" s="866"/>
      <c r="E234" s="867"/>
      <c r="F234" s="1345">
        <f t="shared" si="4"/>
        <v>0</v>
      </c>
      <c r="G234" s="251"/>
      <c r="H234" s="251"/>
      <c r="I234" s="251"/>
      <c r="J234" s="251"/>
    </row>
    <row r="235" spans="1:10" s="656" customFormat="1" ht="12.75" customHeight="1">
      <c r="A235" s="868" t="s">
        <v>685</v>
      </c>
      <c r="B235" s="1389" t="s">
        <v>587</v>
      </c>
      <c r="C235" s="865">
        <v>4.3600000000000003</v>
      </c>
      <c r="D235" s="866" t="s">
        <v>11</v>
      </c>
      <c r="E235" s="867" t="e">
        <f>+E223</f>
        <v>#REF!</v>
      </c>
      <c r="F235" s="1345" t="e">
        <f t="shared" si="4"/>
        <v>#REF!</v>
      </c>
      <c r="G235" s="251"/>
      <c r="H235" s="251"/>
      <c r="I235" s="251"/>
      <c r="J235" s="251"/>
    </row>
    <row r="236" spans="1:10" s="656" customFormat="1" ht="12.75" customHeight="1">
      <c r="A236" s="868" t="s">
        <v>686</v>
      </c>
      <c r="B236" s="1389" t="s">
        <v>165</v>
      </c>
      <c r="C236" s="865">
        <v>23.76</v>
      </c>
      <c r="D236" s="866" t="s">
        <v>11</v>
      </c>
      <c r="E236" s="867" t="e">
        <f>+E224</f>
        <v>#REF!</v>
      </c>
      <c r="F236" s="1345" t="e">
        <f t="shared" si="4"/>
        <v>#REF!</v>
      </c>
      <c r="G236" s="251"/>
      <c r="H236" s="251"/>
      <c r="I236" s="251"/>
      <c r="J236" s="251"/>
    </row>
    <row r="237" spans="1:10" s="656" customFormat="1" ht="12.75" customHeight="1">
      <c r="A237" s="868" t="s">
        <v>687</v>
      </c>
      <c r="B237" s="1389" t="s">
        <v>177</v>
      </c>
      <c r="C237" s="865">
        <v>11.4</v>
      </c>
      <c r="D237" s="866" t="s">
        <v>1</v>
      </c>
      <c r="E237" s="867" t="e">
        <f>+E225</f>
        <v>#REF!</v>
      </c>
      <c r="F237" s="1345" t="e">
        <f t="shared" si="4"/>
        <v>#REF!</v>
      </c>
      <c r="G237" s="251"/>
      <c r="H237" s="251"/>
      <c r="I237" s="251"/>
      <c r="J237" s="251"/>
    </row>
    <row r="238" spans="1:10" s="656" customFormat="1" ht="12.75" customHeight="1">
      <c r="A238" s="868"/>
      <c r="B238" s="869"/>
      <c r="C238" s="865"/>
      <c r="D238" s="866"/>
      <c r="E238" s="867"/>
      <c r="F238" s="1345">
        <f t="shared" si="4"/>
        <v>0</v>
      </c>
      <c r="G238" s="251"/>
      <c r="H238" s="251"/>
      <c r="I238" s="251"/>
      <c r="J238" s="251"/>
    </row>
    <row r="239" spans="1:10" s="656" customFormat="1" ht="25.5" customHeight="1">
      <c r="A239" s="893">
        <v>11.6</v>
      </c>
      <c r="B239" s="891" t="s">
        <v>688</v>
      </c>
      <c r="C239" s="865">
        <v>1</v>
      </c>
      <c r="D239" s="866" t="s">
        <v>689</v>
      </c>
      <c r="E239" s="867">
        <v>950000</v>
      </c>
      <c r="F239" s="1345">
        <f t="shared" si="4"/>
        <v>950000</v>
      </c>
      <c r="G239" s="251"/>
      <c r="H239" s="251"/>
      <c r="I239" s="251"/>
      <c r="J239" s="251"/>
    </row>
    <row r="240" spans="1:10" s="656" customFormat="1" ht="12.75" customHeight="1">
      <c r="A240" s="881"/>
      <c r="B240" s="882"/>
      <c r="C240" s="865"/>
      <c r="D240" s="866"/>
      <c r="E240" s="867"/>
      <c r="F240" s="1345">
        <f t="shared" si="4"/>
        <v>0</v>
      </c>
      <c r="G240" s="251"/>
      <c r="H240" s="251"/>
      <c r="I240" s="251"/>
      <c r="J240" s="251"/>
    </row>
    <row r="241" spans="1:10" s="656" customFormat="1" ht="12.75" customHeight="1">
      <c r="A241" s="881">
        <v>11.7</v>
      </c>
      <c r="B241" s="882" t="s">
        <v>690</v>
      </c>
      <c r="C241" s="865"/>
      <c r="D241" s="866"/>
      <c r="E241" s="867"/>
      <c r="F241" s="1345">
        <f t="shared" si="4"/>
        <v>0</v>
      </c>
      <c r="G241" s="251"/>
      <c r="H241" s="251"/>
      <c r="I241" s="251"/>
      <c r="J241" s="251"/>
    </row>
    <row r="242" spans="1:10" s="656" customFormat="1" ht="12.75" customHeight="1">
      <c r="A242" s="868" t="s">
        <v>691</v>
      </c>
      <c r="B242" s="869" t="s">
        <v>692</v>
      </c>
      <c r="C242" s="865">
        <v>12</v>
      </c>
      <c r="D242" s="866" t="s">
        <v>2</v>
      </c>
      <c r="E242" s="867">
        <v>8964.48</v>
      </c>
      <c r="F242" s="1345">
        <f t="shared" si="4"/>
        <v>107573.75999999999</v>
      </c>
      <c r="G242" s="251"/>
      <c r="H242" s="251"/>
      <c r="I242" s="251"/>
      <c r="J242" s="251"/>
    </row>
    <row r="243" spans="1:10" s="656" customFormat="1" ht="12.75" customHeight="1">
      <c r="A243" s="868" t="s">
        <v>693</v>
      </c>
      <c r="B243" s="869" t="s">
        <v>694</v>
      </c>
      <c r="C243" s="865">
        <f>+C242</f>
        <v>12</v>
      </c>
      <c r="D243" s="866" t="s">
        <v>2</v>
      </c>
      <c r="E243" s="867">
        <v>605</v>
      </c>
      <c r="F243" s="1345">
        <f t="shared" si="4"/>
        <v>7260</v>
      </c>
      <c r="G243" s="251"/>
      <c r="H243" s="251"/>
      <c r="I243" s="251"/>
      <c r="J243" s="251"/>
    </row>
    <row r="244" spans="1:10" s="656" customFormat="1" ht="12.75" customHeight="1">
      <c r="A244" s="868" t="s">
        <v>695</v>
      </c>
      <c r="B244" s="869" t="s">
        <v>696</v>
      </c>
      <c r="C244" s="865">
        <f>+C243</f>
        <v>12</v>
      </c>
      <c r="D244" s="866" t="s">
        <v>2</v>
      </c>
      <c r="E244" s="867">
        <v>550</v>
      </c>
      <c r="F244" s="1345">
        <f t="shared" si="4"/>
        <v>6600</v>
      </c>
      <c r="G244" s="251"/>
      <c r="H244" s="251"/>
      <c r="I244" s="251"/>
      <c r="J244" s="251"/>
    </row>
    <row r="245" spans="1:10" s="656" customFormat="1" ht="12.75" customHeight="1">
      <c r="A245" s="868"/>
      <c r="B245" s="869"/>
      <c r="C245" s="865"/>
      <c r="D245" s="866"/>
      <c r="E245" s="867"/>
      <c r="F245" s="1345">
        <f t="shared" si="4"/>
        <v>0</v>
      </c>
      <c r="G245" s="251"/>
      <c r="H245" s="251"/>
      <c r="I245" s="251"/>
      <c r="J245" s="251"/>
    </row>
    <row r="246" spans="1:10" s="656" customFormat="1" ht="12.75" customHeight="1">
      <c r="A246" s="881">
        <v>11.8</v>
      </c>
      <c r="B246" s="882" t="s">
        <v>697</v>
      </c>
      <c r="C246" s="865"/>
      <c r="D246" s="866"/>
      <c r="E246" s="867"/>
      <c r="F246" s="1345">
        <f t="shared" si="4"/>
        <v>0</v>
      </c>
      <c r="G246" s="251"/>
      <c r="H246" s="251"/>
      <c r="I246" s="251"/>
      <c r="J246" s="251"/>
    </row>
    <row r="247" spans="1:10" s="656" customFormat="1" ht="25.5" customHeight="1">
      <c r="A247" s="892" t="s">
        <v>698</v>
      </c>
      <c r="B247" s="891" t="s">
        <v>699</v>
      </c>
      <c r="C247" s="865">
        <v>6</v>
      </c>
      <c r="D247" s="866" t="s">
        <v>3</v>
      </c>
      <c r="E247" s="867">
        <v>27888.89</v>
      </c>
      <c r="F247" s="1345">
        <f t="shared" si="4"/>
        <v>167333.34</v>
      </c>
      <c r="G247" s="251"/>
      <c r="H247" s="251"/>
      <c r="I247" s="251"/>
      <c r="J247" s="251"/>
    </row>
    <row r="248" spans="1:10" s="656" customFormat="1" ht="25.5" customHeight="1">
      <c r="A248" s="892" t="s">
        <v>700</v>
      </c>
      <c r="B248" s="891" t="s">
        <v>701</v>
      </c>
      <c r="C248" s="865">
        <v>6</v>
      </c>
      <c r="D248" s="866" t="s">
        <v>3</v>
      </c>
      <c r="E248" s="867">
        <v>27888.89</v>
      </c>
      <c r="F248" s="1345">
        <f t="shared" si="4"/>
        <v>167333.34</v>
      </c>
      <c r="G248" s="251"/>
      <c r="H248" s="251"/>
      <c r="I248" s="251"/>
      <c r="J248" s="251"/>
    </row>
    <row r="249" spans="1:10" s="656" customFormat="1" ht="12.75" customHeight="1">
      <c r="A249" s="892" t="s">
        <v>702</v>
      </c>
      <c r="B249" s="891" t="s">
        <v>703</v>
      </c>
      <c r="C249" s="865">
        <v>6</v>
      </c>
      <c r="D249" s="866" t="s">
        <v>3</v>
      </c>
      <c r="E249" s="867">
        <v>27888.89</v>
      </c>
      <c r="F249" s="1345">
        <f t="shared" si="4"/>
        <v>167333.34</v>
      </c>
      <c r="G249" s="251"/>
      <c r="H249" s="251"/>
      <c r="I249" s="251"/>
      <c r="J249" s="251"/>
    </row>
    <row r="250" spans="1:10" s="656" customFormat="1" ht="25.5" customHeight="1">
      <c r="A250" s="892" t="s">
        <v>704</v>
      </c>
      <c r="B250" s="891" t="s">
        <v>705</v>
      </c>
      <c r="C250" s="865">
        <v>1</v>
      </c>
      <c r="D250" s="866" t="s">
        <v>3</v>
      </c>
      <c r="E250" s="867">
        <v>27888.89</v>
      </c>
      <c r="F250" s="1345">
        <f t="shared" si="4"/>
        <v>27888.89</v>
      </c>
      <c r="G250" s="251"/>
      <c r="H250" s="251"/>
      <c r="I250" s="251"/>
      <c r="J250" s="251"/>
    </row>
    <row r="251" spans="1:10" s="656" customFormat="1" ht="12.75" customHeight="1">
      <c r="A251" s="892" t="s">
        <v>706</v>
      </c>
      <c r="B251" s="899" t="s">
        <v>707</v>
      </c>
      <c r="C251" s="900">
        <v>6</v>
      </c>
      <c r="D251" s="901" t="s">
        <v>3</v>
      </c>
      <c r="E251" s="902">
        <v>62701.49</v>
      </c>
      <c r="F251" s="1345">
        <f t="shared" si="4"/>
        <v>376208.94</v>
      </c>
      <c r="G251" s="1368"/>
      <c r="H251" s="1368"/>
      <c r="I251" s="1368"/>
      <c r="J251" s="1368"/>
    </row>
    <row r="252" spans="1:10" s="656" customFormat="1" ht="12.75" customHeight="1">
      <c r="A252" s="868" t="s">
        <v>708</v>
      </c>
      <c r="B252" s="869" t="s">
        <v>709</v>
      </c>
      <c r="C252" s="865">
        <v>6</v>
      </c>
      <c r="D252" s="866" t="s">
        <v>3</v>
      </c>
      <c r="E252" s="867">
        <v>700</v>
      </c>
      <c r="F252" s="1345">
        <f t="shared" si="4"/>
        <v>4200</v>
      </c>
      <c r="G252" s="251"/>
      <c r="H252" s="251"/>
      <c r="I252" s="251"/>
      <c r="J252" s="251"/>
    </row>
    <row r="253" spans="1:10" s="656" customFormat="1" ht="12.75" customHeight="1">
      <c r="A253" s="868"/>
      <c r="B253" s="869"/>
      <c r="C253" s="865"/>
      <c r="D253" s="866"/>
      <c r="E253" s="867"/>
      <c r="F253" s="1345">
        <f t="shared" si="4"/>
        <v>0</v>
      </c>
      <c r="G253" s="251"/>
      <c r="H253" s="251"/>
      <c r="I253" s="251"/>
      <c r="J253" s="251"/>
    </row>
    <row r="254" spans="1:10" s="656" customFormat="1" ht="12.75" customHeight="1">
      <c r="A254" s="881">
        <v>12</v>
      </c>
      <c r="B254" s="887" t="s">
        <v>710</v>
      </c>
      <c r="C254" s="865"/>
      <c r="D254" s="866"/>
      <c r="E254" s="867"/>
      <c r="F254" s="1345">
        <f t="shared" si="4"/>
        <v>0</v>
      </c>
      <c r="G254" s="251"/>
      <c r="H254" s="251"/>
      <c r="I254" s="251"/>
      <c r="J254" s="251"/>
    </row>
    <row r="255" spans="1:10" s="656" customFormat="1" ht="12.75" customHeight="1">
      <c r="A255" s="868">
        <v>12.1</v>
      </c>
      <c r="B255" s="869" t="s">
        <v>711</v>
      </c>
      <c r="C255" s="865">
        <v>20</v>
      </c>
      <c r="D255" s="866" t="s">
        <v>712</v>
      </c>
      <c r="E255" s="867">
        <v>2454.27</v>
      </c>
      <c r="F255" s="1345">
        <f t="shared" si="4"/>
        <v>49085.4</v>
      </c>
      <c r="G255" s="251"/>
      <c r="H255" s="251"/>
      <c r="I255" s="251"/>
      <c r="J255" s="251"/>
    </row>
    <row r="256" spans="1:10" s="656" customFormat="1" ht="12.75" customHeight="1">
      <c r="A256" s="868">
        <v>12.2</v>
      </c>
      <c r="B256" s="869" t="s">
        <v>713</v>
      </c>
      <c r="C256" s="865">
        <v>1</v>
      </c>
      <c r="D256" s="866" t="s">
        <v>3</v>
      </c>
      <c r="E256" s="912">
        <v>8677.2999999999993</v>
      </c>
      <c r="F256" s="1345">
        <f t="shared" si="4"/>
        <v>8677.2999999999993</v>
      </c>
      <c r="G256" s="251"/>
      <c r="H256" s="251"/>
      <c r="I256" s="251"/>
      <c r="J256" s="251"/>
    </row>
    <row r="257" spans="1:10" s="656" customFormat="1" ht="12.75" customHeight="1">
      <c r="A257" s="868">
        <v>12.3</v>
      </c>
      <c r="B257" s="869" t="s">
        <v>714</v>
      </c>
      <c r="C257" s="865">
        <v>1</v>
      </c>
      <c r="D257" s="866" t="s">
        <v>3</v>
      </c>
      <c r="E257" s="867">
        <v>8700.5</v>
      </c>
      <c r="F257" s="1345">
        <f t="shared" si="4"/>
        <v>8700.5</v>
      </c>
      <c r="G257" s="251"/>
      <c r="H257" s="251"/>
      <c r="I257" s="251"/>
      <c r="J257" s="251"/>
    </row>
    <row r="258" spans="1:10" s="656" customFormat="1" ht="12.75" customHeight="1">
      <c r="A258" s="868"/>
      <c r="B258" s="911"/>
      <c r="C258" s="865"/>
      <c r="D258" s="866"/>
      <c r="E258" s="902"/>
      <c r="F258" s="1345">
        <f t="shared" si="4"/>
        <v>0</v>
      </c>
      <c r="G258" s="251"/>
      <c r="H258" s="251"/>
      <c r="I258" s="251"/>
      <c r="J258" s="251"/>
    </row>
    <row r="259" spans="1:10" s="656" customFormat="1" ht="12.75" customHeight="1">
      <c r="A259" s="1406">
        <v>13</v>
      </c>
      <c r="B259" s="887" t="s">
        <v>715</v>
      </c>
      <c r="C259" s="865"/>
      <c r="D259" s="866"/>
      <c r="E259" s="867"/>
      <c r="F259" s="1345">
        <f t="shared" si="4"/>
        <v>0</v>
      </c>
      <c r="G259" s="251"/>
      <c r="H259" s="251"/>
      <c r="I259" s="251"/>
      <c r="J259" s="251"/>
    </row>
    <row r="260" spans="1:10" s="656" customFormat="1" ht="12.75" customHeight="1">
      <c r="A260" s="881">
        <v>13.1</v>
      </c>
      <c r="B260" s="882" t="s">
        <v>663</v>
      </c>
      <c r="C260" s="865"/>
      <c r="D260" s="866"/>
      <c r="E260" s="867"/>
      <c r="F260" s="1345">
        <f t="shared" si="4"/>
        <v>0</v>
      </c>
      <c r="G260" s="251"/>
      <c r="H260" s="251"/>
      <c r="I260" s="251"/>
      <c r="J260" s="251"/>
    </row>
    <row r="261" spans="1:10" s="656" customFormat="1" ht="12.75" customHeight="1">
      <c r="A261" s="868" t="s">
        <v>716</v>
      </c>
      <c r="B261" s="1389" t="s">
        <v>629</v>
      </c>
      <c r="C261" s="865">
        <v>0.88</v>
      </c>
      <c r="D261" s="866" t="s">
        <v>2</v>
      </c>
      <c r="E261" s="867" t="e">
        <f>+'ANALISIS PTAP'!F433</f>
        <v>#REF!</v>
      </c>
      <c r="F261" s="1345" t="e">
        <f t="shared" si="4"/>
        <v>#REF!</v>
      </c>
      <c r="G261" s="251"/>
      <c r="H261" s="251"/>
      <c r="I261" s="251"/>
      <c r="J261" s="251"/>
    </row>
    <row r="262" spans="1:10" s="656" customFormat="1" ht="12.75" customHeight="1">
      <c r="A262" s="868"/>
      <c r="B262" s="911"/>
      <c r="C262" s="865"/>
      <c r="D262" s="866"/>
      <c r="E262" s="902"/>
      <c r="F262" s="1345">
        <f t="shared" si="4"/>
        <v>0</v>
      </c>
      <c r="G262" s="251"/>
      <c r="H262" s="251"/>
      <c r="I262" s="251"/>
      <c r="J262" s="251"/>
    </row>
    <row r="263" spans="1:10" s="656" customFormat="1" ht="12.75" customHeight="1">
      <c r="A263" s="881">
        <v>13.2</v>
      </c>
      <c r="B263" s="882" t="s">
        <v>586</v>
      </c>
      <c r="C263" s="865"/>
      <c r="D263" s="866"/>
      <c r="E263" s="867"/>
      <c r="F263" s="1345">
        <f t="shared" si="4"/>
        <v>0</v>
      </c>
      <c r="G263" s="251"/>
      <c r="H263" s="251"/>
      <c r="I263" s="251"/>
      <c r="J263" s="251"/>
    </row>
    <row r="264" spans="1:10" s="656" customFormat="1" ht="12.75" customHeight="1">
      <c r="A264" s="868" t="s">
        <v>717</v>
      </c>
      <c r="B264" s="1389" t="s">
        <v>587</v>
      </c>
      <c r="C264" s="865">
        <v>5.85</v>
      </c>
      <c r="D264" s="866" t="s">
        <v>11</v>
      </c>
      <c r="E264" s="867" t="e">
        <f>+E235</f>
        <v>#REF!</v>
      </c>
      <c r="F264" s="1345" t="e">
        <f t="shared" si="4"/>
        <v>#REF!</v>
      </c>
      <c r="G264" s="251"/>
      <c r="H264" s="251"/>
      <c r="I264" s="251"/>
      <c r="J264" s="251"/>
    </row>
    <row r="265" spans="1:10" s="656" customFormat="1" ht="12.75" customHeight="1">
      <c r="A265" s="868" t="s">
        <v>718</v>
      </c>
      <c r="B265" s="1389" t="s">
        <v>165</v>
      </c>
      <c r="C265" s="865">
        <v>5.75</v>
      </c>
      <c r="D265" s="866" t="s">
        <v>11</v>
      </c>
      <c r="E265" s="867" t="e">
        <f>+E236</f>
        <v>#REF!</v>
      </c>
      <c r="F265" s="1345" t="e">
        <f t="shared" si="4"/>
        <v>#REF!</v>
      </c>
      <c r="G265" s="251"/>
      <c r="H265" s="251"/>
      <c r="I265" s="251"/>
      <c r="J265" s="251"/>
    </row>
    <row r="266" spans="1:10" s="656" customFormat="1" ht="12.75" customHeight="1">
      <c r="A266" s="868"/>
      <c r="B266" s="869"/>
      <c r="C266" s="865"/>
      <c r="D266" s="866"/>
      <c r="E266" s="867"/>
      <c r="F266" s="1345">
        <f t="shared" si="4"/>
        <v>0</v>
      </c>
      <c r="G266" s="251"/>
      <c r="H266" s="251"/>
      <c r="I266" s="251"/>
      <c r="J266" s="251"/>
    </row>
    <row r="267" spans="1:10" s="656" customFormat="1" ht="12.75" customHeight="1">
      <c r="A267" s="1406">
        <v>14</v>
      </c>
      <c r="B267" s="883" t="s">
        <v>719</v>
      </c>
      <c r="C267" s="865"/>
      <c r="D267" s="866"/>
      <c r="E267" s="867"/>
      <c r="F267" s="1345">
        <f t="shared" si="4"/>
        <v>0</v>
      </c>
      <c r="G267" s="251"/>
      <c r="H267" s="251"/>
      <c r="I267" s="251"/>
      <c r="J267" s="251"/>
    </row>
    <row r="268" spans="1:10" s="656" customFormat="1" ht="12.75" customHeight="1">
      <c r="A268" s="881">
        <v>14.1</v>
      </c>
      <c r="B268" s="883" t="s">
        <v>583</v>
      </c>
      <c r="C268" s="865"/>
      <c r="D268" s="866"/>
      <c r="E268" s="867"/>
      <c r="F268" s="1345">
        <f t="shared" si="4"/>
        <v>0</v>
      </c>
      <c r="G268" s="251"/>
      <c r="H268" s="251"/>
      <c r="I268" s="251"/>
      <c r="J268" s="251"/>
    </row>
    <row r="269" spans="1:10" s="656" customFormat="1" ht="12.75" customHeight="1">
      <c r="A269" s="868" t="s">
        <v>720</v>
      </c>
      <c r="B269" s="1388" t="s">
        <v>629</v>
      </c>
      <c r="C269" s="865">
        <v>1.45</v>
      </c>
      <c r="D269" s="866" t="s">
        <v>2</v>
      </c>
      <c r="E269" s="867" t="e">
        <f>+'ANALISIS PTAP'!F440</f>
        <v>#REF!</v>
      </c>
      <c r="F269" s="1345" t="e">
        <f t="shared" si="4"/>
        <v>#REF!</v>
      </c>
      <c r="G269" s="251"/>
      <c r="H269" s="251"/>
      <c r="I269" s="251"/>
      <c r="J269" s="251"/>
    </row>
    <row r="270" spans="1:10" s="656" customFormat="1" ht="12.75" customHeight="1">
      <c r="A270" s="868"/>
      <c r="B270" s="869"/>
      <c r="C270" s="865"/>
      <c r="D270" s="866"/>
      <c r="E270" s="867"/>
      <c r="F270" s="1345">
        <f t="shared" si="4"/>
        <v>0</v>
      </c>
      <c r="G270" s="251"/>
      <c r="H270" s="251"/>
      <c r="I270" s="251"/>
      <c r="J270" s="251"/>
    </row>
    <row r="271" spans="1:10" s="656" customFormat="1" ht="12.75" customHeight="1">
      <c r="A271" s="881">
        <v>14.2</v>
      </c>
      <c r="B271" s="882" t="s">
        <v>586</v>
      </c>
      <c r="C271" s="865"/>
      <c r="D271" s="866"/>
      <c r="E271" s="867"/>
      <c r="F271" s="1345">
        <f t="shared" si="4"/>
        <v>0</v>
      </c>
      <c r="G271" s="251"/>
      <c r="H271" s="251"/>
      <c r="I271" s="251"/>
      <c r="J271" s="251"/>
    </row>
    <row r="272" spans="1:10" s="656" customFormat="1" ht="12.75" customHeight="1">
      <c r="A272" s="868" t="s">
        <v>721</v>
      </c>
      <c r="B272" s="1388" t="s">
        <v>587</v>
      </c>
      <c r="C272" s="865">
        <v>12.45</v>
      </c>
      <c r="D272" s="866" t="s">
        <v>11</v>
      </c>
      <c r="E272" s="867" t="e">
        <f>+E264</f>
        <v>#REF!</v>
      </c>
      <c r="F272" s="1345" t="e">
        <f t="shared" si="4"/>
        <v>#REF!</v>
      </c>
      <c r="G272" s="251"/>
      <c r="H272" s="251"/>
      <c r="I272" s="251"/>
      <c r="J272" s="251"/>
    </row>
    <row r="273" spans="1:10" s="656" customFormat="1" ht="12.75" customHeight="1">
      <c r="A273" s="868" t="s">
        <v>722</v>
      </c>
      <c r="B273" s="1389" t="s">
        <v>165</v>
      </c>
      <c r="C273" s="865">
        <v>54.62</v>
      </c>
      <c r="D273" s="866" t="s">
        <v>11</v>
      </c>
      <c r="E273" s="867" t="e">
        <f>+E265</f>
        <v>#REF!</v>
      </c>
      <c r="F273" s="1345" t="e">
        <f t="shared" si="4"/>
        <v>#REF!</v>
      </c>
      <c r="G273" s="251"/>
      <c r="H273" s="251"/>
      <c r="I273" s="251"/>
      <c r="J273" s="251"/>
    </row>
    <row r="274" spans="1:10" s="656" customFormat="1" ht="12.75" customHeight="1">
      <c r="A274" s="868"/>
      <c r="B274" s="869"/>
      <c r="C274" s="865"/>
      <c r="D274" s="866"/>
      <c r="E274" s="867"/>
      <c r="F274" s="1345">
        <f t="shared" si="4"/>
        <v>0</v>
      </c>
      <c r="G274" s="251"/>
      <c r="H274" s="251"/>
      <c r="I274" s="251"/>
      <c r="J274" s="251"/>
    </row>
    <row r="275" spans="1:10" s="656" customFormat="1" ht="12.75" customHeight="1">
      <c r="A275" s="1406">
        <v>15</v>
      </c>
      <c r="B275" s="883" t="s">
        <v>723</v>
      </c>
      <c r="C275" s="865"/>
      <c r="D275" s="866"/>
      <c r="E275" s="867"/>
      <c r="F275" s="1345">
        <f t="shared" si="4"/>
        <v>0</v>
      </c>
      <c r="G275" s="251"/>
      <c r="H275" s="251"/>
      <c r="I275" s="251"/>
      <c r="J275" s="251"/>
    </row>
    <row r="276" spans="1:10" s="656" customFormat="1" ht="12.75" customHeight="1">
      <c r="A276" s="881">
        <v>15.1</v>
      </c>
      <c r="B276" s="883" t="s">
        <v>583</v>
      </c>
      <c r="C276" s="865"/>
      <c r="D276" s="866"/>
      <c r="E276" s="867"/>
      <c r="F276" s="1345">
        <f t="shared" si="4"/>
        <v>0</v>
      </c>
      <c r="G276" s="251"/>
      <c r="H276" s="251"/>
      <c r="I276" s="251"/>
      <c r="J276" s="251"/>
    </row>
    <row r="277" spans="1:10" s="656" customFormat="1" ht="12.75" customHeight="1">
      <c r="A277" s="868" t="s">
        <v>724</v>
      </c>
      <c r="B277" s="1388" t="s">
        <v>674</v>
      </c>
      <c r="C277" s="865">
        <v>11.12</v>
      </c>
      <c r="D277" s="866" t="s">
        <v>2</v>
      </c>
      <c r="E277" s="867" t="e">
        <f>+'ANALISIS PTAP'!F448</f>
        <v>#REF!</v>
      </c>
      <c r="F277" s="1345" t="e">
        <f t="shared" si="4"/>
        <v>#REF!</v>
      </c>
      <c r="G277" s="251"/>
      <c r="H277" s="251"/>
      <c r="I277" s="251"/>
      <c r="J277" s="251"/>
    </row>
    <row r="278" spans="1:10" s="656" customFormat="1" ht="12.75" customHeight="1">
      <c r="A278" s="868"/>
      <c r="B278" s="869"/>
      <c r="C278" s="865"/>
      <c r="D278" s="866"/>
      <c r="E278" s="867"/>
      <c r="F278" s="1345">
        <f t="shared" si="4"/>
        <v>0</v>
      </c>
      <c r="G278" s="251"/>
      <c r="H278" s="251"/>
      <c r="I278" s="251"/>
      <c r="J278" s="251"/>
    </row>
    <row r="279" spans="1:10" s="656" customFormat="1" ht="12.75" customHeight="1">
      <c r="A279" s="881">
        <v>15.2</v>
      </c>
      <c r="B279" s="882" t="s">
        <v>586</v>
      </c>
      <c r="C279" s="865"/>
      <c r="D279" s="866"/>
      <c r="E279" s="867"/>
      <c r="F279" s="1345">
        <f t="shared" ref="F279:F342" si="5">+ROUND((E279*C279),2)</f>
        <v>0</v>
      </c>
      <c r="G279" s="251"/>
      <c r="H279" s="251"/>
      <c r="I279" s="251"/>
      <c r="J279" s="251"/>
    </row>
    <row r="280" spans="1:10" s="656" customFormat="1" ht="12.75" customHeight="1">
      <c r="A280" s="868" t="s">
        <v>725</v>
      </c>
      <c r="B280" s="1388" t="s">
        <v>587</v>
      </c>
      <c r="C280" s="865">
        <v>28.56</v>
      </c>
      <c r="D280" s="866" t="s">
        <v>11</v>
      </c>
      <c r="E280" s="867" t="e">
        <f>+E264</f>
        <v>#REF!</v>
      </c>
      <c r="F280" s="1345" t="e">
        <f t="shared" si="5"/>
        <v>#REF!</v>
      </c>
      <c r="G280" s="251"/>
      <c r="H280" s="251"/>
      <c r="I280" s="251"/>
      <c r="J280" s="251"/>
    </row>
    <row r="281" spans="1:10" s="656" customFormat="1" ht="12.75" customHeight="1">
      <c r="A281" s="868" t="s">
        <v>726</v>
      </c>
      <c r="B281" s="1389" t="s">
        <v>165</v>
      </c>
      <c r="C281" s="865">
        <v>106.24</v>
      </c>
      <c r="D281" s="866" t="s">
        <v>11</v>
      </c>
      <c r="E281" s="867" t="e">
        <f>+E265</f>
        <v>#REF!</v>
      </c>
      <c r="F281" s="1345" t="e">
        <f t="shared" si="5"/>
        <v>#REF!</v>
      </c>
      <c r="G281" s="251"/>
      <c r="H281" s="251"/>
      <c r="I281" s="251"/>
      <c r="J281" s="251"/>
    </row>
    <row r="282" spans="1:10" s="656" customFormat="1" ht="12.75" customHeight="1">
      <c r="A282" s="868" t="s">
        <v>727</v>
      </c>
      <c r="B282" s="1389" t="s">
        <v>177</v>
      </c>
      <c r="C282" s="865">
        <v>3.2</v>
      </c>
      <c r="D282" s="866" t="s">
        <v>1</v>
      </c>
      <c r="E282" s="867" t="e">
        <f>+E237</f>
        <v>#REF!</v>
      </c>
      <c r="F282" s="1345" t="e">
        <f t="shared" si="5"/>
        <v>#REF!</v>
      </c>
      <c r="G282" s="251"/>
      <c r="H282" s="251"/>
      <c r="I282" s="251"/>
      <c r="J282" s="251"/>
    </row>
    <row r="283" spans="1:10" s="656" customFormat="1" ht="12.75" customHeight="1">
      <c r="A283" s="868"/>
      <c r="B283" s="869"/>
      <c r="C283" s="865"/>
      <c r="D283" s="866"/>
      <c r="E283" s="867"/>
      <c r="F283" s="1345">
        <f t="shared" si="5"/>
        <v>0</v>
      </c>
      <c r="G283" s="251"/>
      <c r="H283" s="251"/>
      <c r="I283" s="251"/>
      <c r="J283" s="251"/>
    </row>
    <row r="284" spans="1:10" s="656" customFormat="1" ht="12.75" customHeight="1">
      <c r="A284" s="1406">
        <v>16</v>
      </c>
      <c r="B284" s="887" t="s">
        <v>728</v>
      </c>
      <c r="C284" s="865"/>
      <c r="D284" s="866"/>
      <c r="E284" s="867"/>
      <c r="F284" s="1345">
        <f t="shared" si="5"/>
        <v>0</v>
      </c>
      <c r="G284" s="251"/>
      <c r="H284" s="251"/>
      <c r="I284" s="251"/>
      <c r="J284" s="251"/>
    </row>
    <row r="285" spans="1:10" s="656" customFormat="1" ht="12.75" customHeight="1">
      <c r="A285" s="881">
        <v>16.100000000000001</v>
      </c>
      <c r="B285" s="883" t="s">
        <v>583</v>
      </c>
      <c r="C285" s="865"/>
      <c r="D285" s="866"/>
      <c r="E285" s="867"/>
      <c r="F285" s="1345">
        <f t="shared" si="5"/>
        <v>0</v>
      </c>
      <c r="G285" s="251"/>
      <c r="H285" s="251"/>
      <c r="I285" s="251"/>
      <c r="J285" s="251"/>
    </row>
    <row r="286" spans="1:10" s="656" customFormat="1" ht="12.75" customHeight="1">
      <c r="A286" s="868" t="s">
        <v>729</v>
      </c>
      <c r="B286" s="1388" t="s">
        <v>730</v>
      </c>
      <c r="C286" s="865">
        <v>0.56000000000000005</v>
      </c>
      <c r="D286" s="866" t="s">
        <v>2</v>
      </c>
      <c r="E286" s="867" t="e">
        <f>+'ANALISIS PTAP'!F455</f>
        <v>#REF!</v>
      </c>
      <c r="F286" s="1345" t="e">
        <f t="shared" si="5"/>
        <v>#REF!</v>
      </c>
      <c r="G286" s="251"/>
      <c r="H286" s="251"/>
      <c r="I286" s="251"/>
      <c r="J286" s="251"/>
    </row>
    <row r="287" spans="1:10" s="656" customFormat="1" ht="12.75" customHeight="1">
      <c r="A287" s="868" t="s">
        <v>731</v>
      </c>
      <c r="B287" s="1388" t="s">
        <v>732</v>
      </c>
      <c r="C287" s="865">
        <v>3.84</v>
      </c>
      <c r="D287" s="866" t="s">
        <v>2</v>
      </c>
      <c r="E287" s="867" t="e">
        <f>+'ANALISIS PTAP'!F461</f>
        <v>#REF!</v>
      </c>
      <c r="F287" s="1345" t="e">
        <f t="shared" si="5"/>
        <v>#REF!</v>
      </c>
      <c r="G287" s="251"/>
      <c r="H287" s="251"/>
      <c r="I287" s="251"/>
      <c r="J287" s="251"/>
    </row>
    <row r="288" spans="1:10" s="656" customFormat="1" ht="12.75" customHeight="1">
      <c r="A288" s="868"/>
      <c r="B288" s="869"/>
      <c r="C288" s="865"/>
      <c r="D288" s="866"/>
      <c r="E288" s="867"/>
      <c r="F288" s="1345">
        <f t="shared" si="5"/>
        <v>0</v>
      </c>
      <c r="G288" s="251"/>
      <c r="H288" s="251"/>
      <c r="I288" s="251"/>
      <c r="J288" s="251"/>
    </row>
    <row r="289" spans="1:10" s="656" customFormat="1" ht="12.75" customHeight="1">
      <c r="A289" s="881">
        <v>16.2</v>
      </c>
      <c r="B289" s="882" t="s">
        <v>586</v>
      </c>
      <c r="C289" s="865"/>
      <c r="D289" s="866"/>
      <c r="E289" s="867"/>
      <c r="F289" s="1345">
        <f t="shared" si="5"/>
        <v>0</v>
      </c>
      <c r="G289" s="251"/>
      <c r="H289" s="251"/>
      <c r="I289" s="251"/>
      <c r="J289" s="251"/>
    </row>
    <row r="290" spans="1:10" s="656" customFormat="1" ht="12.75" customHeight="1">
      <c r="A290" s="868" t="s">
        <v>733</v>
      </c>
      <c r="B290" s="1388" t="s">
        <v>587</v>
      </c>
      <c r="C290" s="865">
        <v>1</v>
      </c>
      <c r="D290" s="866" t="s">
        <v>11</v>
      </c>
      <c r="E290" s="867" t="e">
        <f>+E280</f>
        <v>#REF!</v>
      </c>
      <c r="F290" s="1345" t="e">
        <f t="shared" si="5"/>
        <v>#REF!</v>
      </c>
      <c r="G290" s="251"/>
      <c r="H290" s="251"/>
      <c r="I290" s="251"/>
      <c r="J290" s="251"/>
    </row>
    <row r="291" spans="1:10" s="656" customFormat="1" ht="12.75" customHeight="1">
      <c r="A291" s="868" t="s">
        <v>734</v>
      </c>
      <c r="B291" s="1389" t="s">
        <v>165</v>
      </c>
      <c r="C291" s="865">
        <v>13.79</v>
      </c>
      <c r="D291" s="866" t="s">
        <v>11</v>
      </c>
      <c r="E291" s="867" t="e">
        <f>+E281</f>
        <v>#REF!</v>
      </c>
      <c r="F291" s="1345" t="e">
        <f t="shared" si="5"/>
        <v>#REF!</v>
      </c>
      <c r="G291" s="251"/>
      <c r="H291" s="251"/>
      <c r="I291" s="251"/>
      <c r="J291" s="251"/>
    </row>
    <row r="292" spans="1:10" s="656" customFormat="1" ht="12.75" customHeight="1">
      <c r="A292" s="868" t="s">
        <v>735</v>
      </c>
      <c r="B292" s="1389" t="s">
        <v>177</v>
      </c>
      <c r="C292" s="865">
        <v>11.66</v>
      </c>
      <c r="D292" s="866" t="s">
        <v>13</v>
      </c>
      <c r="E292" s="867" t="e">
        <f>+E282</f>
        <v>#REF!</v>
      </c>
      <c r="F292" s="1345" t="e">
        <f t="shared" si="5"/>
        <v>#REF!</v>
      </c>
      <c r="G292" s="251"/>
      <c r="H292" s="251"/>
      <c r="I292" s="251"/>
      <c r="J292" s="251"/>
    </row>
    <row r="293" spans="1:10" s="656" customFormat="1" ht="12.75" customHeight="1">
      <c r="A293" s="868"/>
      <c r="B293" s="869"/>
      <c r="C293" s="865"/>
      <c r="D293" s="866"/>
      <c r="E293" s="867"/>
      <c r="F293" s="1345">
        <f t="shared" si="5"/>
        <v>0</v>
      </c>
      <c r="G293" s="251"/>
      <c r="H293" s="251"/>
      <c r="I293" s="251"/>
      <c r="J293" s="251"/>
    </row>
    <row r="294" spans="1:10" s="656" customFormat="1" ht="12.75" customHeight="1">
      <c r="A294" s="1406">
        <v>17</v>
      </c>
      <c r="B294" s="887" t="s">
        <v>736</v>
      </c>
      <c r="C294" s="865"/>
      <c r="D294" s="866"/>
      <c r="E294" s="867"/>
      <c r="F294" s="1345">
        <f t="shared" si="5"/>
        <v>0</v>
      </c>
      <c r="G294" s="251"/>
      <c r="H294" s="251"/>
      <c r="I294" s="251"/>
      <c r="J294" s="251"/>
    </row>
    <row r="295" spans="1:10" s="656" customFormat="1" ht="12.75" customHeight="1">
      <c r="A295" s="881">
        <v>17.100000000000001</v>
      </c>
      <c r="B295" s="883" t="s">
        <v>583</v>
      </c>
      <c r="C295" s="865"/>
      <c r="D295" s="866"/>
      <c r="E295" s="867"/>
      <c r="F295" s="1345">
        <f t="shared" si="5"/>
        <v>0</v>
      </c>
      <c r="G295" s="251"/>
      <c r="H295" s="251"/>
      <c r="I295" s="251"/>
      <c r="J295" s="251"/>
    </row>
    <row r="296" spans="1:10" s="656" customFormat="1" ht="12.75" customHeight="1">
      <c r="A296" s="868" t="s">
        <v>737</v>
      </c>
      <c r="B296" s="1388" t="s">
        <v>738</v>
      </c>
      <c r="C296" s="865">
        <v>13.31</v>
      </c>
      <c r="D296" s="866" t="s">
        <v>2</v>
      </c>
      <c r="E296" s="867" t="e">
        <f>+'ANALISIS PTAP'!F468</f>
        <v>#REF!</v>
      </c>
      <c r="F296" s="1345" t="e">
        <f t="shared" si="5"/>
        <v>#REF!</v>
      </c>
      <c r="G296" s="251"/>
      <c r="H296" s="251"/>
      <c r="I296" s="251"/>
      <c r="J296" s="251"/>
    </row>
    <row r="297" spans="1:10" s="656" customFormat="1" ht="12.75" customHeight="1">
      <c r="A297" s="868"/>
      <c r="B297" s="884"/>
      <c r="C297" s="865"/>
      <c r="D297" s="866"/>
      <c r="E297" s="867"/>
      <c r="F297" s="1345">
        <f t="shared" si="5"/>
        <v>0</v>
      </c>
      <c r="G297" s="251"/>
      <c r="H297" s="251"/>
      <c r="I297" s="251"/>
      <c r="J297" s="251"/>
    </row>
    <row r="298" spans="1:10" s="656" customFormat="1" ht="12.75" customHeight="1">
      <c r="A298" s="868">
        <v>18</v>
      </c>
      <c r="B298" s="884" t="s">
        <v>739</v>
      </c>
      <c r="C298" s="865">
        <v>72.45</v>
      </c>
      <c r="D298" s="866" t="s">
        <v>13</v>
      </c>
      <c r="E298" s="867">
        <v>2850</v>
      </c>
      <c r="F298" s="1345">
        <f t="shared" si="5"/>
        <v>206482.5</v>
      </c>
      <c r="G298" s="251"/>
      <c r="H298" s="251"/>
      <c r="I298" s="251"/>
      <c r="J298" s="251"/>
    </row>
    <row r="299" spans="1:10" s="656" customFormat="1" ht="12.75" customHeight="1">
      <c r="A299" s="868">
        <v>19</v>
      </c>
      <c r="B299" s="885" t="s">
        <v>740</v>
      </c>
      <c r="C299" s="865">
        <v>1</v>
      </c>
      <c r="D299" s="866" t="s">
        <v>689</v>
      </c>
      <c r="E299" s="867">
        <v>50000</v>
      </c>
      <c r="F299" s="1345">
        <f t="shared" si="5"/>
        <v>50000</v>
      </c>
      <c r="G299" s="251"/>
      <c r="H299" s="251"/>
      <c r="I299" s="251"/>
      <c r="J299" s="251"/>
    </row>
    <row r="300" spans="1:10" s="656" customFormat="1" ht="12.75" customHeight="1">
      <c r="A300" s="868"/>
      <c r="B300" s="885"/>
      <c r="C300" s="865"/>
      <c r="D300" s="866"/>
      <c r="E300" s="867"/>
      <c r="F300" s="1345">
        <f t="shared" si="5"/>
        <v>0</v>
      </c>
      <c r="G300" s="251"/>
      <c r="H300" s="251"/>
      <c r="I300" s="251"/>
      <c r="J300" s="251"/>
    </row>
    <row r="301" spans="1:10" s="656" customFormat="1" ht="12.75" customHeight="1">
      <c r="A301" s="1406">
        <v>20</v>
      </c>
      <c r="B301" s="882" t="s">
        <v>741</v>
      </c>
      <c r="C301" s="865"/>
      <c r="D301" s="866"/>
      <c r="E301" s="867"/>
      <c r="F301" s="1345">
        <f t="shared" si="5"/>
        <v>0</v>
      </c>
      <c r="G301" s="251"/>
      <c r="H301" s="251"/>
      <c r="I301" s="251"/>
      <c r="J301" s="251"/>
    </row>
    <row r="302" spans="1:10" s="656" customFormat="1" ht="12.75" customHeight="1">
      <c r="A302" s="881">
        <v>20.100000000000001</v>
      </c>
      <c r="B302" s="883" t="s">
        <v>583</v>
      </c>
      <c r="C302" s="865"/>
      <c r="D302" s="866"/>
      <c r="E302" s="867"/>
      <c r="F302" s="1345">
        <f t="shared" si="5"/>
        <v>0</v>
      </c>
      <c r="G302" s="251"/>
      <c r="H302" s="251"/>
      <c r="I302" s="251"/>
      <c r="J302" s="251"/>
    </row>
    <row r="303" spans="1:10" s="656" customFormat="1" ht="12.75" customHeight="1">
      <c r="A303" s="868" t="s">
        <v>742</v>
      </c>
      <c r="B303" s="1388" t="s">
        <v>584</v>
      </c>
      <c r="C303" s="865">
        <f>0.312*3</f>
        <v>0.94</v>
      </c>
      <c r="D303" s="866" t="s">
        <v>2</v>
      </c>
      <c r="E303" s="867" t="e">
        <f>+'ANALISIS PTAP'!F475</f>
        <v>#REF!</v>
      </c>
      <c r="F303" s="1345" t="e">
        <f t="shared" si="5"/>
        <v>#REF!</v>
      </c>
      <c r="G303" s="251"/>
      <c r="H303" s="251"/>
      <c r="I303" s="251"/>
      <c r="J303" s="251"/>
    </row>
    <row r="304" spans="1:10" s="656" customFormat="1" ht="12.75" customHeight="1">
      <c r="A304" s="868" t="s">
        <v>743</v>
      </c>
      <c r="B304" s="1388" t="s">
        <v>585</v>
      </c>
      <c r="C304" s="865">
        <v>4.5</v>
      </c>
      <c r="D304" s="866" t="s">
        <v>2</v>
      </c>
      <c r="E304" s="867" t="e">
        <f>+'ANALISIS PTAP'!F481</f>
        <v>#REF!</v>
      </c>
      <c r="F304" s="1345" t="e">
        <f t="shared" si="5"/>
        <v>#REF!</v>
      </c>
      <c r="G304" s="251"/>
      <c r="H304" s="251"/>
      <c r="I304" s="251"/>
      <c r="J304" s="251"/>
    </row>
    <row r="305" spans="1:10" s="656" customFormat="1" ht="12.75" customHeight="1">
      <c r="A305" s="868"/>
      <c r="B305" s="884"/>
      <c r="C305" s="865"/>
      <c r="D305" s="866"/>
      <c r="E305" s="867"/>
      <c r="F305" s="1345">
        <f t="shared" si="5"/>
        <v>0</v>
      </c>
      <c r="G305" s="251"/>
      <c r="H305" s="251"/>
      <c r="I305" s="251"/>
      <c r="J305" s="251"/>
    </row>
    <row r="306" spans="1:10" s="656" customFormat="1" ht="12.75" customHeight="1">
      <c r="A306" s="881">
        <v>20.2</v>
      </c>
      <c r="B306" s="882" t="s">
        <v>586</v>
      </c>
      <c r="C306" s="865"/>
      <c r="D306" s="866"/>
      <c r="E306" s="867"/>
      <c r="F306" s="1345">
        <f t="shared" si="5"/>
        <v>0</v>
      </c>
      <c r="G306" s="251"/>
      <c r="H306" s="251"/>
      <c r="I306" s="251"/>
      <c r="J306" s="251"/>
    </row>
    <row r="307" spans="1:10" s="656" customFormat="1" ht="12.75" customHeight="1">
      <c r="A307" s="868" t="s">
        <v>744</v>
      </c>
      <c r="B307" s="1388" t="s">
        <v>587</v>
      </c>
      <c r="C307" s="865">
        <f>1.2*3</f>
        <v>3.6</v>
      </c>
      <c r="D307" s="866" t="s">
        <v>11</v>
      </c>
      <c r="E307" s="867" t="e">
        <f>+E290</f>
        <v>#REF!</v>
      </c>
      <c r="F307" s="1345" t="e">
        <f t="shared" si="5"/>
        <v>#REF!</v>
      </c>
      <c r="G307" s="251"/>
      <c r="H307" s="251"/>
      <c r="I307" s="251"/>
      <c r="J307" s="251"/>
    </row>
    <row r="308" spans="1:10" s="656" customFormat="1" ht="12.75" customHeight="1">
      <c r="A308" s="868" t="s">
        <v>745</v>
      </c>
      <c r="B308" s="1389" t="s">
        <v>165</v>
      </c>
      <c r="C308" s="865">
        <f>7.1*3</f>
        <v>21.3</v>
      </c>
      <c r="D308" s="866" t="s">
        <v>11</v>
      </c>
      <c r="E308" s="867" t="e">
        <f>+E291</f>
        <v>#REF!</v>
      </c>
      <c r="F308" s="1345" t="e">
        <f t="shared" si="5"/>
        <v>#REF!</v>
      </c>
      <c r="G308" s="251"/>
      <c r="H308" s="251"/>
      <c r="I308" s="251"/>
      <c r="J308" s="251"/>
    </row>
    <row r="309" spans="1:10" s="656" customFormat="1" ht="12.75" customHeight="1">
      <c r="A309" s="868" t="s">
        <v>746</v>
      </c>
      <c r="B309" s="1390" t="s">
        <v>588</v>
      </c>
      <c r="C309" s="865">
        <f>8.65*3</f>
        <v>25.95</v>
      </c>
      <c r="D309" s="866" t="s">
        <v>11</v>
      </c>
      <c r="E309" s="867" t="e">
        <f>+E133</f>
        <v>#REF!</v>
      </c>
      <c r="F309" s="1345" t="e">
        <f t="shared" si="5"/>
        <v>#REF!</v>
      </c>
      <c r="G309" s="251"/>
      <c r="H309" s="251"/>
      <c r="I309" s="251"/>
      <c r="J309" s="251"/>
    </row>
    <row r="310" spans="1:10" s="656" customFormat="1" ht="12.75" customHeight="1">
      <c r="A310" s="868" t="s">
        <v>747</v>
      </c>
      <c r="B310" s="1389" t="s">
        <v>177</v>
      </c>
      <c r="C310" s="865">
        <f>11.9*3</f>
        <v>35.700000000000003</v>
      </c>
      <c r="D310" s="866" t="s">
        <v>13</v>
      </c>
      <c r="E310" s="867" t="e">
        <f>+E292</f>
        <v>#REF!</v>
      </c>
      <c r="F310" s="1345" t="e">
        <f t="shared" si="5"/>
        <v>#REF!</v>
      </c>
      <c r="G310" s="251"/>
      <c r="H310" s="251"/>
      <c r="I310" s="251"/>
      <c r="J310" s="251"/>
    </row>
    <row r="311" spans="1:10" s="656" customFormat="1" ht="12.75" customHeight="1">
      <c r="A311" s="868"/>
      <c r="B311" s="869"/>
      <c r="C311" s="865"/>
      <c r="D311" s="866"/>
      <c r="E311" s="867"/>
      <c r="F311" s="1345">
        <f t="shared" si="5"/>
        <v>0</v>
      </c>
      <c r="G311" s="251"/>
      <c r="H311" s="251"/>
      <c r="I311" s="251"/>
      <c r="J311" s="251"/>
    </row>
    <row r="312" spans="1:10" s="656" customFormat="1" ht="12.75" customHeight="1">
      <c r="A312" s="881">
        <v>20.3</v>
      </c>
      <c r="B312" s="883" t="s">
        <v>748</v>
      </c>
      <c r="C312" s="865"/>
      <c r="D312" s="866"/>
      <c r="E312" s="867"/>
      <c r="F312" s="1345">
        <f t="shared" si="5"/>
        <v>0</v>
      </c>
      <c r="G312" s="251"/>
      <c r="H312" s="251"/>
      <c r="I312" s="251"/>
      <c r="J312" s="251"/>
    </row>
    <row r="313" spans="1:10" s="656" customFormat="1" ht="12.75" customHeight="1">
      <c r="A313" s="868" t="s">
        <v>749</v>
      </c>
      <c r="B313" s="885" t="s">
        <v>750</v>
      </c>
      <c r="C313" s="865">
        <v>13.5</v>
      </c>
      <c r="D313" s="866" t="s">
        <v>13</v>
      </c>
      <c r="E313" s="867">
        <v>3562.25</v>
      </c>
      <c r="F313" s="1345">
        <f t="shared" si="5"/>
        <v>48090.38</v>
      </c>
      <c r="G313" s="251"/>
      <c r="H313" s="251"/>
      <c r="I313" s="251"/>
      <c r="J313" s="251"/>
    </row>
    <row r="314" spans="1:10" s="656" customFormat="1" ht="12.75" customHeight="1">
      <c r="A314" s="868" t="s">
        <v>751</v>
      </c>
      <c r="B314" s="885" t="s">
        <v>752</v>
      </c>
      <c r="C314" s="865">
        <v>1</v>
      </c>
      <c r="D314" s="866" t="s">
        <v>3</v>
      </c>
      <c r="E314" s="867">
        <v>4779.2</v>
      </c>
      <c r="F314" s="1345">
        <f t="shared" si="5"/>
        <v>4779.2</v>
      </c>
      <c r="G314" s="251"/>
      <c r="H314" s="251"/>
      <c r="I314" s="251"/>
      <c r="J314" s="251"/>
    </row>
    <row r="315" spans="1:10" s="656" customFormat="1" ht="12.75" customHeight="1">
      <c r="A315" s="868" t="s">
        <v>753</v>
      </c>
      <c r="B315" s="869" t="s">
        <v>754</v>
      </c>
      <c r="C315" s="865">
        <v>3</v>
      </c>
      <c r="D315" s="866" t="s">
        <v>3</v>
      </c>
      <c r="E315" s="867">
        <v>4500</v>
      </c>
      <c r="F315" s="1345">
        <f t="shared" si="5"/>
        <v>13500</v>
      </c>
      <c r="G315" s="251"/>
      <c r="H315" s="251"/>
      <c r="I315" s="251"/>
      <c r="J315" s="251"/>
    </row>
    <row r="316" spans="1:10" s="656" customFormat="1" ht="12.75" customHeight="1">
      <c r="A316" s="868"/>
      <c r="B316" s="885"/>
      <c r="C316" s="865"/>
      <c r="D316" s="866"/>
      <c r="E316" s="867"/>
      <c r="F316" s="1345">
        <f t="shared" si="5"/>
        <v>0</v>
      </c>
      <c r="G316" s="251"/>
      <c r="H316" s="251"/>
      <c r="I316" s="251"/>
      <c r="J316" s="251"/>
    </row>
    <row r="317" spans="1:10" s="656" customFormat="1" ht="12.75" customHeight="1">
      <c r="A317" s="881">
        <v>20.399999999999999</v>
      </c>
      <c r="B317" s="887" t="s">
        <v>755</v>
      </c>
      <c r="C317" s="865"/>
      <c r="D317" s="866"/>
      <c r="E317" s="867"/>
      <c r="F317" s="1345">
        <f t="shared" si="5"/>
        <v>0</v>
      </c>
      <c r="G317" s="251"/>
      <c r="H317" s="251"/>
      <c r="I317" s="251"/>
      <c r="J317" s="251"/>
    </row>
    <row r="318" spans="1:10" s="656" customFormat="1" ht="12.75" customHeight="1">
      <c r="A318" s="868" t="s">
        <v>756</v>
      </c>
      <c r="B318" s="879" t="s">
        <v>581</v>
      </c>
      <c r="C318" s="865">
        <f>+C313*1.4</f>
        <v>18.899999999999999</v>
      </c>
      <c r="D318" s="866" t="s">
        <v>2</v>
      </c>
      <c r="E318" s="867">
        <v>134.19</v>
      </c>
      <c r="F318" s="1345">
        <f t="shared" si="5"/>
        <v>2536.19</v>
      </c>
      <c r="G318" s="251"/>
      <c r="H318" s="251"/>
      <c r="I318" s="251"/>
      <c r="J318" s="251"/>
    </row>
    <row r="319" spans="1:10" s="656" customFormat="1" ht="12.75" customHeight="1">
      <c r="A319" s="868" t="s">
        <v>757</v>
      </c>
      <c r="B319" s="869" t="s">
        <v>253</v>
      </c>
      <c r="C319" s="865">
        <f>+C318-C313-0.1297</f>
        <v>5.27</v>
      </c>
      <c r="D319" s="866" t="s">
        <v>2</v>
      </c>
      <c r="E319" s="867">
        <v>75.599999999999994</v>
      </c>
      <c r="F319" s="1345">
        <f t="shared" si="5"/>
        <v>398.41</v>
      </c>
      <c r="G319" s="251"/>
      <c r="H319" s="251"/>
      <c r="I319" s="251"/>
      <c r="J319" s="251"/>
    </row>
    <row r="320" spans="1:10" s="656" customFormat="1" ht="12.75" customHeight="1">
      <c r="A320" s="868" t="s">
        <v>758</v>
      </c>
      <c r="B320" s="869" t="s">
        <v>759</v>
      </c>
      <c r="C320" s="865">
        <f>1.2*(C318-C319)</f>
        <v>16.36</v>
      </c>
      <c r="D320" s="866" t="s">
        <v>2</v>
      </c>
      <c r="E320" s="867">
        <v>55</v>
      </c>
      <c r="F320" s="1345">
        <f t="shared" si="5"/>
        <v>899.8</v>
      </c>
      <c r="G320" s="251"/>
      <c r="H320" s="251"/>
      <c r="I320" s="251"/>
      <c r="J320" s="251"/>
    </row>
    <row r="321" spans="1:10" s="656" customFormat="1" ht="12.75" customHeight="1">
      <c r="A321" s="868"/>
      <c r="B321" s="869"/>
      <c r="C321" s="865"/>
      <c r="D321" s="866"/>
      <c r="E321" s="867"/>
      <c r="F321" s="1345">
        <f t="shared" si="5"/>
        <v>0</v>
      </c>
      <c r="G321" s="251"/>
      <c r="H321" s="251"/>
      <c r="I321" s="251"/>
      <c r="J321" s="251"/>
    </row>
    <row r="322" spans="1:10" s="656" customFormat="1" ht="12.75" customHeight="1">
      <c r="A322" s="881">
        <v>21</v>
      </c>
      <c r="B322" s="882" t="s">
        <v>760</v>
      </c>
      <c r="C322" s="865"/>
      <c r="D322" s="866"/>
      <c r="E322" s="867"/>
      <c r="F322" s="1345">
        <f t="shared" si="5"/>
        <v>0</v>
      </c>
      <c r="G322" s="251"/>
      <c r="H322" s="251"/>
      <c r="I322" s="251"/>
      <c r="J322" s="251"/>
    </row>
    <row r="323" spans="1:10" s="656" customFormat="1" ht="25.5" customHeight="1">
      <c r="A323" s="892">
        <v>21.1</v>
      </c>
      <c r="B323" s="913" t="s">
        <v>761</v>
      </c>
      <c r="C323" s="865">
        <v>14</v>
      </c>
      <c r="D323" s="866" t="s">
        <v>3</v>
      </c>
      <c r="E323" s="867">
        <v>4500</v>
      </c>
      <c r="F323" s="1345">
        <f t="shared" si="5"/>
        <v>63000</v>
      </c>
      <c r="G323" s="251"/>
      <c r="H323" s="251"/>
      <c r="I323" s="251"/>
      <c r="J323" s="251"/>
    </row>
    <row r="324" spans="1:10" s="656" customFormat="1" ht="12.75" customHeight="1">
      <c r="A324" s="892">
        <v>21.2</v>
      </c>
      <c r="B324" s="906" t="s">
        <v>762</v>
      </c>
      <c r="C324" s="865">
        <v>1</v>
      </c>
      <c r="D324" s="866" t="s">
        <v>689</v>
      </c>
      <c r="E324" s="867">
        <v>1000000</v>
      </c>
      <c r="F324" s="1345">
        <f t="shared" si="5"/>
        <v>1000000</v>
      </c>
      <c r="G324" s="251"/>
      <c r="H324" s="251"/>
      <c r="I324" s="251"/>
      <c r="J324" s="251"/>
    </row>
    <row r="325" spans="1:10" s="656" customFormat="1" ht="12.75" customHeight="1">
      <c r="A325" s="892">
        <v>21.3</v>
      </c>
      <c r="B325" s="906" t="s">
        <v>763</v>
      </c>
      <c r="C325" s="865">
        <v>1</v>
      </c>
      <c r="D325" s="866" t="s">
        <v>3</v>
      </c>
      <c r="E325" s="867">
        <v>100000</v>
      </c>
      <c r="F325" s="1345">
        <f t="shared" si="5"/>
        <v>100000</v>
      </c>
      <c r="G325" s="251"/>
      <c r="H325" s="251"/>
      <c r="I325" s="251"/>
      <c r="J325" s="251"/>
    </row>
    <row r="326" spans="1:10" s="656" customFormat="1" ht="12.75" customHeight="1">
      <c r="A326" s="892"/>
      <c r="B326" s="913"/>
      <c r="C326" s="865"/>
      <c r="D326" s="866"/>
      <c r="E326" s="867"/>
      <c r="F326" s="1345">
        <f t="shared" si="5"/>
        <v>0</v>
      </c>
      <c r="G326" s="251"/>
      <c r="H326" s="251"/>
      <c r="I326" s="251"/>
      <c r="J326" s="251"/>
    </row>
    <row r="327" spans="1:10" s="656" customFormat="1" ht="12.75" customHeight="1">
      <c r="A327" s="881">
        <v>22</v>
      </c>
      <c r="B327" s="882" t="s">
        <v>764</v>
      </c>
      <c r="C327" s="865"/>
      <c r="D327" s="866"/>
      <c r="E327" s="867"/>
      <c r="F327" s="1345">
        <f t="shared" si="5"/>
        <v>0</v>
      </c>
      <c r="G327" s="251"/>
      <c r="H327" s="251"/>
      <c r="I327" s="251"/>
      <c r="J327" s="251"/>
    </row>
    <row r="328" spans="1:10" s="656" customFormat="1" ht="12.75" customHeight="1">
      <c r="A328" s="868">
        <v>22.1</v>
      </c>
      <c r="B328" s="1389" t="s">
        <v>152</v>
      </c>
      <c r="C328" s="865">
        <v>436.12</v>
      </c>
      <c r="D328" s="866" t="s">
        <v>11</v>
      </c>
      <c r="E328" s="867" t="e">
        <f>+E309</f>
        <v>#REF!</v>
      </c>
      <c r="F328" s="1345" t="e">
        <f t="shared" si="5"/>
        <v>#REF!</v>
      </c>
      <c r="G328" s="251"/>
      <c r="H328" s="251"/>
      <c r="I328" s="251"/>
      <c r="J328" s="251"/>
    </row>
    <row r="329" spans="1:10" s="656" customFormat="1" ht="12.75" customHeight="1">
      <c r="A329" s="868">
        <v>22.2</v>
      </c>
      <c r="B329" s="869" t="s">
        <v>765</v>
      </c>
      <c r="C329" s="865">
        <v>75.03</v>
      </c>
      <c r="D329" s="866" t="s">
        <v>13</v>
      </c>
      <c r="E329" s="867">
        <v>51.78</v>
      </c>
      <c r="F329" s="1345">
        <f t="shared" si="5"/>
        <v>3885.05</v>
      </c>
      <c r="G329" s="251"/>
      <c r="H329" s="251"/>
      <c r="I329" s="251"/>
      <c r="J329" s="251"/>
    </row>
    <row r="330" spans="1:10" s="656" customFormat="1" ht="12.75" customHeight="1">
      <c r="A330" s="868">
        <v>22.3</v>
      </c>
      <c r="B330" s="1389" t="s">
        <v>766</v>
      </c>
      <c r="C330" s="865">
        <v>113.42</v>
      </c>
      <c r="D330" s="866" t="s">
        <v>11</v>
      </c>
      <c r="E330" s="867">
        <f>+'ANALISIS PTAP'!F282</f>
        <v>777.08</v>
      </c>
      <c r="F330" s="1345">
        <f t="shared" si="5"/>
        <v>88136.41</v>
      </c>
      <c r="G330" s="251"/>
      <c r="H330" s="251"/>
      <c r="I330" s="251"/>
      <c r="J330" s="251"/>
    </row>
    <row r="331" spans="1:10" s="656" customFormat="1" ht="12.75" customHeight="1">
      <c r="A331" s="868">
        <v>22.4</v>
      </c>
      <c r="B331" s="869" t="s">
        <v>261</v>
      </c>
      <c r="C331" s="865">
        <f>+C328</f>
        <v>436.12</v>
      </c>
      <c r="D331" s="866" t="s">
        <v>11</v>
      </c>
      <c r="E331" s="867">
        <v>81.36</v>
      </c>
      <c r="F331" s="1345">
        <f t="shared" si="5"/>
        <v>35482.720000000001</v>
      </c>
      <c r="G331" s="251"/>
      <c r="H331" s="251"/>
      <c r="I331" s="251"/>
      <c r="J331" s="251"/>
    </row>
    <row r="332" spans="1:10" s="656" customFormat="1" ht="12.75" customHeight="1">
      <c r="A332" s="868">
        <v>22.5</v>
      </c>
      <c r="B332" s="869" t="s">
        <v>767</v>
      </c>
      <c r="C332" s="865">
        <f>+C331</f>
        <v>436.12</v>
      </c>
      <c r="D332" s="866" t="s">
        <v>11</v>
      </c>
      <c r="E332" s="867">
        <v>42.01</v>
      </c>
      <c r="F332" s="1345">
        <f t="shared" si="5"/>
        <v>18321.400000000001</v>
      </c>
      <c r="G332" s="251"/>
      <c r="H332" s="251"/>
      <c r="I332" s="251"/>
      <c r="J332" s="251"/>
    </row>
    <row r="333" spans="1:10" s="656" customFormat="1" ht="12.75" customHeight="1">
      <c r="A333" s="868">
        <v>22.6</v>
      </c>
      <c r="B333" s="869" t="s">
        <v>768</v>
      </c>
      <c r="C333" s="865">
        <v>1</v>
      </c>
      <c r="D333" s="866" t="s">
        <v>3</v>
      </c>
      <c r="E333" s="867">
        <v>7500</v>
      </c>
      <c r="F333" s="1345">
        <f t="shared" si="5"/>
        <v>7500</v>
      </c>
      <c r="G333" s="251"/>
      <c r="H333" s="251"/>
      <c r="I333" s="251"/>
      <c r="J333" s="251"/>
    </row>
    <row r="334" spans="1:10" s="656" customFormat="1" ht="12.75" customHeight="1">
      <c r="A334" s="868"/>
      <c r="B334" s="869"/>
      <c r="C334" s="865"/>
      <c r="D334" s="866"/>
      <c r="E334" s="867"/>
      <c r="F334" s="1345">
        <f t="shared" si="5"/>
        <v>0</v>
      </c>
      <c r="G334" s="251"/>
      <c r="H334" s="251"/>
      <c r="I334" s="251"/>
      <c r="J334" s="251"/>
    </row>
    <row r="335" spans="1:10" s="656" customFormat="1" ht="12.75" customHeight="1">
      <c r="A335" s="914">
        <v>23</v>
      </c>
      <c r="B335" s="882" t="s">
        <v>769</v>
      </c>
      <c r="C335" s="865"/>
      <c r="D335" s="866"/>
      <c r="E335" s="867"/>
      <c r="F335" s="1345">
        <f t="shared" si="5"/>
        <v>0</v>
      </c>
      <c r="G335" s="251"/>
      <c r="H335" s="251"/>
      <c r="I335" s="251"/>
      <c r="J335" s="251"/>
    </row>
    <row r="336" spans="1:10" s="656" customFormat="1" ht="12.75" customHeight="1">
      <c r="A336" s="915">
        <v>23.1</v>
      </c>
      <c r="B336" s="869" t="s">
        <v>770</v>
      </c>
      <c r="C336" s="912">
        <v>360</v>
      </c>
      <c r="D336" s="866" t="s">
        <v>138</v>
      </c>
      <c r="E336" s="867">
        <v>304.5</v>
      </c>
      <c r="F336" s="1345">
        <f t="shared" si="5"/>
        <v>109620</v>
      </c>
      <c r="G336" s="1369"/>
      <c r="H336" s="1370"/>
      <c r="I336" s="251"/>
      <c r="J336" s="251"/>
    </row>
    <row r="337" spans="1:10" s="656" customFormat="1" ht="12.75" customHeight="1">
      <c r="A337" s="915">
        <v>23.2</v>
      </c>
      <c r="B337" s="869" t="s">
        <v>273</v>
      </c>
      <c r="C337" s="865">
        <f>+C336</f>
        <v>360</v>
      </c>
      <c r="D337" s="866" t="s">
        <v>2</v>
      </c>
      <c r="E337" s="867">
        <v>90</v>
      </c>
      <c r="F337" s="1345">
        <f t="shared" si="5"/>
        <v>32400</v>
      </c>
      <c r="G337" s="251"/>
      <c r="H337" s="251"/>
      <c r="I337" s="251"/>
      <c r="J337" s="251"/>
    </row>
    <row r="338" spans="1:10" s="656" customFormat="1" ht="12.75" customHeight="1">
      <c r="A338" s="915">
        <v>23.3</v>
      </c>
      <c r="B338" s="869" t="s">
        <v>771</v>
      </c>
      <c r="C338" s="865">
        <v>386.3</v>
      </c>
      <c r="D338" s="866" t="s">
        <v>13</v>
      </c>
      <c r="E338" s="867">
        <v>414</v>
      </c>
      <c r="F338" s="1345">
        <f t="shared" si="5"/>
        <v>159928.20000000001</v>
      </c>
      <c r="G338" s="251"/>
      <c r="H338" s="251"/>
      <c r="I338" s="251"/>
      <c r="J338" s="251"/>
    </row>
    <row r="339" spans="1:10" s="656" customFormat="1" ht="12.75" customHeight="1">
      <c r="A339" s="915"/>
      <c r="B339" s="869"/>
      <c r="C339" s="865"/>
      <c r="D339" s="866"/>
      <c r="E339" s="867"/>
      <c r="F339" s="1345">
        <f t="shared" si="5"/>
        <v>0</v>
      </c>
      <c r="G339" s="251"/>
      <c r="H339" s="251"/>
      <c r="I339" s="251"/>
      <c r="J339" s="251"/>
    </row>
    <row r="340" spans="1:10" s="656" customFormat="1" ht="12.75" customHeight="1">
      <c r="A340" s="916">
        <v>24</v>
      </c>
      <c r="B340" s="869" t="s">
        <v>772</v>
      </c>
      <c r="C340" s="865">
        <v>1</v>
      </c>
      <c r="D340" s="910" t="s">
        <v>42</v>
      </c>
      <c r="E340" s="867">
        <v>67000</v>
      </c>
      <c r="F340" s="1345">
        <f t="shared" si="5"/>
        <v>67000</v>
      </c>
      <c r="G340" s="251"/>
      <c r="H340" s="251"/>
      <c r="I340" s="251"/>
      <c r="J340" s="251"/>
    </row>
    <row r="341" spans="1:10" s="656" customFormat="1" ht="12.75" customHeight="1">
      <c r="A341" s="868">
        <v>25</v>
      </c>
      <c r="B341" s="885" t="s">
        <v>773</v>
      </c>
      <c r="C341" s="865">
        <v>1</v>
      </c>
      <c r="D341" s="866" t="s">
        <v>3</v>
      </c>
      <c r="E341" s="867">
        <v>45000</v>
      </c>
      <c r="F341" s="1345">
        <f t="shared" si="5"/>
        <v>45000</v>
      </c>
      <c r="G341" s="251"/>
      <c r="H341" s="251"/>
      <c r="I341" s="251"/>
      <c r="J341" s="251"/>
    </row>
    <row r="342" spans="1:10" s="656" customFormat="1" ht="12.75" customHeight="1">
      <c r="A342" s="868"/>
      <c r="B342" s="864"/>
      <c r="C342" s="865"/>
      <c r="D342" s="866"/>
      <c r="E342" s="867"/>
      <c r="F342" s="1345">
        <f t="shared" si="5"/>
        <v>0</v>
      </c>
      <c r="G342" s="251"/>
      <c r="H342" s="251"/>
      <c r="I342" s="251"/>
      <c r="J342" s="251"/>
    </row>
    <row r="343" spans="1:10" s="656" customFormat="1" ht="12.75" customHeight="1">
      <c r="A343" s="917" t="s">
        <v>774</v>
      </c>
      <c r="B343" s="918" t="s">
        <v>775</v>
      </c>
      <c r="C343" s="919"/>
      <c r="D343" s="920"/>
      <c r="E343" s="921"/>
      <c r="F343" s="1345">
        <f t="shared" ref="F343:F406" si="6">+ROUND((E343*C343),2)</f>
        <v>0</v>
      </c>
      <c r="G343" s="328"/>
      <c r="H343" s="44"/>
      <c r="I343" s="44"/>
      <c r="J343" s="44"/>
    </row>
    <row r="344" spans="1:10" s="656" customFormat="1" ht="12.75" customHeight="1">
      <c r="A344" s="922"/>
      <c r="B344" s="923"/>
      <c r="C344" s="919"/>
      <c r="D344" s="920"/>
      <c r="E344" s="921"/>
      <c r="F344" s="1345">
        <f t="shared" si="6"/>
        <v>0</v>
      </c>
      <c r="G344" s="328"/>
      <c r="H344" s="44"/>
      <c r="I344" s="44"/>
      <c r="J344" s="44"/>
    </row>
    <row r="345" spans="1:10" s="656" customFormat="1" ht="12.75" customHeight="1">
      <c r="A345" s="924">
        <v>1</v>
      </c>
      <c r="B345" s="925" t="s">
        <v>38</v>
      </c>
      <c r="C345" s="919"/>
      <c r="D345" s="920"/>
      <c r="E345" s="921"/>
      <c r="F345" s="1345">
        <f t="shared" si="6"/>
        <v>0</v>
      </c>
      <c r="G345" s="328"/>
      <c r="H345" s="44"/>
      <c r="I345" s="44"/>
      <c r="J345" s="44"/>
    </row>
    <row r="346" spans="1:10" s="656" customFormat="1" ht="12.75" customHeight="1">
      <c r="A346" s="926">
        <v>1.1000000000000001</v>
      </c>
      <c r="B346" s="923" t="s">
        <v>776</v>
      </c>
      <c r="C346" s="919">
        <v>19.71</v>
      </c>
      <c r="D346" s="920" t="s">
        <v>2</v>
      </c>
      <c r="E346" s="927">
        <v>158.47999999999999</v>
      </c>
      <c r="F346" s="1345">
        <f t="shared" si="6"/>
        <v>3123.64</v>
      </c>
      <c r="G346" s="328"/>
      <c r="H346" s="44"/>
      <c r="I346" s="44"/>
      <c r="J346" s="44"/>
    </row>
    <row r="347" spans="1:10" s="656" customFormat="1" ht="12.75" customHeight="1">
      <c r="A347" s="926">
        <v>1.2</v>
      </c>
      <c r="B347" s="880" t="s">
        <v>550</v>
      </c>
      <c r="C347" s="919">
        <v>11.01</v>
      </c>
      <c r="D347" s="920" t="s">
        <v>2</v>
      </c>
      <c r="E347" s="921">
        <v>126.55</v>
      </c>
      <c r="F347" s="1345">
        <f t="shared" si="6"/>
        <v>1393.32</v>
      </c>
      <c r="G347" s="328"/>
      <c r="H347" s="44"/>
      <c r="I347" s="44"/>
      <c r="J347" s="44"/>
    </row>
    <row r="348" spans="1:10" s="656" customFormat="1" ht="12.75" customHeight="1">
      <c r="A348" s="926">
        <v>1.3</v>
      </c>
      <c r="B348" s="869" t="s">
        <v>551</v>
      </c>
      <c r="C348" s="919">
        <v>10.44</v>
      </c>
      <c r="D348" s="920" t="s">
        <v>2</v>
      </c>
      <c r="E348" s="921">
        <v>150</v>
      </c>
      <c r="F348" s="1345">
        <f t="shared" si="6"/>
        <v>1566</v>
      </c>
      <c r="G348" s="328"/>
      <c r="H348" s="44"/>
      <c r="I348" s="44"/>
      <c r="J348" s="44"/>
    </row>
    <row r="349" spans="1:10" s="656" customFormat="1" ht="12.75" customHeight="1">
      <c r="A349" s="926"/>
      <c r="B349" s="923"/>
      <c r="C349" s="919"/>
      <c r="D349" s="920"/>
      <c r="E349" s="921"/>
      <c r="F349" s="1345">
        <f t="shared" si="6"/>
        <v>0</v>
      </c>
      <c r="G349" s="328"/>
      <c r="H349" s="44"/>
      <c r="I349" s="44"/>
      <c r="J349" s="44"/>
    </row>
    <row r="350" spans="1:10" s="656" customFormat="1" ht="12.75" customHeight="1">
      <c r="A350" s="924">
        <v>2</v>
      </c>
      <c r="B350" s="925" t="s">
        <v>583</v>
      </c>
      <c r="C350" s="919"/>
      <c r="D350" s="920"/>
      <c r="E350" s="921"/>
      <c r="F350" s="1345">
        <f t="shared" si="6"/>
        <v>0</v>
      </c>
      <c r="G350" s="328"/>
      <c r="H350" s="44"/>
      <c r="I350" s="44"/>
      <c r="J350" s="44"/>
    </row>
    <row r="351" spans="1:10" s="656" customFormat="1" ht="12.75" customHeight="1">
      <c r="A351" s="926">
        <v>2.1</v>
      </c>
      <c r="B351" s="1398" t="s">
        <v>777</v>
      </c>
      <c r="C351" s="928">
        <v>2.56</v>
      </c>
      <c r="D351" s="920" t="s">
        <v>2</v>
      </c>
      <c r="E351" s="929" t="e">
        <f>+'ANALISIS PTAP'!F488</f>
        <v>#REF!</v>
      </c>
      <c r="F351" s="1345" t="e">
        <f t="shared" si="6"/>
        <v>#REF!</v>
      </c>
      <c r="G351" s="328"/>
      <c r="H351" s="44"/>
      <c r="I351" s="44"/>
      <c r="J351" s="44"/>
    </row>
    <row r="352" spans="1:10" s="656" customFormat="1" ht="12.75" customHeight="1">
      <c r="A352" s="926">
        <v>2.2000000000000002</v>
      </c>
      <c r="B352" s="1398" t="s">
        <v>1247</v>
      </c>
      <c r="C352" s="928">
        <v>3.24</v>
      </c>
      <c r="D352" s="920" t="s">
        <v>2</v>
      </c>
      <c r="E352" s="929">
        <f>+'ANALISIS PTAP'!F499</f>
        <v>25000</v>
      </c>
      <c r="F352" s="1345">
        <f t="shared" si="6"/>
        <v>81000</v>
      </c>
      <c r="G352" s="328"/>
      <c r="H352" s="44"/>
      <c r="I352" s="44"/>
      <c r="J352" s="44"/>
    </row>
    <row r="353" spans="1:10" s="656" customFormat="1" ht="12.75" customHeight="1">
      <c r="A353" s="926">
        <v>2.2999999999999998</v>
      </c>
      <c r="B353" s="1398" t="s">
        <v>1248</v>
      </c>
      <c r="C353" s="919">
        <v>2.4300000000000002</v>
      </c>
      <c r="D353" s="920" t="s">
        <v>2</v>
      </c>
      <c r="E353" s="1395" t="e">
        <f>+'ANALISIS PTAP'!F500</f>
        <v>#REF!</v>
      </c>
      <c r="F353" s="1345" t="e">
        <f t="shared" si="6"/>
        <v>#REF!</v>
      </c>
      <c r="G353" s="328"/>
      <c r="H353" s="44"/>
      <c r="I353" s="44"/>
      <c r="J353" s="44"/>
    </row>
    <row r="354" spans="1:10" s="656" customFormat="1" ht="12.75" customHeight="1">
      <c r="A354" s="926">
        <v>2.4</v>
      </c>
      <c r="B354" s="1398" t="s">
        <v>780</v>
      </c>
      <c r="C354" s="919">
        <v>0.71</v>
      </c>
      <c r="D354" s="920" t="s">
        <v>2</v>
      </c>
      <c r="E354" s="921" t="e">
        <f>+'ANALISIS PTAP'!F506</f>
        <v>#REF!</v>
      </c>
      <c r="F354" s="1345" t="e">
        <f t="shared" si="6"/>
        <v>#REF!</v>
      </c>
      <c r="G354" s="328"/>
      <c r="H354" s="44"/>
      <c r="I354" s="44"/>
      <c r="J354" s="44"/>
    </row>
    <row r="355" spans="1:10" s="656" customFormat="1" ht="12.75" customHeight="1">
      <c r="A355" s="926">
        <v>2.5</v>
      </c>
      <c r="B355" s="1398" t="s">
        <v>781</v>
      </c>
      <c r="C355" s="919">
        <v>0.34</v>
      </c>
      <c r="D355" s="920" t="s">
        <v>2</v>
      </c>
      <c r="E355" s="921" t="e">
        <f>+'ANALISIS PTAP'!F288</f>
        <v>#REF!</v>
      </c>
      <c r="F355" s="1345" t="e">
        <f t="shared" si="6"/>
        <v>#REF!</v>
      </c>
      <c r="G355" s="328"/>
      <c r="H355" s="44"/>
      <c r="I355" s="44"/>
      <c r="J355" s="44"/>
    </row>
    <row r="356" spans="1:10" s="656" customFormat="1" ht="12.75" customHeight="1">
      <c r="A356" s="926">
        <v>2.6</v>
      </c>
      <c r="B356" s="1398" t="s">
        <v>782</v>
      </c>
      <c r="C356" s="919">
        <v>4.7</v>
      </c>
      <c r="D356" s="920" t="s">
        <v>2</v>
      </c>
      <c r="E356" s="921" t="e">
        <f>+'ANALISIS PTAP'!F513</f>
        <v>#REF!</v>
      </c>
      <c r="F356" s="1345" t="e">
        <f t="shared" si="6"/>
        <v>#REF!</v>
      </c>
      <c r="G356" s="328"/>
      <c r="H356" s="44"/>
      <c r="I356" s="44"/>
      <c r="J356" s="44"/>
    </row>
    <row r="357" spans="1:10" s="656" customFormat="1" ht="12.75" customHeight="1">
      <c r="A357" s="926">
        <v>2.7</v>
      </c>
      <c r="B357" s="1398" t="s">
        <v>783</v>
      </c>
      <c r="C357" s="919">
        <v>4.7</v>
      </c>
      <c r="D357" s="920" t="s">
        <v>2</v>
      </c>
      <c r="E357" s="921" t="e">
        <f>+'ANALISIS PTAP'!F519</f>
        <v>#REF!</v>
      </c>
      <c r="F357" s="1345" t="e">
        <f t="shared" si="6"/>
        <v>#REF!</v>
      </c>
      <c r="G357" s="328"/>
      <c r="H357" s="44"/>
      <c r="I357" s="44"/>
      <c r="J357" s="44"/>
    </row>
    <row r="358" spans="1:10" s="656" customFormat="1" ht="12.75" customHeight="1">
      <c r="A358" s="926"/>
      <c r="B358" s="923"/>
      <c r="C358" s="919"/>
      <c r="D358" s="920"/>
      <c r="E358" s="921"/>
      <c r="F358" s="1345">
        <f t="shared" si="6"/>
        <v>0</v>
      </c>
      <c r="G358" s="328"/>
      <c r="H358" s="44"/>
      <c r="I358" s="44"/>
      <c r="J358" s="44"/>
    </row>
    <row r="359" spans="1:10" s="656" customFormat="1" ht="12.75" customHeight="1">
      <c r="A359" s="924">
        <v>3</v>
      </c>
      <c r="B359" s="925" t="s">
        <v>784</v>
      </c>
      <c r="C359" s="919"/>
      <c r="D359" s="920"/>
      <c r="E359" s="921"/>
      <c r="F359" s="1345">
        <f t="shared" si="6"/>
        <v>0</v>
      </c>
      <c r="G359" s="328"/>
      <c r="H359" s="44"/>
      <c r="I359" s="44"/>
      <c r="J359" s="44"/>
    </row>
    <row r="360" spans="1:10" s="656" customFormat="1" ht="25.5" customHeight="1">
      <c r="A360" s="926">
        <v>3.1</v>
      </c>
      <c r="B360" s="1398" t="s">
        <v>785</v>
      </c>
      <c r="C360" s="919">
        <v>1.44</v>
      </c>
      <c r="D360" s="920" t="s">
        <v>11</v>
      </c>
      <c r="E360" s="921">
        <f>+'ANALISIS PTAP'!F563</f>
        <v>833.75</v>
      </c>
      <c r="F360" s="1345">
        <f t="shared" si="6"/>
        <v>1200.5999999999999</v>
      </c>
      <c r="G360" s="328"/>
      <c r="H360" s="44"/>
      <c r="I360" s="44"/>
      <c r="J360" s="44"/>
    </row>
    <row r="361" spans="1:10" s="656" customFormat="1" ht="12.75" customHeight="1">
      <c r="A361" s="926">
        <v>3.2</v>
      </c>
      <c r="B361" s="1389" t="s">
        <v>786</v>
      </c>
      <c r="C361" s="919">
        <v>149.97</v>
      </c>
      <c r="D361" s="920" t="s">
        <v>11</v>
      </c>
      <c r="E361" s="921">
        <f>+'ANALISIS PTAP'!F552</f>
        <v>920.17</v>
      </c>
      <c r="F361" s="1345">
        <f t="shared" si="6"/>
        <v>137997.89000000001</v>
      </c>
      <c r="G361" s="328"/>
      <c r="H361" s="44"/>
      <c r="I361" s="44"/>
      <c r="J361" s="44"/>
    </row>
    <row r="362" spans="1:10" s="656" customFormat="1" ht="12.75" customHeight="1">
      <c r="A362" s="930"/>
      <c r="B362" s="930"/>
      <c r="C362" s="931"/>
      <c r="D362" s="920"/>
      <c r="E362" s="929"/>
      <c r="F362" s="1345">
        <f t="shared" si="6"/>
        <v>0</v>
      </c>
      <c r="G362" s="328"/>
      <c r="H362" s="44"/>
      <c r="I362" s="44"/>
      <c r="J362" s="44"/>
    </row>
    <row r="363" spans="1:10" s="656" customFormat="1" ht="12.75" customHeight="1">
      <c r="A363" s="924">
        <v>4</v>
      </c>
      <c r="B363" s="925" t="s">
        <v>787</v>
      </c>
      <c r="C363" s="919"/>
      <c r="D363" s="920"/>
      <c r="E363" s="921"/>
      <c r="F363" s="1345">
        <f t="shared" si="6"/>
        <v>0</v>
      </c>
      <c r="G363" s="328"/>
      <c r="H363" s="44"/>
      <c r="I363" s="44"/>
      <c r="J363" s="44"/>
    </row>
    <row r="364" spans="1:10" s="656" customFormat="1" ht="12.75" customHeight="1">
      <c r="A364" s="926">
        <v>4.0999999999999996</v>
      </c>
      <c r="B364" s="1398" t="s">
        <v>788</v>
      </c>
      <c r="C364" s="919">
        <v>480.54</v>
      </c>
      <c r="D364" s="920" t="s">
        <v>11</v>
      </c>
      <c r="E364" s="932" t="e">
        <f>+E328</f>
        <v>#REF!</v>
      </c>
      <c r="F364" s="1345" t="e">
        <f t="shared" si="6"/>
        <v>#REF!</v>
      </c>
      <c r="G364" s="328"/>
      <c r="H364" s="44"/>
      <c r="I364" s="44"/>
      <c r="J364" s="44"/>
    </row>
    <row r="365" spans="1:10" s="656" customFormat="1" ht="12.75" customHeight="1">
      <c r="A365" s="926">
        <v>4.2</v>
      </c>
      <c r="B365" s="1398" t="s">
        <v>789</v>
      </c>
      <c r="C365" s="919">
        <v>34.729999999999997</v>
      </c>
      <c r="D365" s="920" t="s">
        <v>11</v>
      </c>
      <c r="E365" s="921">
        <f>+'ANALISIS PTAP'!F245</f>
        <v>501.75</v>
      </c>
      <c r="F365" s="1345">
        <f t="shared" si="6"/>
        <v>17425.78</v>
      </c>
      <c r="G365" s="328"/>
      <c r="H365" s="44"/>
      <c r="I365" s="44"/>
      <c r="J365" s="44"/>
    </row>
    <row r="366" spans="1:10" s="656" customFormat="1" ht="12.75" customHeight="1">
      <c r="A366" s="926">
        <v>4.5</v>
      </c>
      <c r="B366" s="1398" t="s">
        <v>618</v>
      </c>
      <c r="C366" s="919">
        <v>230</v>
      </c>
      <c r="D366" s="920" t="s">
        <v>1</v>
      </c>
      <c r="E366" s="932" t="e">
        <f>+E310</f>
        <v>#REF!</v>
      </c>
      <c r="F366" s="1345" t="e">
        <f t="shared" si="6"/>
        <v>#REF!</v>
      </c>
      <c r="G366" s="328"/>
      <c r="H366" s="44"/>
      <c r="I366" s="44"/>
      <c r="J366" s="44"/>
    </row>
    <row r="367" spans="1:10" s="656" customFormat="1" ht="12.75" customHeight="1">
      <c r="A367" s="926">
        <v>4.5999999999999996</v>
      </c>
      <c r="B367" s="1398" t="s">
        <v>790</v>
      </c>
      <c r="C367" s="919">
        <v>63.38</v>
      </c>
      <c r="D367" s="920" t="s">
        <v>2</v>
      </c>
      <c r="E367" s="1395" t="e">
        <f>+E140</f>
        <v>#REF!</v>
      </c>
      <c r="F367" s="1345" t="e">
        <f t="shared" si="6"/>
        <v>#REF!</v>
      </c>
      <c r="G367" s="328"/>
      <c r="H367" s="44"/>
      <c r="I367" s="44"/>
      <c r="J367" s="44"/>
    </row>
    <row r="368" spans="1:10" s="656" customFormat="1" ht="12.75" customHeight="1">
      <c r="A368" s="926">
        <v>4.7</v>
      </c>
      <c r="B368" s="869" t="s">
        <v>202</v>
      </c>
      <c r="C368" s="865">
        <f>+C364</f>
        <v>480.54</v>
      </c>
      <c r="D368" s="866" t="s">
        <v>11</v>
      </c>
      <c r="E368" s="867">
        <v>81.36</v>
      </c>
      <c r="F368" s="1345">
        <f t="shared" si="6"/>
        <v>39096.730000000003</v>
      </c>
      <c r="G368" s="251"/>
      <c r="H368" s="251"/>
      <c r="I368" s="251"/>
      <c r="J368" s="251"/>
    </row>
    <row r="369" spans="1:10" s="656" customFormat="1" ht="12.75" customHeight="1">
      <c r="A369" s="926">
        <v>4.8</v>
      </c>
      <c r="B369" s="869" t="s">
        <v>767</v>
      </c>
      <c r="C369" s="865">
        <f>+C368</f>
        <v>480.54</v>
      </c>
      <c r="D369" s="866" t="s">
        <v>11</v>
      </c>
      <c r="E369" s="867">
        <v>42.01</v>
      </c>
      <c r="F369" s="1345">
        <f t="shared" si="6"/>
        <v>20187.490000000002</v>
      </c>
      <c r="G369" s="251"/>
      <c r="H369" s="251"/>
      <c r="I369" s="251"/>
      <c r="J369" s="251"/>
    </row>
    <row r="370" spans="1:10" s="656" customFormat="1" ht="12.75" customHeight="1">
      <c r="A370" s="926">
        <v>4.9000000000000004</v>
      </c>
      <c r="B370" s="1398" t="s">
        <v>791</v>
      </c>
      <c r="C370" s="919">
        <v>4.76</v>
      </c>
      <c r="D370" s="920" t="s">
        <v>11</v>
      </c>
      <c r="E370" s="921">
        <f>+'ANALISIS PTAP'!F273</f>
        <v>530.77</v>
      </c>
      <c r="F370" s="1345">
        <f t="shared" si="6"/>
        <v>2526.4699999999998</v>
      </c>
      <c r="G370" s="328"/>
      <c r="H370" s="44"/>
      <c r="I370" s="44"/>
      <c r="J370" s="44"/>
    </row>
    <row r="371" spans="1:10" s="656" customFormat="1" ht="12.75" customHeight="1">
      <c r="A371" s="926">
        <v>5</v>
      </c>
      <c r="B371" s="1398" t="s">
        <v>792</v>
      </c>
      <c r="C371" s="919">
        <v>23.82</v>
      </c>
      <c r="D371" s="920" t="s">
        <v>1</v>
      </c>
      <c r="E371" s="1395">
        <f>+'ANALISIS PTAP'!F604</f>
        <v>98.84</v>
      </c>
      <c r="F371" s="1345">
        <f t="shared" si="6"/>
        <v>2354.37</v>
      </c>
      <c r="G371" s="328"/>
      <c r="H371" s="44"/>
      <c r="I371" s="44"/>
      <c r="J371" s="44"/>
    </row>
    <row r="372" spans="1:10" s="656" customFormat="1" ht="12.75" customHeight="1">
      <c r="A372" s="922"/>
      <c r="B372" s="923"/>
      <c r="C372" s="919"/>
      <c r="D372" s="920"/>
      <c r="E372" s="921"/>
      <c r="F372" s="1345">
        <f t="shared" si="6"/>
        <v>0</v>
      </c>
      <c r="G372" s="328"/>
      <c r="H372" s="44"/>
      <c r="I372" s="44"/>
      <c r="J372" s="44"/>
    </row>
    <row r="373" spans="1:10" s="656" customFormat="1" ht="12.75" customHeight="1">
      <c r="A373" s="924">
        <v>5</v>
      </c>
      <c r="B373" s="925" t="s">
        <v>793</v>
      </c>
      <c r="C373" s="919"/>
      <c r="D373" s="920"/>
      <c r="E373" s="921"/>
      <c r="F373" s="1345">
        <f t="shared" si="6"/>
        <v>0</v>
      </c>
      <c r="G373" s="328"/>
      <c r="H373" s="44"/>
      <c r="I373" s="44"/>
      <c r="J373" s="44"/>
    </row>
    <row r="374" spans="1:10" s="656" customFormat="1" ht="25.5" customHeight="1">
      <c r="A374" s="926">
        <v>5.0999999999999996</v>
      </c>
      <c r="B374" s="923" t="s">
        <v>1231</v>
      </c>
      <c r="C374" s="919">
        <v>1</v>
      </c>
      <c r="D374" s="920" t="s">
        <v>3</v>
      </c>
      <c r="E374" s="921">
        <v>6500</v>
      </c>
      <c r="F374" s="1345">
        <f t="shared" si="6"/>
        <v>6500</v>
      </c>
      <c r="G374" s="328"/>
      <c r="H374" s="44"/>
      <c r="I374" s="44"/>
      <c r="J374" s="44"/>
    </row>
    <row r="375" spans="1:10" s="656" customFormat="1" ht="25.5" customHeight="1">
      <c r="A375" s="926">
        <v>5.2</v>
      </c>
      <c r="B375" s="923" t="s">
        <v>794</v>
      </c>
      <c r="C375" s="933">
        <v>5.04</v>
      </c>
      <c r="D375" s="934" t="s">
        <v>11</v>
      </c>
      <c r="E375" s="935">
        <v>4185.74</v>
      </c>
      <c r="F375" s="1345">
        <f t="shared" si="6"/>
        <v>21096.13</v>
      </c>
      <c r="G375" s="328"/>
      <c r="H375" s="44"/>
      <c r="I375" s="44"/>
      <c r="J375" s="44"/>
    </row>
    <row r="376" spans="1:10" s="656" customFormat="1" ht="12.75" customHeight="1">
      <c r="A376" s="926"/>
      <c r="B376" s="923"/>
      <c r="C376" s="919"/>
      <c r="D376" s="920"/>
      <c r="E376" s="921"/>
      <c r="F376" s="1345">
        <f t="shared" si="6"/>
        <v>0</v>
      </c>
      <c r="G376" s="328"/>
      <c r="H376" s="44"/>
      <c r="I376" s="44"/>
      <c r="J376" s="44"/>
    </row>
    <row r="377" spans="1:10" s="656" customFormat="1" ht="12.75" customHeight="1">
      <c r="A377" s="936">
        <v>6</v>
      </c>
      <c r="B377" s="923" t="s">
        <v>795</v>
      </c>
      <c r="C377" s="919">
        <v>59.18</v>
      </c>
      <c r="D377" s="920" t="s">
        <v>155</v>
      </c>
      <c r="E377" s="921">
        <v>283.92</v>
      </c>
      <c r="F377" s="1345">
        <f t="shared" si="6"/>
        <v>16802.39</v>
      </c>
      <c r="G377" s="328"/>
      <c r="H377" s="44"/>
      <c r="I377" s="44"/>
      <c r="J377" s="44"/>
    </row>
    <row r="378" spans="1:10" s="656" customFormat="1" ht="25.5" customHeight="1">
      <c r="A378" s="936">
        <v>7</v>
      </c>
      <c r="B378" s="923" t="s">
        <v>796</v>
      </c>
      <c r="C378" s="919">
        <v>5</v>
      </c>
      <c r="D378" s="920" t="s">
        <v>3</v>
      </c>
      <c r="E378" s="921">
        <v>1603.84</v>
      </c>
      <c r="F378" s="1345">
        <f t="shared" si="6"/>
        <v>8019.2</v>
      </c>
      <c r="G378" s="328"/>
      <c r="H378" s="44"/>
      <c r="I378" s="44"/>
      <c r="J378" s="44"/>
    </row>
    <row r="379" spans="1:10" s="656" customFormat="1" ht="12.75" customHeight="1">
      <c r="A379" s="936"/>
      <c r="B379" s="923"/>
      <c r="C379" s="919"/>
      <c r="D379" s="920"/>
      <c r="E379" s="921"/>
      <c r="F379" s="1345">
        <f t="shared" si="6"/>
        <v>0</v>
      </c>
      <c r="G379" s="328"/>
      <c r="H379" s="44"/>
      <c r="I379" s="44"/>
      <c r="J379" s="44"/>
    </row>
    <row r="380" spans="1:10" s="656" customFormat="1" ht="12.75" customHeight="1">
      <c r="A380" s="937">
        <v>8</v>
      </c>
      <c r="B380" s="882" t="s">
        <v>797</v>
      </c>
      <c r="C380" s="938"/>
      <c r="D380" s="939"/>
      <c r="E380" s="927"/>
      <c r="F380" s="1345">
        <f t="shared" si="6"/>
        <v>0</v>
      </c>
      <c r="G380" s="328"/>
      <c r="H380" s="44"/>
      <c r="I380" s="44"/>
      <c r="J380" s="44"/>
    </row>
    <row r="381" spans="1:10" s="656" customFormat="1" ht="51" customHeight="1">
      <c r="A381" s="940">
        <v>8.1</v>
      </c>
      <c r="B381" s="879" t="s">
        <v>798</v>
      </c>
      <c r="C381" s="933">
        <v>3</v>
      </c>
      <c r="D381" s="941" t="s">
        <v>3</v>
      </c>
      <c r="E381" s="932">
        <v>37550</v>
      </c>
      <c r="F381" s="1345">
        <f t="shared" si="6"/>
        <v>112650</v>
      </c>
      <c r="G381" s="328"/>
      <c r="H381" s="44"/>
      <c r="I381" s="44"/>
      <c r="J381" s="44"/>
    </row>
    <row r="382" spans="1:10" s="656" customFormat="1" ht="12.75" customHeight="1">
      <c r="A382" s="942">
        <v>8.1999999999999993</v>
      </c>
      <c r="B382" s="869" t="s">
        <v>799</v>
      </c>
      <c r="C382" s="938">
        <v>180</v>
      </c>
      <c r="D382" s="939" t="s">
        <v>800</v>
      </c>
      <c r="E382" s="927">
        <v>8.9499999999999993</v>
      </c>
      <c r="F382" s="1345">
        <f t="shared" si="6"/>
        <v>1611</v>
      </c>
      <c r="G382" s="328"/>
      <c r="H382" s="44"/>
      <c r="I382" s="44"/>
      <c r="J382" s="44"/>
    </row>
    <row r="383" spans="1:10" s="656" customFormat="1" ht="12.75" customHeight="1">
      <c r="A383" s="940">
        <v>8.3000000000000007</v>
      </c>
      <c r="B383" s="869" t="s">
        <v>801</v>
      </c>
      <c r="C383" s="938">
        <v>1</v>
      </c>
      <c r="D383" s="939" t="s">
        <v>42</v>
      </c>
      <c r="E383" s="927">
        <v>1500</v>
      </c>
      <c r="F383" s="1345">
        <f t="shared" si="6"/>
        <v>1500</v>
      </c>
      <c r="G383" s="328"/>
      <c r="H383" s="44"/>
      <c r="I383" s="44"/>
      <c r="J383" s="44"/>
    </row>
    <row r="384" spans="1:10" s="656" customFormat="1" ht="12.75" customHeight="1">
      <c r="A384" s="942">
        <v>8.4</v>
      </c>
      <c r="B384" s="869" t="s">
        <v>802</v>
      </c>
      <c r="C384" s="938">
        <v>1</v>
      </c>
      <c r="D384" s="939" t="s">
        <v>3</v>
      </c>
      <c r="E384" s="927">
        <v>12750</v>
      </c>
      <c r="F384" s="1345">
        <f t="shared" si="6"/>
        <v>12750</v>
      </c>
      <c r="G384" s="328"/>
      <c r="H384" s="44"/>
      <c r="I384" s="44"/>
      <c r="J384" s="44"/>
    </row>
    <row r="385" spans="1:10" s="656" customFormat="1" ht="12.75" customHeight="1">
      <c r="A385" s="940">
        <v>8.5</v>
      </c>
      <c r="B385" s="869" t="s">
        <v>803</v>
      </c>
      <c r="C385" s="938">
        <v>2</v>
      </c>
      <c r="D385" s="939" t="s">
        <v>3</v>
      </c>
      <c r="E385" s="927">
        <v>4000</v>
      </c>
      <c r="F385" s="1345">
        <f t="shared" si="6"/>
        <v>8000</v>
      </c>
      <c r="G385" s="328"/>
      <c r="H385" s="44"/>
      <c r="I385" s="44"/>
      <c r="J385" s="44"/>
    </row>
    <row r="386" spans="1:10" s="656" customFormat="1" ht="12.75" customHeight="1">
      <c r="A386" s="942">
        <v>8.6</v>
      </c>
      <c r="B386" s="869" t="s">
        <v>804</v>
      </c>
      <c r="C386" s="938">
        <v>1</v>
      </c>
      <c r="D386" s="939" t="s">
        <v>689</v>
      </c>
      <c r="E386" s="927">
        <v>6000</v>
      </c>
      <c r="F386" s="1345">
        <f t="shared" si="6"/>
        <v>6000</v>
      </c>
      <c r="G386" s="328"/>
      <c r="H386" s="44"/>
      <c r="I386" s="44"/>
      <c r="J386" s="44"/>
    </row>
    <row r="387" spans="1:10" s="656" customFormat="1" ht="12.75" customHeight="1">
      <c r="A387" s="942"/>
      <c r="B387" s="869"/>
      <c r="C387" s="938"/>
      <c r="D387" s="939"/>
      <c r="E387" s="927"/>
      <c r="F387" s="1345">
        <f t="shared" si="6"/>
        <v>0</v>
      </c>
      <c r="G387" s="328"/>
      <c r="H387" s="44"/>
      <c r="I387" s="44"/>
      <c r="J387" s="44"/>
    </row>
    <row r="388" spans="1:10" s="656" customFormat="1" ht="12.75" customHeight="1">
      <c r="A388" s="943">
        <v>9</v>
      </c>
      <c r="B388" s="869" t="s">
        <v>805</v>
      </c>
      <c r="C388" s="938">
        <v>1</v>
      </c>
      <c r="D388" s="939" t="s">
        <v>689</v>
      </c>
      <c r="E388" s="927">
        <v>8500</v>
      </c>
      <c r="F388" s="1345">
        <f t="shared" si="6"/>
        <v>8500</v>
      </c>
      <c r="G388" s="328"/>
      <c r="H388" s="44"/>
      <c r="I388" s="44"/>
      <c r="J388" s="44"/>
    </row>
    <row r="389" spans="1:10" s="656" customFormat="1" ht="12.75" customHeight="1">
      <c r="A389" s="936">
        <v>10</v>
      </c>
      <c r="B389" s="923" t="s">
        <v>806</v>
      </c>
      <c r="C389" s="919">
        <v>1</v>
      </c>
      <c r="D389" s="920" t="s">
        <v>3</v>
      </c>
      <c r="E389" s="921">
        <v>500</v>
      </c>
      <c r="F389" s="1345">
        <f t="shared" si="6"/>
        <v>500</v>
      </c>
      <c r="G389" s="328"/>
      <c r="H389" s="44"/>
      <c r="I389" s="44"/>
      <c r="J389" s="44"/>
    </row>
    <row r="390" spans="1:10" s="656" customFormat="1" ht="63.75" customHeight="1">
      <c r="A390" s="936">
        <v>11</v>
      </c>
      <c r="B390" s="923" t="s">
        <v>807</v>
      </c>
      <c r="C390" s="933">
        <v>2</v>
      </c>
      <c r="D390" s="934" t="s">
        <v>3</v>
      </c>
      <c r="E390" s="935">
        <v>100000</v>
      </c>
      <c r="F390" s="1345">
        <f t="shared" si="6"/>
        <v>200000</v>
      </c>
      <c r="G390" s="328"/>
      <c r="H390" s="44"/>
      <c r="I390" s="44"/>
      <c r="J390" s="44"/>
    </row>
    <row r="391" spans="1:10" s="656" customFormat="1" ht="12.75" customHeight="1">
      <c r="A391" s="936"/>
      <c r="B391" s="923"/>
      <c r="C391" s="919"/>
      <c r="D391" s="920"/>
      <c r="E391" s="921"/>
      <c r="F391" s="1345">
        <f t="shared" si="6"/>
        <v>0</v>
      </c>
      <c r="G391" s="328"/>
      <c r="H391" s="44"/>
      <c r="I391" s="44"/>
      <c r="J391" s="44"/>
    </row>
    <row r="392" spans="1:10" s="656" customFormat="1" ht="12.75" customHeight="1">
      <c r="A392" s="924">
        <v>12</v>
      </c>
      <c r="B392" s="925" t="s">
        <v>808</v>
      </c>
      <c r="C392" s="919"/>
      <c r="D392" s="920"/>
      <c r="E392" s="921"/>
      <c r="F392" s="1345">
        <f t="shared" si="6"/>
        <v>0</v>
      </c>
      <c r="G392" s="328"/>
      <c r="H392" s="44"/>
      <c r="I392" s="44"/>
      <c r="J392" s="44"/>
    </row>
    <row r="393" spans="1:10" s="656" customFormat="1" ht="12.75" customHeight="1">
      <c r="A393" s="944">
        <v>12.1</v>
      </c>
      <c r="B393" s="945" t="s">
        <v>1232</v>
      </c>
      <c r="C393" s="919">
        <v>1</v>
      </c>
      <c r="D393" s="946" t="s">
        <v>3</v>
      </c>
      <c r="E393" s="921">
        <v>110000</v>
      </c>
      <c r="F393" s="1345">
        <f t="shared" si="6"/>
        <v>110000</v>
      </c>
      <c r="G393" s="328"/>
      <c r="H393" s="44"/>
      <c r="I393" s="44"/>
      <c r="J393" s="44"/>
    </row>
    <row r="394" spans="1:10" s="656" customFormat="1" ht="25.5" customHeight="1">
      <c r="A394" s="944">
        <v>12.2</v>
      </c>
      <c r="B394" s="945" t="s">
        <v>809</v>
      </c>
      <c r="C394" s="933">
        <v>1</v>
      </c>
      <c r="D394" s="947" t="s">
        <v>3</v>
      </c>
      <c r="E394" s="935">
        <v>69215.679999999993</v>
      </c>
      <c r="F394" s="1345">
        <f t="shared" si="6"/>
        <v>69215.679999999993</v>
      </c>
      <c r="G394" s="328"/>
      <c r="H394" s="44"/>
      <c r="I394" s="44"/>
      <c r="J394" s="44"/>
    </row>
    <row r="395" spans="1:10" s="656" customFormat="1" ht="12.75" customHeight="1">
      <c r="A395" s="944"/>
      <c r="B395" s="945"/>
      <c r="C395" s="919"/>
      <c r="D395" s="946"/>
      <c r="E395" s="921"/>
      <c r="F395" s="1345">
        <f t="shared" si="6"/>
        <v>0</v>
      </c>
      <c r="G395" s="328"/>
      <c r="H395" s="44"/>
      <c r="I395" s="44"/>
      <c r="J395" s="44"/>
    </row>
    <row r="396" spans="1:10" s="656" customFormat="1" ht="12.75" customHeight="1">
      <c r="A396" s="924">
        <v>13</v>
      </c>
      <c r="B396" s="925" t="s">
        <v>810</v>
      </c>
      <c r="C396" s="919"/>
      <c r="D396" s="920"/>
      <c r="E396" s="921"/>
      <c r="F396" s="1345">
        <f t="shared" si="6"/>
        <v>0</v>
      </c>
      <c r="G396" s="328"/>
      <c r="H396" s="44"/>
      <c r="I396" s="44"/>
      <c r="J396" s="44"/>
    </row>
    <row r="397" spans="1:10" s="656" customFormat="1" ht="12.75" customHeight="1">
      <c r="A397" s="926">
        <v>13.1</v>
      </c>
      <c r="B397" s="923" t="s">
        <v>811</v>
      </c>
      <c r="C397" s="919">
        <v>1</v>
      </c>
      <c r="D397" s="920" t="s">
        <v>3</v>
      </c>
      <c r="E397" s="921">
        <v>3653.22</v>
      </c>
      <c r="F397" s="1345">
        <f t="shared" si="6"/>
        <v>3653.22</v>
      </c>
      <c r="G397" s="328"/>
      <c r="H397" s="44"/>
      <c r="I397" s="44"/>
      <c r="J397" s="44"/>
    </row>
    <row r="398" spans="1:10" s="656" customFormat="1" ht="12.75" customHeight="1">
      <c r="A398" s="926">
        <v>13.2</v>
      </c>
      <c r="B398" s="923" t="s">
        <v>812</v>
      </c>
      <c r="C398" s="919">
        <v>1</v>
      </c>
      <c r="D398" s="920" t="s">
        <v>3</v>
      </c>
      <c r="E398" s="921">
        <v>3482.76</v>
      </c>
      <c r="F398" s="1345">
        <f t="shared" si="6"/>
        <v>3482.76</v>
      </c>
      <c r="G398" s="328"/>
      <c r="H398" s="44"/>
      <c r="I398" s="44"/>
      <c r="J398" s="44"/>
    </row>
    <row r="399" spans="1:10" s="656" customFormat="1" ht="12.75" customHeight="1">
      <c r="A399" s="926">
        <v>13.3</v>
      </c>
      <c r="B399" s="948" t="s">
        <v>813</v>
      </c>
      <c r="C399" s="919">
        <v>1</v>
      </c>
      <c r="D399" s="920" t="s">
        <v>3</v>
      </c>
      <c r="E399" s="921">
        <v>791.54</v>
      </c>
      <c r="F399" s="1345">
        <f t="shared" si="6"/>
        <v>791.54</v>
      </c>
      <c r="G399" s="328"/>
      <c r="H399" s="44"/>
      <c r="I399" s="44"/>
      <c r="J399" s="44"/>
    </row>
    <row r="400" spans="1:10" s="656" customFormat="1" ht="12.75" customHeight="1">
      <c r="A400" s="926">
        <v>13.4</v>
      </c>
      <c r="B400" s="949" t="s">
        <v>814</v>
      </c>
      <c r="C400" s="919">
        <v>1</v>
      </c>
      <c r="D400" s="920" t="s">
        <v>3</v>
      </c>
      <c r="E400" s="921">
        <v>5117.7299999999996</v>
      </c>
      <c r="F400" s="1345">
        <f t="shared" si="6"/>
        <v>5117.7299999999996</v>
      </c>
      <c r="G400" s="328"/>
      <c r="H400" s="44"/>
      <c r="I400" s="44"/>
      <c r="J400" s="44"/>
    </row>
    <row r="401" spans="1:10" s="656" customFormat="1" ht="12.75" customHeight="1">
      <c r="A401" s="926">
        <v>13.5</v>
      </c>
      <c r="B401" s="923" t="s">
        <v>815</v>
      </c>
      <c r="C401" s="919">
        <v>1</v>
      </c>
      <c r="D401" s="920" t="s">
        <v>3</v>
      </c>
      <c r="E401" s="921">
        <v>4000</v>
      </c>
      <c r="F401" s="1345">
        <f t="shared" si="6"/>
        <v>4000</v>
      </c>
      <c r="G401" s="328"/>
      <c r="H401" s="44"/>
      <c r="I401" s="44"/>
      <c r="J401" s="44"/>
    </row>
    <row r="402" spans="1:10" s="656" customFormat="1" ht="12.75" customHeight="1">
      <c r="A402" s="926">
        <v>13.6</v>
      </c>
      <c r="B402" s="923" t="s">
        <v>816</v>
      </c>
      <c r="C402" s="919">
        <v>1</v>
      </c>
      <c r="D402" s="920" t="s">
        <v>61</v>
      </c>
      <c r="E402" s="921">
        <v>1250</v>
      </c>
      <c r="F402" s="1345">
        <f t="shared" si="6"/>
        <v>1250</v>
      </c>
      <c r="G402" s="328"/>
      <c r="H402" s="44"/>
      <c r="I402" s="44"/>
      <c r="J402" s="44"/>
    </row>
    <row r="403" spans="1:10" s="656" customFormat="1" ht="12.75" customHeight="1">
      <c r="A403" s="926">
        <v>13.7</v>
      </c>
      <c r="B403" s="923" t="s">
        <v>817</v>
      </c>
      <c r="C403" s="919">
        <v>1</v>
      </c>
      <c r="D403" s="920" t="s">
        <v>61</v>
      </c>
      <c r="E403" s="921">
        <v>2500</v>
      </c>
      <c r="F403" s="1345">
        <f t="shared" si="6"/>
        <v>2500</v>
      </c>
      <c r="G403" s="328"/>
      <c r="H403" s="44"/>
      <c r="I403" s="44"/>
      <c r="J403" s="44"/>
    </row>
    <row r="404" spans="1:10" s="656" customFormat="1" ht="12.75" customHeight="1">
      <c r="A404" s="926">
        <v>13.8</v>
      </c>
      <c r="B404" s="923" t="s">
        <v>818</v>
      </c>
      <c r="C404" s="919">
        <v>1</v>
      </c>
      <c r="D404" s="920" t="s">
        <v>61</v>
      </c>
      <c r="E404" s="921">
        <v>2000</v>
      </c>
      <c r="F404" s="1345">
        <f t="shared" si="6"/>
        <v>2000</v>
      </c>
      <c r="G404" s="328"/>
      <c r="H404" s="44"/>
      <c r="I404" s="44"/>
      <c r="J404" s="44"/>
    </row>
    <row r="405" spans="1:10" s="656" customFormat="1" ht="12.75" customHeight="1">
      <c r="A405" s="926"/>
      <c r="B405" s="923"/>
      <c r="C405" s="919"/>
      <c r="D405" s="920"/>
      <c r="E405" s="921"/>
      <c r="F405" s="1345">
        <f t="shared" si="6"/>
        <v>0</v>
      </c>
      <c r="G405" s="328"/>
      <c r="H405" s="44"/>
      <c r="I405" s="44"/>
      <c r="J405" s="44"/>
    </row>
    <row r="406" spans="1:10" s="656" customFormat="1" ht="12.75" customHeight="1">
      <c r="A406" s="924">
        <v>14</v>
      </c>
      <c r="B406" s="925" t="s">
        <v>819</v>
      </c>
      <c r="C406" s="919"/>
      <c r="D406" s="920"/>
      <c r="E406" s="921"/>
      <c r="F406" s="1345">
        <f t="shared" si="6"/>
        <v>0</v>
      </c>
      <c r="G406" s="328"/>
      <c r="H406" s="44"/>
      <c r="I406" s="44"/>
      <c r="J406" s="44"/>
    </row>
    <row r="407" spans="1:10" s="656" customFormat="1" ht="12.75" customHeight="1">
      <c r="A407" s="926">
        <v>14.1</v>
      </c>
      <c r="B407" s="923" t="s">
        <v>820</v>
      </c>
      <c r="C407" s="919">
        <v>4</v>
      </c>
      <c r="D407" s="920" t="s">
        <v>3</v>
      </c>
      <c r="E407" s="921">
        <v>912.54</v>
      </c>
      <c r="F407" s="1345">
        <f t="shared" ref="F407:F470" si="7">+ROUND((E407*C407),2)</f>
        <v>3650.16</v>
      </c>
      <c r="G407" s="328"/>
      <c r="H407" s="44"/>
      <c r="I407" s="44"/>
      <c r="J407" s="44"/>
    </row>
    <row r="408" spans="1:10" s="656" customFormat="1" ht="12.75" customHeight="1">
      <c r="A408" s="926">
        <v>14.2</v>
      </c>
      <c r="B408" s="923" t="s">
        <v>821</v>
      </c>
      <c r="C408" s="919">
        <v>6</v>
      </c>
      <c r="D408" s="920" t="s">
        <v>3</v>
      </c>
      <c r="E408" s="921">
        <v>940.15</v>
      </c>
      <c r="F408" s="1345">
        <f t="shared" si="7"/>
        <v>5640.9</v>
      </c>
      <c r="G408" s="328"/>
      <c r="H408" s="44"/>
      <c r="I408" s="44"/>
      <c r="J408" s="44"/>
    </row>
    <row r="409" spans="1:10" s="656" customFormat="1" ht="12.75" customHeight="1">
      <c r="A409" s="926">
        <v>14.3</v>
      </c>
      <c r="B409" s="923" t="s">
        <v>822</v>
      </c>
      <c r="C409" s="919">
        <v>2</v>
      </c>
      <c r="D409" s="920" t="s">
        <v>3</v>
      </c>
      <c r="E409" s="921">
        <v>952.9</v>
      </c>
      <c r="F409" s="1345">
        <f t="shared" si="7"/>
        <v>1905.8</v>
      </c>
      <c r="G409" s="328"/>
      <c r="H409" s="44"/>
      <c r="I409" s="44"/>
      <c r="J409" s="44"/>
    </row>
    <row r="410" spans="1:10" s="656" customFormat="1" ht="12.75" customHeight="1">
      <c r="A410" s="926">
        <v>14.4</v>
      </c>
      <c r="B410" s="923" t="s">
        <v>823</v>
      </c>
      <c r="C410" s="919">
        <v>1</v>
      </c>
      <c r="D410" s="920" t="s">
        <v>3</v>
      </c>
      <c r="E410" s="921">
        <v>3600</v>
      </c>
      <c r="F410" s="1345">
        <f t="shared" si="7"/>
        <v>3600</v>
      </c>
      <c r="G410" s="328"/>
      <c r="H410" s="44"/>
      <c r="I410" s="44"/>
      <c r="J410" s="44"/>
    </row>
    <row r="411" spans="1:10" s="656" customFormat="1" ht="12.75" customHeight="1">
      <c r="A411" s="926"/>
      <c r="B411" s="923"/>
      <c r="C411" s="919"/>
      <c r="D411" s="920"/>
      <c r="E411" s="921"/>
      <c r="F411" s="1345">
        <f t="shared" si="7"/>
        <v>0</v>
      </c>
      <c r="G411" s="328"/>
      <c r="H411" s="44"/>
      <c r="I411" s="44"/>
      <c r="J411" s="44"/>
    </row>
    <row r="412" spans="1:10" s="656" customFormat="1" ht="12.75" customHeight="1">
      <c r="A412" s="924">
        <v>15</v>
      </c>
      <c r="B412" s="925" t="s">
        <v>824</v>
      </c>
      <c r="C412" s="919"/>
      <c r="D412" s="920"/>
      <c r="E412" s="921"/>
      <c r="F412" s="1345">
        <f t="shared" si="7"/>
        <v>0</v>
      </c>
      <c r="G412" s="328"/>
      <c r="H412" s="44"/>
      <c r="I412" s="44"/>
      <c r="J412" s="44"/>
    </row>
    <row r="413" spans="1:10" s="656" customFormat="1" ht="38.25" customHeight="1">
      <c r="A413" s="926">
        <v>15.1</v>
      </c>
      <c r="B413" s="923" t="s">
        <v>825</v>
      </c>
      <c r="C413" s="933">
        <v>6.56</v>
      </c>
      <c r="D413" s="934" t="s">
        <v>800</v>
      </c>
      <c r="E413" s="935">
        <v>1500</v>
      </c>
      <c r="F413" s="1345">
        <f t="shared" si="7"/>
        <v>9840</v>
      </c>
      <c r="G413" s="328"/>
      <c r="H413" s="44"/>
      <c r="I413" s="44"/>
      <c r="J413" s="44"/>
    </row>
    <row r="414" spans="1:10" s="656" customFormat="1" ht="12.75" customHeight="1">
      <c r="A414" s="926">
        <v>15.2</v>
      </c>
      <c r="B414" s="923" t="s">
        <v>826</v>
      </c>
      <c r="C414" s="919">
        <v>1.77</v>
      </c>
      <c r="D414" s="920" t="s">
        <v>11</v>
      </c>
      <c r="E414" s="921">
        <v>3190</v>
      </c>
      <c r="F414" s="1345">
        <f t="shared" si="7"/>
        <v>5646.3</v>
      </c>
      <c r="G414" s="328"/>
      <c r="H414" s="44"/>
      <c r="I414" s="44"/>
      <c r="J414" s="44"/>
    </row>
    <row r="415" spans="1:10" s="656" customFormat="1" ht="12.75" customHeight="1">
      <c r="A415" s="926"/>
      <c r="B415" s="923"/>
      <c r="C415" s="919"/>
      <c r="D415" s="920"/>
      <c r="E415" s="921"/>
      <c r="F415" s="1345">
        <f t="shared" si="7"/>
        <v>0</v>
      </c>
      <c r="G415" s="328"/>
      <c r="H415" s="44"/>
      <c r="I415" s="44"/>
      <c r="J415" s="44"/>
    </row>
    <row r="416" spans="1:10" s="656" customFormat="1" ht="12.75" customHeight="1">
      <c r="A416" s="924">
        <v>16</v>
      </c>
      <c r="B416" s="925" t="s">
        <v>827</v>
      </c>
      <c r="C416" s="919"/>
      <c r="D416" s="920"/>
      <c r="E416" s="921"/>
      <c r="F416" s="1345">
        <f t="shared" si="7"/>
        <v>0</v>
      </c>
      <c r="G416" s="328"/>
      <c r="H416" s="44"/>
      <c r="I416" s="44"/>
      <c r="J416" s="44"/>
    </row>
    <row r="417" spans="1:10" s="656" customFormat="1" ht="12.75" customHeight="1">
      <c r="A417" s="926">
        <v>16.100000000000001</v>
      </c>
      <c r="B417" s="923" t="s">
        <v>828</v>
      </c>
      <c r="C417" s="919">
        <v>1</v>
      </c>
      <c r="D417" s="920" t="s">
        <v>3</v>
      </c>
      <c r="E417" s="921">
        <v>54501.53</v>
      </c>
      <c r="F417" s="1345">
        <f t="shared" si="7"/>
        <v>54501.53</v>
      </c>
      <c r="G417" s="328"/>
      <c r="H417" s="44"/>
      <c r="I417" s="44"/>
      <c r="J417" s="44"/>
    </row>
    <row r="418" spans="1:10" s="656" customFormat="1" ht="25.5" customHeight="1">
      <c r="A418" s="926">
        <v>16.2</v>
      </c>
      <c r="B418" s="923" t="s">
        <v>829</v>
      </c>
      <c r="C418" s="933">
        <v>1</v>
      </c>
      <c r="D418" s="934" t="s">
        <v>3</v>
      </c>
      <c r="E418" s="935">
        <v>186115.55</v>
      </c>
      <c r="F418" s="1345">
        <f t="shared" si="7"/>
        <v>186115.55</v>
      </c>
      <c r="G418" s="328"/>
      <c r="H418" s="44"/>
      <c r="I418" s="44"/>
      <c r="J418" s="44"/>
    </row>
    <row r="419" spans="1:10" s="656" customFormat="1" ht="12.75" customHeight="1">
      <c r="A419" s="926">
        <v>16.3</v>
      </c>
      <c r="B419" s="923" t="s">
        <v>1234</v>
      </c>
      <c r="C419" s="919">
        <v>1</v>
      </c>
      <c r="D419" s="920" t="s">
        <v>3</v>
      </c>
      <c r="E419" s="921">
        <v>9617.84</v>
      </c>
      <c r="F419" s="1345">
        <f t="shared" si="7"/>
        <v>9617.84</v>
      </c>
      <c r="G419" s="328"/>
      <c r="H419" s="44"/>
      <c r="I419" s="44"/>
      <c r="J419" s="44"/>
    </row>
    <row r="420" spans="1:10" s="656" customFormat="1" ht="12.75" customHeight="1">
      <c r="A420" s="926">
        <v>16.399999999999999</v>
      </c>
      <c r="B420" s="923" t="s">
        <v>830</v>
      </c>
      <c r="C420" s="919">
        <v>2</v>
      </c>
      <c r="D420" s="920" t="s">
        <v>3</v>
      </c>
      <c r="E420" s="921">
        <v>3122.08</v>
      </c>
      <c r="F420" s="1345">
        <f t="shared" si="7"/>
        <v>6244.16</v>
      </c>
      <c r="G420" s="328"/>
      <c r="H420" s="44"/>
      <c r="I420" s="44"/>
      <c r="J420" s="44"/>
    </row>
    <row r="421" spans="1:10" s="656" customFormat="1" ht="12.75" customHeight="1">
      <c r="A421" s="926">
        <v>16.5</v>
      </c>
      <c r="B421" s="923" t="s">
        <v>831</v>
      </c>
      <c r="C421" s="919">
        <v>2</v>
      </c>
      <c r="D421" s="920" t="s">
        <v>3</v>
      </c>
      <c r="E421" s="921">
        <v>301.60000000000002</v>
      </c>
      <c r="F421" s="1345">
        <f t="shared" si="7"/>
        <v>603.20000000000005</v>
      </c>
      <c r="G421" s="328"/>
      <c r="H421" s="44"/>
      <c r="I421" s="44"/>
      <c r="J421" s="44"/>
    </row>
    <row r="422" spans="1:10" s="656" customFormat="1" ht="12.75" customHeight="1">
      <c r="A422" s="926">
        <v>16.600000000000001</v>
      </c>
      <c r="B422" s="923" t="s">
        <v>1233</v>
      </c>
      <c r="C422" s="919">
        <v>6</v>
      </c>
      <c r="D422" s="920" t="s">
        <v>3</v>
      </c>
      <c r="E422" s="921">
        <v>987.23</v>
      </c>
      <c r="F422" s="1345">
        <f t="shared" si="7"/>
        <v>5923.38</v>
      </c>
      <c r="G422" s="328"/>
      <c r="H422" s="44"/>
      <c r="I422" s="44"/>
      <c r="J422" s="44"/>
    </row>
    <row r="423" spans="1:10" s="656" customFormat="1" ht="12.75" customHeight="1">
      <c r="A423" s="926">
        <v>16.7</v>
      </c>
      <c r="B423" s="923" t="s">
        <v>832</v>
      </c>
      <c r="C423" s="919">
        <v>2</v>
      </c>
      <c r="D423" s="920" t="s">
        <v>3</v>
      </c>
      <c r="E423" s="921">
        <v>940.45</v>
      </c>
      <c r="F423" s="1345">
        <f t="shared" si="7"/>
        <v>1880.9</v>
      </c>
      <c r="G423" s="328"/>
      <c r="H423" s="44"/>
      <c r="I423" s="44"/>
      <c r="J423" s="44"/>
    </row>
    <row r="424" spans="1:10" s="656" customFormat="1" ht="12.75" customHeight="1">
      <c r="A424" s="926"/>
      <c r="B424" s="923"/>
      <c r="C424" s="919"/>
      <c r="D424" s="920"/>
      <c r="E424" s="921"/>
      <c r="F424" s="1345">
        <f t="shared" si="7"/>
        <v>0</v>
      </c>
      <c r="G424" s="328"/>
      <c r="H424" s="44"/>
      <c r="I424" s="44"/>
      <c r="J424" s="44"/>
    </row>
    <row r="425" spans="1:10" s="656" customFormat="1" ht="12.75" customHeight="1">
      <c r="A425" s="924">
        <v>17</v>
      </c>
      <c r="B425" s="925" t="s">
        <v>833</v>
      </c>
      <c r="C425" s="919"/>
      <c r="D425" s="920"/>
      <c r="E425" s="921"/>
      <c r="F425" s="1345">
        <f t="shared" si="7"/>
        <v>0</v>
      </c>
      <c r="G425" s="328"/>
      <c r="H425" s="44"/>
      <c r="I425" s="44"/>
      <c r="J425" s="44"/>
    </row>
    <row r="426" spans="1:10" s="656" customFormat="1" ht="12.75" customHeight="1">
      <c r="A426" s="926">
        <v>17.100000000000001</v>
      </c>
      <c r="B426" s="923" t="s">
        <v>834</v>
      </c>
      <c r="C426" s="919">
        <v>3</v>
      </c>
      <c r="D426" s="920" t="s">
        <v>3</v>
      </c>
      <c r="E426" s="921">
        <v>900</v>
      </c>
      <c r="F426" s="1345">
        <f t="shared" si="7"/>
        <v>2700</v>
      </c>
      <c r="G426" s="328"/>
      <c r="H426" s="44"/>
      <c r="I426" s="44"/>
      <c r="J426" s="44"/>
    </row>
    <row r="427" spans="1:10" s="656" customFormat="1" ht="12.75" customHeight="1">
      <c r="A427" s="926">
        <v>17.2</v>
      </c>
      <c r="B427" s="923" t="s">
        <v>835</v>
      </c>
      <c r="C427" s="919">
        <v>1</v>
      </c>
      <c r="D427" s="920" t="s">
        <v>3</v>
      </c>
      <c r="E427" s="921">
        <v>3250</v>
      </c>
      <c r="F427" s="1345">
        <f t="shared" si="7"/>
        <v>3250</v>
      </c>
      <c r="G427" s="328"/>
      <c r="H427" s="44"/>
      <c r="I427" s="44"/>
      <c r="J427" s="44"/>
    </row>
    <row r="428" spans="1:10" s="656" customFormat="1" ht="12.75" customHeight="1">
      <c r="A428" s="926">
        <v>17.3</v>
      </c>
      <c r="B428" s="923" t="s">
        <v>836</v>
      </c>
      <c r="C428" s="919">
        <v>1</v>
      </c>
      <c r="D428" s="920" t="s">
        <v>3</v>
      </c>
      <c r="E428" s="921">
        <v>1850</v>
      </c>
      <c r="F428" s="1345">
        <f t="shared" si="7"/>
        <v>1850</v>
      </c>
      <c r="G428" s="328"/>
      <c r="H428" s="44"/>
      <c r="I428" s="44"/>
      <c r="J428" s="44"/>
    </row>
    <row r="429" spans="1:10" s="656" customFormat="1" ht="12.75" customHeight="1">
      <c r="A429" s="926"/>
      <c r="B429" s="923"/>
      <c r="C429" s="919"/>
      <c r="D429" s="920"/>
      <c r="E429" s="921"/>
      <c r="F429" s="1345">
        <f t="shared" si="7"/>
        <v>0</v>
      </c>
      <c r="G429" s="328"/>
      <c r="H429" s="44"/>
      <c r="I429" s="44"/>
      <c r="J429" s="44"/>
    </row>
    <row r="430" spans="1:10" s="656" customFormat="1" ht="12.75" customHeight="1">
      <c r="A430" s="924">
        <v>18</v>
      </c>
      <c r="B430" s="925" t="s">
        <v>837</v>
      </c>
      <c r="C430" s="919"/>
      <c r="D430" s="920"/>
      <c r="E430" s="921"/>
      <c r="F430" s="1345">
        <f t="shared" si="7"/>
        <v>0</v>
      </c>
      <c r="G430" s="328"/>
      <c r="H430" s="44"/>
      <c r="I430" s="44"/>
      <c r="J430" s="44"/>
    </row>
    <row r="431" spans="1:10" s="656" customFormat="1" ht="12.75" customHeight="1">
      <c r="A431" s="926">
        <v>18.100000000000001</v>
      </c>
      <c r="B431" s="923" t="s">
        <v>838</v>
      </c>
      <c r="C431" s="919">
        <v>2</v>
      </c>
      <c r="D431" s="920" t="s">
        <v>3</v>
      </c>
      <c r="E431" s="921">
        <v>335</v>
      </c>
      <c r="F431" s="1345">
        <f t="shared" si="7"/>
        <v>670</v>
      </c>
      <c r="G431" s="328"/>
      <c r="H431" s="44"/>
      <c r="I431" s="44"/>
      <c r="J431" s="44"/>
    </row>
    <row r="432" spans="1:10" s="656" customFormat="1" ht="12.75" customHeight="1">
      <c r="A432" s="926">
        <v>18.2</v>
      </c>
      <c r="B432" s="923" t="s">
        <v>839</v>
      </c>
      <c r="C432" s="919">
        <v>4</v>
      </c>
      <c r="D432" s="920" t="s">
        <v>3</v>
      </c>
      <c r="E432" s="921">
        <v>126</v>
      </c>
      <c r="F432" s="1345">
        <f t="shared" si="7"/>
        <v>504</v>
      </c>
      <c r="G432" s="328"/>
      <c r="H432" s="44"/>
      <c r="I432" s="44"/>
      <c r="J432" s="44"/>
    </row>
    <row r="433" spans="1:10" s="656" customFormat="1" ht="12.75" customHeight="1">
      <c r="A433" s="926">
        <v>18.3</v>
      </c>
      <c r="B433" s="923" t="s">
        <v>840</v>
      </c>
      <c r="C433" s="919">
        <v>4</v>
      </c>
      <c r="D433" s="920" t="s">
        <v>3</v>
      </c>
      <c r="E433" s="921">
        <v>50</v>
      </c>
      <c r="F433" s="1345">
        <f t="shared" si="7"/>
        <v>200</v>
      </c>
      <c r="G433" s="328"/>
      <c r="H433" s="44"/>
      <c r="I433" s="44"/>
      <c r="J433" s="44"/>
    </row>
    <row r="434" spans="1:10" s="656" customFormat="1" ht="12.75" customHeight="1">
      <c r="A434" s="926">
        <v>18.399999999999999</v>
      </c>
      <c r="B434" s="923" t="s">
        <v>841</v>
      </c>
      <c r="C434" s="919">
        <v>2</v>
      </c>
      <c r="D434" s="920" t="s">
        <v>3</v>
      </c>
      <c r="E434" s="921">
        <v>250</v>
      </c>
      <c r="F434" s="1345">
        <f t="shared" si="7"/>
        <v>500</v>
      </c>
      <c r="G434" s="328"/>
      <c r="H434" s="44"/>
      <c r="I434" s="44"/>
      <c r="J434" s="44"/>
    </row>
    <row r="435" spans="1:10" s="656" customFormat="1" ht="12.75" customHeight="1">
      <c r="A435" s="926">
        <v>18.5</v>
      </c>
      <c r="B435" s="923" t="s">
        <v>842</v>
      </c>
      <c r="C435" s="919">
        <v>2</v>
      </c>
      <c r="D435" s="920" t="s">
        <v>3</v>
      </c>
      <c r="E435" s="921">
        <v>215</v>
      </c>
      <c r="F435" s="1345">
        <f t="shared" si="7"/>
        <v>430</v>
      </c>
      <c r="G435" s="328"/>
      <c r="H435" s="44"/>
      <c r="I435" s="44"/>
      <c r="J435" s="44"/>
    </row>
    <row r="436" spans="1:10" s="656" customFormat="1" ht="12.75" customHeight="1">
      <c r="A436" s="926">
        <v>18.600000000000001</v>
      </c>
      <c r="B436" s="923" t="s">
        <v>843</v>
      </c>
      <c r="C436" s="919">
        <v>2</v>
      </c>
      <c r="D436" s="920" t="s">
        <v>3</v>
      </c>
      <c r="E436" s="921">
        <v>390</v>
      </c>
      <c r="F436" s="1345">
        <f t="shared" si="7"/>
        <v>780</v>
      </c>
      <c r="G436" s="328"/>
      <c r="H436" s="44"/>
      <c r="I436" s="44"/>
      <c r="J436" s="44"/>
    </row>
    <row r="437" spans="1:10" s="656" customFormat="1" ht="12.75" customHeight="1">
      <c r="A437" s="926">
        <v>18.7</v>
      </c>
      <c r="B437" s="923" t="s">
        <v>844</v>
      </c>
      <c r="C437" s="919">
        <v>260</v>
      </c>
      <c r="D437" s="920" t="s">
        <v>800</v>
      </c>
      <c r="E437" s="921">
        <v>50</v>
      </c>
      <c r="F437" s="1345">
        <f t="shared" si="7"/>
        <v>13000</v>
      </c>
      <c r="G437" s="328"/>
      <c r="H437" s="44"/>
      <c r="I437" s="44"/>
      <c r="J437" s="44"/>
    </row>
    <row r="438" spans="1:10" s="656" customFormat="1" ht="12.75" customHeight="1">
      <c r="A438" s="926">
        <v>18.8</v>
      </c>
      <c r="B438" s="923" t="s">
        <v>845</v>
      </c>
      <c r="C438" s="919">
        <v>2</v>
      </c>
      <c r="D438" s="920" t="s">
        <v>3</v>
      </c>
      <c r="E438" s="921">
        <v>175</v>
      </c>
      <c r="F438" s="1345">
        <f t="shared" si="7"/>
        <v>350</v>
      </c>
      <c r="G438" s="328"/>
      <c r="H438" s="44"/>
      <c r="I438" s="44"/>
      <c r="J438" s="44"/>
    </row>
    <row r="439" spans="1:10" s="656" customFormat="1" ht="12.75" customHeight="1">
      <c r="A439" s="926">
        <v>18.899999999999999</v>
      </c>
      <c r="B439" s="923" t="s">
        <v>846</v>
      </c>
      <c r="C439" s="919">
        <v>2</v>
      </c>
      <c r="D439" s="920" t="s">
        <v>3</v>
      </c>
      <c r="E439" s="921">
        <v>150</v>
      </c>
      <c r="F439" s="1345">
        <f t="shared" si="7"/>
        <v>300</v>
      </c>
      <c r="G439" s="328"/>
      <c r="H439" s="44"/>
      <c r="I439" s="44"/>
      <c r="J439" s="44"/>
    </row>
    <row r="440" spans="1:10" s="656" customFormat="1" ht="12.75" customHeight="1">
      <c r="A440" s="922">
        <v>18.100000000000001</v>
      </c>
      <c r="B440" s="923" t="s">
        <v>847</v>
      </c>
      <c r="C440" s="919">
        <v>1</v>
      </c>
      <c r="D440" s="920" t="s">
        <v>61</v>
      </c>
      <c r="E440" s="921">
        <v>300</v>
      </c>
      <c r="F440" s="1345">
        <f t="shared" si="7"/>
        <v>300</v>
      </c>
      <c r="G440" s="328"/>
      <c r="H440" s="44"/>
      <c r="I440" s="44"/>
      <c r="J440" s="44"/>
    </row>
    <row r="441" spans="1:10" s="656" customFormat="1" ht="12.75" customHeight="1">
      <c r="A441" s="922">
        <v>18.11</v>
      </c>
      <c r="B441" s="923" t="s">
        <v>848</v>
      </c>
      <c r="C441" s="919">
        <v>2</v>
      </c>
      <c r="D441" s="920" t="s">
        <v>3</v>
      </c>
      <c r="E441" s="921">
        <v>125</v>
      </c>
      <c r="F441" s="1345">
        <f t="shared" si="7"/>
        <v>250</v>
      </c>
      <c r="G441" s="328"/>
      <c r="H441" s="44"/>
      <c r="I441" s="44"/>
      <c r="J441" s="44"/>
    </row>
    <row r="442" spans="1:10" s="656" customFormat="1" ht="12.75" customHeight="1">
      <c r="A442" s="922">
        <v>18.12</v>
      </c>
      <c r="B442" s="923" t="s">
        <v>849</v>
      </c>
      <c r="C442" s="919">
        <v>2</v>
      </c>
      <c r="D442" s="920" t="s">
        <v>3</v>
      </c>
      <c r="E442" s="921">
        <v>185</v>
      </c>
      <c r="F442" s="1345">
        <f t="shared" si="7"/>
        <v>370</v>
      </c>
      <c r="G442" s="328"/>
      <c r="H442" s="44"/>
      <c r="I442" s="44"/>
      <c r="J442" s="44"/>
    </row>
    <row r="443" spans="1:10" s="656" customFormat="1" ht="12.75" customHeight="1">
      <c r="A443" s="922">
        <v>18.13</v>
      </c>
      <c r="B443" s="923" t="s">
        <v>850</v>
      </c>
      <c r="C443" s="919">
        <v>2</v>
      </c>
      <c r="D443" s="920" t="s">
        <v>3</v>
      </c>
      <c r="E443" s="921">
        <v>170</v>
      </c>
      <c r="F443" s="1345">
        <f t="shared" si="7"/>
        <v>340</v>
      </c>
      <c r="G443" s="328"/>
      <c r="H443" s="44"/>
      <c r="I443" s="44"/>
      <c r="J443" s="44"/>
    </row>
    <row r="444" spans="1:10" s="656" customFormat="1" ht="12.75" customHeight="1">
      <c r="A444" s="868"/>
      <c r="B444" s="864"/>
      <c r="C444" s="865"/>
      <c r="D444" s="866"/>
      <c r="E444" s="867"/>
      <c r="F444" s="1345">
        <f t="shared" si="7"/>
        <v>0</v>
      </c>
      <c r="G444" s="251"/>
      <c r="H444" s="251"/>
      <c r="I444" s="251"/>
      <c r="J444" s="251"/>
    </row>
    <row r="445" spans="1:10" s="656" customFormat="1" ht="12.75" customHeight="1">
      <c r="A445" s="857" t="s">
        <v>851</v>
      </c>
      <c r="B445" s="950" t="s">
        <v>852</v>
      </c>
      <c r="C445" s="919">
        <v>0</v>
      </c>
      <c r="D445" s="951"/>
      <c r="E445" s="952"/>
      <c r="F445" s="1345">
        <f t="shared" si="7"/>
        <v>0</v>
      </c>
      <c r="G445" s="841"/>
      <c r="H445" s="841"/>
      <c r="I445" s="841"/>
      <c r="J445" s="841"/>
    </row>
    <row r="446" spans="1:10" s="656" customFormat="1" ht="12.75" customHeight="1">
      <c r="A446" s="857"/>
      <c r="B446" s="953"/>
      <c r="C446" s="919">
        <v>0</v>
      </c>
      <c r="D446" s="951"/>
      <c r="E446" s="952"/>
      <c r="F446" s="1345">
        <f t="shared" si="7"/>
        <v>0</v>
      </c>
      <c r="G446" s="841"/>
      <c r="H446" s="841"/>
      <c r="I446" s="841"/>
      <c r="J446" s="841"/>
    </row>
    <row r="447" spans="1:10" s="656" customFormat="1" ht="12.75" customHeight="1">
      <c r="A447" s="954">
        <v>1</v>
      </c>
      <c r="B447" s="955" t="s">
        <v>37</v>
      </c>
      <c r="C447" s="919">
        <v>1</v>
      </c>
      <c r="D447" s="951" t="s">
        <v>42</v>
      </c>
      <c r="E447" s="952">
        <v>500</v>
      </c>
      <c r="F447" s="1345">
        <f t="shared" si="7"/>
        <v>500</v>
      </c>
      <c r="G447" s="841"/>
      <c r="H447" s="841"/>
      <c r="I447" s="841"/>
      <c r="J447" s="841"/>
    </row>
    <row r="448" spans="1:10" s="656" customFormat="1" ht="12.75" customHeight="1">
      <c r="A448" s="956">
        <v>2</v>
      </c>
      <c r="B448" s="957" t="s">
        <v>38</v>
      </c>
      <c r="C448" s="919">
        <v>1</v>
      </c>
      <c r="D448" s="951" t="s">
        <v>42</v>
      </c>
      <c r="E448" s="952">
        <v>1500</v>
      </c>
      <c r="F448" s="1345">
        <f t="shared" si="7"/>
        <v>1500</v>
      </c>
      <c r="G448" s="841"/>
      <c r="H448" s="841"/>
      <c r="I448" s="841"/>
      <c r="J448" s="841"/>
    </row>
    <row r="449" spans="1:10" s="656" customFormat="1" ht="12.75" customHeight="1">
      <c r="A449" s="958"/>
      <c r="B449" s="957"/>
      <c r="C449" s="919">
        <v>0</v>
      </c>
      <c r="D449" s="951"/>
      <c r="E449" s="952"/>
      <c r="F449" s="1345">
        <f t="shared" si="7"/>
        <v>0</v>
      </c>
      <c r="G449" s="841"/>
      <c r="H449" s="841"/>
      <c r="I449" s="841"/>
      <c r="J449" s="841"/>
    </row>
    <row r="450" spans="1:10" s="656" customFormat="1" ht="12.75" customHeight="1">
      <c r="A450" s="959">
        <v>3</v>
      </c>
      <c r="B450" s="960" t="s">
        <v>583</v>
      </c>
      <c r="C450" s="919">
        <v>0</v>
      </c>
      <c r="D450" s="951"/>
      <c r="E450" s="952"/>
      <c r="F450" s="1345">
        <f t="shared" si="7"/>
        <v>0</v>
      </c>
      <c r="G450" s="841"/>
      <c r="H450" s="841"/>
      <c r="I450" s="841"/>
      <c r="J450" s="841"/>
    </row>
    <row r="451" spans="1:10" s="656" customFormat="1" ht="12.75" customHeight="1">
      <c r="A451" s="961">
        <v>3.2</v>
      </c>
      <c r="B451" s="1399" t="s">
        <v>853</v>
      </c>
      <c r="C451" s="919">
        <v>0.64</v>
      </c>
      <c r="D451" s="951" t="s">
        <v>2</v>
      </c>
      <c r="E451" s="952">
        <f>+'ANALISIS PTAP'!F792</f>
        <v>7225.77</v>
      </c>
      <c r="F451" s="1345">
        <f t="shared" si="7"/>
        <v>4624.49</v>
      </c>
      <c r="G451" s="841"/>
      <c r="H451" s="841"/>
      <c r="I451" s="841"/>
      <c r="J451" s="841"/>
    </row>
    <row r="452" spans="1:10" s="656" customFormat="1" ht="12.75" customHeight="1">
      <c r="A452" s="961">
        <v>3.3</v>
      </c>
      <c r="B452" s="1399" t="s">
        <v>854</v>
      </c>
      <c r="C452" s="919">
        <v>0.22</v>
      </c>
      <c r="D452" s="951" t="s">
        <v>2</v>
      </c>
      <c r="E452" s="952">
        <f>+'ANALISIS PTAP'!F797</f>
        <v>8653.14</v>
      </c>
      <c r="F452" s="1345">
        <f t="shared" si="7"/>
        <v>1903.69</v>
      </c>
      <c r="G452" s="841"/>
      <c r="H452" s="841"/>
      <c r="I452" s="841"/>
      <c r="J452" s="841"/>
    </row>
    <row r="453" spans="1:10" s="656" customFormat="1" ht="12.75" customHeight="1">
      <c r="A453" s="961">
        <v>3.6</v>
      </c>
      <c r="B453" s="1399" t="s">
        <v>855</v>
      </c>
      <c r="C453" s="919">
        <v>0.84</v>
      </c>
      <c r="D453" s="951" t="s">
        <v>2</v>
      </c>
      <c r="E453" s="952">
        <f>+'ANALISIS PTAP'!F815</f>
        <v>13945.46</v>
      </c>
      <c r="F453" s="1345">
        <f t="shared" si="7"/>
        <v>11714.19</v>
      </c>
      <c r="G453" s="841"/>
      <c r="H453" s="841"/>
      <c r="I453" s="841"/>
      <c r="J453" s="841"/>
    </row>
    <row r="454" spans="1:10" s="656" customFormat="1" ht="12.75" customHeight="1">
      <c r="A454" s="893"/>
      <c r="B454" s="957"/>
      <c r="C454" s="919">
        <v>0</v>
      </c>
      <c r="D454" s="951"/>
      <c r="E454" s="952"/>
      <c r="F454" s="1345">
        <f t="shared" si="7"/>
        <v>0</v>
      </c>
      <c r="G454" s="841"/>
      <c r="H454" s="841"/>
      <c r="I454" s="841"/>
      <c r="J454" s="841"/>
    </row>
    <row r="455" spans="1:10" s="656" customFormat="1" ht="12.75" customHeight="1">
      <c r="A455" s="962">
        <v>4</v>
      </c>
      <c r="B455" s="960" t="s">
        <v>856</v>
      </c>
      <c r="C455" s="919"/>
      <c r="D455" s="951"/>
      <c r="E455" s="952"/>
      <c r="F455" s="1345">
        <f t="shared" si="7"/>
        <v>0</v>
      </c>
      <c r="G455" s="841"/>
      <c r="H455" s="841"/>
      <c r="I455" s="841"/>
      <c r="J455" s="841"/>
    </row>
    <row r="456" spans="1:10" s="656" customFormat="1" ht="12.75" customHeight="1">
      <c r="A456" s="958">
        <v>4.0999999999999996</v>
      </c>
      <c r="B456" s="1399" t="s">
        <v>857</v>
      </c>
      <c r="C456" s="919">
        <v>4</v>
      </c>
      <c r="D456" s="951" t="s">
        <v>11</v>
      </c>
      <c r="E456" s="952">
        <f>+'ANALISIS PTAP'!F822</f>
        <v>1161.42</v>
      </c>
      <c r="F456" s="1345">
        <f t="shared" si="7"/>
        <v>4645.68</v>
      </c>
      <c r="G456" s="841"/>
      <c r="H456" s="841"/>
      <c r="I456" s="841"/>
      <c r="J456" s="841"/>
    </row>
    <row r="457" spans="1:10" s="656" customFormat="1" ht="12.75" customHeight="1">
      <c r="A457" s="958">
        <v>4.2</v>
      </c>
      <c r="B457" s="957" t="s">
        <v>858</v>
      </c>
      <c r="C457" s="919">
        <v>21.6</v>
      </c>
      <c r="D457" s="951" t="s">
        <v>11</v>
      </c>
      <c r="E457" s="952">
        <v>828.53</v>
      </c>
      <c r="F457" s="1345">
        <f t="shared" si="7"/>
        <v>17896.25</v>
      </c>
      <c r="G457" s="841"/>
      <c r="H457" s="841"/>
      <c r="I457" s="841"/>
      <c r="J457" s="841"/>
    </row>
    <row r="458" spans="1:10" s="656" customFormat="1" ht="12.75" customHeight="1">
      <c r="A458" s="958"/>
      <c r="B458" s="957"/>
      <c r="C458" s="919">
        <v>0</v>
      </c>
      <c r="D458" s="951"/>
      <c r="E458" s="952"/>
      <c r="F458" s="1345">
        <f t="shared" si="7"/>
        <v>0</v>
      </c>
      <c r="G458" s="841"/>
      <c r="H458" s="841"/>
      <c r="I458" s="841"/>
      <c r="J458" s="841"/>
    </row>
    <row r="459" spans="1:10" s="656" customFormat="1" ht="12.75" customHeight="1">
      <c r="A459" s="959">
        <v>5</v>
      </c>
      <c r="B459" s="960" t="s">
        <v>859</v>
      </c>
      <c r="C459" s="919">
        <v>0</v>
      </c>
      <c r="D459" s="951"/>
      <c r="E459" s="952"/>
      <c r="F459" s="1345">
        <f t="shared" si="7"/>
        <v>0</v>
      </c>
      <c r="G459" s="841"/>
      <c r="H459" s="841"/>
      <c r="I459" s="841"/>
      <c r="J459" s="841"/>
    </row>
    <row r="460" spans="1:10" s="656" customFormat="1" ht="12.75" customHeight="1">
      <c r="A460" s="963">
        <v>5.0999999999999996</v>
      </c>
      <c r="B460" s="1399" t="s">
        <v>788</v>
      </c>
      <c r="C460" s="919">
        <v>47.3</v>
      </c>
      <c r="D460" s="951" t="s">
        <v>11</v>
      </c>
      <c r="E460" s="952" t="e">
        <f>+E364</f>
        <v>#REF!</v>
      </c>
      <c r="F460" s="1345" t="e">
        <f t="shared" si="7"/>
        <v>#REF!</v>
      </c>
      <c r="G460" s="841"/>
      <c r="H460" s="841"/>
      <c r="I460" s="841"/>
      <c r="J460" s="841"/>
    </row>
    <row r="461" spans="1:10" s="656" customFormat="1" ht="12.75" customHeight="1">
      <c r="A461" s="963">
        <v>5.4</v>
      </c>
      <c r="B461" s="1399" t="s">
        <v>860</v>
      </c>
      <c r="C461" s="919">
        <v>8.41</v>
      </c>
      <c r="D461" s="951" t="s">
        <v>11</v>
      </c>
      <c r="E461" s="1400">
        <f>+'ANALISIS PTAP'!F245</f>
        <v>501.75</v>
      </c>
      <c r="F461" s="1345">
        <f t="shared" si="7"/>
        <v>4219.72</v>
      </c>
      <c r="G461" s="841"/>
      <c r="H461" s="841"/>
      <c r="I461" s="841"/>
      <c r="J461" s="841"/>
    </row>
    <row r="462" spans="1:10" s="656" customFormat="1" ht="12.75" customHeight="1">
      <c r="A462" s="963">
        <v>5.5</v>
      </c>
      <c r="B462" s="957" t="s">
        <v>261</v>
      </c>
      <c r="C462" s="919">
        <v>49.33</v>
      </c>
      <c r="D462" s="951" t="s">
        <v>11</v>
      </c>
      <c r="E462" s="952">
        <v>81.36</v>
      </c>
      <c r="F462" s="1345">
        <f t="shared" si="7"/>
        <v>4013.49</v>
      </c>
      <c r="G462" s="841"/>
      <c r="H462" s="841"/>
      <c r="I462" s="841"/>
      <c r="J462" s="841"/>
    </row>
    <row r="463" spans="1:10" s="656" customFormat="1" ht="12.75" customHeight="1">
      <c r="A463" s="963">
        <v>5.6</v>
      </c>
      <c r="B463" s="957" t="s">
        <v>767</v>
      </c>
      <c r="C463" s="919">
        <f>+C462</f>
        <v>49.33</v>
      </c>
      <c r="D463" s="951" t="s">
        <v>11</v>
      </c>
      <c r="E463" s="952">
        <v>42.01</v>
      </c>
      <c r="F463" s="1345">
        <f t="shared" si="7"/>
        <v>2072.35</v>
      </c>
      <c r="G463" s="841"/>
      <c r="H463" s="841"/>
      <c r="I463" s="841"/>
      <c r="J463" s="841"/>
    </row>
    <row r="464" spans="1:10" s="656" customFormat="1" ht="12.75" customHeight="1">
      <c r="A464" s="963">
        <v>5.7</v>
      </c>
      <c r="B464" s="1399" t="s">
        <v>861</v>
      </c>
      <c r="C464" s="919">
        <v>4.97</v>
      </c>
      <c r="D464" s="951" t="s">
        <v>11</v>
      </c>
      <c r="E464" s="1400" t="e">
        <f>+'ANALISIS PTAP'!E473*0.1</f>
        <v>#REF!</v>
      </c>
      <c r="F464" s="1345" t="e">
        <f t="shared" si="7"/>
        <v>#REF!</v>
      </c>
      <c r="G464" s="841"/>
      <c r="H464" s="841"/>
      <c r="I464" s="841"/>
      <c r="J464" s="841"/>
    </row>
    <row r="465" spans="1:10" s="656" customFormat="1" ht="12.75" customHeight="1">
      <c r="A465" s="963">
        <v>5.8</v>
      </c>
      <c r="B465" s="1399" t="s">
        <v>618</v>
      </c>
      <c r="C465" s="919">
        <v>38.1</v>
      </c>
      <c r="D465" s="951" t="s">
        <v>1</v>
      </c>
      <c r="E465" s="952" t="e">
        <f>+E310</f>
        <v>#REF!</v>
      </c>
      <c r="F465" s="1345" t="e">
        <f t="shared" si="7"/>
        <v>#REF!</v>
      </c>
      <c r="G465" s="841"/>
      <c r="H465" s="841"/>
      <c r="I465" s="841"/>
      <c r="J465" s="841"/>
    </row>
    <row r="466" spans="1:10" s="656" customFormat="1" ht="12.75" customHeight="1">
      <c r="A466" s="963">
        <v>5.9</v>
      </c>
      <c r="B466" s="1399" t="s">
        <v>862</v>
      </c>
      <c r="C466" s="919">
        <v>11.6</v>
      </c>
      <c r="D466" s="951" t="s">
        <v>1</v>
      </c>
      <c r="E466" s="952">
        <f>+E370</f>
        <v>530.77</v>
      </c>
      <c r="F466" s="1345">
        <f t="shared" si="7"/>
        <v>6156.93</v>
      </c>
      <c r="G466" s="841"/>
      <c r="H466" s="841"/>
      <c r="I466" s="841"/>
      <c r="J466" s="841"/>
    </row>
    <row r="467" spans="1:10" s="656" customFormat="1" ht="12.75" customHeight="1">
      <c r="A467" s="964">
        <v>5.0999999999999996</v>
      </c>
      <c r="B467" s="957" t="s">
        <v>792</v>
      </c>
      <c r="C467" s="919">
        <v>11.6</v>
      </c>
      <c r="D467" s="951" t="s">
        <v>1</v>
      </c>
      <c r="E467" s="952">
        <v>160.68</v>
      </c>
      <c r="F467" s="1345">
        <f t="shared" si="7"/>
        <v>1863.89</v>
      </c>
      <c r="G467" s="841"/>
      <c r="H467" s="841"/>
      <c r="I467" s="841"/>
      <c r="J467" s="841"/>
    </row>
    <row r="468" spans="1:10" s="656" customFormat="1" ht="12.75" customHeight="1">
      <c r="A468" s="965"/>
      <c r="B468" s="957"/>
      <c r="C468" s="919">
        <v>0</v>
      </c>
      <c r="D468" s="951"/>
      <c r="E468" s="952"/>
      <c r="F468" s="1345">
        <f t="shared" si="7"/>
        <v>0</v>
      </c>
      <c r="G468" s="841"/>
      <c r="H468" s="841"/>
      <c r="I468" s="841"/>
      <c r="J468" s="841"/>
    </row>
    <row r="469" spans="1:10" s="656" customFormat="1" ht="12.75" customHeight="1">
      <c r="A469" s="956">
        <v>6</v>
      </c>
      <c r="B469" s="1394" t="s">
        <v>863</v>
      </c>
      <c r="C469" s="933">
        <v>1</v>
      </c>
      <c r="D469" s="877" t="s">
        <v>3</v>
      </c>
      <c r="E469" s="966">
        <v>6500</v>
      </c>
      <c r="F469" s="1345">
        <f t="shared" si="7"/>
        <v>6500</v>
      </c>
      <c r="G469" s="841"/>
      <c r="H469" s="841"/>
      <c r="I469" s="841"/>
      <c r="J469" s="841"/>
    </row>
    <row r="470" spans="1:10" s="656" customFormat="1" ht="12.75" customHeight="1">
      <c r="A470" s="956">
        <v>7</v>
      </c>
      <c r="B470" s="1399" t="s">
        <v>864</v>
      </c>
      <c r="C470" s="919">
        <v>7.44</v>
      </c>
      <c r="D470" s="951" t="s">
        <v>11</v>
      </c>
      <c r="E470" s="952">
        <f>+'ANALISIS PTAP'!F832</f>
        <v>756.33</v>
      </c>
      <c r="F470" s="1345">
        <f t="shared" si="7"/>
        <v>5627.1</v>
      </c>
      <c r="G470" s="841"/>
      <c r="H470" s="841"/>
      <c r="I470" s="841"/>
      <c r="J470" s="841"/>
    </row>
    <row r="471" spans="1:10" s="656" customFormat="1" ht="12.75" customHeight="1">
      <c r="A471" s="958"/>
      <c r="B471" s="957"/>
      <c r="C471" s="919">
        <v>0</v>
      </c>
      <c r="D471" s="951"/>
      <c r="E471" s="952"/>
      <c r="F471" s="1345">
        <f t="shared" ref="F471:F534" si="8">+ROUND((E471*C471),2)</f>
        <v>0</v>
      </c>
      <c r="G471" s="841"/>
      <c r="H471" s="841"/>
      <c r="I471" s="841"/>
      <c r="J471" s="841"/>
    </row>
    <row r="472" spans="1:10" s="656" customFormat="1" ht="12.75" customHeight="1">
      <c r="A472" s="959">
        <v>8</v>
      </c>
      <c r="B472" s="960" t="s">
        <v>865</v>
      </c>
      <c r="C472" s="919">
        <v>0</v>
      </c>
      <c r="D472" s="951"/>
      <c r="E472" s="952"/>
      <c r="F472" s="1345">
        <f t="shared" si="8"/>
        <v>0</v>
      </c>
      <c r="G472" s="841"/>
      <c r="H472" s="841"/>
      <c r="I472" s="841"/>
      <c r="J472" s="841"/>
    </row>
    <row r="473" spans="1:10" s="656" customFormat="1" ht="12.75" customHeight="1">
      <c r="A473" s="961">
        <v>8.1</v>
      </c>
      <c r="B473" s="957" t="s">
        <v>866</v>
      </c>
      <c r="C473" s="919">
        <v>1</v>
      </c>
      <c r="D473" s="951" t="s">
        <v>42</v>
      </c>
      <c r="E473" s="952">
        <v>3600</v>
      </c>
      <c r="F473" s="1345">
        <f t="shared" si="8"/>
        <v>3600</v>
      </c>
      <c r="G473" s="841"/>
      <c r="H473" s="841"/>
      <c r="I473" s="841"/>
      <c r="J473" s="841"/>
    </row>
    <row r="474" spans="1:10" s="656" customFormat="1" ht="12.75" customHeight="1">
      <c r="A474" s="961">
        <v>8.1999999999999993</v>
      </c>
      <c r="B474" s="957" t="s">
        <v>867</v>
      </c>
      <c r="C474" s="919">
        <v>3</v>
      </c>
      <c r="D474" s="951" t="s">
        <v>3</v>
      </c>
      <c r="E474" s="952">
        <v>1800</v>
      </c>
      <c r="F474" s="1345">
        <f t="shared" si="8"/>
        <v>5400</v>
      </c>
      <c r="G474" s="841"/>
      <c r="H474" s="841"/>
      <c r="I474" s="841"/>
      <c r="J474" s="841"/>
    </row>
    <row r="475" spans="1:10" s="656" customFormat="1" ht="12.75" customHeight="1">
      <c r="A475" s="961">
        <v>8.3000000000000007</v>
      </c>
      <c r="B475" s="957" t="s">
        <v>868</v>
      </c>
      <c r="C475" s="919">
        <v>3</v>
      </c>
      <c r="D475" s="951" t="s">
        <v>3</v>
      </c>
      <c r="E475" s="921">
        <v>952.9</v>
      </c>
      <c r="F475" s="1345">
        <f t="shared" si="8"/>
        <v>2858.7</v>
      </c>
      <c r="G475" s="841"/>
      <c r="H475" s="841"/>
      <c r="I475" s="841"/>
      <c r="J475" s="841"/>
    </row>
    <row r="476" spans="1:10" s="656" customFormat="1" ht="12.75" customHeight="1">
      <c r="A476" s="961">
        <v>8.4</v>
      </c>
      <c r="B476" s="957" t="s">
        <v>869</v>
      </c>
      <c r="C476" s="919">
        <v>2</v>
      </c>
      <c r="D476" s="951" t="s">
        <v>3</v>
      </c>
      <c r="E476" s="921">
        <v>940.15</v>
      </c>
      <c r="F476" s="1345">
        <f t="shared" si="8"/>
        <v>1880.3</v>
      </c>
      <c r="G476" s="841"/>
      <c r="H476" s="841"/>
      <c r="I476" s="841"/>
      <c r="J476" s="841"/>
    </row>
    <row r="477" spans="1:10" s="656" customFormat="1" ht="12.75" customHeight="1">
      <c r="A477" s="961"/>
      <c r="B477" s="957"/>
      <c r="C477" s="919"/>
      <c r="D477" s="951"/>
      <c r="E477" s="952"/>
      <c r="F477" s="1345">
        <f t="shared" si="8"/>
        <v>0</v>
      </c>
      <c r="G477" s="841"/>
      <c r="H477" s="841"/>
      <c r="I477" s="841"/>
      <c r="J477" s="841"/>
    </row>
    <row r="478" spans="1:10" s="656" customFormat="1" ht="12.75" customHeight="1">
      <c r="A478" s="956">
        <v>9</v>
      </c>
      <c r="B478" s="957" t="s">
        <v>870</v>
      </c>
      <c r="C478" s="919">
        <v>1</v>
      </c>
      <c r="D478" s="951" t="s">
        <v>3</v>
      </c>
      <c r="E478" s="952">
        <v>4000</v>
      </c>
      <c r="F478" s="1345">
        <f t="shared" si="8"/>
        <v>4000</v>
      </c>
      <c r="G478" s="841"/>
      <c r="H478" s="841"/>
      <c r="I478" s="841"/>
      <c r="J478" s="841"/>
    </row>
    <row r="479" spans="1:10" s="656" customFormat="1" ht="12.75" customHeight="1">
      <c r="A479" s="956"/>
      <c r="B479" s="957"/>
      <c r="C479" s="919">
        <v>0</v>
      </c>
      <c r="D479" s="951"/>
      <c r="E479" s="952"/>
      <c r="F479" s="1345">
        <f t="shared" si="8"/>
        <v>0</v>
      </c>
      <c r="G479" s="841"/>
      <c r="H479" s="841"/>
      <c r="I479" s="841"/>
      <c r="J479" s="841"/>
    </row>
    <row r="480" spans="1:10" s="656" customFormat="1" ht="12.75" customHeight="1">
      <c r="A480" s="967">
        <v>10</v>
      </c>
      <c r="B480" s="968" t="s">
        <v>871</v>
      </c>
      <c r="C480" s="910"/>
      <c r="D480" s="973"/>
      <c r="E480" s="969"/>
      <c r="F480" s="1345">
        <f t="shared" si="8"/>
        <v>0</v>
      </c>
      <c r="G480" s="842"/>
      <c r="H480" s="842"/>
      <c r="I480" s="842"/>
      <c r="J480" s="842"/>
    </row>
    <row r="481" spans="1:10" s="656" customFormat="1" ht="25.5" customHeight="1">
      <c r="A481" s="970">
        <v>10.1</v>
      </c>
      <c r="B481" s="971" t="s">
        <v>872</v>
      </c>
      <c r="C481" s="972">
        <v>2</v>
      </c>
      <c r="D481" s="973" t="s">
        <v>3</v>
      </c>
      <c r="E481" s="912">
        <v>125000</v>
      </c>
      <c r="F481" s="1345">
        <f t="shared" si="8"/>
        <v>250000</v>
      </c>
      <c r="G481" s="842"/>
      <c r="H481" s="842"/>
      <c r="I481" s="842"/>
      <c r="J481" s="842"/>
    </row>
    <row r="482" spans="1:10" s="656" customFormat="1" ht="25.5" customHeight="1">
      <c r="A482" s="970">
        <v>10.199999999999999</v>
      </c>
      <c r="B482" s="971" t="s">
        <v>873</v>
      </c>
      <c r="C482" s="972">
        <v>1</v>
      </c>
      <c r="D482" s="973" t="s">
        <v>3</v>
      </c>
      <c r="E482" s="912">
        <v>7000</v>
      </c>
      <c r="F482" s="1345">
        <f t="shared" si="8"/>
        <v>7000</v>
      </c>
      <c r="G482" s="842"/>
      <c r="H482" s="842"/>
      <c r="I482" s="842"/>
      <c r="J482" s="842"/>
    </row>
    <row r="483" spans="1:10" s="656" customFormat="1" ht="12.75" customHeight="1">
      <c r="A483" s="970">
        <v>10.3</v>
      </c>
      <c r="B483" s="955" t="s">
        <v>874</v>
      </c>
      <c r="C483" s="974">
        <v>1</v>
      </c>
      <c r="D483" s="975" t="s">
        <v>3</v>
      </c>
      <c r="E483" s="974">
        <v>45000</v>
      </c>
      <c r="F483" s="1345">
        <f t="shared" si="8"/>
        <v>45000</v>
      </c>
      <c r="G483" s="841"/>
      <c r="H483" s="841"/>
      <c r="I483" s="841"/>
      <c r="J483" s="841"/>
    </row>
    <row r="484" spans="1:10" s="656" customFormat="1" ht="12.75" customHeight="1">
      <c r="A484" s="970">
        <v>10.4</v>
      </c>
      <c r="B484" s="955" t="s">
        <v>875</v>
      </c>
      <c r="C484" s="919">
        <v>1</v>
      </c>
      <c r="D484" s="975" t="s">
        <v>3</v>
      </c>
      <c r="E484" s="976">
        <v>8500</v>
      </c>
      <c r="F484" s="1345">
        <f t="shared" si="8"/>
        <v>8500</v>
      </c>
      <c r="G484" s="841"/>
      <c r="H484" s="841"/>
      <c r="I484" s="841"/>
      <c r="J484" s="841"/>
    </row>
    <row r="485" spans="1:10" s="656" customFormat="1" ht="12.75" customHeight="1">
      <c r="A485" s="970">
        <v>10.5</v>
      </c>
      <c r="B485" s="955" t="s">
        <v>876</v>
      </c>
      <c r="C485" s="919">
        <v>1</v>
      </c>
      <c r="D485" s="975" t="s">
        <v>3</v>
      </c>
      <c r="E485" s="976">
        <v>3000</v>
      </c>
      <c r="F485" s="1345">
        <f t="shared" si="8"/>
        <v>3000</v>
      </c>
      <c r="G485" s="841"/>
      <c r="H485" s="841"/>
      <c r="I485" s="841"/>
      <c r="J485" s="841"/>
    </row>
    <row r="486" spans="1:10" s="656" customFormat="1" ht="12.75" customHeight="1">
      <c r="A486" s="868"/>
      <c r="B486" s="885"/>
      <c r="C486" s="977"/>
      <c r="D486" s="910"/>
      <c r="E486" s="878"/>
      <c r="F486" s="1345">
        <f t="shared" si="8"/>
        <v>0</v>
      </c>
      <c r="G486" s="251"/>
      <c r="H486" s="251"/>
      <c r="I486" s="251"/>
      <c r="J486" s="251"/>
    </row>
    <row r="487" spans="1:10" s="656" customFormat="1" ht="12.75" customHeight="1">
      <c r="A487" s="978" t="s">
        <v>877</v>
      </c>
      <c r="B487" s="882" t="s">
        <v>878</v>
      </c>
      <c r="C487" s="865"/>
      <c r="D487" s="866"/>
      <c r="E487" s="912"/>
      <c r="F487" s="1345">
        <f t="shared" si="8"/>
        <v>0</v>
      </c>
      <c r="G487" s="44"/>
      <c r="H487" s="44"/>
      <c r="I487" s="44"/>
      <c r="J487" s="44"/>
    </row>
    <row r="488" spans="1:10" s="656" customFormat="1" ht="12.75" customHeight="1">
      <c r="A488" s="969"/>
      <c r="B488" s="969"/>
      <c r="C488" s="865"/>
      <c r="D488" s="979"/>
      <c r="E488" s="912"/>
      <c r="F488" s="1345">
        <f t="shared" si="8"/>
        <v>0</v>
      </c>
      <c r="G488" s="44"/>
      <c r="H488" s="44"/>
      <c r="I488" s="44"/>
      <c r="J488" s="44"/>
    </row>
    <row r="489" spans="1:10" s="656" customFormat="1" ht="12.75" customHeight="1">
      <c r="A489" s="980">
        <v>1</v>
      </c>
      <c r="B489" s="969" t="s">
        <v>37</v>
      </c>
      <c r="C489" s="865">
        <v>1</v>
      </c>
      <c r="D489" s="979" t="s">
        <v>42</v>
      </c>
      <c r="E489" s="912">
        <v>2000</v>
      </c>
      <c r="F489" s="1345">
        <f t="shared" si="8"/>
        <v>2000</v>
      </c>
      <c r="G489" s="44"/>
      <c r="H489" s="44"/>
      <c r="I489" s="44"/>
      <c r="J489" s="44"/>
    </row>
    <row r="490" spans="1:10" s="656" customFormat="1" ht="12.75" customHeight="1">
      <c r="A490" s="969"/>
      <c r="B490" s="969"/>
      <c r="C490" s="865"/>
      <c r="D490" s="979"/>
      <c r="E490" s="912"/>
      <c r="F490" s="1345">
        <f t="shared" si="8"/>
        <v>0</v>
      </c>
      <c r="G490" s="44"/>
      <c r="H490" s="44"/>
      <c r="I490" s="44"/>
      <c r="J490" s="44"/>
    </row>
    <row r="491" spans="1:10" s="656" customFormat="1" ht="12.75" customHeight="1">
      <c r="A491" s="981">
        <v>2</v>
      </c>
      <c r="B491" s="982" t="s">
        <v>38</v>
      </c>
      <c r="C491" s="983"/>
      <c r="D491" s="984"/>
      <c r="E491" s="985"/>
      <c r="F491" s="1345">
        <f t="shared" si="8"/>
        <v>0</v>
      </c>
      <c r="G491" s="275"/>
      <c r="H491" s="275"/>
      <c r="I491" s="275"/>
      <c r="J491" s="275"/>
    </row>
    <row r="492" spans="1:10" s="656" customFormat="1" ht="12.75" customHeight="1">
      <c r="A492" s="986">
        <v>2.1</v>
      </c>
      <c r="B492" s="969" t="s">
        <v>879</v>
      </c>
      <c r="C492" s="865">
        <v>16.09</v>
      </c>
      <c r="D492" s="979" t="s">
        <v>2</v>
      </c>
      <c r="E492" s="912">
        <v>85</v>
      </c>
      <c r="F492" s="1345">
        <f t="shared" si="8"/>
        <v>1367.65</v>
      </c>
      <c r="G492" s="44"/>
      <c r="H492" s="44"/>
      <c r="I492" s="44"/>
      <c r="J492" s="44"/>
    </row>
    <row r="493" spans="1:10" s="656" customFormat="1" ht="12.75" customHeight="1">
      <c r="A493" s="986">
        <v>2.2000000000000002</v>
      </c>
      <c r="B493" s="880" t="s">
        <v>550</v>
      </c>
      <c r="C493" s="865">
        <v>6.93</v>
      </c>
      <c r="D493" s="979" t="s">
        <v>2</v>
      </c>
      <c r="E493" s="912">
        <v>126.55</v>
      </c>
      <c r="F493" s="1345">
        <f t="shared" si="8"/>
        <v>876.99</v>
      </c>
      <c r="G493" s="1396"/>
      <c r="H493" s="44"/>
      <c r="I493" s="44"/>
      <c r="J493" s="44"/>
    </row>
    <row r="494" spans="1:10" s="656" customFormat="1" ht="12.75" customHeight="1">
      <c r="A494" s="986">
        <v>2.2999999999999998</v>
      </c>
      <c r="B494" s="869" t="s">
        <v>551</v>
      </c>
      <c r="C494" s="865">
        <v>10.99</v>
      </c>
      <c r="D494" s="979" t="s">
        <v>2</v>
      </c>
      <c r="E494" s="912">
        <v>150</v>
      </c>
      <c r="F494" s="1345">
        <f t="shared" si="8"/>
        <v>1648.5</v>
      </c>
      <c r="G494" s="44"/>
      <c r="H494" s="44"/>
      <c r="I494" s="44"/>
      <c r="J494" s="44"/>
    </row>
    <row r="495" spans="1:10" s="656" customFormat="1" ht="12.75" customHeight="1">
      <c r="A495" s="969"/>
      <c r="B495" s="969"/>
      <c r="C495" s="865"/>
      <c r="D495" s="979"/>
      <c r="E495" s="969"/>
      <c r="F495" s="1345">
        <f t="shared" si="8"/>
        <v>0</v>
      </c>
      <c r="G495" s="44"/>
      <c r="H495" s="44"/>
      <c r="I495" s="44"/>
      <c r="J495" s="44"/>
    </row>
    <row r="496" spans="1:10" s="656" customFormat="1" ht="12.75" customHeight="1">
      <c r="A496" s="981">
        <v>3</v>
      </c>
      <c r="B496" s="982" t="s">
        <v>880</v>
      </c>
      <c r="C496" s="983"/>
      <c r="D496" s="984"/>
      <c r="E496" s="982"/>
      <c r="F496" s="1345">
        <f t="shared" si="8"/>
        <v>0</v>
      </c>
      <c r="G496" s="275"/>
      <c r="H496" s="275"/>
      <c r="I496" s="275"/>
      <c r="J496" s="275"/>
    </row>
    <row r="497" spans="1:10" s="656" customFormat="1" ht="12.75" customHeight="1">
      <c r="A497" s="986">
        <v>3.1</v>
      </c>
      <c r="B497" s="1401" t="s">
        <v>881</v>
      </c>
      <c r="C497" s="865">
        <v>6.44</v>
      </c>
      <c r="D497" s="979" t="s">
        <v>2</v>
      </c>
      <c r="E497" s="969">
        <f>+'ANALISIS PTAP'!F1036</f>
        <v>7416.68</v>
      </c>
      <c r="F497" s="1345">
        <f t="shared" si="8"/>
        <v>47763.42</v>
      </c>
      <c r="G497" s="44"/>
      <c r="H497" s="44"/>
      <c r="I497" s="44"/>
      <c r="J497" s="44"/>
    </row>
    <row r="498" spans="1:10" s="656" customFormat="1" ht="12.75" customHeight="1">
      <c r="A498" s="986">
        <v>3.2</v>
      </c>
      <c r="B498" s="1401" t="s">
        <v>882</v>
      </c>
      <c r="C498" s="865">
        <v>0.24</v>
      </c>
      <c r="D498" s="979" t="s">
        <v>2</v>
      </c>
      <c r="E498" s="969">
        <f>+'ANALISIS PTAP'!F1043</f>
        <v>8125</v>
      </c>
      <c r="F498" s="1345">
        <f t="shared" si="8"/>
        <v>1950</v>
      </c>
      <c r="G498" s="44"/>
      <c r="H498" s="44"/>
      <c r="I498" s="44"/>
      <c r="J498" s="44"/>
    </row>
    <row r="499" spans="1:10" s="656" customFormat="1" ht="12.75" customHeight="1">
      <c r="A499" s="986">
        <v>3.3</v>
      </c>
      <c r="B499" s="1401" t="s">
        <v>883</v>
      </c>
      <c r="C499" s="865">
        <v>6.24</v>
      </c>
      <c r="D499" s="979" t="s">
        <v>2</v>
      </c>
      <c r="E499" s="969">
        <f>+'ANALISIS PTAP'!F1050</f>
        <v>39917.5</v>
      </c>
      <c r="F499" s="1345">
        <f t="shared" si="8"/>
        <v>249085.2</v>
      </c>
      <c r="G499" s="44"/>
      <c r="H499" s="44"/>
      <c r="I499" s="44"/>
      <c r="J499" s="44"/>
    </row>
    <row r="500" spans="1:10" s="656" customFormat="1" ht="12.75" customHeight="1">
      <c r="A500" s="969"/>
      <c r="B500" s="969"/>
      <c r="C500" s="865"/>
      <c r="D500" s="979"/>
      <c r="E500" s="969"/>
      <c r="F500" s="1345">
        <f t="shared" si="8"/>
        <v>0</v>
      </c>
      <c r="G500" s="44"/>
      <c r="H500" s="44"/>
      <c r="I500" s="44"/>
      <c r="J500" s="44"/>
    </row>
    <row r="501" spans="1:10" s="656" customFormat="1" ht="12.75" customHeight="1">
      <c r="A501" s="981">
        <v>4</v>
      </c>
      <c r="B501" s="982" t="s">
        <v>884</v>
      </c>
      <c r="C501" s="983"/>
      <c r="D501" s="984"/>
      <c r="E501" s="982"/>
      <c r="F501" s="1345">
        <f t="shared" si="8"/>
        <v>0</v>
      </c>
      <c r="G501" s="275"/>
      <c r="H501" s="275"/>
      <c r="I501" s="275"/>
      <c r="J501" s="275"/>
    </row>
    <row r="502" spans="1:10" s="656" customFormat="1" ht="12.75" customHeight="1">
      <c r="A502" s="986">
        <v>4.0999999999999996</v>
      </c>
      <c r="B502" s="1401" t="s">
        <v>885</v>
      </c>
      <c r="C502" s="865">
        <v>117.21</v>
      </c>
      <c r="D502" s="979" t="s">
        <v>11</v>
      </c>
      <c r="E502" s="969">
        <f>+E361</f>
        <v>920.17</v>
      </c>
      <c r="F502" s="1345">
        <f t="shared" si="8"/>
        <v>107853.13</v>
      </c>
      <c r="G502" s="44"/>
      <c r="H502" s="44"/>
      <c r="I502" s="44"/>
      <c r="J502" s="44"/>
    </row>
    <row r="503" spans="1:10" s="656" customFormat="1" ht="12.75" customHeight="1">
      <c r="A503" s="969"/>
      <c r="B503" s="969"/>
      <c r="C503" s="865"/>
      <c r="D503" s="979"/>
      <c r="E503" s="969"/>
      <c r="F503" s="1345">
        <f t="shared" si="8"/>
        <v>0</v>
      </c>
      <c r="G503" s="44"/>
      <c r="H503" s="44"/>
      <c r="I503" s="44"/>
      <c r="J503" s="44"/>
    </row>
    <row r="504" spans="1:10" s="656" customFormat="1" ht="12.75" customHeight="1">
      <c r="A504" s="981">
        <v>5</v>
      </c>
      <c r="B504" s="982" t="s">
        <v>886</v>
      </c>
      <c r="C504" s="983"/>
      <c r="D504" s="984"/>
      <c r="E504" s="982"/>
      <c r="F504" s="1345">
        <f t="shared" si="8"/>
        <v>0</v>
      </c>
      <c r="G504" s="275"/>
      <c r="H504" s="275"/>
      <c r="I504" s="275"/>
      <c r="J504" s="275"/>
    </row>
    <row r="505" spans="1:10" s="656" customFormat="1" ht="12.75" customHeight="1">
      <c r="A505" s="969"/>
      <c r="B505" s="969"/>
      <c r="C505" s="865"/>
      <c r="D505" s="979"/>
      <c r="E505" s="969"/>
      <c r="F505" s="1345">
        <f t="shared" si="8"/>
        <v>0</v>
      </c>
      <c r="G505" s="44"/>
      <c r="H505" s="44"/>
      <c r="I505" s="44"/>
      <c r="J505" s="44"/>
    </row>
    <row r="506" spans="1:10" s="656" customFormat="1" ht="12.75" customHeight="1">
      <c r="A506" s="986">
        <v>5.0999999999999996</v>
      </c>
      <c r="B506" s="1401" t="s">
        <v>887</v>
      </c>
      <c r="C506" s="865">
        <v>319.22000000000003</v>
      </c>
      <c r="D506" s="979" t="s">
        <v>11</v>
      </c>
      <c r="E506" s="969" t="e">
        <f>+E460</f>
        <v>#REF!</v>
      </c>
      <c r="F506" s="1345" t="e">
        <f t="shared" si="8"/>
        <v>#REF!</v>
      </c>
      <c r="G506" s="44"/>
      <c r="H506" s="44"/>
      <c r="I506" s="44"/>
      <c r="J506" s="44"/>
    </row>
    <row r="507" spans="1:10" s="656" customFormat="1" ht="12.75" customHeight="1">
      <c r="A507" s="986">
        <v>5.4</v>
      </c>
      <c r="B507" s="1401" t="s">
        <v>618</v>
      </c>
      <c r="C507" s="865">
        <v>181.86</v>
      </c>
      <c r="D507" s="1402" t="s">
        <v>11</v>
      </c>
      <c r="E507" s="969" t="e">
        <f>+#REF!</f>
        <v>#REF!</v>
      </c>
      <c r="F507" s="1345" t="e">
        <f t="shared" si="8"/>
        <v>#REF!</v>
      </c>
      <c r="G507" s="44"/>
      <c r="H507" s="44"/>
      <c r="I507" s="44"/>
      <c r="J507" s="44"/>
    </row>
    <row r="508" spans="1:10" s="656" customFormat="1" ht="12.75" customHeight="1">
      <c r="A508" s="986">
        <v>5.5</v>
      </c>
      <c r="B508" s="969" t="s">
        <v>888</v>
      </c>
      <c r="C508" s="865">
        <v>46.2</v>
      </c>
      <c r="D508" s="979" t="s">
        <v>11</v>
      </c>
      <c r="E508" s="969">
        <v>950.6</v>
      </c>
      <c r="F508" s="1345">
        <f t="shared" si="8"/>
        <v>43917.72</v>
      </c>
      <c r="G508" s="44"/>
      <c r="H508" s="44"/>
      <c r="I508" s="44"/>
      <c r="J508" s="44"/>
    </row>
    <row r="509" spans="1:10" s="656" customFormat="1" ht="12.75" customHeight="1">
      <c r="A509" s="986">
        <v>5.6</v>
      </c>
      <c r="B509" s="1401" t="s">
        <v>889</v>
      </c>
      <c r="C509" s="865">
        <v>59</v>
      </c>
      <c r="D509" s="979" t="s">
        <v>11</v>
      </c>
      <c r="E509" s="969">
        <f>+E461</f>
        <v>501.75</v>
      </c>
      <c r="F509" s="1345">
        <f t="shared" si="8"/>
        <v>29603.25</v>
      </c>
      <c r="G509" s="44"/>
      <c r="H509" s="44"/>
      <c r="I509" s="44"/>
      <c r="J509" s="44"/>
    </row>
    <row r="510" spans="1:10" s="656" customFormat="1" ht="12.75" customHeight="1">
      <c r="A510" s="986">
        <v>5.7</v>
      </c>
      <c r="B510" s="969" t="s">
        <v>890</v>
      </c>
      <c r="C510" s="865">
        <v>54.95</v>
      </c>
      <c r="D510" s="979" t="s">
        <v>13</v>
      </c>
      <c r="E510" s="969">
        <v>360</v>
      </c>
      <c r="F510" s="1345">
        <f t="shared" si="8"/>
        <v>19782</v>
      </c>
      <c r="G510" s="44"/>
      <c r="H510" s="44"/>
      <c r="I510" s="44"/>
      <c r="J510" s="44"/>
    </row>
    <row r="511" spans="1:10" s="656" customFormat="1" ht="12.75" customHeight="1">
      <c r="A511" s="986">
        <v>5.8</v>
      </c>
      <c r="B511" s="1401" t="s">
        <v>766</v>
      </c>
      <c r="C511" s="865">
        <v>26.8</v>
      </c>
      <c r="D511" s="979" t="s">
        <v>11</v>
      </c>
      <c r="E511" s="969">
        <f>+'ANALISIS PTAP'!F1068</f>
        <v>10735.7</v>
      </c>
      <c r="F511" s="1345">
        <f t="shared" si="8"/>
        <v>287716.76</v>
      </c>
      <c r="G511" s="44"/>
      <c r="H511" s="44"/>
      <c r="I511" s="44"/>
      <c r="J511" s="44"/>
    </row>
    <row r="512" spans="1:10" s="656" customFormat="1" ht="12.75" customHeight="1">
      <c r="A512" s="986">
        <v>5.9</v>
      </c>
      <c r="B512" s="969" t="s">
        <v>202</v>
      </c>
      <c r="C512" s="865">
        <v>281.3</v>
      </c>
      <c r="D512" s="979" t="s">
        <v>11</v>
      </c>
      <c r="E512" s="969">
        <v>81.36</v>
      </c>
      <c r="F512" s="1345">
        <f t="shared" si="8"/>
        <v>22886.57</v>
      </c>
      <c r="G512" s="44"/>
      <c r="H512" s="44"/>
      <c r="I512" s="44"/>
      <c r="J512" s="44"/>
    </row>
    <row r="513" spans="1:10" s="656" customFormat="1" ht="12.75" customHeight="1">
      <c r="A513" s="964">
        <v>5.0999999999999996</v>
      </c>
      <c r="B513" s="957" t="s">
        <v>767</v>
      </c>
      <c r="C513" s="919">
        <f>+C512</f>
        <v>281.3</v>
      </c>
      <c r="D513" s="951" t="s">
        <v>11</v>
      </c>
      <c r="E513" s="952">
        <v>42.01</v>
      </c>
      <c r="F513" s="1345">
        <f t="shared" si="8"/>
        <v>11817.41</v>
      </c>
      <c r="G513" s="841"/>
      <c r="H513" s="841"/>
      <c r="I513" s="841"/>
      <c r="J513" s="841"/>
    </row>
    <row r="514" spans="1:10" s="656" customFormat="1" ht="12.75" customHeight="1">
      <c r="A514" s="987">
        <v>5.1100000000000003</v>
      </c>
      <c r="B514" s="969" t="s">
        <v>862</v>
      </c>
      <c r="C514" s="865">
        <v>31.15</v>
      </c>
      <c r="D514" s="979" t="s">
        <v>891</v>
      </c>
      <c r="E514" s="969">
        <v>217.66</v>
      </c>
      <c r="F514" s="1345">
        <f t="shared" si="8"/>
        <v>6780.11</v>
      </c>
      <c r="G514" s="44"/>
      <c r="H514" s="44"/>
      <c r="I514" s="44"/>
      <c r="J514" s="44"/>
    </row>
    <row r="515" spans="1:10" s="656" customFormat="1" ht="12.75" customHeight="1">
      <c r="A515" s="986"/>
      <c r="B515" s="969"/>
      <c r="C515" s="865"/>
      <c r="D515" s="979"/>
      <c r="E515" s="969"/>
      <c r="F515" s="1345">
        <f t="shared" si="8"/>
        <v>0</v>
      </c>
      <c r="G515" s="44"/>
      <c r="H515" s="44"/>
      <c r="I515" s="1371"/>
      <c r="J515" s="44"/>
    </row>
    <row r="516" spans="1:10" s="656" customFormat="1" ht="12.75" customHeight="1">
      <c r="A516" s="981">
        <v>6</v>
      </c>
      <c r="B516" s="982" t="s">
        <v>892</v>
      </c>
      <c r="C516" s="983"/>
      <c r="D516" s="984"/>
      <c r="E516" s="982"/>
      <c r="F516" s="1345">
        <f t="shared" si="8"/>
        <v>0</v>
      </c>
      <c r="G516" s="275"/>
      <c r="H516" s="275"/>
      <c r="I516" s="1371"/>
      <c r="J516" s="275"/>
    </row>
    <row r="517" spans="1:10" s="656" customFormat="1" ht="12.75" customHeight="1">
      <c r="A517" s="986">
        <v>6.1</v>
      </c>
      <c r="B517" s="969" t="s">
        <v>893</v>
      </c>
      <c r="C517" s="865">
        <v>1</v>
      </c>
      <c r="D517" s="979" t="s">
        <v>3</v>
      </c>
      <c r="E517" s="969">
        <v>3500</v>
      </c>
      <c r="F517" s="1345">
        <f t="shared" si="8"/>
        <v>3500</v>
      </c>
      <c r="G517" s="44"/>
      <c r="H517" s="44"/>
      <c r="I517" s="1371"/>
      <c r="J517" s="44"/>
    </row>
    <row r="518" spans="1:10" s="656" customFormat="1" ht="12.75" customHeight="1">
      <c r="A518" s="986">
        <v>6.2</v>
      </c>
      <c r="B518" s="969" t="s">
        <v>894</v>
      </c>
      <c r="C518" s="865">
        <v>1</v>
      </c>
      <c r="D518" s="979" t="s">
        <v>3</v>
      </c>
      <c r="E518" s="988">
        <v>3320.26</v>
      </c>
      <c r="F518" s="1345">
        <f t="shared" si="8"/>
        <v>3320.26</v>
      </c>
      <c r="G518" s="44"/>
      <c r="H518" s="44"/>
      <c r="I518" s="44"/>
      <c r="J518" s="44"/>
    </row>
    <row r="519" spans="1:10" s="656" customFormat="1" ht="12.75" customHeight="1">
      <c r="A519" s="986">
        <v>6.3</v>
      </c>
      <c r="B519" s="969" t="s">
        <v>811</v>
      </c>
      <c r="C519" s="865">
        <v>1</v>
      </c>
      <c r="D519" s="979" t="s">
        <v>3</v>
      </c>
      <c r="E519" s="988">
        <v>2750</v>
      </c>
      <c r="F519" s="1345">
        <f t="shared" si="8"/>
        <v>2750</v>
      </c>
      <c r="G519" s="44"/>
      <c r="H519" s="44"/>
      <c r="I519" s="44"/>
      <c r="J519" s="44"/>
    </row>
    <row r="520" spans="1:10" s="656" customFormat="1" ht="12.75" customHeight="1">
      <c r="A520" s="986">
        <v>6.4</v>
      </c>
      <c r="B520" s="969" t="s">
        <v>895</v>
      </c>
      <c r="C520" s="865">
        <v>1</v>
      </c>
      <c r="D520" s="979" t="s">
        <v>3</v>
      </c>
      <c r="E520" s="969">
        <v>275.62</v>
      </c>
      <c r="F520" s="1345">
        <f t="shared" si="8"/>
        <v>275.62</v>
      </c>
      <c r="G520" s="44"/>
      <c r="H520" s="44"/>
      <c r="I520" s="44"/>
      <c r="J520" s="44"/>
    </row>
    <row r="521" spans="1:10" s="656" customFormat="1" ht="12.75" customHeight="1">
      <c r="A521" s="986">
        <v>6.5</v>
      </c>
      <c r="B521" s="969" t="s">
        <v>896</v>
      </c>
      <c r="C521" s="865">
        <v>1</v>
      </c>
      <c r="D521" s="979" t="s">
        <v>3</v>
      </c>
      <c r="E521" s="988">
        <v>350</v>
      </c>
      <c r="F521" s="1345">
        <f t="shared" si="8"/>
        <v>350</v>
      </c>
      <c r="G521" s="44"/>
      <c r="H521" s="44"/>
      <c r="I521" s="44"/>
      <c r="J521" s="44"/>
    </row>
    <row r="522" spans="1:10" s="656" customFormat="1" ht="12.75" customHeight="1">
      <c r="A522" s="986">
        <v>6.6</v>
      </c>
      <c r="B522" s="969" t="s">
        <v>897</v>
      </c>
      <c r="C522" s="865">
        <v>1</v>
      </c>
      <c r="D522" s="979" t="s">
        <v>3</v>
      </c>
      <c r="E522" s="988">
        <v>527.1</v>
      </c>
      <c r="F522" s="1345">
        <f t="shared" si="8"/>
        <v>527.1</v>
      </c>
      <c r="G522" s="44"/>
      <c r="H522" s="44"/>
      <c r="I522" s="44"/>
      <c r="J522" s="44"/>
    </row>
    <row r="523" spans="1:10" s="656" customFormat="1" ht="12.75" customHeight="1">
      <c r="A523" s="986">
        <v>6.7</v>
      </c>
      <c r="B523" s="969" t="s">
        <v>898</v>
      </c>
      <c r="C523" s="865">
        <v>1</v>
      </c>
      <c r="D523" s="979" t="s">
        <v>3</v>
      </c>
      <c r="E523" s="969">
        <v>4250</v>
      </c>
      <c r="F523" s="1345">
        <f t="shared" si="8"/>
        <v>4250</v>
      </c>
      <c r="G523" s="44"/>
      <c r="H523" s="44"/>
      <c r="I523" s="44"/>
      <c r="J523" s="44"/>
    </row>
    <row r="524" spans="1:10" s="656" customFormat="1" ht="12.75" customHeight="1">
      <c r="A524" s="986">
        <v>6.8</v>
      </c>
      <c r="B524" s="969" t="s">
        <v>899</v>
      </c>
      <c r="C524" s="865">
        <v>3</v>
      </c>
      <c r="D524" s="979" t="s">
        <v>3</v>
      </c>
      <c r="E524" s="969">
        <v>4000</v>
      </c>
      <c r="F524" s="1345">
        <f t="shared" si="8"/>
        <v>12000</v>
      </c>
      <c r="G524" s="44"/>
      <c r="H524" s="44"/>
      <c r="I524" s="44"/>
      <c r="J524" s="44"/>
    </row>
    <row r="525" spans="1:10" s="656" customFormat="1" ht="12.75" customHeight="1">
      <c r="A525" s="986">
        <v>6.9</v>
      </c>
      <c r="B525" s="969" t="s">
        <v>900</v>
      </c>
      <c r="C525" s="865">
        <v>1</v>
      </c>
      <c r="D525" s="979" t="s">
        <v>3</v>
      </c>
      <c r="E525" s="969">
        <v>4800</v>
      </c>
      <c r="F525" s="1345">
        <f t="shared" si="8"/>
        <v>4800</v>
      </c>
      <c r="G525" s="44"/>
      <c r="H525" s="44"/>
      <c r="I525" s="44"/>
      <c r="J525" s="44"/>
    </row>
    <row r="526" spans="1:10" s="656" customFormat="1" ht="12.75" customHeight="1">
      <c r="A526" s="969">
        <v>6.1</v>
      </c>
      <c r="B526" s="969" t="s">
        <v>901</v>
      </c>
      <c r="C526" s="865">
        <v>1</v>
      </c>
      <c r="D526" s="979" t="s">
        <v>3</v>
      </c>
      <c r="E526" s="969">
        <v>27500</v>
      </c>
      <c r="F526" s="1345">
        <f t="shared" si="8"/>
        <v>27500</v>
      </c>
      <c r="G526" s="44"/>
      <c r="H526" s="44"/>
      <c r="I526" s="44"/>
      <c r="J526" s="44"/>
    </row>
    <row r="527" spans="1:10" s="656" customFormat="1" ht="12.75" customHeight="1">
      <c r="A527" s="969">
        <v>6.11</v>
      </c>
      <c r="B527" s="969" t="s">
        <v>902</v>
      </c>
      <c r="C527" s="865">
        <v>1</v>
      </c>
      <c r="D527" s="979" t="s">
        <v>3</v>
      </c>
      <c r="E527" s="969">
        <v>25000</v>
      </c>
      <c r="F527" s="1345">
        <f t="shared" si="8"/>
        <v>25000</v>
      </c>
      <c r="G527" s="44"/>
      <c r="H527" s="44"/>
      <c r="I527" s="44"/>
      <c r="J527" s="44"/>
    </row>
    <row r="528" spans="1:10" s="656" customFormat="1" ht="12.75" customHeight="1">
      <c r="A528" s="969">
        <v>6.12</v>
      </c>
      <c r="B528" s="969" t="s">
        <v>903</v>
      </c>
      <c r="C528" s="865">
        <v>1</v>
      </c>
      <c r="D528" s="979" t="s">
        <v>42</v>
      </c>
      <c r="E528" s="969">
        <v>2500</v>
      </c>
      <c r="F528" s="1345">
        <f t="shared" si="8"/>
        <v>2500</v>
      </c>
      <c r="G528" s="44"/>
      <c r="H528" s="44"/>
      <c r="I528" s="44"/>
      <c r="J528" s="44"/>
    </row>
    <row r="529" spans="1:10" s="656" customFormat="1" ht="12.75" customHeight="1">
      <c r="A529" s="969">
        <v>6.13</v>
      </c>
      <c r="B529" s="969" t="s">
        <v>818</v>
      </c>
      <c r="C529" s="865">
        <v>1</v>
      </c>
      <c r="D529" s="979" t="s">
        <v>42</v>
      </c>
      <c r="E529" s="969">
        <v>6000</v>
      </c>
      <c r="F529" s="1345">
        <f t="shared" si="8"/>
        <v>6000</v>
      </c>
      <c r="G529" s="44"/>
      <c r="H529" s="44"/>
      <c r="I529" s="44"/>
      <c r="J529" s="44"/>
    </row>
    <row r="530" spans="1:10" s="656" customFormat="1" ht="12.75" customHeight="1">
      <c r="A530" s="969"/>
      <c r="B530" s="969"/>
      <c r="C530" s="865"/>
      <c r="D530" s="979"/>
      <c r="E530" s="969"/>
      <c r="F530" s="1345">
        <f t="shared" si="8"/>
        <v>0</v>
      </c>
      <c r="G530" s="44"/>
      <c r="H530" s="44"/>
      <c r="I530" s="44"/>
      <c r="J530" s="44"/>
    </row>
    <row r="531" spans="1:10" s="656" customFormat="1" ht="12.75" customHeight="1">
      <c r="A531" s="981">
        <v>7</v>
      </c>
      <c r="B531" s="982" t="s">
        <v>904</v>
      </c>
      <c r="C531" s="983"/>
      <c r="D531" s="984"/>
      <c r="E531" s="982"/>
      <c r="F531" s="1345">
        <f t="shared" si="8"/>
        <v>0</v>
      </c>
      <c r="G531" s="1372"/>
      <c r="H531" s="275"/>
      <c r="I531" s="275"/>
      <c r="J531" s="275"/>
    </row>
    <row r="532" spans="1:10" s="656" customFormat="1" ht="12.75" customHeight="1">
      <c r="A532" s="986">
        <v>7.1</v>
      </c>
      <c r="B532" s="969" t="s">
        <v>905</v>
      </c>
      <c r="C532" s="865">
        <v>8</v>
      </c>
      <c r="D532" s="979" t="s">
        <v>3</v>
      </c>
      <c r="E532" s="921">
        <v>912.54</v>
      </c>
      <c r="F532" s="1345">
        <f t="shared" si="8"/>
        <v>7300.32</v>
      </c>
      <c r="G532" s="1372"/>
      <c r="H532" s="44"/>
      <c r="I532" s="44"/>
      <c r="J532" s="44"/>
    </row>
    <row r="533" spans="1:10" s="656" customFormat="1" ht="12.75" customHeight="1">
      <c r="A533" s="986">
        <v>7.2</v>
      </c>
      <c r="B533" s="969" t="s">
        <v>906</v>
      </c>
      <c r="C533" s="865">
        <v>10</v>
      </c>
      <c r="D533" s="979" t="s">
        <v>3</v>
      </c>
      <c r="E533" s="921">
        <v>940.15</v>
      </c>
      <c r="F533" s="1345">
        <f t="shared" si="8"/>
        <v>9401.5</v>
      </c>
      <c r="G533" s="1372"/>
      <c r="H533" s="44"/>
      <c r="I533" s="44"/>
      <c r="J533" s="44"/>
    </row>
    <row r="534" spans="1:10" s="656" customFormat="1" ht="12.75" customHeight="1">
      <c r="A534" s="986">
        <v>7.3</v>
      </c>
      <c r="B534" s="969" t="s">
        <v>907</v>
      </c>
      <c r="C534" s="865">
        <v>8</v>
      </c>
      <c r="D534" s="979" t="s">
        <v>3</v>
      </c>
      <c r="E534" s="921">
        <v>952.9</v>
      </c>
      <c r="F534" s="1345">
        <f t="shared" si="8"/>
        <v>7623.2</v>
      </c>
      <c r="G534" s="1372"/>
      <c r="H534" s="44"/>
      <c r="I534" s="44"/>
      <c r="J534" s="44"/>
    </row>
    <row r="535" spans="1:10" s="656" customFormat="1" ht="12.75" customHeight="1">
      <c r="A535" s="986">
        <v>7.4</v>
      </c>
      <c r="B535" s="969" t="s">
        <v>908</v>
      </c>
      <c r="C535" s="865">
        <v>1</v>
      </c>
      <c r="D535" s="979" t="s">
        <v>3</v>
      </c>
      <c r="E535" s="989">
        <v>3672</v>
      </c>
      <c r="F535" s="1345">
        <f t="shared" ref="F535:F545" si="9">+ROUND((E535*C535),2)</f>
        <v>3672</v>
      </c>
      <c r="G535" s="44"/>
      <c r="H535" s="44"/>
      <c r="I535" s="44"/>
      <c r="J535" s="44"/>
    </row>
    <row r="536" spans="1:10" s="656" customFormat="1" ht="12.75" customHeight="1">
      <c r="A536" s="986">
        <v>7.5</v>
      </c>
      <c r="B536" s="969" t="s">
        <v>823</v>
      </c>
      <c r="C536" s="865">
        <v>1</v>
      </c>
      <c r="D536" s="979" t="s">
        <v>42</v>
      </c>
      <c r="E536" s="969">
        <v>3200</v>
      </c>
      <c r="F536" s="1345">
        <f t="shared" si="9"/>
        <v>3200</v>
      </c>
      <c r="G536" s="44"/>
      <c r="H536" s="44"/>
      <c r="I536" s="44"/>
      <c r="J536" s="44"/>
    </row>
    <row r="537" spans="1:10" s="656" customFormat="1" ht="12.75" customHeight="1">
      <c r="A537" s="969"/>
      <c r="B537" s="969"/>
      <c r="C537" s="865"/>
      <c r="D537" s="979"/>
      <c r="E537" s="969"/>
      <c r="F537" s="1345">
        <f t="shared" si="9"/>
        <v>0</v>
      </c>
      <c r="G537" s="44"/>
      <c r="H537" s="44"/>
      <c r="I537" s="44"/>
      <c r="J537" s="44"/>
    </row>
    <row r="538" spans="1:10" s="656" customFormat="1" ht="12.75" customHeight="1">
      <c r="A538" s="981">
        <v>8</v>
      </c>
      <c r="B538" s="982" t="s">
        <v>909</v>
      </c>
      <c r="C538" s="983"/>
      <c r="D538" s="984"/>
      <c r="E538" s="982"/>
      <c r="F538" s="1345">
        <f t="shared" si="9"/>
        <v>0</v>
      </c>
      <c r="G538" s="275"/>
      <c r="H538" s="275"/>
      <c r="I538" s="275"/>
      <c r="J538" s="275"/>
    </row>
    <row r="539" spans="1:10" s="656" customFormat="1" ht="12.75" customHeight="1">
      <c r="A539" s="986">
        <v>8.1</v>
      </c>
      <c r="B539" s="969" t="s">
        <v>1236</v>
      </c>
      <c r="C539" s="865">
        <v>6</v>
      </c>
      <c r="D539" s="979" t="s">
        <v>3</v>
      </c>
      <c r="E539" s="969">
        <v>6500</v>
      </c>
      <c r="F539" s="1345">
        <f t="shared" si="9"/>
        <v>39000</v>
      </c>
      <c r="G539" s="44"/>
      <c r="H539" s="44"/>
      <c r="I539" s="44"/>
      <c r="J539" s="44"/>
    </row>
    <row r="540" spans="1:10" s="656" customFormat="1" ht="12.75" customHeight="1">
      <c r="A540" s="969"/>
      <c r="B540" s="969"/>
      <c r="C540" s="865"/>
      <c r="D540" s="979"/>
      <c r="E540" s="969"/>
      <c r="F540" s="1345">
        <f t="shared" si="9"/>
        <v>0</v>
      </c>
      <c r="G540" s="44"/>
      <c r="H540" s="44"/>
      <c r="I540" s="44"/>
      <c r="J540" s="44"/>
    </row>
    <row r="541" spans="1:10" s="656" customFormat="1" ht="12.75" customHeight="1">
      <c r="A541" s="981">
        <v>9</v>
      </c>
      <c r="B541" s="982" t="s">
        <v>910</v>
      </c>
      <c r="C541" s="983"/>
      <c r="D541" s="984"/>
      <c r="E541" s="982"/>
      <c r="F541" s="1345">
        <f t="shared" si="9"/>
        <v>0</v>
      </c>
      <c r="G541" s="275"/>
      <c r="H541" s="275"/>
      <c r="I541" s="275"/>
      <c r="J541" s="275"/>
    </row>
    <row r="542" spans="1:10" s="656" customFormat="1" ht="12.75" customHeight="1">
      <c r="A542" s="986">
        <v>9.1</v>
      </c>
      <c r="B542" s="969" t="s">
        <v>911</v>
      </c>
      <c r="C542" s="865">
        <v>80.48</v>
      </c>
      <c r="D542" s="979" t="s">
        <v>155</v>
      </c>
      <c r="E542" s="969">
        <v>450</v>
      </c>
      <c r="F542" s="1345">
        <f t="shared" si="9"/>
        <v>36216</v>
      </c>
      <c r="G542" s="44"/>
      <c r="H542" s="44"/>
      <c r="I542" s="44"/>
      <c r="J542" s="44"/>
    </row>
    <row r="543" spans="1:10" s="656" customFormat="1" ht="12.75" customHeight="1">
      <c r="A543" s="986"/>
      <c r="B543" s="969"/>
      <c r="C543" s="865"/>
      <c r="D543" s="979"/>
      <c r="E543" s="969"/>
      <c r="F543" s="1345">
        <f t="shared" si="9"/>
        <v>0</v>
      </c>
      <c r="G543" s="44"/>
      <c r="H543" s="44"/>
      <c r="I543" s="44"/>
      <c r="J543" s="44"/>
    </row>
    <row r="544" spans="1:10" s="656" customFormat="1" ht="12.75" customHeight="1">
      <c r="A544" s="980">
        <v>10</v>
      </c>
      <c r="B544" s="969" t="s">
        <v>876</v>
      </c>
      <c r="C544" s="865">
        <v>1</v>
      </c>
      <c r="D544" s="979" t="s">
        <v>42</v>
      </c>
      <c r="E544" s="969">
        <v>2500</v>
      </c>
      <c r="F544" s="1345">
        <f t="shared" si="9"/>
        <v>2500</v>
      </c>
      <c r="G544" s="44"/>
      <c r="H544" s="44"/>
      <c r="I544" s="44"/>
      <c r="J544" s="44"/>
    </row>
    <row r="545" spans="1:10" s="656" customFormat="1" ht="12.75" customHeight="1">
      <c r="A545" s="980"/>
      <c r="B545" s="969"/>
      <c r="C545" s="865"/>
      <c r="D545" s="979"/>
      <c r="E545" s="969"/>
      <c r="F545" s="1345">
        <f t="shared" si="9"/>
        <v>0</v>
      </c>
      <c r="G545" s="44"/>
      <c r="H545" s="44"/>
      <c r="I545" s="44"/>
      <c r="J545" s="44"/>
    </row>
    <row r="546" spans="1:10" s="656" customFormat="1" ht="12.75" customHeight="1">
      <c r="A546" s="990" t="s">
        <v>912</v>
      </c>
      <c r="B546" s="991" t="s">
        <v>913</v>
      </c>
      <c r="C546" s="865"/>
      <c r="D546" s="979"/>
      <c r="E546" s="969"/>
      <c r="F546" s="1345"/>
      <c r="G546" s="44"/>
      <c r="H546" s="44"/>
      <c r="I546" s="44"/>
      <c r="J546" s="44"/>
    </row>
    <row r="547" spans="1:10" s="656" customFormat="1" ht="12.75" customHeight="1">
      <c r="A547" s="992">
        <v>1</v>
      </c>
      <c r="B547" s="991" t="s">
        <v>914</v>
      </c>
      <c r="C547" s="993"/>
      <c r="D547" s="994"/>
      <c r="E547" s="993"/>
      <c r="F547" s="1011">
        <f>C547*E547</f>
        <v>0</v>
      </c>
      <c r="G547" s="843"/>
      <c r="H547" s="843"/>
      <c r="I547" s="844"/>
      <c r="J547" s="844"/>
    </row>
    <row r="548" spans="1:10" s="656" customFormat="1" ht="12.75" customHeight="1">
      <c r="A548" s="995">
        <v>1.1000000000000001</v>
      </c>
      <c r="B548" s="996" t="s">
        <v>915</v>
      </c>
      <c r="C548" s="993">
        <v>1</v>
      </c>
      <c r="D548" s="994" t="s">
        <v>3</v>
      </c>
      <c r="E548" s="993">
        <v>28000</v>
      </c>
      <c r="F548" s="1011">
        <f t="shared" ref="F548:F583" si="10">ROUND(C548*E548,2)</f>
        <v>28000</v>
      </c>
      <c r="G548" s="1540"/>
      <c r="H548" s="1540"/>
      <c r="I548" s="844"/>
      <c r="J548" s="844"/>
    </row>
    <row r="549" spans="1:10" s="656" customFormat="1" ht="12.75" customHeight="1">
      <c r="A549" s="995">
        <v>1.2</v>
      </c>
      <c r="B549" s="996" t="s">
        <v>916</v>
      </c>
      <c r="C549" s="993">
        <v>350</v>
      </c>
      <c r="D549" s="997" t="s">
        <v>800</v>
      </c>
      <c r="E549" s="993">
        <v>22</v>
      </c>
      <c r="F549" s="1011">
        <f t="shared" si="10"/>
        <v>7700</v>
      </c>
      <c r="G549" s="843"/>
      <c r="H549" s="843"/>
      <c r="I549" s="844"/>
      <c r="J549" s="844"/>
    </row>
    <row r="550" spans="1:10" s="656" customFormat="1" ht="12.75" customHeight="1">
      <c r="A550" s="995">
        <v>1.3</v>
      </c>
      <c r="B550" s="996" t="s">
        <v>917</v>
      </c>
      <c r="C550" s="993">
        <v>1</v>
      </c>
      <c r="D550" s="997" t="s">
        <v>3</v>
      </c>
      <c r="E550" s="993">
        <v>13509.27</v>
      </c>
      <c r="F550" s="1011">
        <f t="shared" si="10"/>
        <v>13509.27</v>
      </c>
      <c r="G550" s="843"/>
      <c r="H550" s="843"/>
      <c r="I550" s="844"/>
      <c r="J550" s="844"/>
    </row>
    <row r="551" spans="1:10" s="656" customFormat="1" ht="12.75" customHeight="1">
      <c r="A551" s="995">
        <v>1.4</v>
      </c>
      <c r="B551" s="996" t="s">
        <v>918</v>
      </c>
      <c r="C551" s="993">
        <v>1</v>
      </c>
      <c r="D551" s="997" t="s">
        <v>3</v>
      </c>
      <c r="E551" s="993">
        <v>3086.61</v>
      </c>
      <c r="F551" s="1011">
        <f t="shared" si="10"/>
        <v>3086.61</v>
      </c>
      <c r="G551" s="843"/>
      <c r="H551" s="843"/>
      <c r="I551" s="844"/>
      <c r="J551" s="844"/>
    </row>
    <row r="552" spans="1:10" s="656" customFormat="1" ht="38.25" customHeight="1">
      <c r="A552" s="995">
        <v>1.5</v>
      </c>
      <c r="B552" s="998" t="s">
        <v>919</v>
      </c>
      <c r="C552" s="993">
        <v>1</v>
      </c>
      <c r="D552" s="997" t="s">
        <v>3</v>
      </c>
      <c r="E552" s="993">
        <v>31250</v>
      </c>
      <c r="F552" s="1011">
        <f t="shared" si="10"/>
        <v>31250</v>
      </c>
      <c r="G552" s="843"/>
      <c r="H552" s="843"/>
      <c r="I552" s="844"/>
      <c r="J552" s="844"/>
    </row>
    <row r="553" spans="1:10" s="656" customFormat="1" ht="12.75" customHeight="1">
      <c r="A553" s="995">
        <v>1.6</v>
      </c>
      <c r="B553" s="996" t="s">
        <v>920</v>
      </c>
      <c r="C553" s="993">
        <v>1</v>
      </c>
      <c r="D553" s="997" t="s">
        <v>3</v>
      </c>
      <c r="E553" s="993">
        <v>4931.16</v>
      </c>
      <c r="F553" s="1011">
        <f t="shared" si="10"/>
        <v>4931.16</v>
      </c>
      <c r="G553" s="843"/>
      <c r="H553" s="843"/>
      <c r="I553" s="844"/>
      <c r="J553" s="844"/>
    </row>
    <row r="554" spans="1:10" s="656" customFormat="1" ht="12.75" customHeight="1">
      <c r="A554" s="995">
        <v>1.7</v>
      </c>
      <c r="B554" s="996" t="s">
        <v>921</v>
      </c>
      <c r="C554" s="993">
        <v>1</v>
      </c>
      <c r="D554" s="997" t="s">
        <v>3</v>
      </c>
      <c r="E554" s="993">
        <v>2263.04</v>
      </c>
      <c r="F554" s="1011">
        <f t="shared" si="10"/>
        <v>2263.04</v>
      </c>
      <c r="G554" s="843"/>
      <c r="H554" s="843"/>
      <c r="I554" s="844"/>
      <c r="J554" s="844"/>
    </row>
    <row r="555" spans="1:10" s="656" customFormat="1" ht="12.75" customHeight="1">
      <c r="A555" s="995">
        <v>1.8</v>
      </c>
      <c r="B555" s="996" t="s">
        <v>922</v>
      </c>
      <c r="C555" s="993">
        <v>1</v>
      </c>
      <c r="D555" s="997" t="s">
        <v>3</v>
      </c>
      <c r="E555" s="993">
        <v>2772.32</v>
      </c>
      <c r="F555" s="1011">
        <f t="shared" si="10"/>
        <v>2772.32</v>
      </c>
      <c r="G555" s="843"/>
      <c r="H555" s="843"/>
      <c r="I555" s="844"/>
      <c r="J555" s="844"/>
    </row>
    <row r="556" spans="1:10" s="656" customFormat="1" ht="12.75" customHeight="1">
      <c r="A556" s="995">
        <v>1.9</v>
      </c>
      <c r="B556" s="996" t="s">
        <v>923</v>
      </c>
      <c r="C556" s="993">
        <v>1</v>
      </c>
      <c r="D556" s="997" t="s">
        <v>3</v>
      </c>
      <c r="E556" s="993">
        <v>1200</v>
      </c>
      <c r="F556" s="1011">
        <f t="shared" si="10"/>
        <v>1200</v>
      </c>
      <c r="G556" s="843"/>
      <c r="H556" s="843"/>
      <c r="I556" s="844"/>
      <c r="J556" s="844"/>
    </row>
    <row r="557" spans="1:10" s="656" customFormat="1" ht="12.75" customHeight="1">
      <c r="A557" s="999">
        <v>1.1000000000000001</v>
      </c>
      <c r="B557" s="996" t="s">
        <v>924</v>
      </c>
      <c r="C557" s="993">
        <v>1</v>
      </c>
      <c r="D557" s="997" t="s">
        <v>3</v>
      </c>
      <c r="E557" s="993">
        <v>1200</v>
      </c>
      <c r="F557" s="1011">
        <f t="shared" si="10"/>
        <v>1200</v>
      </c>
      <c r="G557" s="1373"/>
      <c r="H557" s="1373"/>
      <c r="I557" s="844"/>
      <c r="J557" s="844"/>
    </row>
    <row r="558" spans="1:10" s="656" customFormat="1" ht="12.75" customHeight="1">
      <c r="A558" s="995">
        <v>1.1100000000000001</v>
      </c>
      <c r="B558" s="996" t="s">
        <v>925</v>
      </c>
      <c r="C558" s="993">
        <v>1</v>
      </c>
      <c r="D558" s="997" t="s">
        <v>3</v>
      </c>
      <c r="E558" s="993">
        <v>1000</v>
      </c>
      <c r="F558" s="1011">
        <f t="shared" si="10"/>
        <v>1000</v>
      </c>
      <c r="G558" s="1373"/>
      <c r="H558" s="1373"/>
      <c r="I558" s="844"/>
      <c r="J558" s="844"/>
    </row>
    <row r="559" spans="1:10" s="656" customFormat="1" ht="12.75" customHeight="1">
      <c r="A559" s="999">
        <v>1.1200000000000001</v>
      </c>
      <c r="B559" s="996" t="s">
        <v>926</v>
      </c>
      <c r="C559" s="993">
        <v>1</v>
      </c>
      <c r="D559" s="997" t="s">
        <v>3</v>
      </c>
      <c r="E559" s="993">
        <v>3500</v>
      </c>
      <c r="F559" s="1011">
        <f t="shared" si="10"/>
        <v>3500</v>
      </c>
      <c r="G559" s="843"/>
      <c r="H559" s="843"/>
      <c r="I559" s="844"/>
      <c r="J559" s="844"/>
    </row>
    <row r="560" spans="1:10" s="656" customFormat="1" ht="15.75" customHeight="1">
      <c r="A560" s="995">
        <v>1.1299999999999999</v>
      </c>
      <c r="B560" s="998" t="s">
        <v>927</v>
      </c>
      <c r="C560" s="993">
        <v>1</v>
      </c>
      <c r="D560" s="997" t="s">
        <v>3</v>
      </c>
      <c r="E560" s="993">
        <v>15332.48</v>
      </c>
      <c r="F560" s="1011">
        <f t="shared" si="10"/>
        <v>15332.48</v>
      </c>
      <c r="G560" s="1374"/>
      <c r="H560" s="843"/>
      <c r="I560" s="844"/>
      <c r="J560" s="844"/>
    </row>
    <row r="561" spans="1:10" s="656" customFormat="1" ht="12.75" customHeight="1">
      <c r="A561" s="995"/>
      <c r="B561" s="996"/>
      <c r="C561" s="1000"/>
      <c r="D561" s="1001"/>
      <c r="E561" s="1002"/>
      <c r="F561" s="1011">
        <f t="shared" si="10"/>
        <v>0</v>
      </c>
      <c r="G561" s="843"/>
      <c r="H561" s="843"/>
      <c r="I561" s="844"/>
      <c r="J561" s="844"/>
    </row>
    <row r="562" spans="1:10" s="656" customFormat="1" ht="12.75" customHeight="1">
      <c r="A562" s="992">
        <v>2</v>
      </c>
      <c r="B562" s="991" t="s">
        <v>928</v>
      </c>
      <c r="C562" s="1003"/>
      <c r="D562" s="994"/>
      <c r="E562" s="993"/>
      <c r="F562" s="1011">
        <f t="shared" si="10"/>
        <v>0</v>
      </c>
      <c r="G562" s="1373"/>
      <c r="H562" s="1373"/>
      <c r="I562" s="844"/>
      <c r="J562" s="1375"/>
    </row>
    <row r="563" spans="1:10" s="656" customFormat="1" ht="12.75" customHeight="1">
      <c r="A563" s="995">
        <v>2.1</v>
      </c>
      <c r="B563" s="996" t="s">
        <v>929</v>
      </c>
      <c r="C563" s="1004">
        <v>1</v>
      </c>
      <c r="D563" s="994" t="s">
        <v>3</v>
      </c>
      <c r="E563" s="993">
        <v>485.5</v>
      </c>
      <c r="F563" s="1011">
        <f t="shared" si="10"/>
        <v>485.5</v>
      </c>
      <c r="G563" s="843"/>
      <c r="H563" s="843"/>
      <c r="I563" s="844"/>
      <c r="J563" s="844"/>
    </row>
    <row r="564" spans="1:10" s="656" customFormat="1" ht="12.75" customHeight="1">
      <c r="A564" s="995">
        <v>2.2000000000000002</v>
      </c>
      <c r="B564" s="996" t="s">
        <v>930</v>
      </c>
      <c r="C564" s="1004">
        <v>1</v>
      </c>
      <c r="D564" s="994" t="s">
        <v>3</v>
      </c>
      <c r="E564" s="993">
        <v>280.16000000000003</v>
      </c>
      <c r="F564" s="1011">
        <f t="shared" si="10"/>
        <v>280.16000000000003</v>
      </c>
      <c r="G564" s="843"/>
      <c r="H564" s="843"/>
      <c r="I564" s="844"/>
      <c r="J564" s="844"/>
    </row>
    <row r="565" spans="1:10" s="656" customFormat="1" ht="12.75" customHeight="1">
      <c r="A565" s="995">
        <v>2.2999999999999998</v>
      </c>
      <c r="B565" s="996" t="s">
        <v>931</v>
      </c>
      <c r="C565" s="1004">
        <v>2</v>
      </c>
      <c r="D565" s="994" t="s">
        <v>3</v>
      </c>
      <c r="E565" s="993">
        <v>1396.72</v>
      </c>
      <c r="F565" s="1011">
        <f t="shared" si="10"/>
        <v>2793.44</v>
      </c>
      <c r="G565" s="843"/>
      <c r="H565" s="843"/>
      <c r="I565" s="844"/>
      <c r="J565" s="844"/>
    </row>
    <row r="566" spans="1:10" s="656" customFormat="1" ht="12.75" customHeight="1">
      <c r="A566" s="995">
        <v>2.4</v>
      </c>
      <c r="B566" s="996" t="s">
        <v>932</v>
      </c>
      <c r="C566" s="1004">
        <v>1</v>
      </c>
      <c r="D566" s="994" t="s">
        <v>3</v>
      </c>
      <c r="E566" s="993">
        <v>879.65</v>
      </c>
      <c r="F566" s="1011">
        <f t="shared" si="10"/>
        <v>879.65</v>
      </c>
      <c r="G566" s="843"/>
      <c r="H566" s="843"/>
      <c r="I566" s="844"/>
      <c r="J566" s="844"/>
    </row>
    <row r="567" spans="1:10" s="656" customFormat="1" ht="12.75" customHeight="1">
      <c r="A567" s="995">
        <v>2.5</v>
      </c>
      <c r="B567" s="996" t="s">
        <v>933</v>
      </c>
      <c r="C567" s="1004">
        <v>2</v>
      </c>
      <c r="D567" s="994" t="s">
        <v>3</v>
      </c>
      <c r="E567" s="993">
        <v>279.39999999999998</v>
      </c>
      <c r="F567" s="1011">
        <f t="shared" si="10"/>
        <v>558.79999999999995</v>
      </c>
      <c r="G567" s="843"/>
      <c r="H567" s="843"/>
      <c r="I567" s="844"/>
      <c r="J567" s="844"/>
    </row>
    <row r="568" spans="1:10" s="656" customFormat="1" ht="12.75" customHeight="1">
      <c r="A568" s="995">
        <v>2.6</v>
      </c>
      <c r="B568" s="996" t="s">
        <v>934</v>
      </c>
      <c r="C568" s="1004">
        <v>4</v>
      </c>
      <c r="D568" s="994" t="s">
        <v>3</v>
      </c>
      <c r="E568" s="993">
        <v>1232.6500000000001</v>
      </c>
      <c r="F568" s="1011">
        <f t="shared" si="10"/>
        <v>4930.6000000000004</v>
      </c>
      <c r="G568" s="843"/>
      <c r="H568" s="843"/>
      <c r="I568" s="844"/>
      <c r="J568" s="844"/>
    </row>
    <row r="569" spans="1:10" s="656" customFormat="1" ht="12.75" customHeight="1">
      <c r="A569" s="995">
        <v>2.7</v>
      </c>
      <c r="B569" s="996" t="s">
        <v>935</v>
      </c>
      <c r="C569" s="1004">
        <v>2</v>
      </c>
      <c r="D569" s="994" t="s">
        <v>3</v>
      </c>
      <c r="E569" s="993">
        <v>137.38999999999999</v>
      </c>
      <c r="F569" s="1011">
        <f t="shared" si="10"/>
        <v>274.77999999999997</v>
      </c>
      <c r="G569" s="843"/>
      <c r="H569" s="843"/>
      <c r="I569" s="844"/>
      <c r="J569" s="844"/>
    </row>
    <row r="570" spans="1:10" s="656" customFormat="1" ht="12.75" customHeight="1">
      <c r="A570" s="995">
        <v>2.8</v>
      </c>
      <c r="B570" s="996" t="s">
        <v>936</v>
      </c>
      <c r="C570" s="1004">
        <v>10</v>
      </c>
      <c r="D570" s="994" t="s">
        <v>3</v>
      </c>
      <c r="E570" s="993">
        <v>576.23</v>
      </c>
      <c r="F570" s="1011">
        <f t="shared" si="10"/>
        <v>5762.3</v>
      </c>
      <c r="G570" s="843"/>
      <c r="H570" s="843"/>
      <c r="I570" s="844"/>
      <c r="J570" s="844"/>
    </row>
    <row r="571" spans="1:10" s="656" customFormat="1" ht="12.75" customHeight="1">
      <c r="A571" s="995">
        <v>2.9</v>
      </c>
      <c r="B571" s="996" t="s">
        <v>937</v>
      </c>
      <c r="C571" s="1004">
        <v>3</v>
      </c>
      <c r="D571" s="994" t="s">
        <v>3</v>
      </c>
      <c r="E571" s="993">
        <v>206.82</v>
      </c>
      <c r="F571" s="1011">
        <f t="shared" si="10"/>
        <v>620.46</v>
      </c>
      <c r="G571" s="843"/>
      <c r="H571" s="843"/>
      <c r="I571" s="844"/>
      <c r="J571" s="844"/>
    </row>
    <row r="572" spans="1:10" s="656" customFormat="1" ht="12.75" customHeight="1">
      <c r="A572" s="999">
        <v>2.1</v>
      </c>
      <c r="B572" s="996" t="s">
        <v>938</v>
      </c>
      <c r="C572" s="1004">
        <v>20</v>
      </c>
      <c r="D572" s="994" t="s">
        <v>3</v>
      </c>
      <c r="E572" s="993">
        <v>93.7</v>
      </c>
      <c r="F572" s="1011">
        <f t="shared" si="10"/>
        <v>1874</v>
      </c>
      <c r="G572" s="843"/>
      <c r="H572" s="843"/>
      <c r="I572" s="844"/>
      <c r="J572" s="844"/>
    </row>
    <row r="573" spans="1:10" s="656" customFormat="1" ht="12.75" customHeight="1">
      <c r="A573" s="995">
        <v>2.11</v>
      </c>
      <c r="B573" s="996" t="s">
        <v>939</v>
      </c>
      <c r="C573" s="1004">
        <v>40</v>
      </c>
      <c r="D573" s="994" t="s">
        <v>800</v>
      </c>
      <c r="E573" s="993">
        <v>130</v>
      </c>
      <c r="F573" s="1011">
        <f t="shared" si="10"/>
        <v>5200</v>
      </c>
      <c r="G573" s="843"/>
      <c r="H573" s="843"/>
      <c r="I573" s="844"/>
      <c r="J573" s="844"/>
    </row>
    <row r="574" spans="1:10" s="656" customFormat="1" ht="12.75" customHeight="1">
      <c r="A574" s="999">
        <v>2.12</v>
      </c>
      <c r="B574" s="996" t="s">
        <v>940</v>
      </c>
      <c r="C574" s="1004">
        <v>2</v>
      </c>
      <c r="D574" s="994" t="s">
        <v>3</v>
      </c>
      <c r="E574" s="993">
        <v>227.15</v>
      </c>
      <c r="F574" s="1011">
        <f t="shared" si="10"/>
        <v>454.3</v>
      </c>
      <c r="G574" s="843"/>
      <c r="H574" s="843"/>
      <c r="I574" s="844"/>
      <c r="J574" s="844"/>
    </row>
    <row r="575" spans="1:10" s="656" customFormat="1" ht="12.75" customHeight="1">
      <c r="A575" s="995">
        <v>2.13</v>
      </c>
      <c r="B575" s="996" t="s">
        <v>941</v>
      </c>
      <c r="C575" s="1004">
        <v>2</v>
      </c>
      <c r="D575" s="994" t="s">
        <v>3</v>
      </c>
      <c r="E575" s="993">
        <v>420.24</v>
      </c>
      <c r="F575" s="1011">
        <f t="shared" si="10"/>
        <v>840.48</v>
      </c>
      <c r="G575" s="843"/>
      <c r="H575" s="843"/>
      <c r="I575" s="844"/>
      <c r="J575" s="844"/>
    </row>
    <row r="576" spans="1:10" s="656" customFormat="1" ht="12.75" customHeight="1">
      <c r="A576" s="999">
        <v>2.14</v>
      </c>
      <c r="B576" s="996" t="s">
        <v>942</v>
      </c>
      <c r="C576" s="1004">
        <v>250</v>
      </c>
      <c r="D576" s="994" t="s">
        <v>800</v>
      </c>
      <c r="E576" s="993">
        <v>55.35</v>
      </c>
      <c r="F576" s="1011">
        <f t="shared" si="10"/>
        <v>13837.5</v>
      </c>
      <c r="G576" s="843"/>
      <c r="H576" s="843"/>
      <c r="I576" s="844"/>
      <c r="J576" s="844"/>
    </row>
    <row r="577" spans="1:10" s="656" customFormat="1" ht="12.75" customHeight="1">
      <c r="A577" s="995">
        <v>2.15</v>
      </c>
      <c r="B577" s="996" t="s">
        <v>943</v>
      </c>
      <c r="C577" s="1004">
        <v>250</v>
      </c>
      <c r="D577" s="994" t="s">
        <v>800</v>
      </c>
      <c r="E577" s="993">
        <v>34.409999999999997</v>
      </c>
      <c r="F577" s="1011">
        <f t="shared" si="10"/>
        <v>8602.5</v>
      </c>
      <c r="G577" s="843"/>
      <c r="H577" s="843"/>
      <c r="I577" s="844"/>
      <c r="J577" s="844"/>
    </row>
    <row r="578" spans="1:10" s="656" customFormat="1" ht="12.75" customHeight="1">
      <c r="A578" s="999">
        <v>2.16</v>
      </c>
      <c r="B578" s="996" t="s">
        <v>944</v>
      </c>
      <c r="C578" s="1004">
        <v>500</v>
      </c>
      <c r="D578" s="994" t="s">
        <v>800</v>
      </c>
      <c r="E578" s="993">
        <v>22.82</v>
      </c>
      <c r="F578" s="1011">
        <f t="shared" si="10"/>
        <v>11410</v>
      </c>
      <c r="G578" s="843"/>
      <c r="H578" s="843"/>
      <c r="I578" s="844"/>
      <c r="J578" s="844"/>
    </row>
    <row r="579" spans="1:10" s="656" customFormat="1" ht="12.75" customHeight="1">
      <c r="A579" s="995">
        <v>2.17</v>
      </c>
      <c r="B579" s="996" t="s">
        <v>945</v>
      </c>
      <c r="C579" s="1004">
        <v>2000</v>
      </c>
      <c r="D579" s="994" t="s">
        <v>800</v>
      </c>
      <c r="E579" s="993">
        <v>13.7</v>
      </c>
      <c r="F579" s="1011">
        <f t="shared" si="10"/>
        <v>27400</v>
      </c>
      <c r="G579" s="843"/>
      <c r="H579" s="843"/>
      <c r="I579" s="844"/>
      <c r="J579" s="844"/>
    </row>
    <row r="580" spans="1:10" s="656" customFormat="1" ht="12.75" customHeight="1">
      <c r="A580" s="999">
        <v>2.1800000000000002</v>
      </c>
      <c r="B580" s="996" t="s">
        <v>946</v>
      </c>
      <c r="C580" s="1004">
        <v>1</v>
      </c>
      <c r="D580" s="994" t="s">
        <v>3</v>
      </c>
      <c r="E580" s="993">
        <v>54000</v>
      </c>
      <c r="F580" s="1011">
        <f t="shared" si="10"/>
        <v>54000</v>
      </c>
      <c r="G580" s="843"/>
      <c r="H580" s="843"/>
      <c r="I580" s="844"/>
      <c r="J580" s="844"/>
    </row>
    <row r="581" spans="1:10" s="656" customFormat="1" ht="25.5" customHeight="1">
      <c r="A581" s="995">
        <v>2.19</v>
      </c>
      <c r="B581" s="998" t="s">
        <v>947</v>
      </c>
      <c r="C581" s="1004">
        <v>1</v>
      </c>
      <c r="D581" s="994" t="s">
        <v>3</v>
      </c>
      <c r="E581" s="993">
        <v>12680</v>
      </c>
      <c r="F581" s="1011">
        <f t="shared" si="10"/>
        <v>12680</v>
      </c>
      <c r="G581" s="843"/>
      <c r="H581" s="843"/>
      <c r="I581" s="844"/>
      <c r="J581" s="844"/>
    </row>
    <row r="582" spans="1:10" s="656" customFormat="1" ht="25.5" customHeight="1">
      <c r="A582" s="999">
        <v>2.2000000000000002</v>
      </c>
      <c r="B582" s="998" t="s">
        <v>948</v>
      </c>
      <c r="C582" s="1004">
        <v>1</v>
      </c>
      <c r="D582" s="994" t="s">
        <v>3</v>
      </c>
      <c r="E582" s="993">
        <v>6600</v>
      </c>
      <c r="F582" s="1011">
        <f t="shared" si="10"/>
        <v>6600</v>
      </c>
      <c r="G582" s="843"/>
      <c r="H582" s="843"/>
      <c r="I582" s="844"/>
      <c r="J582" s="844"/>
    </row>
    <row r="583" spans="1:10" s="656" customFormat="1" ht="12.75" customHeight="1">
      <c r="A583" s="995">
        <v>2.21</v>
      </c>
      <c r="B583" s="998" t="s">
        <v>949</v>
      </c>
      <c r="C583" s="1005">
        <v>6</v>
      </c>
      <c r="D583" s="1006" t="s">
        <v>3</v>
      </c>
      <c r="E583" s="1007">
        <v>3000</v>
      </c>
      <c r="F583" s="1346">
        <f t="shared" si="10"/>
        <v>18000</v>
      </c>
      <c r="G583" s="843"/>
      <c r="H583" s="843"/>
      <c r="I583" s="844"/>
      <c r="J583" s="844"/>
    </row>
    <row r="584" spans="1:10" s="656" customFormat="1" ht="12.75" customHeight="1">
      <c r="A584" s="999">
        <v>2.2200000000000002</v>
      </c>
      <c r="B584" s="996" t="s">
        <v>950</v>
      </c>
      <c r="C584" s="1004">
        <v>5</v>
      </c>
      <c r="D584" s="994" t="s">
        <v>3</v>
      </c>
      <c r="E584" s="993">
        <v>14800</v>
      </c>
      <c r="F584" s="1011">
        <f>+C584*E584</f>
        <v>74000</v>
      </c>
      <c r="G584" s="843"/>
      <c r="H584" s="843"/>
      <c r="I584" s="844"/>
      <c r="J584" s="844"/>
    </row>
    <row r="585" spans="1:10" s="656" customFormat="1" ht="12.75" customHeight="1">
      <c r="A585" s="995">
        <v>2.23</v>
      </c>
      <c r="B585" s="1008" t="s">
        <v>951</v>
      </c>
      <c r="C585" s="1004">
        <v>5</v>
      </c>
      <c r="D585" s="994" t="s">
        <v>3</v>
      </c>
      <c r="E585" s="993">
        <v>7500</v>
      </c>
      <c r="F585" s="1011">
        <f>+C585*E585</f>
        <v>37500</v>
      </c>
      <c r="G585" s="843"/>
      <c r="H585" s="843"/>
      <c r="I585" s="844"/>
      <c r="J585" s="844"/>
    </row>
    <row r="586" spans="1:10" s="656" customFormat="1" ht="12.75" customHeight="1">
      <c r="A586" s="999">
        <v>2.2400000000000002</v>
      </c>
      <c r="B586" s="1008" t="s">
        <v>952</v>
      </c>
      <c r="C586" s="1004">
        <v>3</v>
      </c>
      <c r="D586" s="994" t="s">
        <v>3</v>
      </c>
      <c r="E586" s="993">
        <v>7850</v>
      </c>
      <c r="F586" s="1011">
        <f>+C586*E586</f>
        <v>23550</v>
      </c>
      <c r="G586" s="843"/>
      <c r="H586" s="843"/>
      <c r="I586" s="844"/>
      <c r="J586" s="844"/>
    </row>
    <row r="587" spans="1:10" s="656" customFormat="1" ht="12.75" customHeight="1">
      <c r="A587" s="995">
        <v>2.25</v>
      </c>
      <c r="B587" s="1008" t="s">
        <v>926</v>
      </c>
      <c r="C587" s="1009">
        <v>5</v>
      </c>
      <c r="D587" s="1010" t="s">
        <v>3</v>
      </c>
      <c r="E587" s="1011">
        <v>2500</v>
      </c>
      <c r="F587" s="1011">
        <f>+C587*E587</f>
        <v>12500</v>
      </c>
      <c r="G587" s="843"/>
      <c r="H587" s="843"/>
      <c r="I587" s="844"/>
      <c r="J587" s="844"/>
    </row>
    <row r="588" spans="1:10" s="656" customFormat="1" ht="12.75" customHeight="1">
      <c r="A588" s="999">
        <v>2.2599999999999998</v>
      </c>
      <c r="B588" s="1008" t="s">
        <v>953</v>
      </c>
      <c r="C588" s="1009">
        <v>5</v>
      </c>
      <c r="D588" s="1010" t="s">
        <v>3</v>
      </c>
      <c r="E588" s="1011">
        <v>1200</v>
      </c>
      <c r="F588" s="1011">
        <f>+C588*E588</f>
        <v>6000</v>
      </c>
      <c r="G588" s="843"/>
      <c r="H588" s="843"/>
      <c r="I588" s="844"/>
      <c r="J588" s="844"/>
    </row>
    <row r="589" spans="1:10" s="656" customFormat="1" ht="12.75" customHeight="1">
      <c r="A589" s="995">
        <v>2.27</v>
      </c>
      <c r="B589" s="996" t="s">
        <v>1223</v>
      </c>
      <c r="C589" s="1004">
        <v>1</v>
      </c>
      <c r="D589" s="994" t="s">
        <v>3</v>
      </c>
      <c r="E589" s="993">
        <v>500</v>
      </c>
      <c r="F589" s="1011">
        <f>ROUND(C589*E589,2)</f>
        <v>500</v>
      </c>
      <c r="G589" s="843"/>
      <c r="H589" s="843"/>
      <c r="I589" s="844"/>
      <c r="J589" s="844"/>
    </row>
    <row r="590" spans="1:10" s="656" customFormat="1" ht="12.75" customHeight="1">
      <c r="A590" s="999">
        <v>2.2799999999999998</v>
      </c>
      <c r="B590" s="996" t="s">
        <v>1224</v>
      </c>
      <c r="C590" s="1004">
        <v>2</v>
      </c>
      <c r="D590" s="994" t="s">
        <v>3</v>
      </c>
      <c r="E590" s="993">
        <v>200</v>
      </c>
      <c r="F590" s="1011">
        <f>ROUND(C590*E590,2)</f>
        <v>400</v>
      </c>
      <c r="G590" s="843"/>
      <c r="H590" s="843"/>
      <c r="I590" s="844"/>
      <c r="J590" s="844"/>
    </row>
    <row r="591" spans="1:10" s="656" customFormat="1" ht="12.75" customHeight="1">
      <c r="A591" s="995">
        <v>2.29</v>
      </c>
      <c r="B591" s="996" t="s">
        <v>955</v>
      </c>
      <c r="C591" s="1004">
        <v>1</v>
      </c>
      <c r="D591" s="994" t="s">
        <v>42</v>
      </c>
      <c r="E591" s="993">
        <v>65000</v>
      </c>
      <c r="F591" s="1011">
        <f>ROUND(C591*E591,2)</f>
        <v>65000</v>
      </c>
      <c r="G591" s="843"/>
      <c r="H591" s="843"/>
      <c r="I591" s="844"/>
      <c r="J591" s="844"/>
    </row>
    <row r="592" spans="1:10" s="656" customFormat="1" ht="12.75" customHeight="1">
      <c r="A592" s="995"/>
      <c r="B592" s="996"/>
      <c r="C592" s="1004"/>
      <c r="D592" s="994"/>
      <c r="E592" s="993"/>
      <c r="F592" s="1011"/>
      <c r="G592" s="843"/>
      <c r="H592" s="843"/>
      <c r="I592" s="844"/>
      <c r="J592" s="844"/>
    </row>
    <row r="593" spans="1:10" s="656" customFormat="1" ht="12.75" customHeight="1">
      <c r="A593" s="1012">
        <v>3</v>
      </c>
      <c r="B593" s="991" t="s">
        <v>956</v>
      </c>
      <c r="C593" s="1013"/>
      <c r="D593" s="1001"/>
      <c r="E593" s="993"/>
      <c r="F593" s="1011">
        <f t="shared" ref="F593:F607" si="11">+C593*E593</f>
        <v>0</v>
      </c>
      <c r="G593" s="843"/>
      <c r="H593" s="843"/>
      <c r="I593" s="844"/>
      <c r="J593" s="844"/>
    </row>
    <row r="594" spans="1:10" s="656" customFormat="1" ht="38.25" customHeight="1">
      <c r="A594" s="1014">
        <v>3.1</v>
      </c>
      <c r="B594" s="998" t="s">
        <v>957</v>
      </c>
      <c r="C594" s="1004">
        <v>1</v>
      </c>
      <c r="D594" s="994" t="s">
        <v>61</v>
      </c>
      <c r="E594" s="993">
        <v>294840</v>
      </c>
      <c r="F594" s="1011">
        <f t="shared" si="11"/>
        <v>294840</v>
      </c>
      <c r="G594" s="843"/>
      <c r="H594" s="843"/>
      <c r="I594" s="844"/>
      <c r="J594" s="844"/>
    </row>
    <row r="595" spans="1:10" s="656" customFormat="1" ht="12.75" customHeight="1">
      <c r="A595" s="1014">
        <v>3.2</v>
      </c>
      <c r="B595" s="996" t="s">
        <v>958</v>
      </c>
      <c r="C595" s="1004">
        <v>1</v>
      </c>
      <c r="D595" s="994" t="s">
        <v>61</v>
      </c>
      <c r="E595" s="993">
        <v>40000</v>
      </c>
      <c r="F595" s="1011">
        <f t="shared" si="11"/>
        <v>40000</v>
      </c>
      <c r="G595" s="843"/>
      <c r="H595" s="843"/>
      <c r="I595" s="844"/>
      <c r="J595" s="844"/>
    </row>
    <row r="596" spans="1:10" s="656" customFormat="1" ht="25.5" customHeight="1">
      <c r="A596" s="1014">
        <v>3.3</v>
      </c>
      <c r="B596" s="998" t="s">
        <v>959</v>
      </c>
      <c r="C596" s="1004">
        <v>1</v>
      </c>
      <c r="D596" s="994" t="s">
        <v>3</v>
      </c>
      <c r="E596" s="993">
        <v>54300</v>
      </c>
      <c r="F596" s="1011">
        <f t="shared" si="11"/>
        <v>54300</v>
      </c>
      <c r="G596" s="843"/>
      <c r="H596" s="843"/>
      <c r="I596" s="844"/>
      <c r="J596" s="844"/>
    </row>
    <row r="597" spans="1:10" s="656" customFormat="1" ht="12.75" customHeight="1">
      <c r="A597" s="1014">
        <v>3.4</v>
      </c>
      <c r="B597" s="996" t="s">
        <v>960</v>
      </c>
      <c r="C597" s="1004">
        <v>1</v>
      </c>
      <c r="D597" s="994" t="s">
        <v>3</v>
      </c>
      <c r="E597" s="993">
        <v>18000</v>
      </c>
      <c r="F597" s="1011">
        <f t="shared" si="11"/>
        <v>18000</v>
      </c>
      <c r="G597" s="843"/>
      <c r="H597" s="843"/>
      <c r="I597" s="844"/>
      <c r="J597" s="1376"/>
    </row>
    <row r="598" spans="1:10" s="656" customFormat="1" ht="12.75" customHeight="1">
      <c r="A598" s="1014">
        <v>3.5</v>
      </c>
      <c r="B598" s="996" t="s">
        <v>961</v>
      </c>
      <c r="C598" s="1004">
        <v>1</v>
      </c>
      <c r="D598" s="994" t="s">
        <v>3</v>
      </c>
      <c r="E598" s="993">
        <v>14000</v>
      </c>
      <c r="F598" s="1011">
        <f t="shared" si="11"/>
        <v>14000</v>
      </c>
      <c r="G598" s="843"/>
      <c r="H598" s="843"/>
      <c r="I598" s="844"/>
      <c r="J598" s="844"/>
    </row>
    <row r="599" spans="1:10" s="656" customFormat="1" ht="12.75" customHeight="1">
      <c r="A599" s="1014">
        <v>3.6</v>
      </c>
      <c r="B599" s="996" t="s">
        <v>962</v>
      </c>
      <c r="C599" s="1004">
        <v>200</v>
      </c>
      <c r="D599" s="994" t="s">
        <v>800</v>
      </c>
      <c r="E599" s="993">
        <v>34.409999999999997</v>
      </c>
      <c r="F599" s="1011">
        <f t="shared" si="11"/>
        <v>6882</v>
      </c>
      <c r="G599" s="843"/>
      <c r="H599" s="843"/>
      <c r="I599" s="844"/>
      <c r="J599" s="844"/>
    </row>
    <row r="600" spans="1:10" s="656" customFormat="1" ht="12.75" customHeight="1">
      <c r="A600" s="1014">
        <v>3.7</v>
      </c>
      <c r="B600" s="996" t="s">
        <v>963</v>
      </c>
      <c r="C600" s="1004">
        <v>1</v>
      </c>
      <c r="D600" s="994" t="s">
        <v>3</v>
      </c>
      <c r="E600" s="993">
        <v>1232.6500000000001</v>
      </c>
      <c r="F600" s="1011">
        <f t="shared" si="11"/>
        <v>1232.6500000000001</v>
      </c>
      <c r="G600" s="843"/>
      <c r="H600" s="843"/>
      <c r="I600" s="844"/>
      <c r="J600" s="844"/>
    </row>
    <row r="601" spans="1:10" s="656" customFormat="1" ht="12.75" customHeight="1">
      <c r="A601" s="1014">
        <v>3.8</v>
      </c>
      <c r="B601" s="996" t="s">
        <v>964</v>
      </c>
      <c r="C601" s="1004">
        <v>1</v>
      </c>
      <c r="D601" s="994" t="s">
        <v>3</v>
      </c>
      <c r="E601" s="993">
        <v>137.38999999999999</v>
      </c>
      <c r="F601" s="1011">
        <f t="shared" si="11"/>
        <v>137.38999999999999</v>
      </c>
      <c r="G601" s="843"/>
      <c r="H601" s="843"/>
      <c r="I601" s="844"/>
      <c r="J601" s="844"/>
    </row>
    <row r="602" spans="1:10" s="656" customFormat="1" ht="12.75" customHeight="1">
      <c r="A602" s="1014">
        <v>3.9</v>
      </c>
      <c r="B602" s="996" t="s">
        <v>965</v>
      </c>
      <c r="C602" s="1004">
        <v>4</v>
      </c>
      <c r="D602" s="994" t="s">
        <v>3</v>
      </c>
      <c r="E602" s="993">
        <v>45</v>
      </c>
      <c r="F602" s="1011">
        <f t="shared" si="11"/>
        <v>180</v>
      </c>
      <c r="G602" s="843"/>
      <c r="H602" s="843"/>
      <c r="I602" s="844"/>
      <c r="J602" s="844"/>
    </row>
    <row r="603" spans="1:10" s="656" customFormat="1" ht="12.75" customHeight="1">
      <c r="A603" s="1015">
        <v>3.1</v>
      </c>
      <c r="B603" s="996" t="s">
        <v>966</v>
      </c>
      <c r="C603" s="1004">
        <v>1</v>
      </c>
      <c r="D603" s="994" t="s">
        <v>3</v>
      </c>
      <c r="E603" s="993">
        <v>4000</v>
      </c>
      <c r="F603" s="1011">
        <f t="shared" si="11"/>
        <v>4000</v>
      </c>
      <c r="G603" s="843"/>
      <c r="H603" s="843"/>
      <c r="I603" s="844"/>
      <c r="J603" s="844"/>
    </row>
    <row r="604" spans="1:10" s="656" customFormat="1" ht="12.75" customHeight="1">
      <c r="A604" s="1015">
        <v>3.11</v>
      </c>
      <c r="B604" s="996" t="s">
        <v>967</v>
      </c>
      <c r="C604" s="1004">
        <v>1</v>
      </c>
      <c r="D604" s="994" t="s">
        <v>3</v>
      </c>
      <c r="E604" s="993">
        <v>12800</v>
      </c>
      <c r="F604" s="1011">
        <f t="shared" si="11"/>
        <v>12800</v>
      </c>
      <c r="G604" s="843"/>
      <c r="H604" s="843"/>
      <c r="I604" s="844"/>
      <c r="J604" s="844"/>
    </row>
    <row r="605" spans="1:10" s="656" customFormat="1" ht="12.75" customHeight="1">
      <c r="A605" s="1015">
        <v>3.12</v>
      </c>
      <c r="B605" s="996" t="s">
        <v>954</v>
      </c>
      <c r="C605" s="1004">
        <v>1</v>
      </c>
      <c r="D605" s="994" t="s">
        <v>3</v>
      </c>
      <c r="E605" s="993">
        <v>500</v>
      </c>
      <c r="F605" s="1011">
        <f t="shared" si="11"/>
        <v>500</v>
      </c>
      <c r="G605" s="843"/>
      <c r="H605" s="843"/>
      <c r="I605" s="844"/>
      <c r="J605" s="844"/>
    </row>
    <row r="606" spans="1:10" s="656" customFormat="1" ht="12.75" customHeight="1">
      <c r="A606" s="1015">
        <v>3.13</v>
      </c>
      <c r="B606" s="996" t="s">
        <v>968</v>
      </c>
      <c r="C606" s="1004">
        <v>1</v>
      </c>
      <c r="D606" s="994" t="s">
        <v>3</v>
      </c>
      <c r="E606" s="993">
        <v>200</v>
      </c>
      <c r="F606" s="1011">
        <f t="shared" si="11"/>
        <v>200</v>
      </c>
      <c r="G606" s="843"/>
      <c r="H606" s="843"/>
      <c r="I606" s="844"/>
      <c r="J606" s="844"/>
    </row>
    <row r="607" spans="1:10" s="656" customFormat="1" ht="25.5" customHeight="1">
      <c r="A607" s="1015">
        <v>3.14</v>
      </c>
      <c r="B607" s="998" t="s">
        <v>969</v>
      </c>
      <c r="C607" s="1004">
        <v>1</v>
      </c>
      <c r="D607" s="994" t="s">
        <v>970</v>
      </c>
      <c r="E607" s="993">
        <v>450000</v>
      </c>
      <c r="F607" s="1011">
        <f t="shared" si="11"/>
        <v>450000</v>
      </c>
      <c r="G607" s="843"/>
      <c r="H607" s="843"/>
      <c r="I607" s="844"/>
      <c r="J607" s="844"/>
    </row>
    <row r="608" spans="1:10" s="656" customFormat="1" ht="18" customHeight="1">
      <c r="A608" s="845"/>
      <c r="B608" s="846" t="s">
        <v>971</v>
      </c>
      <c r="C608" s="847">
        <v>0</v>
      </c>
      <c r="D608" s="848"/>
      <c r="E608" s="849"/>
      <c r="F608" s="1347" t="e">
        <f>SUM(F63:F607)</f>
        <v>#REF!</v>
      </c>
      <c r="G608" s="850"/>
      <c r="H608" s="850"/>
      <c r="I608" s="850"/>
      <c r="J608" s="850"/>
    </row>
    <row r="609" spans="1:10" s="656" customFormat="1">
      <c r="A609" s="807"/>
      <c r="B609" s="808"/>
      <c r="C609" s="809"/>
      <c r="D609" s="810"/>
      <c r="E609" s="811"/>
      <c r="F609" s="1348"/>
      <c r="G609" s="812"/>
      <c r="H609" s="812"/>
      <c r="I609" s="812"/>
      <c r="J609" s="812"/>
    </row>
    <row r="610" spans="1:10" s="656" customFormat="1" ht="45" customHeight="1">
      <c r="A610" s="807" t="s">
        <v>10</v>
      </c>
      <c r="B610" s="851" t="s">
        <v>1009</v>
      </c>
      <c r="C610" s="809"/>
      <c r="D610" s="810"/>
      <c r="E610" s="811"/>
      <c r="F610" s="1348"/>
      <c r="G610" s="812"/>
      <c r="H610" s="812"/>
      <c r="I610" s="812"/>
      <c r="J610" s="812"/>
    </row>
    <row r="611" spans="1:10" s="656" customFormat="1">
      <c r="A611" s="807"/>
      <c r="B611" s="808"/>
      <c r="C611" s="1029"/>
      <c r="D611" s="810"/>
      <c r="E611" s="1032"/>
      <c r="F611" s="1348"/>
      <c r="G611" s="812"/>
      <c r="H611" s="812"/>
      <c r="I611" s="812"/>
      <c r="J611" s="812"/>
    </row>
    <row r="612" spans="1:10" s="656" customFormat="1">
      <c r="A612" s="813" t="s">
        <v>548</v>
      </c>
      <c r="B612" s="745" t="s">
        <v>37</v>
      </c>
      <c r="C612" s="1030">
        <v>862</v>
      </c>
      <c r="D612" s="814" t="s">
        <v>1</v>
      </c>
      <c r="E612" s="1032">
        <v>15</v>
      </c>
      <c r="F612" s="1349">
        <f t="shared" ref="F612:F635" si="12">+ROUND((E612*C612),2)</f>
        <v>12930</v>
      </c>
      <c r="G612" s="812"/>
      <c r="H612" s="812"/>
      <c r="I612" s="812"/>
      <c r="J612" s="812"/>
    </row>
    <row r="613" spans="1:10" s="656" customFormat="1">
      <c r="A613" s="813"/>
      <c r="B613" s="816"/>
      <c r="C613" s="1030"/>
      <c r="D613" s="810"/>
      <c r="E613" s="1032"/>
      <c r="F613" s="1349">
        <f t="shared" si="12"/>
        <v>0</v>
      </c>
      <c r="G613" s="812"/>
      <c r="H613" s="812"/>
      <c r="I613" s="812"/>
      <c r="J613" s="812"/>
    </row>
    <row r="614" spans="1:10" s="656" customFormat="1">
      <c r="A614" s="817" t="s">
        <v>549</v>
      </c>
      <c r="B614" s="818" t="s">
        <v>38</v>
      </c>
      <c r="C614" s="1031"/>
      <c r="D614" s="810"/>
      <c r="E614" s="1032"/>
      <c r="F614" s="1349">
        <f t="shared" si="12"/>
        <v>0</v>
      </c>
      <c r="G614" s="812"/>
      <c r="H614" s="812"/>
      <c r="I614" s="812"/>
      <c r="J614" s="812"/>
    </row>
    <row r="615" spans="1:10" s="655" customFormat="1">
      <c r="A615" s="1204" t="s">
        <v>1182</v>
      </c>
      <c r="B615" s="1205" t="s">
        <v>1179</v>
      </c>
      <c r="C615" s="805">
        <f>+'MT-C'!I57</f>
        <v>615.38</v>
      </c>
      <c r="D615" s="1206" t="s">
        <v>2</v>
      </c>
      <c r="E615" s="1207">
        <v>154.53</v>
      </c>
      <c r="F615" s="1331">
        <f t="shared" ref="F615:F621" si="13">+ROUND(C615*E615,2)</f>
        <v>95094.67</v>
      </c>
      <c r="G615" s="1362"/>
      <c r="H615" s="1363"/>
      <c r="I615" s="1364"/>
    </row>
    <row r="616" spans="1:10" s="655" customFormat="1" ht="25.5">
      <c r="A616" s="1204" t="s">
        <v>1183</v>
      </c>
      <c r="B616" s="1205" t="s">
        <v>1180</v>
      </c>
      <c r="C616" s="805">
        <f>+'MT-C'!I56</f>
        <v>263.74</v>
      </c>
      <c r="D616" s="1206" t="s">
        <v>2</v>
      </c>
      <c r="E616" s="1207">
        <v>1125.8</v>
      </c>
      <c r="F616" s="1331">
        <f t="shared" si="13"/>
        <v>296918.49</v>
      </c>
      <c r="G616" s="1362"/>
      <c r="H616" s="1363"/>
      <c r="I616" s="1364"/>
    </row>
    <row r="617" spans="1:10" s="655" customFormat="1">
      <c r="A617" s="1204">
        <v>2.2000000000000002</v>
      </c>
      <c r="B617" s="1205" t="s">
        <v>1181</v>
      </c>
      <c r="C617" s="805">
        <f>+C612*0.85</f>
        <v>732.7</v>
      </c>
      <c r="D617" s="1206" t="s">
        <v>11</v>
      </c>
      <c r="E617" s="1207">
        <v>28.5</v>
      </c>
      <c r="F617" s="1331">
        <f t="shared" si="13"/>
        <v>20881.95</v>
      </c>
      <c r="G617" s="1362"/>
      <c r="H617" s="1363"/>
      <c r="I617" s="1364"/>
    </row>
    <row r="618" spans="1:10" s="655" customFormat="1">
      <c r="A618" s="1211">
        <v>2.2999999999999998</v>
      </c>
      <c r="B618" s="1212" t="s">
        <v>4</v>
      </c>
      <c r="C618" s="805">
        <f>+'MT-C'!I26</f>
        <v>87.91</v>
      </c>
      <c r="D618" s="1206" t="s">
        <v>2</v>
      </c>
      <c r="E618" s="1207">
        <v>1108.8900000000001</v>
      </c>
      <c r="F618" s="1333">
        <f t="shared" si="13"/>
        <v>97482.52</v>
      </c>
      <c r="G618" s="1362"/>
    </row>
    <row r="619" spans="1:10" s="655" customFormat="1" ht="27.75" customHeight="1">
      <c r="A619" s="1211">
        <v>2.4</v>
      </c>
      <c r="B619" s="1213" t="s">
        <v>1185</v>
      </c>
      <c r="C619" s="805">
        <f>+C616*1.25</f>
        <v>329.68</v>
      </c>
      <c r="D619" s="1206" t="s">
        <v>2</v>
      </c>
      <c r="E619" s="1207">
        <v>668.95</v>
      </c>
      <c r="F619" s="1333">
        <f t="shared" si="13"/>
        <v>220539.44</v>
      </c>
      <c r="G619" s="1362"/>
    </row>
    <row r="620" spans="1:10" s="1378" customFormat="1" ht="25.5">
      <c r="A620" s="1214">
        <v>2.5</v>
      </c>
      <c r="B620" s="1205" t="s">
        <v>1184</v>
      </c>
      <c r="C620" s="805">
        <f>+'MT-C'!I28</f>
        <v>743.96</v>
      </c>
      <c r="D620" s="1206" t="s">
        <v>2</v>
      </c>
      <c r="E620" s="1207">
        <v>183.5</v>
      </c>
      <c r="F620" s="1333">
        <f t="shared" si="13"/>
        <v>136516.66</v>
      </c>
      <c r="G620" s="1377"/>
    </row>
    <row r="621" spans="1:10" s="1378" customFormat="1">
      <c r="A621" s="1211">
        <v>2.6</v>
      </c>
      <c r="B621" s="1212" t="s">
        <v>35</v>
      </c>
      <c r="C621" s="805">
        <f>+C616*1.4+C618*1.25+'MT-C'!I30</f>
        <v>648.07000000000005</v>
      </c>
      <c r="D621" s="1206" t="s">
        <v>2</v>
      </c>
      <c r="E621" s="1207">
        <v>165</v>
      </c>
      <c r="F621" s="1333">
        <f t="shared" si="13"/>
        <v>106931.55</v>
      </c>
      <c r="G621" s="1377"/>
    </row>
    <row r="622" spans="1:10" s="656" customFormat="1">
      <c r="A622" s="813"/>
      <c r="B622" s="522"/>
      <c r="C622" s="1030"/>
      <c r="D622" s="814"/>
      <c r="E622" s="1032"/>
      <c r="F622" s="1349">
        <f t="shared" si="12"/>
        <v>0</v>
      </c>
      <c r="G622" s="812"/>
      <c r="H622" s="812"/>
      <c r="I622" s="812"/>
      <c r="J622" s="812"/>
    </row>
    <row r="623" spans="1:10" s="656" customFormat="1">
      <c r="A623" s="817" t="s">
        <v>552</v>
      </c>
      <c r="B623" s="818" t="s">
        <v>553</v>
      </c>
      <c r="C623" s="1030"/>
      <c r="D623" s="810"/>
      <c r="E623" s="1032"/>
      <c r="F623" s="1349">
        <f t="shared" si="12"/>
        <v>0</v>
      </c>
      <c r="G623" s="812"/>
      <c r="H623" s="812"/>
      <c r="I623" s="812"/>
      <c r="J623" s="812"/>
    </row>
    <row r="624" spans="1:10" s="217" customFormat="1" ht="25.5">
      <c r="A624" s="1033" t="s">
        <v>554</v>
      </c>
      <c r="B624" s="1028" t="s">
        <v>982</v>
      </c>
      <c r="C624" s="1034">
        <f>+C612*1.02</f>
        <v>879.24</v>
      </c>
      <c r="D624" s="814" t="s">
        <v>1</v>
      </c>
      <c r="E624" s="1035">
        <v>526.78</v>
      </c>
      <c r="F624" s="1350">
        <f t="shared" si="12"/>
        <v>463166.05</v>
      </c>
      <c r="G624" s="1377"/>
      <c r="H624" s="1036"/>
      <c r="I624" s="1036"/>
      <c r="J624" s="1036"/>
    </row>
    <row r="625" spans="1:10" s="656" customFormat="1">
      <c r="A625" s="813"/>
      <c r="B625" s="816"/>
      <c r="C625" s="1030"/>
      <c r="D625" s="810"/>
      <c r="E625" s="1032"/>
      <c r="F625" s="1349">
        <f t="shared" si="12"/>
        <v>0</v>
      </c>
      <c r="G625" s="812"/>
      <c r="H625" s="812"/>
      <c r="I625" s="812"/>
      <c r="J625" s="812"/>
    </row>
    <row r="626" spans="1:10" s="656" customFormat="1">
      <c r="A626" s="817" t="s">
        <v>555</v>
      </c>
      <c r="B626" s="819" t="s">
        <v>556</v>
      </c>
      <c r="C626" s="1030"/>
      <c r="D626" s="810"/>
      <c r="E626" s="1032"/>
      <c r="F626" s="1349">
        <f t="shared" si="12"/>
        <v>0</v>
      </c>
      <c r="G626" s="812"/>
      <c r="H626" s="812"/>
      <c r="I626" s="812"/>
      <c r="J626" s="812"/>
    </row>
    <row r="627" spans="1:10" s="656" customFormat="1" ht="25.5">
      <c r="A627" s="813" t="s">
        <v>557</v>
      </c>
      <c r="B627" s="1028" t="s">
        <v>982</v>
      </c>
      <c r="C627" s="1030">
        <f>+C624</f>
        <v>879.24</v>
      </c>
      <c r="D627" s="727" t="s">
        <v>1</v>
      </c>
      <c r="E627" s="1032">
        <v>18.399999999999999</v>
      </c>
      <c r="F627" s="1349">
        <f t="shared" si="12"/>
        <v>16178.02</v>
      </c>
      <c r="G627" s="1377"/>
      <c r="H627" s="812"/>
      <c r="I627" s="812"/>
      <c r="J627" s="812"/>
    </row>
    <row r="628" spans="1:10" s="656" customFormat="1">
      <c r="A628" s="813"/>
      <c r="B628" s="816"/>
      <c r="C628" s="1030"/>
      <c r="D628" s="810"/>
      <c r="E628" s="1032"/>
      <c r="F628" s="1349">
        <f t="shared" si="12"/>
        <v>0</v>
      </c>
      <c r="G628" s="812"/>
      <c r="H628" s="812"/>
      <c r="I628" s="812"/>
      <c r="J628" s="812"/>
    </row>
    <row r="629" spans="1:10" s="656" customFormat="1">
      <c r="A629" s="817" t="s">
        <v>558</v>
      </c>
      <c r="B629" s="818" t="s">
        <v>559</v>
      </c>
      <c r="C629" s="1030"/>
      <c r="D629" s="1038"/>
      <c r="E629" s="1032"/>
      <c r="F629" s="1351"/>
      <c r="G629" s="812"/>
      <c r="H629" s="812"/>
      <c r="I629" s="812"/>
      <c r="J629" s="812"/>
    </row>
    <row r="630" spans="1:10" s="656" customFormat="1" ht="25.5">
      <c r="A630" s="813" t="s">
        <v>560</v>
      </c>
      <c r="B630" s="1217" t="s">
        <v>1199</v>
      </c>
      <c r="C630" s="1030">
        <v>3</v>
      </c>
      <c r="D630" s="810" t="s">
        <v>3</v>
      </c>
      <c r="E630" s="1032">
        <v>2119.35</v>
      </c>
      <c r="F630" s="1349">
        <f t="shared" si="12"/>
        <v>6358.05</v>
      </c>
      <c r="G630" s="1377"/>
      <c r="H630" s="812"/>
      <c r="I630" s="812"/>
      <c r="J630" s="812"/>
    </row>
    <row r="631" spans="1:10" s="656" customFormat="1" ht="25.5">
      <c r="A631" s="813" t="s">
        <v>561</v>
      </c>
      <c r="B631" s="1217" t="s">
        <v>1200</v>
      </c>
      <c r="C631" s="1030">
        <v>3</v>
      </c>
      <c r="D631" s="810" t="s">
        <v>3</v>
      </c>
      <c r="E631" s="1032">
        <v>2443.85</v>
      </c>
      <c r="F631" s="1349">
        <f t="shared" si="12"/>
        <v>7331.55</v>
      </c>
      <c r="G631" s="1377"/>
      <c r="H631" s="812"/>
      <c r="I631" s="812"/>
      <c r="J631" s="812"/>
    </row>
    <row r="632" spans="1:10" s="656" customFormat="1">
      <c r="A632" s="813" t="s">
        <v>562</v>
      </c>
      <c r="B632" s="816" t="s">
        <v>1201</v>
      </c>
      <c r="C632" s="1030">
        <f>6*2</f>
        <v>12</v>
      </c>
      <c r="D632" s="1038" t="s">
        <v>3</v>
      </c>
      <c r="E632" s="1032">
        <v>1566.25</v>
      </c>
      <c r="F632" s="1349">
        <f t="shared" si="12"/>
        <v>18795</v>
      </c>
      <c r="G632" s="1377"/>
      <c r="H632" s="812"/>
      <c r="I632" s="812"/>
      <c r="J632" s="812"/>
    </row>
    <row r="633" spans="1:10" s="656" customFormat="1">
      <c r="A633" s="1241" t="s">
        <v>563</v>
      </c>
      <c r="B633" s="1305" t="s">
        <v>564</v>
      </c>
      <c r="C633" s="1030">
        <v>6</v>
      </c>
      <c r="D633" s="1038" t="s">
        <v>3</v>
      </c>
      <c r="E633" s="1032">
        <f>0.1*5709.524</f>
        <v>570.95000000000005</v>
      </c>
      <c r="F633" s="1351">
        <f t="shared" si="12"/>
        <v>3425.7</v>
      </c>
      <c r="G633" s="1377"/>
      <c r="H633" s="812"/>
      <c r="I633" s="812"/>
      <c r="J633" s="812"/>
    </row>
    <row r="634" spans="1:10" s="656" customFormat="1">
      <c r="A634" s="813"/>
      <c r="B634" s="816"/>
      <c r="C634" s="1030"/>
      <c r="D634" s="1038"/>
      <c r="E634" s="1032"/>
      <c r="F634" s="1349">
        <f t="shared" si="12"/>
        <v>0</v>
      </c>
      <c r="G634" s="1377"/>
      <c r="H634" s="812"/>
      <c r="I634" s="812"/>
      <c r="J634" s="812"/>
    </row>
    <row r="635" spans="1:10" s="656" customFormat="1">
      <c r="A635" s="817" t="s">
        <v>565</v>
      </c>
      <c r="B635" s="818" t="s">
        <v>566</v>
      </c>
      <c r="C635" s="1030"/>
      <c r="D635" s="1038"/>
      <c r="E635" s="1032"/>
      <c r="F635" s="1349">
        <f t="shared" si="12"/>
        <v>0</v>
      </c>
      <c r="G635" s="1377"/>
      <c r="H635" s="812"/>
      <c r="I635" s="812"/>
      <c r="J635" s="812"/>
    </row>
    <row r="636" spans="1:10" s="655" customFormat="1">
      <c r="A636" s="1238">
        <v>7.1</v>
      </c>
      <c r="B636" s="1217" t="s">
        <v>1198</v>
      </c>
      <c r="C636" s="804">
        <v>1</v>
      </c>
      <c r="D636" s="1049" t="s">
        <v>3</v>
      </c>
      <c r="E636" s="1039">
        <v>38964.559999999998</v>
      </c>
      <c r="F636" s="1339">
        <f t="shared" ref="F636:F642" si="14">+ROUND(C636*E636,2)</f>
        <v>38964.559999999998</v>
      </c>
      <c r="G636" s="1377"/>
    </row>
    <row r="637" spans="1:10" s="655" customFormat="1">
      <c r="A637" s="1238">
        <v>7.2</v>
      </c>
      <c r="B637" s="1217" t="s">
        <v>1197</v>
      </c>
      <c r="C637" s="804">
        <v>6</v>
      </c>
      <c r="D637" s="1049" t="s">
        <v>3</v>
      </c>
      <c r="E637" s="804">
        <f>+E46</f>
        <v>14652.98</v>
      </c>
      <c r="F637" s="1339">
        <f t="shared" si="14"/>
        <v>87917.88</v>
      </c>
      <c r="G637" s="1377"/>
    </row>
    <row r="638" spans="1:10" s="655" customFormat="1">
      <c r="A638" s="1238">
        <v>7.3</v>
      </c>
      <c r="B638" s="1217" t="s">
        <v>1202</v>
      </c>
      <c r="C638" s="804">
        <v>2</v>
      </c>
      <c r="D638" s="1049" t="s">
        <v>3</v>
      </c>
      <c r="E638" s="1039">
        <v>40718.379999999997</v>
      </c>
      <c r="F638" s="1339">
        <f t="shared" si="14"/>
        <v>81436.759999999995</v>
      </c>
      <c r="G638" s="1377"/>
    </row>
    <row r="639" spans="1:10" s="655" customFormat="1" ht="14.25" customHeight="1">
      <c r="A639" s="1303">
        <v>7.4</v>
      </c>
      <c r="B639" s="1304" t="s">
        <v>414</v>
      </c>
      <c r="C639" s="804">
        <v>2</v>
      </c>
      <c r="D639" s="1049" t="s">
        <v>3</v>
      </c>
      <c r="E639" s="1039">
        <v>3500</v>
      </c>
      <c r="F639" s="1339">
        <f t="shared" si="14"/>
        <v>7000</v>
      </c>
      <c r="G639" s="1377"/>
    </row>
    <row r="640" spans="1:10" s="655" customFormat="1">
      <c r="A640" s="721">
        <v>8</v>
      </c>
      <c r="B640" s="722" t="s">
        <v>59</v>
      </c>
      <c r="C640" s="855"/>
      <c r="D640" s="730"/>
      <c r="E640" s="1051"/>
      <c r="F640" s="1330">
        <f t="shared" si="14"/>
        <v>0</v>
      </c>
      <c r="G640" s="1377"/>
    </row>
    <row r="641" spans="1:10" s="1365" customFormat="1">
      <c r="A641" s="1054">
        <v>8.1</v>
      </c>
      <c r="B641" s="853" t="s">
        <v>1186</v>
      </c>
      <c r="C641" s="1055">
        <f>+C612</f>
        <v>862</v>
      </c>
      <c r="D641" s="713" t="s">
        <v>1</v>
      </c>
      <c r="E641" s="1056">
        <v>10.01</v>
      </c>
      <c r="F641" s="1332">
        <f t="shared" si="14"/>
        <v>8628.6200000000008</v>
      </c>
      <c r="G641" s="1377"/>
    </row>
    <row r="642" spans="1:10" s="1365" customFormat="1" ht="11.25" customHeight="1">
      <c r="A642" s="1057"/>
      <c r="B642" s="1052"/>
      <c r="C642" s="1055"/>
      <c r="D642" s="713"/>
      <c r="E642" s="1056"/>
      <c r="F642" s="1332">
        <f t="shared" si="14"/>
        <v>0</v>
      </c>
      <c r="G642" s="1377"/>
    </row>
    <row r="643" spans="1:10" s="1365" customFormat="1" ht="38.25">
      <c r="A643" s="1058">
        <v>9</v>
      </c>
      <c r="B643" s="1053" t="s">
        <v>520</v>
      </c>
      <c r="C643" s="1059">
        <f>+C612</f>
        <v>862</v>
      </c>
      <c r="D643" s="1220" t="s">
        <v>1</v>
      </c>
      <c r="E643" s="1059">
        <v>23.11</v>
      </c>
      <c r="F643" s="1340">
        <f>ROUND(C643*E643,2)</f>
        <v>19920.82</v>
      </c>
      <c r="G643" s="1377"/>
      <c r="J643" s="1366"/>
    </row>
    <row r="644" spans="1:10" s="1365" customFormat="1" ht="12.75" customHeight="1">
      <c r="A644" s="1060"/>
      <c r="B644" s="1052"/>
      <c r="C644" s="1061"/>
      <c r="D644" s="1220"/>
      <c r="E644" s="1061"/>
      <c r="F644" s="1340"/>
      <c r="G644" s="1377"/>
    </row>
    <row r="645" spans="1:10" s="1365" customFormat="1" ht="12.75" customHeight="1">
      <c r="A645" s="1060">
        <v>10</v>
      </c>
      <c r="B645" s="1052" t="s">
        <v>462</v>
      </c>
      <c r="C645" s="1061">
        <f>+C643</f>
        <v>862</v>
      </c>
      <c r="D645" s="1220" t="s">
        <v>1</v>
      </c>
      <c r="E645" s="1061">
        <v>15</v>
      </c>
      <c r="F645" s="1340">
        <f>ROUND(C645*E645,2)</f>
        <v>12930</v>
      </c>
      <c r="G645" s="1377"/>
      <c r="J645" s="1366"/>
    </row>
    <row r="646" spans="1:10" s="656" customFormat="1">
      <c r="A646" s="820"/>
      <c r="B646" s="821" t="s">
        <v>972</v>
      </c>
      <c r="C646" s="822"/>
      <c r="D646" s="822"/>
      <c r="E646" s="823"/>
      <c r="F646" s="1352">
        <f>SUM(F612:F639)</f>
        <v>1717868.85</v>
      </c>
      <c r="G646" s="824"/>
      <c r="H646" s="824"/>
      <c r="I646" s="824"/>
      <c r="J646" s="824"/>
    </row>
    <row r="647" spans="1:10" s="656" customFormat="1">
      <c r="A647" s="813"/>
      <c r="B647" s="816"/>
      <c r="C647" s="810"/>
      <c r="D647" s="810"/>
      <c r="E647" s="811"/>
      <c r="F647" s="1353"/>
      <c r="G647" s="812"/>
      <c r="H647" s="812"/>
      <c r="I647" s="812"/>
      <c r="J647" s="812"/>
    </row>
    <row r="648" spans="1:10" s="1256" customFormat="1">
      <c r="A648" s="1249" t="s">
        <v>975</v>
      </c>
      <c r="B648" s="1250" t="s">
        <v>1212</v>
      </c>
      <c r="C648" s="1251"/>
      <c r="D648" s="1252"/>
      <c r="E648" s="1253"/>
      <c r="F648" s="1254"/>
      <c r="G648" s="1266"/>
      <c r="H648" s="1255"/>
      <c r="I648" s="1255"/>
    </row>
    <row r="649" spans="1:10" s="1256" customFormat="1">
      <c r="A649" s="1257"/>
      <c r="B649" s="1258"/>
      <c r="C649" s="1251"/>
      <c r="D649" s="1252"/>
      <c r="E649" s="1253"/>
      <c r="F649" s="1254"/>
      <c r="G649" s="1266"/>
      <c r="H649" s="1255"/>
      <c r="I649" s="1255"/>
    </row>
    <row r="650" spans="1:10" s="655" customFormat="1">
      <c r="A650" s="1421">
        <v>1</v>
      </c>
      <c r="B650" s="1422" t="s">
        <v>1251</v>
      </c>
      <c r="C650" s="1416"/>
      <c r="D650" s="1417"/>
      <c r="E650" s="1418"/>
      <c r="F650" s="1417"/>
      <c r="G650" s="1419"/>
      <c r="H650" s="1363"/>
      <c r="I650" s="1364"/>
    </row>
    <row r="651" spans="1:10" s="1256" customFormat="1">
      <c r="A651" s="1423">
        <v>1.1000000000000001</v>
      </c>
      <c r="B651" s="1424" t="s">
        <v>37</v>
      </c>
      <c r="C651" s="1425">
        <v>1</v>
      </c>
      <c r="D651" s="1426" t="s">
        <v>1100</v>
      </c>
      <c r="E651" s="1425">
        <v>3500</v>
      </c>
      <c r="F651" s="1427">
        <f t="shared" ref="F651:F680" si="15">ROUND((C651*E651),2)</f>
        <v>3500</v>
      </c>
      <c r="G651" s="1419"/>
      <c r="H651" s="1255"/>
      <c r="I651" s="1255"/>
    </row>
    <row r="652" spans="1:10" s="1256" customFormat="1">
      <c r="A652" s="1428"/>
      <c r="B652" s="1424"/>
      <c r="C652" s="1425"/>
      <c r="D652" s="1426"/>
      <c r="E652" s="1425"/>
      <c r="F652" s="1427"/>
      <c r="G652" s="1419"/>
      <c r="H652" s="1255"/>
      <c r="I652" s="1255"/>
    </row>
    <row r="653" spans="1:10" s="1256" customFormat="1">
      <c r="A653" s="1421">
        <v>2</v>
      </c>
      <c r="B653" s="1422" t="s">
        <v>38</v>
      </c>
      <c r="C653" s="1425"/>
      <c r="D653" s="1426"/>
      <c r="E653" s="1425"/>
      <c r="F653" s="1427"/>
      <c r="G653" s="1419"/>
      <c r="H653" s="1255"/>
      <c r="I653" s="1255"/>
    </row>
    <row r="654" spans="1:10" s="1256" customFormat="1">
      <c r="A654" s="1429">
        <v>2.1</v>
      </c>
      <c r="B654" s="1430" t="s">
        <v>1252</v>
      </c>
      <c r="C654" s="1431">
        <v>167.91</v>
      </c>
      <c r="D654" s="1432" t="s">
        <v>2</v>
      </c>
      <c r="E654" s="1431">
        <v>154.5</v>
      </c>
      <c r="F654" s="1433">
        <f t="shared" si="15"/>
        <v>25942.1</v>
      </c>
      <c r="G654" s="1419"/>
      <c r="H654" s="1255"/>
      <c r="I654" s="1255"/>
    </row>
    <row r="655" spans="1:10" s="1256" customFormat="1" ht="25.5">
      <c r="A655" s="1429">
        <v>2.2000000000000002</v>
      </c>
      <c r="B655" s="1430" t="s">
        <v>1253</v>
      </c>
      <c r="C655" s="1431">
        <v>24.77</v>
      </c>
      <c r="D655" s="1432" t="s">
        <v>2</v>
      </c>
      <c r="E655" s="1431">
        <v>183.68</v>
      </c>
      <c r="F655" s="1433">
        <f t="shared" si="15"/>
        <v>4549.75</v>
      </c>
      <c r="G655" s="1434"/>
      <c r="H655" s="1265"/>
      <c r="I655" s="1255"/>
    </row>
    <row r="656" spans="1:10" s="1256" customFormat="1">
      <c r="A656" s="1423">
        <v>2.2999999999999998</v>
      </c>
      <c r="B656" s="1424" t="s">
        <v>1254</v>
      </c>
      <c r="C656" s="1425">
        <v>178.92</v>
      </c>
      <c r="D656" s="1426" t="s">
        <v>2</v>
      </c>
      <c r="E656" s="1425">
        <v>165</v>
      </c>
      <c r="F656" s="1427">
        <f t="shared" si="15"/>
        <v>29521.8</v>
      </c>
      <c r="G656" s="1419"/>
      <c r="H656" s="1265"/>
      <c r="I656" s="1265"/>
    </row>
    <row r="657" spans="1:9" s="1256" customFormat="1">
      <c r="A657" s="1435"/>
      <c r="B657" s="1436"/>
      <c r="C657" s="1437">
        <v>0</v>
      </c>
      <c r="D657" s="1438"/>
      <c r="E657" s="1437"/>
      <c r="F657" s="1439">
        <f t="shared" si="15"/>
        <v>0</v>
      </c>
      <c r="G657" s="1419"/>
      <c r="H657" s="1265"/>
      <c r="I657" s="1255"/>
    </row>
    <row r="658" spans="1:9" s="1256" customFormat="1">
      <c r="A658" s="1421">
        <v>3</v>
      </c>
      <c r="B658" s="1422" t="s">
        <v>1255</v>
      </c>
      <c r="C658" s="1425">
        <v>0</v>
      </c>
      <c r="D658" s="1426"/>
      <c r="E658" s="1425"/>
      <c r="F658" s="1427">
        <f t="shared" si="15"/>
        <v>0</v>
      </c>
      <c r="G658" s="1419"/>
      <c r="H658" s="1265"/>
    </row>
    <row r="659" spans="1:9" s="1256" customFormat="1">
      <c r="A659" s="1429">
        <v>3.1</v>
      </c>
      <c r="B659" s="1430" t="s">
        <v>1256</v>
      </c>
      <c r="C659" s="1431">
        <v>6.53</v>
      </c>
      <c r="D659" s="1432" t="s">
        <v>2</v>
      </c>
      <c r="E659" s="1431">
        <v>10345.34</v>
      </c>
      <c r="F659" s="1433">
        <f t="shared" si="15"/>
        <v>67555.070000000007</v>
      </c>
      <c r="G659" s="1440"/>
      <c r="H659" s="1265"/>
      <c r="I659" s="1255"/>
    </row>
    <row r="660" spans="1:9" s="1256" customFormat="1">
      <c r="A660" s="1429">
        <v>3.2</v>
      </c>
      <c r="B660" s="1441" t="s">
        <v>1257</v>
      </c>
      <c r="C660" s="1431">
        <v>0.64</v>
      </c>
      <c r="D660" s="1432" t="s">
        <v>2</v>
      </c>
      <c r="E660" s="1431">
        <v>12624.54</v>
      </c>
      <c r="F660" s="1433">
        <f t="shared" si="15"/>
        <v>8079.71</v>
      </c>
      <c r="G660" s="1440"/>
      <c r="H660" s="1265"/>
      <c r="I660" s="1255"/>
    </row>
    <row r="661" spans="1:9" s="1256" customFormat="1">
      <c r="A661" s="1423">
        <v>3.3</v>
      </c>
      <c r="B661" s="1424" t="s">
        <v>1258</v>
      </c>
      <c r="C661" s="1425">
        <v>4.9400000000000004</v>
      </c>
      <c r="D661" s="1426" t="s">
        <v>2</v>
      </c>
      <c r="E661" s="1425">
        <v>12429.04</v>
      </c>
      <c r="F661" s="1427">
        <f t="shared" si="15"/>
        <v>61399.46</v>
      </c>
      <c r="G661" s="1440"/>
      <c r="H661" s="1265"/>
      <c r="I661" s="1255"/>
    </row>
    <row r="662" spans="1:9" s="1256" customFormat="1">
      <c r="A662" s="1423">
        <v>3.4</v>
      </c>
      <c r="B662" s="1424" t="s">
        <v>1259</v>
      </c>
      <c r="C662" s="1425">
        <v>14.38</v>
      </c>
      <c r="D662" s="1426" t="s">
        <v>2</v>
      </c>
      <c r="E662" s="1425">
        <v>20688.89</v>
      </c>
      <c r="F662" s="1427">
        <f t="shared" si="15"/>
        <v>297506.24</v>
      </c>
      <c r="G662" s="1440"/>
      <c r="H662" s="1265"/>
      <c r="I662" s="1255"/>
    </row>
    <row r="663" spans="1:9" s="1256" customFormat="1">
      <c r="A663" s="1423">
        <v>3.5</v>
      </c>
      <c r="B663" s="1424" t="s">
        <v>1260</v>
      </c>
      <c r="C663" s="1425">
        <v>1.1299999999999999</v>
      </c>
      <c r="D663" s="1426" t="s">
        <v>2</v>
      </c>
      <c r="E663" s="1425">
        <v>30616.99</v>
      </c>
      <c r="F663" s="1427">
        <f t="shared" si="15"/>
        <v>34597.199999999997</v>
      </c>
      <c r="G663" s="1440"/>
      <c r="H663" s="1265"/>
      <c r="I663" s="1255"/>
    </row>
    <row r="664" spans="1:9" s="1256" customFormat="1">
      <c r="A664" s="1423">
        <v>3.6</v>
      </c>
      <c r="B664" s="1424" t="s">
        <v>1261</v>
      </c>
      <c r="C664" s="1425">
        <v>0.81</v>
      </c>
      <c r="D664" s="1426" t="s">
        <v>2</v>
      </c>
      <c r="E664" s="1425">
        <v>24819.09</v>
      </c>
      <c r="F664" s="1427">
        <f t="shared" si="15"/>
        <v>20103.46</v>
      </c>
      <c r="G664" s="1440"/>
      <c r="H664" s="1265"/>
      <c r="I664" s="1255"/>
    </row>
    <row r="665" spans="1:9" s="1256" customFormat="1">
      <c r="A665" s="1423">
        <v>3.7</v>
      </c>
      <c r="B665" s="1424" t="s">
        <v>1262</v>
      </c>
      <c r="C665" s="1425">
        <v>5.86</v>
      </c>
      <c r="D665" s="1426" t="s">
        <v>2</v>
      </c>
      <c r="E665" s="1425">
        <v>14610.39</v>
      </c>
      <c r="F665" s="1427">
        <f t="shared" si="15"/>
        <v>85616.89</v>
      </c>
      <c r="G665" s="1440"/>
      <c r="H665" s="1255"/>
      <c r="I665" s="1255"/>
    </row>
    <row r="666" spans="1:9" s="1256" customFormat="1">
      <c r="A666" s="1423">
        <v>3.8</v>
      </c>
      <c r="B666" s="1424" t="s">
        <v>1263</v>
      </c>
      <c r="C666" s="1462">
        <v>3.82</v>
      </c>
      <c r="D666" s="1426" t="s">
        <v>2</v>
      </c>
      <c r="E666" s="1425">
        <v>5321.72</v>
      </c>
      <c r="F666" s="1427">
        <f t="shared" si="15"/>
        <v>20328.97</v>
      </c>
      <c r="G666" s="1440"/>
      <c r="H666" s="1255"/>
      <c r="I666" s="1255"/>
    </row>
    <row r="667" spans="1:9" s="1256" customFormat="1">
      <c r="A667" s="1442"/>
      <c r="B667" s="1443"/>
      <c r="C667" s="1425"/>
      <c r="D667" s="1426"/>
      <c r="E667" s="1425"/>
      <c r="F667" s="1427"/>
      <c r="G667" s="1419"/>
      <c r="H667" s="1265"/>
      <c r="I667" s="1265"/>
    </row>
    <row r="668" spans="1:9" s="1256" customFormat="1">
      <c r="A668" s="1421">
        <v>4</v>
      </c>
      <c r="B668" s="1422" t="s">
        <v>787</v>
      </c>
      <c r="C668" s="1425"/>
      <c r="D668" s="1426"/>
      <c r="E668" s="1425"/>
      <c r="F668" s="1427"/>
      <c r="G668" s="1419"/>
      <c r="H668" s="1255"/>
      <c r="I668" s="1255"/>
    </row>
    <row r="669" spans="1:9" s="1256" customFormat="1">
      <c r="A669" s="1423">
        <v>4.0999999999999996</v>
      </c>
      <c r="B669" s="1424" t="s">
        <v>165</v>
      </c>
      <c r="C669" s="1425">
        <v>61.1</v>
      </c>
      <c r="D669" s="1426" t="s">
        <v>11</v>
      </c>
      <c r="E669" s="1425">
        <v>279.08</v>
      </c>
      <c r="F669" s="1427">
        <f t="shared" si="15"/>
        <v>17051.79</v>
      </c>
      <c r="G669" s="1440"/>
      <c r="H669" s="1255"/>
      <c r="I669" s="1255"/>
    </row>
    <row r="670" spans="1:9" s="1256" customFormat="1">
      <c r="A670" s="1423">
        <v>4.2</v>
      </c>
      <c r="B670" s="1424" t="s">
        <v>152</v>
      </c>
      <c r="C670" s="1425">
        <v>66.89</v>
      </c>
      <c r="D670" s="1426" t="s">
        <v>11</v>
      </c>
      <c r="E670" s="1425">
        <v>321.97000000000003</v>
      </c>
      <c r="F670" s="1427">
        <f t="shared" si="15"/>
        <v>21536.57</v>
      </c>
      <c r="G670" s="1440"/>
      <c r="H670" s="1255"/>
      <c r="I670" s="1255"/>
    </row>
    <row r="671" spans="1:9" s="1256" customFormat="1">
      <c r="A671" s="1423">
        <v>4.3</v>
      </c>
      <c r="B671" s="1424" t="s">
        <v>889</v>
      </c>
      <c r="C671" s="1425">
        <v>39.82</v>
      </c>
      <c r="D671" s="1426" t="s">
        <v>11</v>
      </c>
      <c r="E671" s="1425">
        <v>469.61</v>
      </c>
      <c r="F671" s="1427">
        <f t="shared" si="15"/>
        <v>18699.87</v>
      </c>
      <c r="G671" s="1440"/>
      <c r="H671" s="1255"/>
      <c r="I671" s="1255"/>
    </row>
    <row r="672" spans="1:9" s="1256" customFormat="1">
      <c r="A672" s="1423">
        <v>4.4000000000000004</v>
      </c>
      <c r="B672" s="1424" t="s">
        <v>1264</v>
      </c>
      <c r="C672" s="1425">
        <v>33.76</v>
      </c>
      <c r="D672" s="1426" t="s">
        <v>11</v>
      </c>
      <c r="E672" s="1425">
        <v>509.09</v>
      </c>
      <c r="F672" s="1427">
        <f t="shared" si="15"/>
        <v>17186.88</v>
      </c>
      <c r="G672" s="1440"/>
      <c r="I672" s="1255"/>
    </row>
    <row r="673" spans="1:9" s="1256" customFormat="1">
      <c r="A673" s="1423">
        <v>4.5</v>
      </c>
      <c r="B673" s="1424" t="s">
        <v>177</v>
      </c>
      <c r="C673" s="1425">
        <v>42.24</v>
      </c>
      <c r="D673" s="1426" t="s">
        <v>1</v>
      </c>
      <c r="E673" s="1425">
        <v>82.24</v>
      </c>
      <c r="F673" s="1427">
        <f t="shared" si="15"/>
        <v>3473.82</v>
      </c>
      <c r="G673" s="1440"/>
      <c r="I673" s="1255"/>
    </row>
    <row r="674" spans="1:9" s="1256" customFormat="1">
      <c r="A674" s="1423">
        <v>4.5999999999999996</v>
      </c>
      <c r="B674" s="1424" t="s">
        <v>1265</v>
      </c>
      <c r="C674" s="1425">
        <v>106.71</v>
      </c>
      <c r="D674" s="1426" t="s">
        <v>11</v>
      </c>
      <c r="E674" s="1425">
        <v>55</v>
      </c>
      <c r="F674" s="1427">
        <f t="shared" si="15"/>
        <v>5869.05</v>
      </c>
      <c r="G674" s="1440"/>
      <c r="I674" s="1255"/>
    </row>
    <row r="675" spans="1:9" s="1256" customFormat="1">
      <c r="A675" s="1423">
        <v>4.7</v>
      </c>
      <c r="B675" s="1424" t="s">
        <v>1266</v>
      </c>
      <c r="C675" s="1425">
        <v>106.71</v>
      </c>
      <c r="D675" s="1426" t="s">
        <v>11</v>
      </c>
      <c r="E675" s="1425">
        <v>123.2</v>
      </c>
      <c r="F675" s="1427">
        <f t="shared" si="15"/>
        <v>13146.67</v>
      </c>
      <c r="G675" s="1440"/>
      <c r="H675" s="1255"/>
      <c r="I675" s="1255"/>
    </row>
    <row r="676" spans="1:9" s="1256" customFormat="1">
      <c r="A676" s="1442"/>
      <c r="B676" s="1424"/>
      <c r="C676" s="1425"/>
      <c r="D676" s="1426"/>
      <c r="E676" s="1425"/>
      <c r="F676" s="1427">
        <f t="shared" si="15"/>
        <v>0</v>
      </c>
      <c r="G676" s="1419"/>
      <c r="H676" s="1255"/>
      <c r="I676" s="1255"/>
    </row>
    <row r="677" spans="1:9" s="1256" customFormat="1">
      <c r="A677" s="1421">
        <v>5</v>
      </c>
      <c r="B677" s="1422" t="s">
        <v>1267</v>
      </c>
      <c r="C677" s="1425"/>
      <c r="D677" s="1426"/>
      <c r="E677" s="1425"/>
      <c r="F677" s="1427">
        <f t="shared" si="15"/>
        <v>0</v>
      </c>
      <c r="G677" s="1419"/>
      <c r="H677" s="1255"/>
      <c r="I677" s="1255"/>
    </row>
    <row r="678" spans="1:9" s="1256" customFormat="1">
      <c r="A678" s="1423">
        <v>5.0999999999999996</v>
      </c>
      <c r="B678" s="1424" t="s">
        <v>1268</v>
      </c>
      <c r="C678" s="1425">
        <v>20</v>
      </c>
      <c r="D678" s="1426" t="s">
        <v>118</v>
      </c>
      <c r="E678" s="1425">
        <v>250</v>
      </c>
      <c r="F678" s="1427">
        <f t="shared" si="15"/>
        <v>5000</v>
      </c>
      <c r="G678" s="1419"/>
      <c r="H678" s="1255"/>
      <c r="I678" s="1255"/>
    </row>
    <row r="679" spans="1:9" s="1256" customFormat="1">
      <c r="A679" s="1423">
        <v>5.2</v>
      </c>
      <c r="B679" s="1424" t="s">
        <v>1269</v>
      </c>
      <c r="C679" s="1425">
        <v>10</v>
      </c>
      <c r="D679" s="1426" t="s">
        <v>118</v>
      </c>
      <c r="E679" s="1425">
        <v>250</v>
      </c>
      <c r="F679" s="1427">
        <f t="shared" si="15"/>
        <v>2500</v>
      </c>
      <c r="G679" s="1419"/>
      <c r="H679" s="1255"/>
      <c r="I679" s="1255"/>
    </row>
    <row r="680" spans="1:9" s="1256" customFormat="1">
      <c r="A680" s="1423">
        <v>5.3</v>
      </c>
      <c r="B680" s="1424" t="s">
        <v>273</v>
      </c>
      <c r="C680" s="1425">
        <v>34.24</v>
      </c>
      <c r="D680" s="1426" t="s">
        <v>2</v>
      </c>
      <c r="E680" s="1425">
        <v>95</v>
      </c>
      <c r="F680" s="1427">
        <f t="shared" si="15"/>
        <v>3252.8</v>
      </c>
      <c r="G680" s="1419"/>
      <c r="H680" s="1255"/>
      <c r="I680" s="1255"/>
    </row>
    <row r="681" spans="1:9" s="1256" customFormat="1">
      <c r="A681" s="1423"/>
      <c r="B681" s="1424"/>
      <c r="C681" s="1425"/>
      <c r="D681" s="1426"/>
      <c r="E681" s="1425"/>
      <c r="F681" s="1427"/>
      <c r="G681" s="1419"/>
      <c r="H681" s="1255"/>
      <c r="I681" s="1255"/>
    </row>
    <row r="682" spans="1:9" s="1256" customFormat="1">
      <c r="A682" s="1444">
        <v>6</v>
      </c>
      <c r="B682" s="1424" t="s">
        <v>1270</v>
      </c>
      <c r="C682" s="1425">
        <v>34.24</v>
      </c>
      <c r="D682" s="1426" t="s">
        <v>2</v>
      </c>
      <c r="E682" s="1425">
        <v>55</v>
      </c>
      <c r="F682" s="1427">
        <f>ROUND((C682*E682),2)</f>
        <v>1883.2</v>
      </c>
      <c r="G682" s="1419"/>
      <c r="H682" s="1255"/>
      <c r="I682" s="1255"/>
    </row>
    <row r="683" spans="1:9" s="1256" customFormat="1" ht="25.5">
      <c r="A683" s="1445">
        <v>7</v>
      </c>
      <c r="B683" s="1441" t="s">
        <v>1271</v>
      </c>
      <c r="C683" s="1431">
        <v>98</v>
      </c>
      <c r="D683" s="1432" t="s">
        <v>1</v>
      </c>
      <c r="E683" s="1431">
        <v>714.5</v>
      </c>
      <c r="F683" s="1446">
        <f>ROUND((C683*E683),2)</f>
        <v>70021</v>
      </c>
      <c r="G683" s="1419"/>
      <c r="H683" s="1255"/>
      <c r="I683" s="1255"/>
    </row>
    <row r="684" spans="1:9" s="1256" customFormat="1">
      <c r="A684" s="1442"/>
      <c r="B684" s="1424"/>
      <c r="C684" s="1425"/>
      <c r="D684" s="1426"/>
      <c r="E684" s="1425"/>
      <c r="F684" s="1427">
        <f>ROUND((C684*E684),2)</f>
        <v>0</v>
      </c>
      <c r="G684" s="1419"/>
      <c r="H684" s="1255"/>
      <c r="I684" s="44"/>
    </row>
    <row r="685" spans="1:9" s="1256" customFormat="1">
      <c r="A685" s="1447">
        <v>8</v>
      </c>
      <c r="B685" s="1448" t="s">
        <v>1272</v>
      </c>
      <c r="C685" s="1425"/>
      <c r="D685" s="1426"/>
      <c r="E685" s="1425"/>
      <c r="F685" s="1427">
        <f>ROUND((C685*E685),2)</f>
        <v>0</v>
      </c>
      <c r="G685" s="1419"/>
      <c r="H685" s="1255"/>
      <c r="I685" s="1255"/>
    </row>
    <row r="686" spans="1:9" s="1256" customFormat="1" ht="25.5">
      <c r="A686" s="1449">
        <v>8.1</v>
      </c>
      <c r="B686" s="1441" t="s">
        <v>1273</v>
      </c>
      <c r="C686" s="1431">
        <v>6.1</v>
      </c>
      <c r="D686" s="1432" t="s">
        <v>13</v>
      </c>
      <c r="E686" s="1431">
        <v>4565.1099999999997</v>
      </c>
      <c r="F686" s="1431">
        <f>C686*E686</f>
        <v>27847.17</v>
      </c>
      <c r="G686" s="1419"/>
      <c r="H686" s="1255"/>
      <c r="I686" s="1255"/>
    </row>
    <row r="687" spans="1:9" s="1256" customFormat="1" ht="25.5">
      <c r="A687" s="1449">
        <v>8.1999999999999993</v>
      </c>
      <c r="B687" s="1441" t="s">
        <v>1274</v>
      </c>
      <c r="C687" s="1431">
        <v>6.1</v>
      </c>
      <c r="D687" s="1432" t="s">
        <v>13</v>
      </c>
      <c r="E687" s="1431">
        <v>3016.23</v>
      </c>
      <c r="F687" s="1431">
        <f>C687*E687</f>
        <v>18399</v>
      </c>
      <c r="G687" s="1419"/>
      <c r="H687" s="44"/>
      <c r="I687" s="1255"/>
    </row>
    <row r="688" spans="1:9" s="1256" customFormat="1">
      <c r="A688" s="1450">
        <v>8.3000000000000007</v>
      </c>
      <c r="B688" s="1430" t="s">
        <v>1275</v>
      </c>
      <c r="C688" s="1431">
        <v>1</v>
      </c>
      <c r="D688" s="1432" t="s">
        <v>3</v>
      </c>
      <c r="E688" s="1431">
        <v>4108.6000000000004</v>
      </c>
      <c r="F688" s="1433">
        <f t="shared" ref="F688:F703" si="16">ROUND((C688*E688),2)</f>
        <v>4108.6000000000004</v>
      </c>
      <c r="G688" s="1419"/>
      <c r="H688" s="1255"/>
      <c r="I688" s="1255"/>
    </row>
    <row r="689" spans="1:9" s="1256" customFormat="1">
      <c r="A689" s="1450">
        <v>8.4</v>
      </c>
      <c r="B689" s="1430" t="s">
        <v>1276</v>
      </c>
      <c r="C689" s="1431">
        <v>1</v>
      </c>
      <c r="D689" s="1432" t="s">
        <v>3</v>
      </c>
      <c r="E689" s="1431">
        <v>2714.61</v>
      </c>
      <c r="F689" s="1433">
        <f t="shared" si="16"/>
        <v>2714.61</v>
      </c>
      <c r="G689" s="1419"/>
      <c r="H689" s="1255"/>
      <c r="I689" s="1265"/>
    </row>
    <row r="690" spans="1:9" s="1256" customFormat="1">
      <c r="A690" s="1423">
        <v>8.5</v>
      </c>
      <c r="B690" s="1424" t="s">
        <v>1277</v>
      </c>
      <c r="C690" s="1451">
        <v>3</v>
      </c>
      <c r="D690" s="1426" t="s">
        <v>3</v>
      </c>
      <c r="E690" s="1425">
        <v>2948.22</v>
      </c>
      <c r="F690" s="1427">
        <f t="shared" si="16"/>
        <v>8844.66</v>
      </c>
      <c r="G690" s="1440"/>
      <c r="H690" s="1255"/>
      <c r="I690" s="1255"/>
    </row>
    <row r="691" spans="1:9" s="1256" customFormat="1">
      <c r="A691" s="1423">
        <v>8.6</v>
      </c>
      <c r="B691" s="1424" t="s">
        <v>1278</v>
      </c>
      <c r="C691" s="1451">
        <v>3</v>
      </c>
      <c r="D691" s="1426" t="s">
        <v>3</v>
      </c>
      <c r="E691" s="1425">
        <v>2390.48</v>
      </c>
      <c r="F691" s="1427">
        <f t="shared" si="16"/>
        <v>7171.44</v>
      </c>
      <c r="G691" s="1440"/>
      <c r="H691" s="1255"/>
      <c r="I691" s="1255"/>
    </row>
    <row r="692" spans="1:9" s="1256" customFormat="1">
      <c r="A692" s="1423">
        <v>8.6999999999999993</v>
      </c>
      <c r="B692" s="1424" t="s">
        <v>1279</v>
      </c>
      <c r="C692" s="1451">
        <v>1</v>
      </c>
      <c r="D692" s="1426" t="s">
        <v>3</v>
      </c>
      <c r="E692" s="1425">
        <v>5500</v>
      </c>
      <c r="F692" s="1427">
        <f t="shared" si="16"/>
        <v>5500</v>
      </c>
      <c r="G692" s="1452"/>
      <c r="H692" s="1255"/>
      <c r="I692" s="1255"/>
    </row>
    <row r="693" spans="1:9" s="1256" customFormat="1">
      <c r="A693" s="1423">
        <v>8.8000000000000007</v>
      </c>
      <c r="B693" s="1453" t="s">
        <v>1280</v>
      </c>
      <c r="C693" s="1451">
        <v>1</v>
      </c>
      <c r="D693" s="1426" t="s">
        <v>3</v>
      </c>
      <c r="E693" s="1425">
        <v>6000</v>
      </c>
      <c r="F693" s="1427">
        <f t="shared" si="16"/>
        <v>6000</v>
      </c>
      <c r="G693" s="1419"/>
      <c r="H693" s="1255"/>
      <c r="I693" s="1255"/>
    </row>
    <row r="694" spans="1:9" s="1256" customFormat="1">
      <c r="A694" s="1423">
        <v>8.9</v>
      </c>
      <c r="B694" s="1424" t="s">
        <v>1281</v>
      </c>
      <c r="C694" s="1451">
        <v>1</v>
      </c>
      <c r="D694" s="1426" t="s">
        <v>3</v>
      </c>
      <c r="E694" s="1425">
        <v>6658.74</v>
      </c>
      <c r="F694" s="1427">
        <f t="shared" si="16"/>
        <v>6658.74</v>
      </c>
      <c r="G694" s="1419"/>
      <c r="H694" s="1255"/>
      <c r="I694" s="1255"/>
    </row>
    <row r="695" spans="1:9" s="1256" customFormat="1">
      <c r="A695" s="1442">
        <v>8.1</v>
      </c>
      <c r="B695" s="1424" t="s">
        <v>1282</v>
      </c>
      <c r="C695" s="1451">
        <v>1</v>
      </c>
      <c r="D695" s="1426" t="s">
        <v>3</v>
      </c>
      <c r="E695" s="1425">
        <v>4500</v>
      </c>
      <c r="F695" s="1427">
        <f t="shared" si="16"/>
        <v>4500</v>
      </c>
      <c r="G695" s="1419"/>
      <c r="H695" s="1255"/>
      <c r="I695" s="1255"/>
    </row>
    <row r="696" spans="1:9" s="1256" customFormat="1">
      <c r="A696" s="1428"/>
      <c r="B696" s="1424"/>
      <c r="C696" s="1451"/>
      <c r="D696" s="1426"/>
      <c r="E696" s="1425"/>
      <c r="F696" s="1427">
        <f t="shared" si="16"/>
        <v>0</v>
      </c>
      <c r="G696" s="1419"/>
      <c r="H696" s="1255"/>
      <c r="I696" s="1255"/>
    </row>
    <row r="697" spans="1:9" s="1256" customFormat="1">
      <c r="A697" s="1454">
        <v>8.11</v>
      </c>
      <c r="B697" s="1448" t="s">
        <v>1283</v>
      </c>
      <c r="C697" s="1455"/>
      <c r="D697" s="1456"/>
      <c r="E697" s="1457"/>
      <c r="F697" s="1427">
        <f t="shared" si="16"/>
        <v>0</v>
      </c>
      <c r="G697" s="1419"/>
      <c r="H697" s="1255"/>
      <c r="I697" s="1255"/>
    </row>
    <row r="698" spans="1:9" s="1256" customFormat="1">
      <c r="A698" s="1458" t="s">
        <v>1284</v>
      </c>
      <c r="B698" s="1424" t="s">
        <v>1285</v>
      </c>
      <c r="C698" s="1451">
        <v>9.76</v>
      </c>
      <c r="D698" s="1426" t="s">
        <v>2</v>
      </c>
      <c r="E698" s="1425">
        <v>334.5</v>
      </c>
      <c r="F698" s="1427">
        <f t="shared" si="16"/>
        <v>3264.72</v>
      </c>
      <c r="G698" s="1452"/>
      <c r="H698" s="1255"/>
      <c r="I698" s="1255"/>
    </row>
    <row r="699" spans="1:9" s="1256" customFormat="1" ht="25.5">
      <c r="A699" s="1429" t="s">
        <v>1286</v>
      </c>
      <c r="B699" s="1430" t="s">
        <v>1287</v>
      </c>
      <c r="C699" s="1459">
        <v>9.06</v>
      </c>
      <c r="D699" s="1432" t="s">
        <v>2</v>
      </c>
      <c r="E699" s="1431">
        <v>183.68</v>
      </c>
      <c r="F699" s="1433">
        <f t="shared" si="16"/>
        <v>1664.14</v>
      </c>
      <c r="G699" s="1452"/>
      <c r="H699" s="1255"/>
      <c r="I699" s="1255"/>
    </row>
    <row r="700" spans="1:9" s="1256" customFormat="1">
      <c r="A700" s="1458" t="s">
        <v>1288</v>
      </c>
      <c r="B700" s="1424" t="s">
        <v>1289</v>
      </c>
      <c r="C700" s="1451">
        <v>0.83</v>
      </c>
      <c r="D700" s="1426" t="s">
        <v>2</v>
      </c>
      <c r="E700" s="1425">
        <v>165</v>
      </c>
      <c r="F700" s="1427">
        <f t="shared" si="16"/>
        <v>136.94999999999999</v>
      </c>
      <c r="G700" s="1452"/>
      <c r="H700" s="1255"/>
      <c r="I700" s="1255"/>
    </row>
    <row r="701" spans="1:9" s="1256" customFormat="1">
      <c r="A701" s="1435"/>
      <c r="B701" s="1460"/>
      <c r="C701" s="1461"/>
      <c r="D701" s="1438"/>
      <c r="E701" s="1437"/>
      <c r="F701" s="1439">
        <f t="shared" si="16"/>
        <v>0</v>
      </c>
      <c r="G701" s="1419"/>
      <c r="H701" s="1255"/>
      <c r="I701" s="1255"/>
    </row>
    <row r="702" spans="1:9" s="1379" customFormat="1">
      <c r="A702" s="1444">
        <v>9</v>
      </c>
      <c r="B702" s="1424" t="s">
        <v>766</v>
      </c>
      <c r="C702" s="1451">
        <v>24</v>
      </c>
      <c r="D702" s="1426" t="s">
        <v>11</v>
      </c>
      <c r="E702" s="1425">
        <v>764.79</v>
      </c>
      <c r="F702" s="1427">
        <f t="shared" si="16"/>
        <v>18354.96</v>
      </c>
      <c r="G702" s="1462"/>
    </row>
    <row r="703" spans="1:9" s="1379" customFormat="1">
      <c r="A703" s="1442"/>
      <c r="B703" s="1424"/>
      <c r="C703" s="1451"/>
      <c r="D703" s="1426"/>
      <c r="E703" s="1425"/>
      <c r="F703" s="1427">
        <f t="shared" si="16"/>
        <v>0</v>
      </c>
      <c r="G703" s="1419"/>
    </row>
    <row r="704" spans="1:9" s="1380" customFormat="1">
      <c r="A704" s="1447">
        <v>10</v>
      </c>
      <c r="B704" s="1448" t="s">
        <v>1290</v>
      </c>
      <c r="C704" s="1451"/>
      <c r="D704" s="1426"/>
      <c r="E704" s="1463"/>
      <c r="F704" s="1427"/>
      <c r="G704" s="1419"/>
    </row>
    <row r="705" spans="1:9" s="1256" customFormat="1" ht="25.5">
      <c r="A705" s="1464">
        <v>10.1</v>
      </c>
      <c r="B705" s="1465" t="s">
        <v>1291</v>
      </c>
      <c r="C705" s="1459">
        <v>1</v>
      </c>
      <c r="D705" s="1432" t="s">
        <v>3</v>
      </c>
      <c r="E705" s="1431">
        <v>6500</v>
      </c>
      <c r="F705" s="1466">
        <f>ROUND((C705*E705),2)</f>
        <v>6500</v>
      </c>
      <c r="G705" s="1419"/>
      <c r="H705" s="1255"/>
      <c r="I705" s="1255"/>
    </row>
    <row r="706" spans="1:9" s="1256" customFormat="1">
      <c r="A706" s="1442"/>
      <c r="B706" s="1467"/>
      <c r="C706" s="1451"/>
      <c r="D706" s="1426"/>
      <c r="E706" s="1463"/>
      <c r="F706" s="1427"/>
      <c r="G706" s="1419"/>
      <c r="H706" s="1255"/>
      <c r="I706" s="1255"/>
    </row>
    <row r="707" spans="1:9" s="1256" customFormat="1">
      <c r="A707" s="1468">
        <v>11</v>
      </c>
      <c r="B707" s="1469" t="s">
        <v>1292</v>
      </c>
      <c r="C707" s="1451">
        <v>1</v>
      </c>
      <c r="D707" s="1426" t="s">
        <v>3</v>
      </c>
      <c r="E707" s="1425">
        <v>5100</v>
      </c>
      <c r="F707" s="1470">
        <f>ROUND((C707*E707),2)</f>
        <v>5100</v>
      </c>
      <c r="G707" s="1419"/>
      <c r="H707" s="1255"/>
      <c r="I707" s="1255"/>
    </row>
    <row r="708" spans="1:9" s="1256" customFormat="1">
      <c r="A708" s="1442"/>
      <c r="B708" s="1467"/>
      <c r="C708" s="1451"/>
      <c r="D708" s="1426"/>
      <c r="E708" s="1463"/>
      <c r="F708" s="1427"/>
      <c r="G708" s="1419"/>
      <c r="H708" s="1255"/>
      <c r="I708" s="1255"/>
    </row>
    <row r="709" spans="1:9" s="1256" customFormat="1">
      <c r="A709" s="1414" t="s">
        <v>774</v>
      </c>
      <c r="B709" s="1420" t="s">
        <v>1293</v>
      </c>
      <c r="C709" s="1451"/>
      <c r="D709" s="1426"/>
      <c r="E709" s="1463"/>
      <c r="F709" s="1427"/>
      <c r="G709" s="1419"/>
      <c r="H709" s="1255"/>
      <c r="I709" s="1255"/>
    </row>
    <row r="710" spans="1:9" s="1256" customFormat="1">
      <c r="A710" s="1414"/>
      <c r="B710" s="1420"/>
      <c r="C710" s="1451"/>
      <c r="D710" s="1426"/>
      <c r="E710" s="1463"/>
      <c r="F710" s="1427"/>
      <c r="G710" s="1419"/>
      <c r="H710" s="1255"/>
      <c r="I710" s="1255"/>
    </row>
    <row r="711" spans="1:9" s="1247" customFormat="1" ht="12.75" customHeight="1">
      <c r="A711" s="1421">
        <v>1</v>
      </c>
      <c r="B711" s="1422" t="s">
        <v>1251</v>
      </c>
      <c r="C711" s="1418"/>
      <c r="D711" s="1541"/>
      <c r="E711" s="1418"/>
      <c r="F711" s="1417"/>
      <c r="G711" s="1419"/>
    </row>
    <row r="712" spans="1:9" s="1380" customFormat="1">
      <c r="A712" s="1423">
        <v>1.1000000000000001</v>
      </c>
      <c r="B712" s="1424" t="s">
        <v>37</v>
      </c>
      <c r="C712" s="1425">
        <v>1</v>
      </c>
      <c r="D712" s="1426" t="s">
        <v>1100</v>
      </c>
      <c r="E712" s="1425">
        <v>1500</v>
      </c>
      <c r="F712" s="1427">
        <f>ROUND((C712*E712),2)</f>
        <v>1500</v>
      </c>
      <c r="G712" s="1419"/>
    </row>
    <row r="713" spans="1:9" s="1380" customFormat="1">
      <c r="A713" s="1442"/>
      <c r="B713" s="1471"/>
      <c r="C713" s="1451"/>
      <c r="D713" s="1426"/>
      <c r="E713" s="1463"/>
      <c r="F713" s="1427"/>
      <c r="G713" s="1419"/>
    </row>
    <row r="714" spans="1:9" s="1380" customFormat="1">
      <c r="A714" s="1447">
        <v>2</v>
      </c>
      <c r="B714" s="1448" t="s">
        <v>1294</v>
      </c>
      <c r="C714" s="1455"/>
      <c r="D714" s="1456"/>
      <c r="E714" s="1457"/>
      <c r="F714" s="1427">
        <f>ROUND((C714*E714),2)</f>
        <v>0</v>
      </c>
      <c r="G714" s="1419"/>
    </row>
    <row r="715" spans="1:9" s="1380" customFormat="1">
      <c r="A715" s="1458">
        <v>2.1</v>
      </c>
      <c r="B715" s="1424" t="s">
        <v>1295</v>
      </c>
      <c r="C715" s="1451">
        <v>26.46</v>
      </c>
      <c r="D715" s="1426" t="s">
        <v>1296</v>
      </c>
      <c r="E715" s="1425">
        <v>887.78</v>
      </c>
      <c r="F715" s="1427">
        <f>ROUND((C715*E715),2)</f>
        <v>23490.66</v>
      </c>
      <c r="G715" s="1472"/>
    </row>
    <row r="716" spans="1:9" s="1380" customFormat="1">
      <c r="A716" s="1442"/>
      <c r="B716" s="1471"/>
      <c r="C716" s="1451"/>
      <c r="D716" s="1426"/>
      <c r="E716" s="1463"/>
      <c r="F716" s="1427"/>
      <c r="G716" s="1473"/>
    </row>
    <row r="717" spans="1:9" s="1380" customFormat="1">
      <c r="A717" s="1421">
        <v>3</v>
      </c>
      <c r="B717" s="1422" t="s">
        <v>1255</v>
      </c>
      <c r="C717" s="1425">
        <v>0</v>
      </c>
      <c r="D717" s="1426"/>
      <c r="E717" s="1425"/>
      <c r="F717" s="1427">
        <f>ROUND((C717*E717),2)</f>
        <v>0</v>
      </c>
      <c r="G717" s="1473"/>
    </row>
    <row r="718" spans="1:9" s="1380" customFormat="1">
      <c r="A718" s="1423">
        <v>3.1</v>
      </c>
      <c r="B718" s="1424" t="s">
        <v>1297</v>
      </c>
      <c r="C718" s="1425">
        <v>0.33</v>
      </c>
      <c r="D718" s="1426" t="s">
        <v>2</v>
      </c>
      <c r="E718" s="1474">
        <v>25181.69</v>
      </c>
      <c r="F718" s="1427">
        <f>ROUND((C718*E718),2)</f>
        <v>8309.9599999999991</v>
      </c>
      <c r="G718" s="1475"/>
    </row>
    <row r="719" spans="1:9" s="1380" customFormat="1">
      <c r="A719" s="1423">
        <v>3.2</v>
      </c>
      <c r="B719" s="1424" t="s">
        <v>1298</v>
      </c>
      <c r="C719" s="1425">
        <v>1.97</v>
      </c>
      <c r="D719" s="1426" t="s">
        <v>2</v>
      </c>
      <c r="E719" s="1425">
        <v>14610.39</v>
      </c>
      <c r="F719" s="1427">
        <f>ROUND((C719*E719),2)</f>
        <v>28782.47</v>
      </c>
      <c r="G719" s="1475"/>
    </row>
    <row r="720" spans="1:9" s="1380" customFormat="1">
      <c r="A720" s="1442"/>
      <c r="B720" s="1471"/>
      <c r="C720" s="1451"/>
      <c r="D720" s="1426"/>
      <c r="E720" s="1463"/>
      <c r="F720" s="1427"/>
      <c r="G720" s="1473"/>
    </row>
    <row r="721" spans="1:10" s="1380" customFormat="1">
      <c r="A721" s="1421">
        <v>4</v>
      </c>
      <c r="B721" s="1422" t="s">
        <v>787</v>
      </c>
      <c r="C721" s="1425"/>
      <c r="D721" s="1426"/>
      <c r="E721" s="1425"/>
      <c r="F721" s="1427">
        <f t="shared" ref="F721:F727" si="17">ROUND((C721*E721),2)</f>
        <v>0</v>
      </c>
      <c r="G721" s="1419"/>
    </row>
    <row r="722" spans="1:10" s="1380" customFormat="1">
      <c r="A722" s="1423">
        <v>4.0999999999999996</v>
      </c>
      <c r="B722" s="1424" t="s">
        <v>165</v>
      </c>
      <c r="C722" s="1425">
        <v>27.7</v>
      </c>
      <c r="D722" s="1426" t="s">
        <v>11</v>
      </c>
      <c r="E722" s="1425">
        <v>279.08</v>
      </c>
      <c r="F722" s="1427">
        <f t="shared" si="17"/>
        <v>7730.52</v>
      </c>
      <c r="G722" s="1419"/>
    </row>
    <row r="723" spans="1:10" s="1381" customFormat="1">
      <c r="A723" s="1423">
        <v>4.2</v>
      </c>
      <c r="B723" s="1424" t="s">
        <v>152</v>
      </c>
      <c r="C723" s="1425">
        <v>38.299999999999997</v>
      </c>
      <c r="D723" s="1426" t="s">
        <v>11</v>
      </c>
      <c r="E723" s="1425">
        <v>321.97000000000003</v>
      </c>
      <c r="F723" s="1427">
        <f t="shared" si="17"/>
        <v>12331.45</v>
      </c>
      <c r="G723" s="1419"/>
    </row>
    <row r="724" spans="1:10" s="1081" customFormat="1" ht="14.25" customHeight="1">
      <c r="A724" s="1423">
        <v>4.3</v>
      </c>
      <c r="B724" s="1424" t="s">
        <v>889</v>
      </c>
      <c r="C724" s="1425">
        <v>8.58</v>
      </c>
      <c r="D724" s="1426" t="s">
        <v>11</v>
      </c>
      <c r="E724" s="1425">
        <v>469.61</v>
      </c>
      <c r="F724" s="1427">
        <f t="shared" si="17"/>
        <v>4029.25</v>
      </c>
      <c r="G724" s="1419"/>
    </row>
    <row r="725" spans="1:10" s="1063" customFormat="1">
      <c r="A725" s="1423">
        <v>4.4000000000000004</v>
      </c>
      <c r="B725" s="1424" t="s">
        <v>177</v>
      </c>
      <c r="C725" s="1425">
        <v>54.24</v>
      </c>
      <c r="D725" s="1426" t="s">
        <v>1</v>
      </c>
      <c r="E725" s="1425">
        <v>82.24</v>
      </c>
      <c r="F725" s="1427">
        <f t="shared" si="17"/>
        <v>4460.7</v>
      </c>
      <c r="G725" s="1419"/>
    </row>
    <row r="726" spans="1:10" s="1381" customFormat="1">
      <c r="A726" s="1423">
        <v>4.5</v>
      </c>
      <c r="B726" s="1424" t="s">
        <v>1265</v>
      </c>
      <c r="C726" s="1425">
        <v>67.55</v>
      </c>
      <c r="D726" s="1426" t="s">
        <v>11</v>
      </c>
      <c r="E726" s="1425">
        <v>55</v>
      </c>
      <c r="F726" s="1427">
        <f t="shared" si="17"/>
        <v>3715.25</v>
      </c>
      <c r="G726" s="1419"/>
    </row>
    <row r="727" spans="1:10">
      <c r="A727" s="1423">
        <v>4.5999999999999996</v>
      </c>
      <c r="B727" s="1424" t="s">
        <v>1266</v>
      </c>
      <c r="C727" s="1425">
        <v>67.55</v>
      </c>
      <c r="D727" s="1426" t="s">
        <v>11</v>
      </c>
      <c r="E727" s="1425">
        <v>123.2</v>
      </c>
      <c r="F727" s="1427">
        <f t="shared" si="17"/>
        <v>8322.16</v>
      </c>
      <c r="G727" s="1419"/>
      <c r="H727" s="44"/>
      <c r="I727" s="44"/>
      <c r="J727" s="44"/>
    </row>
    <row r="728" spans="1:10">
      <c r="A728" s="1442"/>
      <c r="B728" s="1471"/>
      <c r="C728" s="1451"/>
      <c r="D728" s="1426"/>
      <c r="E728" s="1463"/>
      <c r="F728" s="1427"/>
      <c r="G728" s="1419"/>
      <c r="H728" s="44"/>
      <c r="I728" s="44"/>
      <c r="J728" s="44"/>
    </row>
    <row r="729" spans="1:10">
      <c r="A729" s="1421">
        <v>5</v>
      </c>
      <c r="B729" s="1422" t="s">
        <v>1267</v>
      </c>
      <c r="C729" s="1425">
        <v>0</v>
      </c>
      <c r="D729" s="1426"/>
      <c r="E729" s="1425"/>
      <c r="F729" s="1427">
        <f>ROUND((C729*E729),2)</f>
        <v>0</v>
      </c>
      <c r="G729" s="1419"/>
      <c r="H729" s="44"/>
      <c r="I729" s="44"/>
      <c r="J729" s="44"/>
    </row>
    <row r="730" spans="1:10">
      <c r="A730" s="1423">
        <v>5.0999999999999996</v>
      </c>
      <c r="B730" s="1424" t="s">
        <v>1299</v>
      </c>
      <c r="C730" s="1425">
        <v>2</v>
      </c>
      <c r="D730" s="1426" t="s">
        <v>118</v>
      </c>
      <c r="E730" s="1425">
        <v>250</v>
      </c>
      <c r="F730" s="1427">
        <f>ROUND((C730*E730),2)</f>
        <v>500</v>
      </c>
      <c r="G730" s="1419"/>
      <c r="H730" s="44"/>
      <c r="I730" s="44"/>
      <c r="J730" s="44"/>
    </row>
    <row r="731" spans="1:10">
      <c r="A731" s="1423">
        <v>5.2</v>
      </c>
      <c r="B731" s="1424" t="s">
        <v>273</v>
      </c>
      <c r="C731" s="1425">
        <v>2.2999999999999998</v>
      </c>
      <c r="D731" s="1426" t="s">
        <v>2</v>
      </c>
      <c r="E731" s="1425">
        <v>95</v>
      </c>
      <c r="F731" s="1427">
        <f>ROUND((C731*E731),2)</f>
        <v>218.5</v>
      </c>
      <c r="G731" s="1419"/>
      <c r="H731" s="44"/>
      <c r="I731" s="44"/>
      <c r="J731" s="44"/>
    </row>
    <row r="732" spans="1:10">
      <c r="A732" s="1423"/>
      <c r="B732" s="1424"/>
      <c r="C732" s="1425"/>
      <c r="D732" s="1426"/>
      <c r="E732" s="1425"/>
      <c r="F732" s="1427"/>
      <c r="G732" s="1419"/>
      <c r="H732" s="44"/>
      <c r="I732" s="44"/>
      <c r="J732" s="44"/>
    </row>
    <row r="733" spans="1:10">
      <c r="A733" s="1444">
        <v>6</v>
      </c>
      <c r="B733" s="1424" t="s">
        <v>1270</v>
      </c>
      <c r="C733" s="1425">
        <v>34.24</v>
      </c>
      <c r="D733" s="1426" t="s">
        <v>2</v>
      </c>
      <c r="E733" s="1425">
        <v>55</v>
      </c>
      <c r="F733" s="1427">
        <f>ROUND((C733*E733),2)</f>
        <v>1883.2</v>
      </c>
      <c r="G733" s="1419"/>
      <c r="H733" s="44"/>
      <c r="I733" s="44"/>
      <c r="J733" s="44"/>
    </row>
    <row r="734" spans="1:10">
      <c r="A734" s="1442"/>
      <c r="B734" s="1471"/>
      <c r="C734" s="1451"/>
      <c r="D734" s="1426"/>
      <c r="E734" s="1463"/>
      <c r="F734" s="1427"/>
      <c r="G734" s="1419"/>
      <c r="H734" s="44"/>
      <c r="I734" s="44"/>
      <c r="J734" s="44"/>
    </row>
    <row r="735" spans="1:10">
      <c r="A735" s="1414" t="s">
        <v>851</v>
      </c>
      <c r="B735" s="1420" t="s">
        <v>1300</v>
      </c>
      <c r="C735" s="1451"/>
      <c r="D735" s="1426"/>
      <c r="E735" s="1463"/>
      <c r="F735" s="1427"/>
      <c r="G735" s="1419"/>
      <c r="H735" s="44"/>
      <c r="I735" s="44"/>
      <c r="J735" s="44"/>
    </row>
    <row r="736" spans="1:10">
      <c r="A736" s="1442"/>
      <c r="B736" s="1471"/>
      <c r="C736" s="1451"/>
      <c r="D736" s="1426"/>
      <c r="E736" s="1463"/>
      <c r="F736" s="1427"/>
      <c r="G736" s="1419"/>
      <c r="H736" s="44"/>
      <c r="I736" s="44"/>
      <c r="J736" s="44"/>
    </row>
    <row r="737" spans="1:10">
      <c r="A737" s="1444">
        <v>1</v>
      </c>
      <c r="B737" s="1424" t="s">
        <v>1301</v>
      </c>
      <c r="C737" s="1451">
        <v>76.8</v>
      </c>
      <c r="D737" s="1426" t="s">
        <v>11</v>
      </c>
      <c r="E737" s="1425">
        <v>110</v>
      </c>
      <c r="F737" s="1427">
        <f>ROUND((C737*E737),2)</f>
        <v>8448</v>
      </c>
      <c r="G737" s="1419"/>
      <c r="H737" s="44"/>
      <c r="I737" s="44"/>
      <c r="J737" s="44"/>
    </row>
    <row r="738" spans="1:10">
      <c r="A738" s="1442"/>
      <c r="B738" s="1471"/>
      <c r="C738" s="1451"/>
      <c r="D738" s="1426"/>
      <c r="E738" s="1463"/>
      <c r="F738" s="1427"/>
      <c r="G738" s="1419"/>
      <c r="H738" s="44"/>
      <c r="I738" s="44"/>
      <c r="J738" s="44"/>
    </row>
    <row r="739" spans="1:10">
      <c r="A739" s="1476">
        <v>2</v>
      </c>
      <c r="B739" s="1477" t="s">
        <v>1302</v>
      </c>
      <c r="C739" s="1478"/>
      <c r="D739" s="1479"/>
      <c r="E739" s="1480"/>
      <c r="F739" s="1427">
        <f>ROUND((C739*E739),2)</f>
        <v>0</v>
      </c>
      <c r="G739" s="1419"/>
      <c r="H739" s="839"/>
      <c r="I739" s="839"/>
      <c r="J739" s="839"/>
    </row>
    <row r="740" spans="1:10" ht="25.5">
      <c r="A740" s="1481">
        <v>2.1</v>
      </c>
      <c r="B740" s="1430" t="s">
        <v>1303</v>
      </c>
      <c r="C740" s="1451">
        <v>42.4</v>
      </c>
      <c r="D740" s="1426" t="s">
        <v>1</v>
      </c>
      <c r="E740" s="1425">
        <v>4018.89</v>
      </c>
      <c r="F740" s="1482">
        <f>ROUND((C740*E740),2)</f>
        <v>170400.94</v>
      </c>
      <c r="G740" s="1452"/>
      <c r="H740" s="50"/>
      <c r="I740" s="50"/>
      <c r="J740" s="50"/>
    </row>
    <row r="741" spans="1:10">
      <c r="A741" s="1423">
        <v>2.2000000000000002</v>
      </c>
      <c r="B741" s="1424" t="s">
        <v>1304</v>
      </c>
      <c r="C741" s="1451">
        <v>1</v>
      </c>
      <c r="D741" s="1426" t="s">
        <v>3</v>
      </c>
      <c r="E741" s="1425">
        <v>36294.92</v>
      </c>
      <c r="F741" s="1427">
        <f>ROUND((C741*E741),2)</f>
        <v>36294.92</v>
      </c>
      <c r="G741" s="1452"/>
      <c r="H741" s="50"/>
      <c r="I741" s="50"/>
      <c r="J741" s="50"/>
    </row>
    <row r="742" spans="1:10">
      <c r="A742" s="1423">
        <v>2.2999999999999998</v>
      </c>
      <c r="B742" s="1424" t="s">
        <v>1305</v>
      </c>
      <c r="C742" s="1451">
        <v>11</v>
      </c>
      <c r="D742" s="1426" t="s">
        <v>3</v>
      </c>
      <c r="E742" s="1425">
        <v>6816.64</v>
      </c>
      <c r="F742" s="1427">
        <f>ROUND((C742*E742),2)</f>
        <v>74983.039999999994</v>
      </c>
      <c r="G742" s="1452"/>
      <c r="H742" s="50"/>
      <c r="I742" s="50"/>
      <c r="J742" s="50"/>
    </row>
    <row r="743" spans="1:10">
      <c r="A743" s="1423">
        <v>2.4</v>
      </c>
      <c r="B743" s="1424" t="s">
        <v>1306</v>
      </c>
      <c r="C743" s="1451">
        <v>5</v>
      </c>
      <c r="D743" s="1426" t="s">
        <v>3</v>
      </c>
      <c r="E743" s="1425">
        <v>508.19</v>
      </c>
      <c r="F743" s="1427">
        <f>ROUND((C743*E743),2)</f>
        <v>2540.9499999999998</v>
      </c>
      <c r="G743" s="1452"/>
      <c r="H743" s="50"/>
      <c r="I743" s="50"/>
      <c r="J743" s="50"/>
    </row>
    <row r="744" spans="1:10">
      <c r="A744" s="1444"/>
      <c r="B744" s="1424"/>
      <c r="C744" s="1451"/>
      <c r="D744" s="1426"/>
      <c r="E744" s="1425"/>
      <c r="F744" s="1427"/>
      <c r="G744" s="1419"/>
      <c r="H744" s="50"/>
      <c r="I744" s="50"/>
      <c r="J744" s="50"/>
    </row>
    <row r="745" spans="1:10">
      <c r="A745" s="1444">
        <v>3</v>
      </c>
      <c r="B745" s="1424" t="s">
        <v>1307</v>
      </c>
      <c r="C745" s="1451">
        <v>1</v>
      </c>
      <c r="D745" s="1426" t="s">
        <v>3</v>
      </c>
      <c r="E745" s="1425">
        <v>15000</v>
      </c>
      <c r="F745" s="1427">
        <f>ROUND((C745*E745),2)</f>
        <v>15000</v>
      </c>
      <c r="G745" s="1419"/>
      <c r="H745" s="50"/>
      <c r="I745" s="50"/>
      <c r="J745" s="50"/>
    </row>
    <row r="746" spans="1:10" s="1" customFormat="1">
      <c r="A746" s="1444">
        <v>4</v>
      </c>
      <c r="B746" s="1424" t="s">
        <v>979</v>
      </c>
      <c r="C746" s="1451">
        <v>1</v>
      </c>
      <c r="D746" s="1426" t="s">
        <v>3</v>
      </c>
      <c r="E746" s="1425">
        <v>8000</v>
      </c>
      <c r="F746" s="1427">
        <f>ROUND((C746*E746),2)</f>
        <v>8000</v>
      </c>
      <c r="G746" s="1473"/>
      <c r="H746" s="1209"/>
      <c r="I746" s="1210"/>
    </row>
    <row r="747" spans="1:10" s="1" customFormat="1">
      <c r="A747" s="1444">
        <v>5</v>
      </c>
      <c r="B747" s="1424" t="s">
        <v>876</v>
      </c>
      <c r="C747" s="1451">
        <v>1</v>
      </c>
      <c r="D747" s="1426" t="s">
        <v>3</v>
      </c>
      <c r="E747" s="1425">
        <v>3500</v>
      </c>
      <c r="F747" s="1427">
        <f>ROUND((C747*E747),2)</f>
        <v>3500</v>
      </c>
      <c r="G747" s="1419"/>
      <c r="H747" s="1209"/>
      <c r="I747" s="1210"/>
    </row>
    <row r="748" spans="1:10">
      <c r="A748" s="1257"/>
      <c r="B748" s="1258"/>
      <c r="C748" s="1542"/>
      <c r="D748" s="1543"/>
      <c r="E748" s="1253"/>
      <c r="F748" s="1254"/>
      <c r="G748" s="1377"/>
      <c r="H748" s="1"/>
      <c r="I748" s="1"/>
      <c r="J748" s="50"/>
    </row>
    <row r="749" spans="1:10" ht="24">
      <c r="A749" s="1485" t="s">
        <v>10</v>
      </c>
      <c r="B749" s="1420" t="s">
        <v>1308</v>
      </c>
      <c r="C749" s="1418"/>
      <c r="D749" s="1541"/>
      <c r="E749" s="1418"/>
      <c r="F749" s="1417"/>
      <c r="G749" s="1473"/>
      <c r="H749" s="1"/>
      <c r="I749" s="1"/>
      <c r="J749" s="50"/>
    </row>
    <row r="750" spans="1:10">
      <c r="A750" s="1414"/>
      <c r="B750" s="1415"/>
      <c r="C750" s="1418"/>
      <c r="D750" s="1541"/>
      <c r="E750" s="1418"/>
      <c r="F750" s="1417"/>
      <c r="G750" s="1473"/>
      <c r="H750" s="1"/>
      <c r="I750" s="1"/>
      <c r="J750" s="50"/>
    </row>
    <row r="751" spans="1:10">
      <c r="A751" s="1486">
        <v>1</v>
      </c>
      <c r="B751" s="1527" t="s">
        <v>1309</v>
      </c>
      <c r="C751" s="1487"/>
      <c r="D751" s="1488"/>
      <c r="E751" s="1489"/>
      <c r="F751" s="1490"/>
      <c r="G751" s="1473"/>
      <c r="H751" s="1"/>
      <c r="I751" s="1"/>
      <c r="J751" s="50"/>
    </row>
    <row r="752" spans="1:10">
      <c r="A752" s="1491">
        <v>1.1000000000000001</v>
      </c>
      <c r="B752" s="1492" t="s">
        <v>1310</v>
      </c>
      <c r="C752" s="1493">
        <v>1</v>
      </c>
      <c r="D752" s="1494" t="s">
        <v>3</v>
      </c>
      <c r="E752" s="1509">
        <v>23600</v>
      </c>
      <c r="F752" s="1427">
        <f t="shared" ref="F752:F761" si="18">ROUND((C752*E752),2)</f>
        <v>23600</v>
      </c>
      <c r="G752" s="1473"/>
      <c r="H752" s="1"/>
      <c r="I752" s="1"/>
      <c r="J752" s="657"/>
    </row>
    <row r="753" spans="1:10">
      <c r="A753" s="1491">
        <v>1.2</v>
      </c>
      <c r="B753" s="1492" t="s">
        <v>1311</v>
      </c>
      <c r="C753" s="1493">
        <v>1</v>
      </c>
      <c r="D753" s="1494" t="s">
        <v>3</v>
      </c>
      <c r="E753" s="1509">
        <v>14600</v>
      </c>
      <c r="F753" s="1427">
        <f t="shared" si="18"/>
        <v>14600</v>
      </c>
      <c r="G753" s="1473"/>
      <c r="H753" s="1"/>
      <c r="I753" s="1"/>
      <c r="J753" s="656"/>
    </row>
    <row r="754" spans="1:10">
      <c r="A754" s="1491">
        <v>1.3</v>
      </c>
      <c r="B754" s="1495" t="s">
        <v>1312</v>
      </c>
      <c r="C754" s="1496">
        <v>50</v>
      </c>
      <c r="D754" s="1497" t="s">
        <v>800</v>
      </c>
      <c r="E754" s="1509">
        <v>17.12</v>
      </c>
      <c r="F754" s="1427">
        <f t="shared" si="18"/>
        <v>856</v>
      </c>
      <c r="G754" s="1473"/>
      <c r="H754" s="1"/>
      <c r="I754" s="1"/>
      <c r="J754" s="656"/>
    </row>
    <row r="755" spans="1:10" ht="25.5">
      <c r="A755" s="1498">
        <v>1.4</v>
      </c>
      <c r="B755" s="1499" t="s">
        <v>1313</v>
      </c>
      <c r="C755" s="1500">
        <v>1</v>
      </c>
      <c r="D755" s="1494" t="s">
        <v>3</v>
      </c>
      <c r="E755" s="1528">
        <v>42440</v>
      </c>
      <c r="F755" s="1482">
        <f t="shared" si="18"/>
        <v>42440</v>
      </c>
      <c r="G755" s="1473"/>
      <c r="H755" s="1"/>
      <c r="I755" s="1"/>
      <c r="J755" s="656"/>
    </row>
    <row r="756" spans="1:10">
      <c r="A756" s="1491">
        <v>1.5</v>
      </c>
      <c r="B756" s="1492" t="s">
        <v>1314</v>
      </c>
      <c r="C756" s="1496">
        <v>1</v>
      </c>
      <c r="D756" s="1501" t="s">
        <v>3</v>
      </c>
      <c r="E756" s="1529">
        <v>4143.0600000000004</v>
      </c>
      <c r="F756" s="1427">
        <f t="shared" si="18"/>
        <v>4143.0600000000004</v>
      </c>
      <c r="G756" s="1473"/>
      <c r="H756" s="1"/>
      <c r="I756" s="1"/>
      <c r="J756" s="656"/>
    </row>
    <row r="757" spans="1:10">
      <c r="A757" s="1491">
        <v>1.6</v>
      </c>
      <c r="B757" s="1492" t="s">
        <v>1315</v>
      </c>
      <c r="C757" s="1493">
        <v>1</v>
      </c>
      <c r="D757" s="1502" t="s">
        <v>3</v>
      </c>
      <c r="E757" s="1509">
        <v>3402.66</v>
      </c>
      <c r="F757" s="1427">
        <f t="shared" si="18"/>
        <v>3402.66</v>
      </c>
      <c r="G757" s="1473"/>
      <c r="H757" s="46"/>
      <c r="I757" s="656"/>
      <c r="J757" s="656"/>
    </row>
    <row r="758" spans="1:10">
      <c r="A758" s="1491">
        <v>1.7</v>
      </c>
      <c r="B758" s="1492" t="s">
        <v>1316</v>
      </c>
      <c r="C758" s="1493">
        <v>2</v>
      </c>
      <c r="D758" s="1502" t="s">
        <v>3</v>
      </c>
      <c r="E758" s="1509">
        <v>1302.1500000000001</v>
      </c>
      <c r="F758" s="1427">
        <f t="shared" si="18"/>
        <v>2604.3000000000002</v>
      </c>
      <c r="G758" s="1473"/>
      <c r="H758" s="53"/>
      <c r="I758" s="50"/>
      <c r="J758" s="50"/>
    </row>
    <row r="759" spans="1:10">
      <c r="A759" s="1491">
        <v>1.8</v>
      </c>
      <c r="B759" s="1503" t="s">
        <v>1317</v>
      </c>
      <c r="C759" s="1493">
        <v>1</v>
      </c>
      <c r="D759" s="1502" t="s">
        <v>3</v>
      </c>
      <c r="E759" s="1509">
        <v>8245</v>
      </c>
      <c r="F759" s="1427">
        <f t="shared" si="18"/>
        <v>8245</v>
      </c>
      <c r="G759" s="1473"/>
      <c r="H759" s="1"/>
      <c r="I759" s="1"/>
      <c r="J759" s="656"/>
    </row>
    <row r="760" spans="1:10">
      <c r="A760" s="1491">
        <v>1.9</v>
      </c>
      <c r="B760" s="1492" t="s">
        <v>1318</v>
      </c>
      <c r="C760" s="1493">
        <v>2</v>
      </c>
      <c r="D760" s="1502" t="s">
        <v>3</v>
      </c>
      <c r="E760" s="1509">
        <v>1200</v>
      </c>
      <c r="F760" s="1427">
        <f t="shared" si="18"/>
        <v>2400</v>
      </c>
      <c r="G760" s="1473"/>
      <c r="H760" s="1"/>
      <c r="I760" s="1"/>
      <c r="J760" s="656"/>
    </row>
    <row r="761" spans="1:10">
      <c r="A761" s="1504">
        <v>1.1000000000000001</v>
      </c>
      <c r="B761" s="1505" t="s">
        <v>1319</v>
      </c>
      <c r="C761" s="1506">
        <v>1</v>
      </c>
      <c r="D761" s="1501" t="s">
        <v>3</v>
      </c>
      <c r="E761" s="1530">
        <v>16000</v>
      </c>
      <c r="F761" s="1427">
        <f t="shared" si="18"/>
        <v>16000</v>
      </c>
      <c r="G761" s="1475"/>
      <c r="H761" s="1"/>
      <c r="I761" s="1"/>
      <c r="J761" s="656"/>
    </row>
    <row r="762" spans="1:10">
      <c r="A762" s="1507"/>
      <c r="B762" s="1505"/>
      <c r="C762" s="1506"/>
      <c r="D762" s="1501"/>
      <c r="E762" s="1530"/>
      <c r="F762" s="1427"/>
      <c r="G762" s="1475"/>
      <c r="H762" s="49"/>
      <c r="I762" s="49"/>
      <c r="J762" s="49"/>
    </row>
    <row r="763" spans="1:10">
      <c r="A763" s="1508">
        <v>2</v>
      </c>
      <c r="B763" s="1531" t="s">
        <v>1320</v>
      </c>
      <c r="C763" s="1493"/>
      <c r="D763" s="1502"/>
      <c r="E763" s="1509"/>
      <c r="F763" s="1510"/>
      <c r="G763" s="1473"/>
      <c r="H763" s="49"/>
      <c r="I763" s="49"/>
      <c r="J763" s="49"/>
    </row>
    <row r="764" spans="1:10" ht="25.5">
      <c r="A764" s="1511">
        <v>2.1</v>
      </c>
      <c r="B764" s="1499" t="s">
        <v>1321</v>
      </c>
      <c r="C764" s="1493">
        <v>1</v>
      </c>
      <c r="D764" s="1502" t="s">
        <v>3</v>
      </c>
      <c r="E764" s="1509">
        <v>3256.45</v>
      </c>
      <c r="F764" s="1433">
        <f t="shared" ref="F764:F776" si="19">ROUND((C764*E764),2)</f>
        <v>3256.45</v>
      </c>
      <c r="G764" s="1473"/>
      <c r="H764" s="49"/>
      <c r="I764" s="49"/>
      <c r="J764" s="49"/>
    </row>
    <row r="765" spans="1:10" ht="25.5">
      <c r="A765" s="1511">
        <v>2.2000000000000002</v>
      </c>
      <c r="B765" s="1499" t="s">
        <v>1322</v>
      </c>
      <c r="C765" s="1512">
        <v>2</v>
      </c>
      <c r="D765" s="1494" t="s">
        <v>3</v>
      </c>
      <c r="E765" s="1532">
        <v>5283.24</v>
      </c>
      <c r="F765" s="1482">
        <f t="shared" si="19"/>
        <v>10566.48</v>
      </c>
      <c r="G765" s="1473"/>
      <c r="H765" s="49"/>
      <c r="I765" s="49"/>
      <c r="J765" s="49"/>
    </row>
    <row r="766" spans="1:10">
      <c r="A766" s="1511">
        <v>2.2999999999999998</v>
      </c>
      <c r="B766" s="1499" t="s">
        <v>1323</v>
      </c>
      <c r="C766" s="1512">
        <v>1</v>
      </c>
      <c r="D766" s="1494" t="s">
        <v>3</v>
      </c>
      <c r="E766" s="1532">
        <v>846.2</v>
      </c>
      <c r="F766" s="1482">
        <f t="shared" si="19"/>
        <v>846.2</v>
      </c>
      <c r="G766" s="1473"/>
      <c r="H766" s="49"/>
      <c r="I766" s="49"/>
      <c r="J766" s="49"/>
    </row>
    <row r="767" spans="1:10">
      <c r="A767" s="1511">
        <v>2.4</v>
      </c>
      <c r="B767" s="1499" t="s">
        <v>1324</v>
      </c>
      <c r="C767" s="1512">
        <v>2</v>
      </c>
      <c r="D767" s="1494" t="s">
        <v>3</v>
      </c>
      <c r="E767" s="1532">
        <v>4560.8500000000004</v>
      </c>
      <c r="F767" s="1482">
        <f t="shared" si="19"/>
        <v>9121.7000000000007</v>
      </c>
      <c r="G767" s="1473"/>
      <c r="H767" s="49"/>
      <c r="I767" s="49"/>
      <c r="J767" s="49"/>
    </row>
    <row r="768" spans="1:10">
      <c r="A768" s="1511">
        <v>2.5</v>
      </c>
      <c r="B768" s="1499" t="s">
        <v>1325</v>
      </c>
      <c r="C768" s="1493">
        <v>1</v>
      </c>
      <c r="D768" s="1502" t="s">
        <v>3</v>
      </c>
      <c r="E768" s="1509">
        <v>268.27999999999997</v>
      </c>
      <c r="F768" s="1433">
        <f t="shared" si="19"/>
        <v>268.27999999999997</v>
      </c>
      <c r="G768" s="1473"/>
      <c r="H768" s="49"/>
      <c r="I768" s="49"/>
      <c r="J768" s="49"/>
    </row>
    <row r="769" spans="1:10">
      <c r="A769" s="1511">
        <v>2.6</v>
      </c>
      <c r="B769" s="1499" t="s">
        <v>41</v>
      </c>
      <c r="C769" s="1493">
        <v>1</v>
      </c>
      <c r="D769" s="1502" t="s">
        <v>3</v>
      </c>
      <c r="E769" s="1509">
        <v>8000</v>
      </c>
      <c r="F769" s="1433">
        <f t="shared" si="19"/>
        <v>8000</v>
      </c>
      <c r="G769" s="1473"/>
      <c r="H769" s="49"/>
      <c r="I769" s="49"/>
      <c r="J769" s="49"/>
    </row>
    <row r="770" spans="1:10" ht="63.75">
      <c r="A770" s="1511">
        <v>2.8</v>
      </c>
      <c r="B770" s="1499" t="s">
        <v>1326</v>
      </c>
      <c r="C770" s="1512">
        <v>4</v>
      </c>
      <c r="D770" s="1494" t="s">
        <v>1</v>
      </c>
      <c r="E770" s="1532">
        <v>1254</v>
      </c>
      <c r="F770" s="1482">
        <f t="shared" si="19"/>
        <v>5016</v>
      </c>
      <c r="G770" s="1473"/>
      <c r="H770" s="49"/>
      <c r="I770" s="49"/>
      <c r="J770" s="49"/>
    </row>
    <row r="771" spans="1:10" ht="51">
      <c r="A771" s="1511">
        <v>2.9</v>
      </c>
      <c r="B771" s="1499" t="s">
        <v>1327</v>
      </c>
      <c r="C771" s="1512">
        <v>3</v>
      </c>
      <c r="D771" s="1494" t="s">
        <v>1</v>
      </c>
      <c r="E771" s="1532">
        <v>1254</v>
      </c>
      <c r="F771" s="1482">
        <f t="shared" si="19"/>
        <v>3762</v>
      </c>
      <c r="G771" s="1473"/>
      <c r="H771" s="49"/>
      <c r="I771" s="49"/>
      <c r="J771" s="49"/>
    </row>
    <row r="772" spans="1:10" ht="63.75">
      <c r="A772" s="1513">
        <v>2.1</v>
      </c>
      <c r="B772" s="1499" t="s">
        <v>1328</v>
      </c>
      <c r="C772" s="1512">
        <v>10</v>
      </c>
      <c r="D772" s="1494" t="s">
        <v>1</v>
      </c>
      <c r="E772" s="1532">
        <v>702</v>
      </c>
      <c r="F772" s="1482">
        <f t="shared" si="19"/>
        <v>7020</v>
      </c>
      <c r="G772" s="1473"/>
      <c r="H772" s="53"/>
      <c r="I772" s="50"/>
      <c r="J772" s="50"/>
    </row>
    <row r="773" spans="1:10" ht="63.75">
      <c r="A773" s="1513">
        <v>2.11</v>
      </c>
      <c r="B773" s="1499" t="s">
        <v>1329</v>
      </c>
      <c r="C773" s="1512">
        <v>6</v>
      </c>
      <c r="D773" s="1494" t="s">
        <v>1</v>
      </c>
      <c r="E773" s="1532">
        <v>1350</v>
      </c>
      <c r="F773" s="1482">
        <f t="shared" si="19"/>
        <v>8100</v>
      </c>
      <c r="G773" s="1473"/>
      <c r="H773" s="656"/>
      <c r="I773" s="656"/>
      <c r="J773" s="656"/>
    </row>
    <row r="774" spans="1:10" ht="51">
      <c r="A774" s="1513">
        <v>2.12</v>
      </c>
      <c r="B774" s="1499" t="s">
        <v>1330</v>
      </c>
      <c r="C774" s="1512">
        <v>8</v>
      </c>
      <c r="D774" s="1494" t="s">
        <v>1</v>
      </c>
      <c r="E774" s="1532">
        <v>615</v>
      </c>
      <c r="F774" s="1482">
        <f t="shared" si="19"/>
        <v>4920</v>
      </c>
      <c r="G774" s="1473"/>
      <c r="H774" s="655"/>
      <c r="I774" s="655"/>
      <c r="J774" s="655"/>
    </row>
    <row r="775" spans="1:10" ht="38.25">
      <c r="A775" s="1513">
        <v>2.13</v>
      </c>
      <c r="B775" s="1499" t="s">
        <v>1331</v>
      </c>
      <c r="C775" s="1512">
        <v>2</v>
      </c>
      <c r="D775" s="1494" t="s">
        <v>1</v>
      </c>
      <c r="E775" s="1532">
        <v>450</v>
      </c>
      <c r="F775" s="1482">
        <f t="shared" si="19"/>
        <v>900</v>
      </c>
      <c r="G775" s="1473"/>
      <c r="H775" s="658"/>
      <c r="I775" s="659"/>
      <c r="J775" s="659"/>
    </row>
    <row r="776" spans="1:10" ht="51">
      <c r="A776" s="1513">
        <v>2.14</v>
      </c>
      <c r="B776" s="1499" t="s">
        <v>1332</v>
      </c>
      <c r="C776" s="1512">
        <v>50</v>
      </c>
      <c r="D776" s="1494" t="s">
        <v>1</v>
      </c>
      <c r="E776" s="1532">
        <v>350</v>
      </c>
      <c r="F776" s="1482">
        <f t="shared" si="19"/>
        <v>17500</v>
      </c>
      <c r="G776" s="1473"/>
      <c r="H776" s="46"/>
      <c r="I776" s="656"/>
      <c r="J776" s="656"/>
    </row>
    <row r="777" spans="1:10">
      <c r="A777" s="1511"/>
      <c r="B777" s="1499"/>
      <c r="C777" s="1493"/>
      <c r="D777" s="1502"/>
      <c r="E777" s="1509"/>
      <c r="F777" s="1433"/>
      <c r="G777" s="1473"/>
      <c r="H777" s="46"/>
      <c r="I777" s="656"/>
      <c r="J777" s="656"/>
    </row>
    <row r="778" spans="1:10">
      <c r="A778" s="1514">
        <v>3</v>
      </c>
      <c r="B778" s="1422" t="s">
        <v>1333</v>
      </c>
      <c r="C778" s="1515"/>
      <c r="D778" s="1516"/>
      <c r="E778" s="1517"/>
      <c r="F778" s="1518"/>
      <c r="G778" s="1473"/>
      <c r="H778" s="46"/>
      <c r="I778" s="656"/>
      <c r="J778" s="656"/>
    </row>
    <row r="779" spans="1:10" ht="25.5">
      <c r="A779" s="1519">
        <v>3.1</v>
      </c>
      <c r="B779" s="1520" t="s">
        <v>1334</v>
      </c>
      <c r="C779" s="1521">
        <v>2</v>
      </c>
      <c r="D779" s="1522" t="s">
        <v>3</v>
      </c>
      <c r="E779" s="1533">
        <v>37425.15</v>
      </c>
      <c r="F779" s="1510">
        <f t="shared" ref="F779:F793" si="20">ROUND(C779*E779,2)</f>
        <v>74850.3</v>
      </c>
      <c r="G779" s="1473"/>
      <c r="H779" s="46"/>
      <c r="I779" s="656"/>
      <c r="J779" s="656"/>
    </row>
    <row r="780" spans="1:10">
      <c r="A780" s="1519">
        <v>3.2</v>
      </c>
      <c r="B780" s="1520" t="s">
        <v>1335</v>
      </c>
      <c r="C780" s="1515">
        <v>2</v>
      </c>
      <c r="D780" s="1523" t="s">
        <v>3</v>
      </c>
      <c r="E780" s="1517">
        <v>6500</v>
      </c>
      <c r="F780" s="1518">
        <f t="shared" si="20"/>
        <v>13000</v>
      </c>
      <c r="G780" s="1473"/>
      <c r="H780" s="46"/>
      <c r="I780" s="656"/>
      <c r="J780" s="656"/>
    </row>
    <row r="781" spans="1:10">
      <c r="A781" s="1519">
        <v>3.3</v>
      </c>
      <c r="B781" s="1534" t="s">
        <v>1336</v>
      </c>
      <c r="C781" s="1515">
        <v>1</v>
      </c>
      <c r="D781" s="1516" t="s">
        <v>3</v>
      </c>
      <c r="E781" s="1517">
        <v>1405.45</v>
      </c>
      <c r="F781" s="1518">
        <f t="shared" si="20"/>
        <v>1405.45</v>
      </c>
      <c r="G781" s="1473"/>
      <c r="H781" s="46"/>
      <c r="I781" s="656"/>
      <c r="J781" s="656"/>
    </row>
    <row r="782" spans="1:10">
      <c r="A782" s="1519">
        <v>3.4</v>
      </c>
      <c r="B782" s="1534" t="s">
        <v>1337</v>
      </c>
      <c r="C782" s="1515">
        <v>2</v>
      </c>
      <c r="D782" s="1516" t="s">
        <v>3</v>
      </c>
      <c r="E782" s="1517">
        <v>1104.24</v>
      </c>
      <c r="F782" s="1518">
        <f t="shared" si="20"/>
        <v>2208.48</v>
      </c>
      <c r="G782" s="1473"/>
      <c r="H782" s="658"/>
      <c r="I782" s="659"/>
      <c r="J782" s="659"/>
    </row>
    <row r="783" spans="1:10">
      <c r="A783" s="1519">
        <v>3.5</v>
      </c>
      <c r="B783" s="1534" t="s">
        <v>1338</v>
      </c>
      <c r="C783" s="1515">
        <v>8</v>
      </c>
      <c r="D783" s="1516" t="s">
        <v>3</v>
      </c>
      <c r="E783" s="1517">
        <v>1104.24</v>
      </c>
      <c r="F783" s="1518">
        <f t="shared" si="20"/>
        <v>8833.92</v>
      </c>
      <c r="G783" s="1473"/>
      <c r="H783" s="658"/>
      <c r="I783" s="659"/>
      <c r="J783" s="659"/>
    </row>
    <row r="784" spans="1:10">
      <c r="A784" s="1519">
        <v>3.6</v>
      </c>
      <c r="B784" s="1534" t="s">
        <v>1339</v>
      </c>
      <c r="C784" s="1515">
        <v>2</v>
      </c>
      <c r="D784" s="1516" t="s">
        <v>3</v>
      </c>
      <c r="E784" s="1517">
        <v>1104.24</v>
      </c>
      <c r="F784" s="1518">
        <f t="shared" si="20"/>
        <v>2208.48</v>
      </c>
      <c r="G784" s="1473"/>
      <c r="H784" s="46"/>
      <c r="I784" s="656"/>
      <c r="J784" s="656"/>
    </row>
    <row r="785" spans="1:10" ht="25.5">
      <c r="A785" s="1519">
        <v>3.7</v>
      </c>
      <c r="B785" s="1534" t="s">
        <v>1340</v>
      </c>
      <c r="C785" s="1515">
        <v>4</v>
      </c>
      <c r="D785" s="1516" t="s">
        <v>3</v>
      </c>
      <c r="E785" s="1517">
        <v>23180.77</v>
      </c>
      <c r="F785" s="1518">
        <f t="shared" si="20"/>
        <v>92723.08</v>
      </c>
      <c r="G785" s="1473"/>
      <c r="H785" s="46"/>
      <c r="I785" s="656"/>
      <c r="J785" s="656"/>
    </row>
    <row r="786" spans="1:10">
      <c r="A786" s="1519">
        <v>3.8</v>
      </c>
      <c r="B786" s="1534" t="s">
        <v>1341</v>
      </c>
      <c r="C786" s="1515">
        <v>2</v>
      </c>
      <c r="D786" s="1516" t="s">
        <v>3</v>
      </c>
      <c r="E786" s="1517">
        <v>17593.939999999999</v>
      </c>
      <c r="F786" s="1518">
        <f t="shared" si="20"/>
        <v>35187.879999999997</v>
      </c>
      <c r="G786" s="1473"/>
      <c r="H786" s="46"/>
      <c r="I786" s="656"/>
      <c r="J786" s="656"/>
    </row>
    <row r="787" spans="1:10">
      <c r="A787" s="1519">
        <v>3.9</v>
      </c>
      <c r="B787" s="1534" t="s">
        <v>1342</v>
      </c>
      <c r="C787" s="1515">
        <v>2</v>
      </c>
      <c r="D787" s="1516" t="s">
        <v>3</v>
      </c>
      <c r="E787" s="1517">
        <v>17593.939999999999</v>
      </c>
      <c r="F787" s="1518">
        <f t="shared" si="20"/>
        <v>35187.879999999997</v>
      </c>
      <c r="G787" s="1473"/>
      <c r="H787" s="46"/>
      <c r="I787" s="656"/>
      <c r="J787" s="656"/>
    </row>
    <row r="788" spans="1:10">
      <c r="A788" s="1524">
        <v>3.1</v>
      </c>
      <c r="B788" s="1535" t="s">
        <v>1343</v>
      </c>
      <c r="C788" s="1515">
        <v>2</v>
      </c>
      <c r="D788" s="1516" t="s">
        <v>3</v>
      </c>
      <c r="E788" s="1517">
        <v>13483.62</v>
      </c>
      <c r="F788" s="1518">
        <f t="shared" si="20"/>
        <v>26967.24</v>
      </c>
      <c r="G788" s="1473"/>
      <c r="H788" s="46"/>
      <c r="I788" s="656"/>
      <c r="J788" s="656"/>
    </row>
    <row r="789" spans="1:10" ht="25.5">
      <c r="A789" s="1519">
        <v>3.11</v>
      </c>
      <c r="B789" s="1536" t="s">
        <v>1344</v>
      </c>
      <c r="C789" s="1515">
        <v>2</v>
      </c>
      <c r="D789" s="1516" t="s">
        <v>3</v>
      </c>
      <c r="E789" s="1517">
        <v>2850.2</v>
      </c>
      <c r="F789" s="1518">
        <f t="shared" si="20"/>
        <v>5700.4</v>
      </c>
      <c r="G789" s="1473"/>
      <c r="H789" s="46"/>
      <c r="I789" s="656"/>
      <c r="J789" s="656"/>
    </row>
    <row r="790" spans="1:10">
      <c r="A790" s="1519">
        <v>3.12</v>
      </c>
      <c r="B790" s="1537" t="s">
        <v>1345</v>
      </c>
      <c r="C790" s="1521">
        <v>2</v>
      </c>
      <c r="D790" s="1522" t="s">
        <v>3</v>
      </c>
      <c r="E790" s="1544">
        <v>2360.64</v>
      </c>
      <c r="F790" s="1510">
        <f t="shared" si="20"/>
        <v>4721.28</v>
      </c>
      <c r="G790" s="1473"/>
      <c r="H790" s="46"/>
      <c r="I790" s="656"/>
      <c r="J790" s="656"/>
    </row>
    <row r="791" spans="1:10">
      <c r="A791" s="1524">
        <v>3.13</v>
      </c>
      <c r="B791" s="1534" t="s">
        <v>1346</v>
      </c>
      <c r="C791" s="1515">
        <v>3</v>
      </c>
      <c r="D791" s="1516" t="s">
        <v>3</v>
      </c>
      <c r="E791" s="1517">
        <v>649.94000000000005</v>
      </c>
      <c r="F791" s="1518">
        <f t="shared" si="20"/>
        <v>1949.82</v>
      </c>
      <c r="G791" s="1473"/>
      <c r="H791" s="46"/>
      <c r="I791" s="656"/>
      <c r="J791" s="656"/>
    </row>
    <row r="792" spans="1:10">
      <c r="A792" s="1519">
        <v>3.14</v>
      </c>
      <c r="B792" s="1537" t="s">
        <v>1347</v>
      </c>
      <c r="C792" s="1515">
        <v>1</v>
      </c>
      <c r="D792" s="1516" t="s">
        <v>3</v>
      </c>
      <c r="E792" s="1517">
        <v>7391.23</v>
      </c>
      <c r="F792" s="1518">
        <f t="shared" si="20"/>
        <v>7391.23</v>
      </c>
      <c r="G792" s="1473"/>
      <c r="H792" s="46"/>
      <c r="I792" s="656"/>
      <c r="J792" s="656"/>
    </row>
    <row r="793" spans="1:10">
      <c r="A793" s="1519">
        <v>3.15</v>
      </c>
      <c r="B793" s="1534" t="s">
        <v>1348</v>
      </c>
      <c r="C793" s="1515">
        <v>2</v>
      </c>
      <c r="D793" s="1516" t="s">
        <v>3</v>
      </c>
      <c r="E793" s="1517">
        <v>4957.25</v>
      </c>
      <c r="F793" s="1518">
        <f t="shared" si="20"/>
        <v>9914.5</v>
      </c>
      <c r="G793" s="1473"/>
      <c r="H793" s="46"/>
      <c r="I793" s="656"/>
      <c r="J793" s="656"/>
    </row>
    <row r="794" spans="1:10">
      <c r="A794" s="1519"/>
      <c r="B794" s="1534"/>
      <c r="C794" s="1515"/>
      <c r="D794" s="1516"/>
      <c r="E794" s="1517"/>
      <c r="F794" s="1518"/>
      <c r="G794" s="1473"/>
      <c r="H794" s="46"/>
      <c r="I794" s="656"/>
      <c r="J794" s="656"/>
    </row>
    <row r="795" spans="1:10">
      <c r="A795" s="1525">
        <v>4</v>
      </c>
      <c r="B795" s="1531" t="s">
        <v>1349</v>
      </c>
      <c r="C795" s="1493"/>
      <c r="D795" s="1502"/>
      <c r="E795" s="1509"/>
      <c r="F795" s="1433"/>
      <c r="G795" s="1473"/>
      <c r="H795" s="660"/>
      <c r="I795" s="661"/>
      <c r="J795" s="660"/>
    </row>
    <row r="796" spans="1:10">
      <c r="A796" s="1526">
        <v>4.0999999999999996</v>
      </c>
      <c r="B796" s="1499" t="s">
        <v>1350</v>
      </c>
      <c r="C796" s="1493">
        <v>2</v>
      </c>
      <c r="D796" s="1502" t="s">
        <v>3</v>
      </c>
      <c r="E796" s="1509">
        <v>1128.6400000000001</v>
      </c>
      <c r="F796" s="1433">
        <f>ROUND((C796*E796),2)</f>
        <v>2257.2800000000002</v>
      </c>
      <c r="G796" s="1473"/>
      <c r="H796" s="660"/>
      <c r="I796" s="661"/>
      <c r="J796" s="660"/>
    </row>
    <row r="797" spans="1:10">
      <c r="A797" s="1526">
        <v>4.2</v>
      </c>
      <c r="B797" s="1499" t="s">
        <v>1351</v>
      </c>
      <c r="C797" s="1493">
        <v>1</v>
      </c>
      <c r="D797" s="1502" t="s">
        <v>3</v>
      </c>
      <c r="E797" s="1509">
        <v>1494.35</v>
      </c>
      <c r="F797" s="1433">
        <f>ROUND((C797*E797),2)</f>
        <v>1494.35</v>
      </c>
      <c r="G797" s="1473"/>
      <c r="H797" s="660"/>
      <c r="I797" s="661"/>
      <c r="J797" s="660"/>
    </row>
    <row r="798" spans="1:10">
      <c r="A798" s="1526">
        <v>4.3</v>
      </c>
      <c r="B798" s="1499" t="s">
        <v>1352</v>
      </c>
      <c r="C798" s="1493">
        <v>2</v>
      </c>
      <c r="D798" s="1502" t="s">
        <v>3</v>
      </c>
      <c r="E798" s="1509">
        <v>1166.98</v>
      </c>
      <c r="F798" s="1433">
        <f>ROUND((C798*E798),2)</f>
        <v>2333.96</v>
      </c>
      <c r="G798" s="1473"/>
      <c r="H798" s="660"/>
      <c r="I798" s="661"/>
      <c r="J798" s="660"/>
    </row>
    <row r="799" spans="1:10">
      <c r="A799" s="1483"/>
      <c r="B799" s="1414"/>
      <c r="C799" s="1484"/>
      <c r="D799" s="1545"/>
      <c r="E799" s="1484"/>
      <c r="F799" s="1538"/>
      <c r="G799" s="1473"/>
      <c r="H799" s="660"/>
      <c r="I799" s="661"/>
      <c r="J799" s="660"/>
    </row>
    <row r="800" spans="1:10">
      <c r="A800" s="820"/>
      <c r="B800" s="821" t="s">
        <v>1353</v>
      </c>
      <c r="C800" s="822"/>
      <c r="D800" s="822"/>
      <c r="E800" s="823"/>
      <c r="F800" s="1352">
        <f>SUM(F651:F799)</f>
        <v>1915432.92</v>
      </c>
      <c r="G800" s="1382"/>
    </row>
    <row r="801" spans="1:10">
      <c r="A801" s="1262"/>
      <c r="B801" s="1262"/>
      <c r="C801" s="1259"/>
      <c r="D801" s="1260"/>
      <c r="E801" s="1261"/>
      <c r="F801" s="1354"/>
      <c r="G801" s="1377"/>
      <c r="H801" s="660"/>
      <c r="I801" s="661"/>
      <c r="J801" s="660"/>
    </row>
    <row r="802" spans="1:10">
      <c r="A802" s="48"/>
      <c r="B802" s="1267"/>
      <c r="C802" s="1263"/>
      <c r="D802" s="1264"/>
      <c r="E802" s="1261"/>
      <c r="F802" s="1354">
        <f>C802*E802</f>
        <v>0</v>
      </c>
      <c r="G802" s="1377"/>
      <c r="H802" s="46"/>
      <c r="I802" s="656"/>
      <c r="J802" s="656"/>
    </row>
    <row r="803" spans="1:10">
      <c r="A803" s="1313">
        <v>10</v>
      </c>
      <c r="B803" s="1314" t="s">
        <v>1203</v>
      </c>
      <c r="C803" s="1315"/>
      <c r="D803" s="1200"/>
      <c r="E803" s="1315"/>
      <c r="F803" s="1356">
        <f>C803*E803</f>
        <v>0</v>
      </c>
      <c r="G803" s="1377"/>
      <c r="H803" s="46"/>
      <c r="I803" s="656"/>
      <c r="J803" s="656"/>
    </row>
    <row r="804" spans="1:10">
      <c r="A804" s="52">
        <f>+A803+0.01</f>
        <v>10.01</v>
      </c>
      <c r="B804" s="1316" t="s">
        <v>1204</v>
      </c>
      <c r="C804" s="1315">
        <v>24.42</v>
      </c>
      <c r="D804" s="1200" t="s">
        <v>2</v>
      </c>
      <c r="E804" s="1315">
        <v>85</v>
      </c>
      <c r="F804" s="1356">
        <f>C804*E804</f>
        <v>2075.6999999999998</v>
      </c>
      <c r="G804" s="1377"/>
    </row>
    <row r="805" spans="1:10">
      <c r="A805" s="52">
        <f>+A804+0.01</f>
        <v>10.02</v>
      </c>
      <c r="B805" s="1316" t="s">
        <v>4</v>
      </c>
      <c r="C805" s="1315">
        <v>2.2000000000000002</v>
      </c>
      <c r="D805" s="1200" t="s">
        <v>2</v>
      </c>
      <c r="E805" s="1315">
        <v>1108.8900000000001</v>
      </c>
      <c r="F805" s="1356">
        <f>C805*E805</f>
        <v>2439.56</v>
      </c>
      <c r="G805" s="1377"/>
    </row>
    <row r="806" spans="1:10">
      <c r="A806" s="52">
        <f>+A805+0.01</f>
        <v>10.029999999999999</v>
      </c>
      <c r="B806" s="1316" t="s">
        <v>1205</v>
      </c>
      <c r="C806" s="1315">
        <v>0</v>
      </c>
      <c r="D806" s="1200" t="s">
        <v>2</v>
      </c>
      <c r="E806" s="1315">
        <v>37</v>
      </c>
      <c r="F806" s="1356">
        <f>C806*E806</f>
        <v>0</v>
      </c>
      <c r="G806" s="1377"/>
    </row>
    <row r="807" spans="1:10">
      <c r="A807" s="775"/>
      <c r="B807" s="1316"/>
      <c r="C807" s="1315"/>
      <c r="D807" s="1200"/>
      <c r="E807" s="1315"/>
      <c r="F807" s="1356"/>
      <c r="G807" s="1377"/>
    </row>
    <row r="808" spans="1:10">
      <c r="A808" s="1245"/>
      <c r="B808" s="1246"/>
      <c r="C808" s="1242"/>
      <c r="D808" s="1243"/>
      <c r="E808" s="1248"/>
      <c r="F808" s="1357"/>
      <c r="G808" s="1244"/>
    </row>
    <row r="809" spans="1:10">
      <c r="A809" s="1069"/>
      <c r="B809" s="1068"/>
      <c r="C809" s="1064"/>
      <c r="D809" s="1065"/>
      <c r="E809" s="1064"/>
      <c r="F809" s="1355"/>
      <c r="G809" s="1066"/>
    </row>
    <row r="810" spans="1:10">
      <c r="A810" s="1072">
        <v>10</v>
      </c>
      <c r="B810" s="1073" t="s">
        <v>748</v>
      </c>
      <c r="C810" s="1071"/>
      <c r="D810" s="1411"/>
      <c r="E810" s="1071"/>
      <c r="F810" s="1358"/>
      <c r="G810" s="1066"/>
    </row>
    <row r="811" spans="1:10" s="1037" customFormat="1">
      <c r="A811" s="1067">
        <v>10.1</v>
      </c>
      <c r="B811" s="1068" t="s">
        <v>1017</v>
      </c>
      <c r="C811" s="1064">
        <v>1</v>
      </c>
      <c r="D811" s="1065" t="s">
        <v>3</v>
      </c>
      <c r="E811" s="1064">
        <v>9500</v>
      </c>
      <c r="F811" s="1355">
        <f>ROUND((C811*E811),2)</f>
        <v>9500</v>
      </c>
      <c r="G811" s="1377"/>
    </row>
    <row r="812" spans="1:10">
      <c r="A812" s="1067">
        <v>10.199999999999999</v>
      </c>
      <c r="B812" s="1068" t="s">
        <v>1018</v>
      </c>
      <c r="C812" s="1064">
        <v>1</v>
      </c>
      <c r="D812" s="1065" t="s">
        <v>3</v>
      </c>
      <c r="E812" s="1064">
        <v>8500</v>
      </c>
      <c r="F812" s="1355">
        <f>ROUND((C812*E812),2)</f>
        <v>8500</v>
      </c>
      <c r="G812" s="1377"/>
    </row>
    <row r="813" spans="1:10">
      <c r="A813" s="1067">
        <v>10.3</v>
      </c>
      <c r="B813" s="1068" t="s">
        <v>1019</v>
      </c>
      <c r="C813" s="1064">
        <v>1</v>
      </c>
      <c r="D813" s="1065" t="s">
        <v>3</v>
      </c>
      <c r="E813" s="1064">
        <v>8000</v>
      </c>
      <c r="F813" s="1355">
        <f>ROUND((C813*E813),2)</f>
        <v>8000</v>
      </c>
      <c r="G813" s="1377"/>
    </row>
    <row r="814" spans="1:10">
      <c r="A814" s="1070"/>
      <c r="B814" s="1070"/>
      <c r="C814" s="1071"/>
      <c r="D814" s="1411"/>
      <c r="E814" s="1071"/>
      <c r="F814" s="1358"/>
      <c r="G814" s="1377"/>
    </row>
    <row r="815" spans="1:10">
      <c r="A815" s="1074">
        <v>11</v>
      </c>
      <c r="B815" s="1068" t="s">
        <v>1020</v>
      </c>
      <c r="C815" s="1064">
        <v>24</v>
      </c>
      <c r="D815" s="1065" t="s">
        <v>11</v>
      </c>
      <c r="E815" s="724">
        <v>666.47</v>
      </c>
      <c r="F815" s="1355">
        <f>ROUND((C815*E815),2)</f>
        <v>15995.28</v>
      </c>
      <c r="G815" s="1377"/>
    </row>
    <row r="816" spans="1:10">
      <c r="A816" s="1074">
        <v>12</v>
      </c>
      <c r="B816" s="1068" t="s">
        <v>1021</v>
      </c>
      <c r="C816" s="1064">
        <v>138.79</v>
      </c>
      <c r="D816" s="1065" t="s">
        <v>11</v>
      </c>
      <c r="E816" s="1064">
        <v>115</v>
      </c>
      <c r="F816" s="1355">
        <f>ROUND((C816*E816),2)</f>
        <v>15960.85</v>
      </c>
      <c r="G816" s="1377"/>
    </row>
    <row r="817" spans="1:10">
      <c r="A817" s="1075"/>
      <c r="B817" s="1070"/>
      <c r="C817" s="1071"/>
      <c r="D817" s="1411"/>
      <c r="E817" s="1071"/>
      <c r="F817" s="1358"/>
      <c r="G817" s="1377"/>
    </row>
    <row r="818" spans="1:10">
      <c r="A818" s="1076">
        <v>13</v>
      </c>
      <c r="B818" s="1068" t="s">
        <v>979</v>
      </c>
      <c r="C818" s="1064">
        <v>1</v>
      </c>
      <c r="D818" s="1065" t="s">
        <v>3</v>
      </c>
      <c r="E818" s="1064">
        <v>17500</v>
      </c>
      <c r="F818" s="1355">
        <f>ROUND((C818*E818),2)</f>
        <v>17500</v>
      </c>
      <c r="G818" s="1377"/>
    </row>
    <row r="819" spans="1:10">
      <c r="A819" s="1074">
        <v>14</v>
      </c>
      <c r="B819" s="1068" t="s">
        <v>1022</v>
      </c>
      <c r="C819" s="1064">
        <v>11</v>
      </c>
      <c r="D819" s="1065" t="s">
        <v>42</v>
      </c>
      <c r="E819" s="1064">
        <v>45000</v>
      </c>
      <c r="F819" s="1355">
        <f>ROUND((C819*E819),2)</f>
        <v>495000</v>
      </c>
      <c r="G819" s="1377"/>
      <c r="I819" s="699"/>
    </row>
    <row r="820" spans="1:10">
      <c r="A820" s="1074">
        <v>15</v>
      </c>
      <c r="B820" s="1068" t="s">
        <v>1023</v>
      </c>
      <c r="C820" s="1064">
        <v>1</v>
      </c>
      <c r="D820" s="1065" t="s">
        <v>42</v>
      </c>
      <c r="E820" s="1064">
        <v>12000</v>
      </c>
      <c r="F820" s="1355">
        <f>ROUND((C820*E820),2)</f>
        <v>12000</v>
      </c>
      <c r="G820" s="1377"/>
    </row>
    <row r="821" spans="1:10">
      <c r="A821" s="1077">
        <v>8</v>
      </c>
      <c r="B821" s="1078" t="s">
        <v>1024</v>
      </c>
      <c r="C821" s="1079">
        <v>1</v>
      </c>
      <c r="D821" s="1080" t="s">
        <v>3</v>
      </c>
      <c r="E821" s="724">
        <v>15075</v>
      </c>
      <c r="F821" s="1359">
        <f>ROUND(C821*E821,2)</f>
        <v>15075</v>
      </c>
      <c r="G821" s="1377"/>
    </row>
    <row r="822" spans="1:10">
      <c r="A822" s="820"/>
      <c r="B822" s="821" t="s">
        <v>1176</v>
      </c>
      <c r="C822" s="822"/>
      <c r="D822" s="822"/>
      <c r="E822" s="823"/>
      <c r="F822" s="1352">
        <f>SUM(F649:F807)</f>
        <v>3835381.1</v>
      </c>
      <c r="G822" s="1382"/>
    </row>
    <row r="823" spans="1:10">
      <c r="A823" s="1074"/>
      <c r="B823" s="1068"/>
      <c r="C823" s="1064"/>
      <c r="D823" s="1065"/>
      <c r="E823" s="1064"/>
      <c r="F823" s="1355"/>
      <c r="G823" s="1066"/>
      <c r="H823" s="7"/>
      <c r="I823" s="7"/>
      <c r="J823" s="7"/>
    </row>
    <row r="824" spans="1:10" ht="25.5">
      <c r="A824" s="825" t="s">
        <v>540</v>
      </c>
      <c r="B824" s="3" t="s">
        <v>567</v>
      </c>
      <c r="C824" s="826"/>
      <c r="D824" s="519"/>
      <c r="E824" s="811"/>
      <c r="F824" s="827"/>
      <c r="G824" s="44"/>
      <c r="H824" s="7"/>
      <c r="I824" s="7"/>
      <c r="J824" s="7"/>
    </row>
    <row r="825" spans="1:10">
      <c r="A825" s="828"/>
      <c r="B825" s="3"/>
      <c r="C825" s="826"/>
      <c r="D825" s="519"/>
      <c r="E825" s="811"/>
      <c r="F825" s="827"/>
      <c r="G825" s="44"/>
      <c r="H825" s="7"/>
      <c r="I825" s="7"/>
      <c r="J825" s="7"/>
    </row>
    <row r="826" spans="1:10">
      <c r="A826" s="828">
        <v>1</v>
      </c>
      <c r="B826" s="829" t="s">
        <v>568</v>
      </c>
      <c r="C826" s="876">
        <v>88.9</v>
      </c>
      <c r="D826" s="830" t="s">
        <v>1</v>
      </c>
      <c r="E826" s="878">
        <v>22.93</v>
      </c>
      <c r="F826" s="815">
        <f t="shared" ref="F826:F835" si="21">+ROUND((E826*C826),2)</f>
        <v>2038.48</v>
      </c>
      <c r="G826" s="1377"/>
      <c r="H826" s="7"/>
      <c r="I826" s="701"/>
      <c r="J826" s="7"/>
    </row>
    <row r="827" spans="1:10">
      <c r="A827" s="828">
        <v>2</v>
      </c>
      <c r="B827" s="829" t="s">
        <v>569</v>
      </c>
      <c r="C827" s="876">
        <v>0.04</v>
      </c>
      <c r="D827" s="830" t="s">
        <v>570</v>
      </c>
      <c r="E827" s="878">
        <v>16793.05</v>
      </c>
      <c r="F827" s="815">
        <f t="shared" si="21"/>
        <v>671.72</v>
      </c>
      <c r="G827" s="1377"/>
      <c r="H827" s="7"/>
      <c r="I827" s="7"/>
      <c r="J827" s="7"/>
    </row>
    <row r="828" spans="1:10">
      <c r="A828" s="828"/>
      <c r="B828" s="829"/>
      <c r="C828" s="876"/>
      <c r="D828" s="830"/>
      <c r="E828" s="878"/>
      <c r="F828" s="815">
        <f t="shared" si="21"/>
        <v>0</v>
      </c>
      <c r="G828" s="1377"/>
      <c r="H828" s="7"/>
      <c r="I828" s="7"/>
      <c r="J828" s="7"/>
    </row>
    <row r="829" spans="1:10">
      <c r="A829" s="831">
        <v>3</v>
      </c>
      <c r="B829" s="3" t="s">
        <v>38</v>
      </c>
      <c r="C829" s="876"/>
      <c r="D829" s="830"/>
      <c r="E829" s="878"/>
      <c r="F829" s="815">
        <f t="shared" si="21"/>
        <v>0</v>
      </c>
      <c r="G829" s="1377"/>
      <c r="H829" s="7"/>
      <c r="I829" s="7"/>
      <c r="J829" s="7"/>
    </row>
    <row r="830" spans="1:10">
      <c r="A830" s="828">
        <v>3.1</v>
      </c>
      <c r="B830" s="829" t="s">
        <v>571</v>
      </c>
      <c r="C830" s="876">
        <v>509.98</v>
      </c>
      <c r="D830" s="830" t="s">
        <v>2</v>
      </c>
      <c r="E830" s="878">
        <v>58.92</v>
      </c>
      <c r="F830" s="815">
        <f t="shared" si="21"/>
        <v>30048.02</v>
      </c>
      <c r="G830" s="1377"/>
      <c r="H830" s="7"/>
      <c r="I830" s="7"/>
      <c r="J830" s="7"/>
    </row>
    <row r="831" spans="1:10" ht="25.5">
      <c r="A831" s="828">
        <v>3.2</v>
      </c>
      <c r="B831" s="829" t="s">
        <v>572</v>
      </c>
      <c r="C831" s="876">
        <v>106.68</v>
      </c>
      <c r="D831" s="832" t="s">
        <v>2</v>
      </c>
      <c r="E831" s="878">
        <v>383.87</v>
      </c>
      <c r="F831" s="815">
        <f t="shared" si="21"/>
        <v>40951.25</v>
      </c>
      <c r="G831" s="1377"/>
      <c r="H831" s="7"/>
      <c r="I831" s="7"/>
      <c r="J831" s="7"/>
    </row>
    <row r="832" spans="1:10">
      <c r="A832" s="828">
        <v>3.3</v>
      </c>
      <c r="B832" s="829" t="s">
        <v>573</v>
      </c>
      <c r="C832" s="876">
        <v>106.68</v>
      </c>
      <c r="D832" s="830" t="s">
        <v>2</v>
      </c>
      <c r="E832" s="878">
        <v>26.55</v>
      </c>
      <c r="F832" s="815">
        <f t="shared" si="21"/>
        <v>2832.35</v>
      </c>
      <c r="G832" s="1377"/>
      <c r="H832" s="7"/>
      <c r="I832" s="7"/>
      <c r="J832" s="7"/>
    </row>
    <row r="833" spans="1:10">
      <c r="A833" s="828">
        <v>3.4</v>
      </c>
      <c r="B833" s="829" t="s">
        <v>574</v>
      </c>
      <c r="C833" s="876">
        <v>81.08</v>
      </c>
      <c r="D833" s="830" t="s">
        <v>2</v>
      </c>
      <c r="E833" s="878">
        <v>45.89</v>
      </c>
      <c r="F833" s="815">
        <f t="shared" si="21"/>
        <v>3720.76</v>
      </c>
      <c r="G833" s="1377"/>
      <c r="H833" s="7"/>
      <c r="I833" s="7"/>
      <c r="J833" s="7"/>
    </row>
    <row r="834" spans="1:10">
      <c r="A834" s="828"/>
      <c r="B834" s="829"/>
      <c r="C834" s="876"/>
      <c r="D834" s="830"/>
      <c r="E834" s="878"/>
      <c r="F834" s="815">
        <f t="shared" si="21"/>
        <v>0</v>
      </c>
      <c r="G834" s="1377"/>
      <c r="H834" s="7"/>
      <c r="I834" s="7"/>
      <c r="J834" s="7"/>
    </row>
    <row r="835" spans="1:10">
      <c r="A835" s="828">
        <v>4</v>
      </c>
      <c r="B835" s="829" t="s">
        <v>575</v>
      </c>
      <c r="C835" s="876">
        <f>C826*2</f>
        <v>177.8</v>
      </c>
      <c r="D835" s="830" t="s">
        <v>1</v>
      </c>
      <c r="E835" s="878">
        <v>12.96</v>
      </c>
      <c r="F835" s="815">
        <f t="shared" si="21"/>
        <v>2304.29</v>
      </c>
      <c r="G835" s="1377"/>
      <c r="H835" s="7"/>
      <c r="I835" s="7"/>
      <c r="J835" s="7"/>
    </row>
    <row r="836" spans="1:10">
      <c r="A836" s="833"/>
      <c r="B836" s="834" t="s">
        <v>973</v>
      </c>
      <c r="C836" s="835"/>
      <c r="D836" s="836"/>
      <c r="E836" s="837"/>
      <c r="F836" s="838">
        <f>SUM(F824:F835)</f>
        <v>82566.87</v>
      </c>
      <c r="G836" s="839"/>
      <c r="H836" s="7"/>
      <c r="I836" s="7"/>
      <c r="J836" s="7"/>
    </row>
    <row r="837" spans="1:10">
      <c r="A837" s="720"/>
      <c r="B837" s="28"/>
      <c r="C837" s="733"/>
      <c r="D837" s="9"/>
      <c r="E837" s="22"/>
      <c r="F837" s="39"/>
      <c r="G837" s="649"/>
      <c r="H837" s="7"/>
      <c r="I837" s="7"/>
      <c r="J837" s="7"/>
    </row>
    <row r="838" spans="1:10" ht="25.5">
      <c r="A838" s="1306" t="s">
        <v>997</v>
      </c>
      <c r="B838" s="1307" t="s">
        <v>1008</v>
      </c>
      <c r="C838" s="1308"/>
      <c r="D838" s="1309"/>
      <c r="E838" s="1310"/>
      <c r="F838" s="1311"/>
      <c r="G838" s="649"/>
      <c r="H838" s="7"/>
      <c r="I838" s="7"/>
      <c r="J838" s="7"/>
    </row>
    <row r="839" spans="1:10">
      <c r="A839" s="27"/>
      <c r="B839" s="51"/>
      <c r="C839" s="22"/>
      <c r="D839" s="9"/>
      <c r="E839" s="31"/>
      <c r="F839" s="39"/>
      <c r="G839" s="649"/>
      <c r="H839" s="7"/>
      <c r="I839" s="7"/>
      <c r="J839" s="7"/>
    </row>
    <row r="840" spans="1:10">
      <c r="A840" s="720">
        <v>1</v>
      </c>
      <c r="B840" s="28" t="s">
        <v>37</v>
      </c>
      <c r="C840" s="1045">
        <f>+'MT-G'!C26</f>
        <v>4812</v>
      </c>
      <c r="D840" s="9" t="s">
        <v>1</v>
      </c>
      <c r="E840" s="803">
        <v>5</v>
      </c>
      <c r="F840" s="39">
        <f>+ROUND(C840*E840,2)</f>
        <v>24060</v>
      </c>
      <c r="G840" s="1377"/>
      <c r="H840" s="7"/>
      <c r="I840" s="7"/>
      <c r="J840" s="7"/>
    </row>
    <row r="841" spans="1:10">
      <c r="A841" s="720"/>
      <c r="B841" s="28"/>
      <c r="C841" s="1045"/>
      <c r="D841" s="9"/>
      <c r="E841" s="803"/>
      <c r="F841" s="39"/>
      <c r="G841" s="1377"/>
      <c r="H841" s="7"/>
      <c r="I841" s="7"/>
      <c r="J841" s="7"/>
    </row>
    <row r="842" spans="1:10">
      <c r="A842" s="16">
        <v>2</v>
      </c>
      <c r="B842" s="711" t="s">
        <v>14</v>
      </c>
      <c r="C842" s="804"/>
      <c r="D842" s="10"/>
      <c r="E842" s="1039"/>
      <c r="F842" s="39">
        <f t="shared" ref="F842:F860" si="22">+ROUND(C842*E842,2)</f>
        <v>0</v>
      </c>
      <c r="G842" s="1377"/>
    </row>
    <row r="843" spans="1:10">
      <c r="A843" s="1204" t="s">
        <v>1182</v>
      </c>
      <c r="B843" s="1205" t="s">
        <v>1187</v>
      </c>
      <c r="C843" s="805">
        <f>+'MT-G'!I59</f>
        <v>4807.1899999999996</v>
      </c>
      <c r="D843" s="1206" t="s">
        <v>2</v>
      </c>
      <c r="E843" s="1207">
        <v>154.53</v>
      </c>
      <c r="F843" s="1040">
        <f t="shared" si="22"/>
        <v>742855.07</v>
      </c>
      <c r="G843" s="1377"/>
    </row>
    <row r="844" spans="1:10" ht="25.5">
      <c r="A844" s="1204" t="s">
        <v>1183</v>
      </c>
      <c r="B844" s="1205" t="s">
        <v>1188</v>
      </c>
      <c r="C844" s="805">
        <f>+'MT-G'!I58</f>
        <v>534.13</v>
      </c>
      <c r="D844" s="1206" t="s">
        <v>2</v>
      </c>
      <c r="E844" s="1207">
        <v>1125.8</v>
      </c>
      <c r="F844" s="1040">
        <f t="shared" si="22"/>
        <v>601323.55000000005</v>
      </c>
      <c r="G844" s="1377"/>
    </row>
    <row r="845" spans="1:10">
      <c r="A845" s="1204">
        <v>2.2000000000000002</v>
      </c>
      <c r="B845" s="1205" t="s">
        <v>1181</v>
      </c>
      <c r="C845" s="805">
        <f>+C840*0.85</f>
        <v>4090.2</v>
      </c>
      <c r="D845" s="1206" t="s">
        <v>11</v>
      </c>
      <c r="E845" s="1207">
        <v>28.5</v>
      </c>
      <c r="F845" s="1040">
        <f t="shared" si="22"/>
        <v>116570.7</v>
      </c>
      <c r="G845" s="1377"/>
    </row>
    <row r="846" spans="1:10">
      <c r="A846" s="715">
        <v>2.2000000000000002</v>
      </c>
      <c r="B846" s="716" t="s">
        <v>4</v>
      </c>
      <c r="C846" s="805">
        <f>+'MT-G'!I28</f>
        <v>409.02</v>
      </c>
      <c r="D846" s="713" t="s">
        <v>2</v>
      </c>
      <c r="E846" s="1207">
        <v>1108.8900000000001</v>
      </c>
      <c r="F846" s="32">
        <f t="shared" si="22"/>
        <v>453558.19</v>
      </c>
      <c r="G846" s="1377"/>
    </row>
    <row r="847" spans="1:10" ht="38.25">
      <c r="A847" s="715">
        <v>2.2999999999999998</v>
      </c>
      <c r="B847" s="717" t="s">
        <v>1221</v>
      </c>
      <c r="C847" s="805">
        <f>+C844*1.25</f>
        <v>667.66</v>
      </c>
      <c r="D847" s="713" t="s">
        <v>2</v>
      </c>
      <c r="E847" s="1207">
        <f>+E22</f>
        <v>668.95</v>
      </c>
      <c r="F847" s="32">
        <f t="shared" si="22"/>
        <v>446631.16</v>
      </c>
      <c r="G847" s="1377"/>
    </row>
    <row r="848" spans="1:10" ht="25.5">
      <c r="A848" s="12">
        <v>2.4</v>
      </c>
      <c r="B848" s="1205" t="s">
        <v>1184</v>
      </c>
      <c r="C848" s="805">
        <f>+'MT-G'!I30</f>
        <v>4351.97</v>
      </c>
      <c r="D848" s="713" t="s">
        <v>2</v>
      </c>
      <c r="E848" s="1207">
        <f>+E23</f>
        <v>183.5</v>
      </c>
      <c r="F848" s="32">
        <f t="shared" si="22"/>
        <v>798586.5</v>
      </c>
      <c r="G848" s="1377"/>
    </row>
    <row r="849" spans="1:7">
      <c r="A849" s="715">
        <v>2.5</v>
      </c>
      <c r="B849" s="716" t="s">
        <v>35</v>
      </c>
      <c r="C849" s="805">
        <f>+C844*1.4+'MT-G'!I32</f>
        <v>1935</v>
      </c>
      <c r="D849" s="713" t="s">
        <v>2</v>
      </c>
      <c r="E849" s="1207">
        <f>+E24</f>
        <v>165</v>
      </c>
      <c r="F849" s="32">
        <f t="shared" si="22"/>
        <v>319275</v>
      </c>
      <c r="G849" s="1377"/>
    </row>
    <row r="850" spans="1:7">
      <c r="A850" s="12"/>
      <c r="B850" s="28"/>
      <c r="C850" s="803"/>
      <c r="D850" s="9"/>
      <c r="E850" s="803"/>
      <c r="F850" s="32">
        <f t="shared" si="22"/>
        <v>0</v>
      </c>
      <c r="G850" s="1377"/>
    </row>
    <row r="851" spans="1:7">
      <c r="A851" s="718">
        <v>3</v>
      </c>
      <c r="B851" s="711" t="s">
        <v>25</v>
      </c>
      <c r="C851" s="804"/>
      <c r="D851" s="10"/>
      <c r="E851" s="1039"/>
      <c r="F851" s="32">
        <f t="shared" si="22"/>
        <v>0</v>
      </c>
      <c r="G851" s="1377"/>
    </row>
    <row r="852" spans="1:7">
      <c r="A852" s="17">
        <v>3.1</v>
      </c>
      <c r="B852" s="28" t="s">
        <v>1000</v>
      </c>
      <c r="C852" s="806">
        <f>890.37*1.03</f>
        <v>917.08</v>
      </c>
      <c r="D852" s="15" t="s">
        <v>1</v>
      </c>
      <c r="E852" s="806">
        <v>1138.07</v>
      </c>
      <c r="F852" s="32">
        <f t="shared" si="22"/>
        <v>1043701.24</v>
      </c>
      <c r="G852" s="1377"/>
    </row>
    <row r="853" spans="1:7">
      <c r="A853" s="17">
        <v>3.2</v>
      </c>
      <c r="B853" s="28" t="s">
        <v>1001</v>
      </c>
      <c r="C853" s="806">
        <f>2686.42*1.02</f>
        <v>2740.15</v>
      </c>
      <c r="D853" s="15" t="s">
        <v>1</v>
      </c>
      <c r="E853" s="806">
        <v>405.68</v>
      </c>
      <c r="F853" s="32">
        <f t="shared" si="22"/>
        <v>1111624.05</v>
      </c>
      <c r="G853" s="1377"/>
    </row>
    <row r="854" spans="1:7">
      <c r="A854" s="17">
        <v>3.3</v>
      </c>
      <c r="B854" s="28" t="s">
        <v>407</v>
      </c>
      <c r="C854" s="806">
        <f>2309.944*1.02</f>
        <v>2356.14</v>
      </c>
      <c r="D854" s="15" t="s">
        <v>1</v>
      </c>
      <c r="E854" s="806">
        <v>118.41</v>
      </c>
      <c r="F854" s="32">
        <f>+ROUND(C854*E854,2)</f>
        <v>278990.53999999998</v>
      </c>
      <c r="G854" s="1377"/>
    </row>
    <row r="855" spans="1:7">
      <c r="A855" s="719"/>
      <c r="B855" s="51"/>
      <c r="C855" s="803"/>
      <c r="D855" s="9"/>
      <c r="E855" s="803"/>
      <c r="F855" s="32">
        <f t="shared" si="22"/>
        <v>0</v>
      </c>
      <c r="G855" s="1377"/>
    </row>
    <row r="856" spans="1:7">
      <c r="A856" s="720">
        <v>4</v>
      </c>
      <c r="B856" s="51" t="s">
        <v>26</v>
      </c>
      <c r="C856" s="803"/>
      <c r="D856" s="9"/>
      <c r="E856" s="803"/>
      <c r="F856" s="39">
        <f t="shared" si="22"/>
        <v>0</v>
      </c>
      <c r="G856" s="1377"/>
    </row>
    <row r="857" spans="1:7">
      <c r="A857" s="17">
        <v>4.0999999999999996</v>
      </c>
      <c r="B857" s="28" t="s">
        <v>1000</v>
      </c>
      <c r="C857" s="806">
        <f>890.37*1.03</f>
        <v>917.08</v>
      </c>
      <c r="D857" s="15" t="s">
        <v>1</v>
      </c>
      <c r="E857" s="803">
        <v>27.87</v>
      </c>
      <c r="F857" s="32">
        <f>+ROUND(C857*E857,2)</f>
        <v>25559.02</v>
      </c>
      <c r="G857" s="1377"/>
    </row>
    <row r="858" spans="1:7">
      <c r="A858" s="17">
        <v>4.2</v>
      </c>
      <c r="B858" s="28" t="s">
        <v>999</v>
      </c>
      <c r="C858" s="806">
        <f>2686.42*1.02</f>
        <v>2740.15</v>
      </c>
      <c r="D858" s="15" t="s">
        <v>1</v>
      </c>
      <c r="E858" s="803">
        <v>18.399999999999999</v>
      </c>
      <c r="F858" s="32">
        <f>+ROUND(C858*E858,2)</f>
        <v>50418.76</v>
      </c>
      <c r="G858" s="1377"/>
    </row>
    <row r="859" spans="1:7">
      <c r="A859" s="17">
        <v>4.3</v>
      </c>
      <c r="B859" s="28" t="s">
        <v>998</v>
      </c>
      <c r="C859" s="806">
        <f>2309.944*1.02</f>
        <v>2356.14</v>
      </c>
      <c r="D859" s="15" t="s">
        <v>1</v>
      </c>
      <c r="E859" s="803">
        <v>17.46</v>
      </c>
      <c r="F859" s="32">
        <f>+ROUND(C859*E859,2)</f>
        <v>41138.199999999997</v>
      </c>
      <c r="G859" s="1377"/>
    </row>
    <row r="860" spans="1:7">
      <c r="A860" s="739"/>
      <c r="B860" s="740"/>
      <c r="C860" s="854"/>
      <c r="D860" s="741"/>
      <c r="E860" s="1050"/>
      <c r="F860" s="742">
        <f t="shared" si="22"/>
        <v>0</v>
      </c>
      <c r="G860" s="1377"/>
    </row>
    <row r="861" spans="1:7">
      <c r="A861" s="746">
        <v>5</v>
      </c>
      <c r="B861" s="744" t="s">
        <v>486</v>
      </c>
      <c r="C861" s="806"/>
      <c r="D861" s="1046"/>
      <c r="E861" s="1047"/>
      <c r="F861" s="1048"/>
      <c r="G861" s="1377"/>
    </row>
    <row r="862" spans="1:7" s="1037" customFormat="1" ht="25.5">
      <c r="A862" s="14">
        <v>5.0999999999999996</v>
      </c>
      <c r="B862" s="1053" t="s">
        <v>1506</v>
      </c>
      <c r="C862" s="1040">
        <v>3</v>
      </c>
      <c r="D862" s="814" t="s">
        <v>3</v>
      </c>
      <c r="E862" s="1221">
        <v>3779.15</v>
      </c>
      <c r="F862" s="1582">
        <f t="shared" ref="F862:F874" si="23">ROUND(C862*E862,2)</f>
        <v>11337.45</v>
      </c>
      <c r="G862" s="852"/>
    </row>
    <row r="863" spans="1:7" s="1037" customFormat="1" ht="25.5">
      <c r="A863" s="14">
        <v>5.2</v>
      </c>
      <c r="B863" s="1053" t="s">
        <v>1507</v>
      </c>
      <c r="C863" s="1040">
        <v>2</v>
      </c>
      <c r="D863" s="814" t="s">
        <v>3</v>
      </c>
      <c r="E863" s="1221">
        <v>3584.45</v>
      </c>
      <c r="F863" s="1582">
        <f t="shared" si="23"/>
        <v>7168.9</v>
      </c>
      <c r="G863" s="852"/>
    </row>
    <row r="864" spans="1:7" s="1037" customFormat="1" ht="25.5">
      <c r="A864" s="14">
        <v>5.3</v>
      </c>
      <c r="B864" s="1053" t="s">
        <v>1508</v>
      </c>
      <c r="C864" s="1040">
        <v>2</v>
      </c>
      <c r="D864" s="814" t="s">
        <v>3</v>
      </c>
      <c r="E864" s="1221">
        <v>2944.74</v>
      </c>
      <c r="F864" s="1582">
        <f t="shared" si="23"/>
        <v>5889.48</v>
      </c>
      <c r="G864" s="852"/>
    </row>
    <row r="865" spans="1:7" s="1037" customFormat="1" ht="25.5">
      <c r="A865" s="14">
        <v>5.4</v>
      </c>
      <c r="B865" s="1053" t="s">
        <v>1200</v>
      </c>
      <c r="C865" s="1040">
        <v>3</v>
      </c>
      <c r="D865" s="814" t="s">
        <v>3</v>
      </c>
      <c r="E865" s="1221">
        <v>2443.85</v>
      </c>
      <c r="F865" s="1582">
        <f t="shared" si="23"/>
        <v>7331.55</v>
      </c>
      <c r="G865" s="852"/>
    </row>
    <row r="866" spans="1:7" s="1037" customFormat="1" ht="25.5">
      <c r="A866" s="14">
        <v>5.5</v>
      </c>
      <c r="B866" s="1583" t="s">
        <v>1199</v>
      </c>
      <c r="C866" s="1040">
        <v>8</v>
      </c>
      <c r="D866" s="814" t="s">
        <v>3</v>
      </c>
      <c r="E866" s="1221">
        <v>2119.35</v>
      </c>
      <c r="F866" s="1582">
        <f t="shared" si="23"/>
        <v>16954.8</v>
      </c>
      <c r="G866" s="852"/>
    </row>
    <row r="867" spans="1:7" s="1037" customFormat="1" ht="25.5">
      <c r="A867" s="14">
        <v>5.6</v>
      </c>
      <c r="B867" s="1053" t="s">
        <v>1509</v>
      </c>
      <c r="C867" s="1040">
        <v>30</v>
      </c>
      <c r="D867" s="814" t="s">
        <v>3</v>
      </c>
      <c r="E867" s="1221">
        <v>2750.04</v>
      </c>
      <c r="F867" s="1582">
        <f t="shared" si="23"/>
        <v>82501.2</v>
      </c>
      <c r="G867" s="852"/>
    </row>
    <row r="868" spans="1:7" s="1037" customFormat="1" ht="25.5">
      <c r="A868" s="14">
        <v>5.7</v>
      </c>
      <c r="B868" s="1053" t="s">
        <v>1510</v>
      </c>
      <c r="C868" s="1040">
        <v>3</v>
      </c>
      <c r="D868" s="814" t="s">
        <v>3</v>
      </c>
      <c r="E868" s="1221">
        <v>1644.54</v>
      </c>
      <c r="F868" s="1582">
        <f t="shared" si="23"/>
        <v>4933.62</v>
      </c>
      <c r="G868" s="852"/>
    </row>
    <row r="869" spans="1:7" s="1037" customFormat="1">
      <c r="A869" s="14">
        <v>5.8</v>
      </c>
      <c r="B869" s="1053" t="s">
        <v>1511</v>
      </c>
      <c r="C869" s="1040">
        <v>8</v>
      </c>
      <c r="D869" s="814" t="s">
        <v>3</v>
      </c>
      <c r="E869" s="1221">
        <v>1449.38</v>
      </c>
      <c r="F869" s="1582">
        <f t="shared" si="23"/>
        <v>11595.04</v>
      </c>
      <c r="G869" s="852"/>
    </row>
    <row r="870" spans="1:7" s="1037" customFormat="1">
      <c r="A870" s="14">
        <v>5.9</v>
      </c>
      <c r="B870" s="1583" t="s">
        <v>1512</v>
      </c>
      <c r="C870" s="1040">
        <v>74</v>
      </c>
      <c r="D870" s="814" t="s">
        <v>3</v>
      </c>
      <c r="E870" s="1221">
        <v>1384.48</v>
      </c>
      <c r="F870" s="1582">
        <f t="shared" si="23"/>
        <v>102451.52</v>
      </c>
      <c r="G870" s="852"/>
    </row>
    <row r="871" spans="1:7" s="1037" customFormat="1">
      <c r="A871" s="1581">
        <v>5.0999999999999996</v>
      </c>
      <c r="B871" s="1053" t="s">
        <v>1201</v>
      </c>
      <c r="C871" s="1040">
        <v>32</v>
      </c>
      <c r="D871" s="814" t="s">
        <v>3</v>
      </c>
      <c r="E871" s="1221">
        <v>1566.25</v>
      </c>
      <c r="F871" s="1582">
        <f t="shared" si="23"/>
        <v>50120</v>
      </c>
      <c r="G871" s="852"/>
    </row>
    <row r="872" spans="1:7" s="1037" customFormat="1" ht="25.5">
      <c r="A872" s="1581">
        <v>5.1100000000000003</v>
      </c>
      <c r="B872" s="1053" t="s">
        <v>1513</v>
      </c>
      <c r="C872" s="1040">
        <v>1</v>
      </c>
      <c r="D872" s="814" t="s">
        <v>3</v>
      </c>
      <c r="E872" s="1221">
        <v>1405.45</v>
      </c>
      <c r="F872" s="1582">
        <f t="shared" si="23"/>
        <v>1405.45</v>
      </c>
      <c r="G872" s="852"/>
    </row>
    <row r="873" spans="1:7" s="1037" customFormat="1" ht="25.5">
      <c r="A873" s="1581">
        <v>5.12</v>
      </c>
      <c r="B873" s="1583" t="s">
        <v>410</v>
      </c>
      <c r="C873" s="1584"/>
      <c r="D873" s="814" t="s">
        <v>3</v>
      </c>
      <c r="E873" s="1585"/>
      <c r="F873" s="1582">
        <f t="shared" si="23"/>
        <v>0</v>
      </c>
      <c r="G873" s="852"/>
    </row>
    <row r="874" spans="1:7" s="1037" customFormat="1">
      <c r="A874" s="1581">
        <v>5.13</v>
      </c>
      <c r="B874" s="1053" t="s">
        <v>487</v>
      </c>
      <c r="C874" s="1040">
        <v>51</v>
      </c>
      <c r="D874" s="1220" t="s">
        <v>3</v>
      </c>
      <c r="E874" s="1040">
        <v>300</v>
      </c>
      <c r="F874" s="1040">
        <f t="shared" si="23"/>
        <v>15300</v>
      </c>
      <c r="G874" s="852"/>
    </row>
    <row r="875" spans="1:7">
      <c r="A875" s="17"/>
      <c r="B875" s="28"/>
      <c r="C875" s="1018"/>
      <c r="D875" s="15"/>
      <c r="E875" s="1026"/>
      <c r="F875" s="39"/>
      <c r="G875" s="649"/>
    </row>
    <row r="876" spans="1:7">
      <c r="A876" s="25">
        <v>6</v>
      </c>
      <c r="B876" s="51" t="s">
        <v>412</v>
      </c>
      <c r="C876" s="1018"/>
      <c r="D876" s="15"/>
      <c r="E876" s="1026"/>
      <c r="F876" s="39">
        <f>+ROUND(C876*E876,2)</f>
        <v>0</v>
      </c>
      <c r="G876" s="649"/>
    </row>
    <row r="877" spans="1:7" ht="25.5">
      <c r="A877" s="17">
        <v>6.1</v>
      </c>
      <c r="B877" s="710" t="s">
        <v>410</v>
      </c>
      <c r="C877" s="1018">
        <v>1</v>
      </c>
      <c r="D877" s="15" t="s">
        <v>3</v>
      </c>
      <c r="E877" s="1026">
        <v>1514.74</v>
      </c>
      <c r="F877" s="39">
        <f>+ROUND(C877*E877,2)</f>
        <v>1514.74</v>
      </c>
      <c r="G877" s="649"/>
    </row>
    <row r="878" spans="1:7">
      <c r="A878" s="17">
        <v>6.2</v>
      </c>
      <c r="B878" s="710" t="s">
        <v>411</v>
      </c>
      <c r="C878" s="1018">
        <v>3</v>
      </c>
      <c r="D878" s="15" t="s">
        <v>3</v>
      </c>
      <c r="E878" s="1026">
        <v>1384.48</v>
      </c>
      <c r="F878" s="39">
        <f>+ROUND(C878*E878,2)</f>
        <v>4153.4399999999996</v>
      </c>
      <c r="G878" s="649"/>
    </row>
    <row r="879" spans="1:7" ht="25.5">
      <c r="A879" s="17">
        <v>6.3</v>
      </c>
      <c r="B879" s="28" t="s">
        <v>413</v>
      </c>
      <c r="C879" s="1018">
        <v>1</v>
      </c>
      <c r="D879" s="15" t="s">
        <v>3</v>
      </c>
      <c r="E879" s="1026">
        <v>1500</v>
      </c>
      <c r="F879" s="39">
        <f>+ROUND(C879*E879,2)</f>
        <v>1500</v>
      </c>
      <c r="G879" s="649"/>
    </row>
    <row r="880" spans="1:7">
      <c r="A880" s="17">
        <v>6.4</v>
      </c>
      <c r="B880" s="18" t="s">
        <v>480</v>
      </c>
      <c r="C880" s="1016">
        <v>4</v>
      </c>
      <c r="D880" s="10" t="s">
        <v>47</v>
      </c>
      <c r="E880" s="1025">
        <v>397.75</v>
      </c>
      <c r="F880" s="47">
        <f>+ROUND(C880*E880,2)</f>
        <v>1591</v>
      </c>
      <c r="G880" s="649"/>
    </row>
    <row r="881" spans="1:7">
      <c r="A881" s="17"/>
      <c r="B881" s="18"/>
      <c r="C881" s="1016"/>
      <c r="D881" s="10"/>
      <c r="E881" s="1025"/>
      <c r="F881" s="47"/>
      <c r="G881" s="649"/>
    </row>
    <row r="882" spans="1:7">
      <c r="A882" s="721">
        <v>7</v>
      </c>
      <c r="B882" s="722" t="s">
        <v>39</v>
      </c>
      <c r="C882" s="1016"/>
      <c r="D882" s="10"/>
      <c r="E882" s="1025"/>
      <c r="F882" s="39">
        <f>+ROUND(C882*E882,2)</f>
        <v>0</v>
      </c>
      <c r="G882" s="649"/>
    </row>
    <row r="883" spans="1:7">
      <c r="A883" s="695">
        <v>7.1</v>
      </c>
      <c r="B883" s="18" t="s">
        <v>994</v>
      </c>
      <c r="C883" s="804">
        <v>23</v>
      </c>
      <c r="D883" s="10" t="s">
        <v>3</v>
      </c>
      <c r="E883" s="1039">
        <v>38964.559999999998</v>
      </c>
      <c r="F883" s="47">
        <f>+ROUND(C883*E883,2)</f>
        <v>896184.88</v>
      </c>
      <c r="G883" s="649"/>
    </row>
    <row r="884" spans="1:7">
      <c r="A884" s="695">
        <v>7.2</v>
      </c>
      <c r="B884" s="18" t="s">
        <v>983</v>
      </c>
      <c r="C884" s="804">
        <v>15</v>
      </c>
      <c r="D884" s="1049" t="s">
        <v>3</v>
      </c>
      <c r="E884" s="1039">
        <v>50772.81</v>
      </c>
      <c r="F884" s="47">
        <f>+ROUND(C884*E884,2)</f>
        <v>761592.15</v>
      </c>
      <c r="G884" s="649"/>
    </row>
    <row r="885" spans="1:7">
      <c r="A885" s="695">
        <v>7.2</v>
      </c>
      <c r="B885" s="18" t="s">
        <v>414</v>
      </c>
      <c r="C885" s="804">
        <f>+C884+C883</f>
        <v>38</v>
      </c>
      <c r="D885" s="1049" t="s">
        <v>3</v>
      </c>
      <c r="E885" s="1039">
        <v>3375</v>
      </c>
      <c r="F885" s="39">
        <f>+ROUND(C885*E885,2)</f>
        <v>128250</v>
      </c>
      <c r="G885" s="649"/>
    </row>
    <row r="886" spans="1:7">
      <c r="A886" s="17"/>
      <c r="B886" s="28"/>
      <c r="C886" s="1018"/>
      <c r="D886" s="15"/>
      <c r="E886" s="1026"/>
      <c r="F886" s="39"/>
      <c r="G886" s="649"/>
    </row>
    <row r="887" spans="1:7">
      <c r="A887" s="25">
        <v>8</v>
      </c>
      <c r="B887" s="51" t="s">
        <v>481</v>
      </c>
      <c r="C887" s="1018"/>
      <c r="D887" s="15"/>
      <c r="E887" s="1026"/>
      <c r="F887" s="39"/>
      <c r="G887" s="649"/>
    </row>
    <row r="888" spans="1:7">
      <c r="A888" s="734">
        <v>8.1</v>
      </c>
      <c r="B888" s="735" t="s">
        <v>484</v>
      </c>
      <c r="C888" s="1020"/>
      <c r="D888" s="723"/>
      <c r="E888" s="1019"/>
      <c r="F888" s="696"/>
      <c r="G888" s="649"/>
    </row>
    <row r="889" spans="1:7">
      <c r="A889" s="725" t="s">
        <v>493</v>
      </c>
      <c r="B889" s="697" t="s">
        <v>48</v>
      </c>
      <c r="C889" s="1021">
        <v>30</v>
      </c>
      <c r="D889" s="19" t="s">
        <v>3</v>
      </c>
      <c r="E889" s="1021">
        <v>230.1</v>
      </c>
      <c r="F889" s="696">
        <f t="shared" ref="F889:F900" si="24">ROUND(C889*E889,2)</f>
        <v>6903</v>
      </c>
      <c r="G889" s="649"/>
    </row>
    <row r="890" spans="1:7" ht="25.5">
      <c r="A890" s="725" t="s">
        <v>494</v>
      </c>
      <c r="B890" s="726" t="s">
        <v>53</v>
      </c>
      <c r="C890" s="1022">
        <f>6*30</f>
        <v>180</v>
      </c>
      <c r="D890" s="727" t="s">
        <v>1</v>
      </c>
      <c r="E890" s="1019">
        <v>28.32</v>
      </c>
      <c r="F890" s="696">
        <f t="shared" si="24"/>
        <v>5097.6000000000004</v>
      </c>
      <c r="G890" s="649"/>
    </row>
    <row r="891" spans="1:7">
      <c r="A891" s="725" t="s">
        <v>495</v>
      </c>
      <c r="B891" s="697" t="s">
        <v>49</v>
      </c>
      <c r="C891" s="1021">
        <v>30</v>
      </c>
      <c r="D891" s="19" t="s">
        <v>3</v>
      </c>
      <c r="E891" s="1021">
        <v>53.1</v>
      </c>
      <c r="F891" s="696">
        <f t="shared" si="24"/>
        <v>1593</v>
      </c>
      <c r="G891" s="649"/>
    </row>
    <row r="892" spans="1:7">
      <c r="A892" s="725" t="s">
        <v>496</v>
      </c>
      <c r="B892" s="697" t="s">
        <v>54</v>
      </c>
      <c r="C892" s="1021">
        <v>30</v>
      </c>
      <c r="D892" s="19" t="s">
        <v>3</v>
      </c>
      <c r="E892" s="1021">
        <v>53.1</v>
      </c>
      <c r="F892" s="696">
        <f t="shared" si="24"/>
        <v>1593</v>
      </c>
      <c r="G892" s="649"/>
    </row>
    <row r="893" spans="1:7">
      <c r="A893" s="725" t="s">
        <v>497</v>
      </c>
      <c r="B893" s="697" t="s">
        <v>55</v>
      </c>
      <c r="C893" s="1021">
        <v>30</v>
      </c>
      <c r="D893" s="19" t="s">
        <v>3</v>
      </c>
      <c r="E893" s="1021">
        <v>84.53</v>
      </c>
      <c r="F893" s="696">
        <f t="shared" si="24"/>
        <v>2535.9</v>
      </c>
      <c r="G893" s="649"/>
    </row>
    <row r="894" spans="1:7">
      <c r="A894" s="725" t="s">
        <v>498</v>
      </c>
      <c r="B894" s="697" t="s">
        <v>56</v>
      </c>
      <c r="C894" s="1021">
        <v>30</v>
      </c>
      <c r="D894" s="19" t="s">
        <v>3</v>
      </c>
      <c r="E894" s="1021">
        <v>1298</v>
      </c>
      <c r="F894" s="696">
        <f t="shared" si="24"/>
        <v>38940</v>
      </c>
      <c r="G894" s="649"/>
    </row>
    <row r="895" spans="1:7">
      <c r="A895" s="725" t="s">
        <v>499</v>
      </c>
      <c r="B895" s="697" t="s">
        <v>57</v>
      </c>
      <c r="C895" s="1021">
        <v>30</v>
      </c>
      <c r="D895" s="19" t="s">
        <v>13</v>
      </c>
      <c r="E895" s="1021">
        <v>28</v>
      </c>
      <c r="F895" s="696">
        <f t="shared" si="24"/>
        <v>840</v>
      </c>
      <c r="G895" s="649"/>
    </row>
    <row r="896" spans="1:7">
      <c r="A896" s="725" t="s">
        <v>500</v>
      </c>
      <c r="B896" s="697" t="s">
        <v>40</v>
      </c>
      <c r="C896" s="1021">
        <v>30</v>
      </c>
      <c r="D896" s="19" t="s">
        <v>3</v>
      </c>
      <c r="E896" s="1021">
        <v>100</v>
      </c>
      <c r="F896" s="696">
        <f t="shared" si="24"/>
        <v>3000</v>
      </c>
      <c r="G896" s="649"/>
    </row>
    <row r="897" spans="1:7">
      <c r="A897" s="725" t="s">
        <v>501</v>
      </c>
      <c r="B897" s="697" t="s">
        <v>50</v>
      </c>
      <c r="C897" s="1021">
        <v>30</v>
      </c>
      <c r="D897" s="19" t="s">
        <v>3</v>
      </c>
      <c r="E897" s="1021">
        <v>15</v>
      </c>
      <c r="F897" s="696">
        <f t="shared" si="24"/>
        <v>450</v>
      </c>
      <c r="G897" s="649"/>
    </row>
    <row r="898" spans="1:7">
      <c r="A898" s="725" t="s">
        <v>502</v>
      </c>
      <c r="B898" s="697" t="s">
        <v>58</v>
      </c>
      <c r="C898" s="1021">
        <v>30</v>
      </c>
      <c r="D898" s="19" t="s">
        <v>3</v>
      </c>
      <c r="E898" s="1021">
        <v>2.95</v>
      </c>
      <c r="F898" s="696">
        <f t="shared" si="24"/>
        <v>88.5</v>
      </c>
      <c r="G898" s="649"/>
    </row>
    <row r="899" spans="1:7">
      <c r="A899" s="725" t="s">
        <v>503</v>
      </c>
      <c r="B899" s="697" t="s">
        <v>51</v>
      </c>
      <c r="C899" s="1021">
        <f>1.98*30</f>
        <v>59.4</v>
      </c>
      <c r="D899" s="19" t="s">
        <v>2</v>
      </c>
      <c r="E899" s="1021">
        <v>406.79</v>
      </c>
      <c r="F899" s="696">
        <f t="shared" si="24"/>
        <v>24163.33</v>
      </c>
      <c r="G899" s="649"/>
    </row>
    <row r="900" spans="1:7">
      <c r="A900" s="725" t="s">
        <v>504</v>
      </c>
      <c r="B900" s="710" t="s">
        <v>457</v>
      </c>
      <c r="C900" s="1016">
        <v>30</v>
      </c>
      <c r="D900" s="10" t="s">
        <v>3</v>
      </c>
      <c r="E900" s="886">
        <v>280</v>
      </c>
      <c r="F900" s="728">
        <f t="shared" si="24"/>
        <v>8400</v>
      </c>
      <c r="G900" s="649"/>
    </row>
    <row r="901" spans="1:7">
      <c r="A901" s="725" t="s">
        <v>505</v>
      </c>
      <c r="B901" s="697" t="s">
        <v>52</v>
      </c>
      <c r="C901" s="1021">
        <v>30</v>
      </c>
      <c r="D901" s="19" t="s">
        <v>3</v>
      </c>
      <c r="E901" s="1021">
        <v>250</v>
      </c>
      <c r="F901" s="696">
        <f>ROUND(C901*E901,2)</f>
        <v>7500</v>
      </c>
      <c r="G901" s="649"/>
    </row>
    <row r="902" spans="1:7">
      <c r="A902" s="702"/>
      <c r="B902" s="703"/>
      <c r="C902" s="1023"/>
      <c r="D902" s="704"/>
      <c r="E902" s="1023"/>
      <c r="F902" s="705"/>
      <c r="G902" s="649"/>
    </row>
    <row r="903" spans="1:7">
      <c r="A903" s="734">
        <v>8.1999999999999993</v>
      </c>
      <c r="B903" s="735" t="s">
        <v>473</v>
      </c>
      <c r="C903" s="1020"/>
      <c r="D903" s="723"/>
      <c r="E903" s="1019"/>
      <c r="F903" s="696"/>
      <c r="G903" s="649"/>
    </row>
    <row r="904" spans="1:7">
      <c r="A904" s="725" t="s">
        <v>506</v>
      </c>
      <c r="B904" s="697" t="s">
        <v>48</v>
      </c>
      <c r="C904" s="1021">
        <v>30</v>
      </c>
      <c r="D904" s="19" t="s">
        <v>3</v>
      </c>
      <c r="E904" s="1021">
        <v>230.1</v>
      </c>
      <c r="F904" s="696">
        <f t="shared" ref="F904:F917" si="25">ROUND(C904*E904,2)</f>
        <v>6903</v>
      </c>
      <c r="G904" s="649"/>
    </row>
    <row r="905" spans="1:7" ht="25.5">
      <c r="A905" s="725" t="s">
        <v>507</v>
      </c>
      <c r="B905" s="726" t="s">
        <v>53</v>
      </c>
      <c r="C905" s="1022">
        <f>6*30</f>
        <v>180</v>
      </c>
      <c r="D905" s="727" t="s">
        <v>1</v>
      </c>
      <c r="E905" s="1019">
        <v>28.32</v>
      </c>
      <c r="F905" s="696">
        <f t="shared" si="25"/>
        <v>5097.6000000000004</v>
      </c>
      <c r="G905" s="649"/>
    </row>
    <row r="906" spans="1:7">
      <c r="A906" s="725" t="s">
        <v>508</v>
      </c>
      <c r="B906" s="697" t="s">
        <v>49</v>
      </c>
      <c r="C906" s="1021">
        <v>30</v>
      </c>
      <c r="D906" s="19" t="s">
        <v>3</v>
      </c>
      <c r="E906" s="1021">
        <v>53.1</v>
      </c>
      <c r="F906" s="696">
        <f t="shared" si="25"/>
        <v>1593</v>
      </c>
      <c r="G906" s="649"/>
    </row>
    <row r="907" spans="1:7">
      <c r="A907" s="725" t="s">
        <v>509</v>
      </c>
      <c r="B907" s="697" t="s">
        <v>474</v>
      </c>
      <c r="C907" s="1021">
        <v>30</v>
      </c>
      <c r="D907" s="19" t="s">
        <v>3</v>
      </c>
      <c r="E907" s="1021">
        <v>23.6</v>
      </c>
      <c r="F907" s="696">
        <f t="shared" si="25"/>
        <v>708</v>
      </c>
      <c r="G907" s="649"/>
    </row>
    <row r="908" spans="1:7">
      <c r="A908" s="725" t="s">
        <v>510</v>
      </c>
      <c r="B908" s="697" t="s">
        <v>55</v>
      </c>
      <c r="C908" s="1021">
        <v>30</v>
      </c>
      <c r="D908" s="19" t="s">
        <v>3</v>
      </c>
      <c r="E908" s="1021">
        <v>84.53</v>
      </c>
      <c r="F908" s="696">
        <f t="shared" si="25"/>
        <v>2535.9</v>
      </c>
      <c r="G908" s="649"/>
    </row>
    <row r="909" spans="1:7">
      <c r="A909" s="725" t="s">
        <v>511</v>
      </c>
      <c r="B909" s="697" t="s">
        <v>475</v>
      </c>
      <c r="C909" s="1021">
        <v>30</v>
      </c>
      <c r="D909" s="19" t="s">
        <v>3</v>
      </c>
      <c r="E909" s="1021">
        <v>265.5</v>
      </c>
      <c r="F909" s="696">
        <f t="shared" si="25"/>
        <v>7965</v>
      </c>
      <c r="G909" s="649"/>
    </row>
    <row r="910" spans="1:7">
      <c r="A910" s="725" t="s">
        <v>512</v>
      </c>
      <c r="B910" s="697" t="s">
        <v>476</v>
      </c>
      <c r="C910" s="1021">
        <v>30</v>
      </c>
      <c r="D910" s="19" t="s">
        <v>3</v>
      </c>
      <c r="E910" s="1021">
        <v>35.4</v>
      </c>
      <c r="F910" s="736">
        <f t="shared" si="25"/>
        <v>1062</v>
      </c>
      <c r="G910" s="649"/>
    </row>
    <row r="911" spans="1:7">
      <c r="A911" s="725" t="s">
        <v>513</v>
      </c>
      <c r="B911" s="697" t="s">
        <v>477</v>
      </c>
      <c r="C911" s="1021">
        <v>30</v>
      </c>
      <c r="D911" s="19" t="s">
        <v>3</v>
      </c>
      <c r="E911" s="1021">
        <v>17.7</v>
      </c>
      <c r="F911" s="736">
        <f t="shared" si="25"/>
        <v>531</v>
      </c>
      <c r="G911" s="649"/>
    </row>
    <row r="912" spans="1:7">
      <c r="A912" s="725" t="s">
        <v>514</v>
      </c>
      <c r="B912" s="697" t="s">
        <v>478</v>
      </c>
      <c r="C912" s="1021">
        <v>30</v>
      </c>
      <c r="D912" s="19" t="s">
        <v>3</v>
      </c>
      <c r="E912" s="1021">
        <v>239.92</v>
      </c>
      <c r="F912" s="736">
        <f t="shared" si="25"/>
        <v>7197.6</v>
      </c>
      <c r="G912" s="649"/>
    </row>
    <row r="913" spans="1:7">
      <c r="A913" s="725" t="s">
        <v>515</v>
      </c>
      <c r="B913" s="697" t="s">
        <v>479</v>
      </c>
      <c r="C913" s="1021">
        <v>30</v>
      </c>
      <c r="D913" s="19" t="s">
        <v>3</v>
      </c>
      <c r="E913" s="1021">
        <v>200</v>
      </c>
      <c r="F913" s="696">
        <f t="shared" si="25"/>
        <v>6000</v>
      </c>
      <c r="G913" s="649"/>
    </row>
    <row r="914" spans="1:7">
      <c r="A914" s="725" t="s">
        <v>516</v>
      </c>
      <c r="B914" s="697" t="s">
        <v>50</v>
      </c>
      <c r="C914" s="1021">
        <v>30</v>
      </c>
      <c r="D914" s="19" t="s">
        <v>3</v>
      </c>
      <c r="E914" s="1021">
        <v>15</v>
      </c>
      <c r="F914" s="696">
        <f t="shared" si="25"/>
        <v>450</v>
      </c>
      <c r="G914" s="649"/>
    </row>
    <row r="915" spans="1:7">
      <c r="A915" s="725" t="s">
        <v>517</v>
      </c>
      <c r="B915" s="697" t="s">
        <v>51</v>
      </c>
      <c r="C915" s="1021">
        <f>1.98*30</f>
        <v>59.4</v>
      </c>
      <c r="D915" s="19" t="s">
        <v>2</v>
      </c>
      <c r="E915" s="1021">
        <v>406.79</v>
      </c>
      <c r="F915" s="696">
        <f t="shared" si="25"/>
        <v>24163.33</v>
      </c>
      <c r="G915" s="649"/>
    </row>
    <row r="916" spans="1:7">
      <c r="A916" s="725" t="s">
        <v>518</v>
      </c>
      <c r="B916" s="710" t="s">
        <v>457</v>
      </c>
      <c r="C916" s="1016">
        <v>30</v>
      </c>
      <c r="D916" s="10" t="s">
        <v>3</v>
      </c>
      <c r="E916" s="886">
        <v>280</v>
      </c>
      <c r="F916" s="728">
        <f t="shared" si="25"/>
        <v>8400</v>
      </c>
      <c r="G916" s="649"/>
    </row>
    <row r="917" spans="1:7">
      <c r="A917" s="725" t="s">
        <v>519</v>
      </c>
      <c r="B917" s="697" t="s">
        <v>52</v>
      </c>
      <c r="C917" s="1021">
        <v>30</v>
      </c>
      <c r="D917" s="19" t="s">
        <v>3</v>
      </c>
      <c r="E917" s="1021">
        <v>200</v>
      </c>
      <c r="F917" s="696">
        <f t="shared" si="25"/>
        <v>6000</v>
      </c>
      <c r="G917" s="649"/>
    </row>
    <row r="918" spans="1:7">
      <c r="A918" s="698"/>
      <c r="B918" s="697"/>
      <c r="C918" s="1021"/>
      <c r="D918" s="19"/>
      <c r="E918" s="1021"/>
      <c r="F918" s="696"/>
      <c r="G918" s="649"/>
    </row>
    <row r="919" spans="1:7">
      <c r="A919" s="721">
        <v>9</v>
      </c>
      <c r="B919" s="722" t="s">
        <v>59</v>
      </c>
      <c r="C919" s="1024"/>
      <c r="D919" s="730"/>
      <c r="E919" s="1027"/>
      <c r="F919" s="39">
        <f>+ROUND(C919*E919,2)</f>
        <v>0</v>
      </c>
      <c r="G919" s="649"/>
    </row>
    <row r="920" spans="1:7">
      <c r="A920" s="17">
        <v>4.0999999999999996</v>
      </c>
      <c r="B920" s="28" t="s">
        <v>1000</v>
      </c>
      <c r="C920" s="806">
        <f>890.37*1.03</f>
        <v>917.08</v>
      </c>
      <c r="D920" s="15" t="s">
        <v>1</v>
      </c>
      <c r="E920" s="803">
        <v>16.760000000000002</v>
      </c>
      <c r="F920" s="32">
        <f>+ROUND(C920*E920,2)</f>
        <v>15370.26</v>
      </c>
      <c r="G920" s="649"/>
    </row>
    <row r="921" spans="1:7">
      <c r="A921" s="17">
        <v>4.2</v>
      </c>
      <c r="B921" s="28" t="s">
        <v>999</v>
      </c>
      <c r="C921" s="806">
        <f>2686.42*1.02</f>
        <v>2740.15</v>
      </c>
      <c r="D921" s="15" t="s">
        <v>1</v>
      </c>
      <c r="E921" s="803">
        <v>10.01</v>
      </c>
      <c r="F921" s="32">
        <f>+ROUND(C921*E921,2)</f>
        <v>27428.9</v>
      </c>
      <c r="G921" s="649"/>
    </row>
    <row r="922" spans="1:7">
      <c r="A922" s="17">
        <v>4.3</v>
      </c>
      <c r="B922" s="28" t="s">
        <v>998</v>
      </c>
      <c r="C922" s="806">
        <f>2309.944*1.02</f>
        <v>2356.14</v>
      </c>
      <c r="D922" s="15" t="s">
        <v>1</v>
      </c>
      <c r="E922" s="803">
        <v>7.63</v>
      </c>
      <c r="F922" s="32">
        <f>+ROUND(C922*E922,2)</f>
        <v>17977.349999999999</v>
      </c>
      <c r="G922" s="649"/>
    </row>
    <row r="923" spans="1:7">
      <c r="A923" s="695"/>
      <c r="B923" s="18"/>
      <c r="C923" s="1016"/>
      <c r="D923" s="10"/>
      <c r="E923" s="1025"/>
      <c r="F923" s="39"/>
      <c r="G923" s="649"/>
    </row>
    <row r="924" spans="1:7" ht="38.25">
      <c r="A924" s="732">
        <v>10</v>
      </c>
      <c r="B924" s="697" t="s">
        <v>520</v>
      </c>
      <c r="C924" s="1019">
        <f>+C840</f>
        <v>4812</v>
      </c>
      <c r="D924" s="727" t="s">
        <v>1</v>
      </c>
      <c r="E924" s="1019">
        <v>50.15</v>
      </c>
      <c r="F924" s="696">
        <f>ROUND(C924*E924,2)</f>
        <v>241321.8</v>
      </c>
      <c r="G924" s="649"/>
    </row>
    <row r="925" spans="1:7">
      <c r="A925" s="709"/>
      <c r="B925" s="29"/>
      <c r="C925" s="1017"/>
      <c r="D925" s="727"/>
      <c r="E925" s="1017"/>
      <c r="F925" s="696"/>
      <c r="G925" s="649"/>
    </row>
    <row r="926" spans="1:7">
      <c r="A926" s="709">
        <v>11</v>
      </c>
      <c r="B926" s="29" t="s">
        <v>462</v>
      </c>
      <c r="C926" s="803">
        <f>+C924</f>
        <v>4812</v>
      </c>
      <c r="D926" s="727" t="s">
        <v>1</v>
      </c>
      <c r="E926" s="1017">
        <v>21</v>
      </c>
      <c r="F926" s="696">
        <f>ROUND(C926*E926,2)</f>
        <v>101052</v>
      </c>
      <c r="G926" s="649"/>
    </row>
    <row r="927" spans="1:7">
      <c r="A927" s="663"/>
      <c r="B927" s="693" t="s">
        <v>974</v>
      </c>
      <c r="C927" s="665"/>
      <c r="D927" s="666"/>
      <c r="E927" s="665"/>
      <c r="F927" s="667">
        <f>SUM(F840:F926)</f>
        <v>8748928.2699999996</v>
      </c>
      <c r="G927" s="649"/>
    </row>
    <row r="928" spans="1:7">
      <c r="A928" s="720"/>
      <c r="B928" s="28"/>
      <c r="C928" s="733"/>
      <c r="D928" s="9"/>
      <c r="E928" s="22"/>
      <c r="F928" s="39"/>
      <c r="G928" s="649"/>
    </row>
    <row r="929" spans="1:7">
      <c r="A929" s="720"/>
      <c r="B929" s="28"/>
      <c r="C929" s="733"/>
      <c r="D929" s="9"/>
      <c r="E929" s="22"/>
      <c r="F929" s="39"/>
      <c r="G929" s="649"/>
    </row>
    <row r="930" spans="1:7">
      <c r="A930" s="720"/>
      <c r="B930" s="28"/>
      <c r="C930" s="733"/>
      <c r="D930" s="9"/>
      <c r="E930" s="22"/>
      <c r="F930" s="39"/>
      <c r="G930" s="649"/>
    </row>
    <row r="931" spans="1:7" ht="25.5">
      <c r="A931" s="708" t="s">
        <v>546</v>
      </c>
      <c r="B931" s="51" t="s">
        <v>1213</v>
      </c>
      <c r="C931" s="22"/>
      <c r="D931" s="9"/>
      <c r="E931" s="31"/>
      <c r="F931" s="39"/>
      <c r="G931" s="649"/>
    </row>
    <row r="932" spans="1:7">
      <c r="A932" s="27"/>
      <c r="B932" s="51"/>
      <c r="C932" s="22"/>
      <c r="D932" s="9"/>
      <c r="E932" s="31"/>
      <c r="F932" s="39"/>
      <c r="G932" s="649"/>
    </row>
    <row r="933" spans="1:7">
      <c r="A933" s="720">
        <v>1</v>
      </c>
      <c r="B933" s="28" t="s">
        <v>37</v>
      </c>
      <c r="C933" s="1045">
        <f>+'MT-G'!C26</f>
        <v>4812</v>
      </c>
      <c r="D933" s="9" t="s">
        <v>1</v>
      </c>
      <c r="E933" s="803">
        <v>15</v>
      </c>
      <c r="F933" s="39">
        <f t="shared" ref="F933:F948" si="26">+ROUND(C933*E933,2)</f>
        <v>72180</v>
      </c>
      <c r="G933" s="649"/>
    </row>
    <row r="934" spans="1:7">
      <c r="A934" s="720"/>
      <c r="B934" s="28"/>
      <c r="C934" s="1045"/>
      <c r="D934" s="9"/>
      <c r="E934" s="803"/>
      <c r="F934" s="39"/>
      <c r="G934" s="649"/>
    </row>
    <row r="935" spans="1:7">
      <c r="A935" s="16">
        <v>2</v>
      </c>
      <c r="B935" s="711" t="s">
        <v>14</v>
      </c>
      <c r="C935" s="804"/>
      <c r="D935" s="10"/>
      <c r="E935" s="1039"/>
      <c r="F935" s="39">
        <f t="shared" si="26"/>
        <v>0</v>
      </c>
      <c r="G935" s="649"/>
    </row>
    <row r="936" spans="1:7">
      <c r="A936" s="1204" t="s">
        <v>1182</v>
      </c>
      <c r="B936" s="1205" t="s">
        <v>1187</v>
      </c>
      <c r="C936" s="805">
        <f>+'MT-G'!I59</f>
        <v>4807.1899999999996</v>
      </c>
      <c r="D936" s="1206" t="s">
        <v>2</v>
      </c>
      <c r="E936" s="1207">
        <v>154.53</v>
      </c>
      <c r="F936" s="1040">
        <f t="shared" si="26"/>
        <v>742855.07</v>
      </c>
      <c r="G936" s="1208"/>
    </row>
    <row r="937" spans="1:7" ht="25.5">
      <c r="A937" s="1204" t="s">
        <v>1183</v>
      </c>
      <c r="B937" s="1205" t="s">
        <v>1188</v>
      </c>
      <c r="C937" s="805">
        <f>+'MT-G'!I58</f>
        <v>534.13</v>
      </c>
      <c r="D937" s="1206" t="s">
        <v>2</v>
      </c>
      <c r="E937" s="1207">
        <v>1125.8</v>
      </c>
      <c r="F937" s="1040">
        <f t="shared" si="26"/>
        <v>601323.55000000005</v>
      </c>
      <c r="G937" s="1208"/>
    </row>
    <row r="938" spans="1:7">
      <c r="A938" s="715">
        <v>2.2000000000000002</v>
      </c>
      <c r="B938" s="716" t="s">
        <v>4</v>
      </c>
      <c r="C938" s="805">
        <f>+'MT-G'!I28</f>
        <v>409.02</v>
      </c>
      <c r="D938" s="713" t="s">
        <v>2</v>
      </c>
      <c r="E938" s="1207">
        <v>1108.8900000000001</v>
      </c>
      <c r="F938" s="32">
        <f t="shared" si="26"/>
        <v>453558.19</v>
      </c>
      <c r="G938" s="649"/>
    </row>
    <row r="939" spans="1:7" ht="38.25">
      <c r="A939" s="715">
        <v>2.2999999999999998</v>
      </c>
      <c r="B939" s="717" t="s">
        <v>483</v>
      </c>
      <c r="C939" s="805">
        <f>+C937*1.25</f>
        <v>667.66</v>
      </c>
      <c r="D939" s="713" t="s">
        <v>2</v>
      </c>
      <c r="E939" s="1207">
        <v>668.95</v>
      </c>
      <c r="F939" s="32">
        <f t="shared" si="26"/>
        <v>446631.16</v>
      </c>
      <c r="G939" s="649"/>
    </row>
    <row r="940" spans="1:7" ht="25.5">
      <c r="A940" s="12">
        <v>2.4</v>
      </c>
      <c r="B940" s="18" t="s">
        <v>409</v>
      </c>
      <c r="C940" s="805">
        <f>+'MT-G'!I30</f>
        <v>4351.97</v>
      </c>
      <c r="D940" s="713" t="s">
        <v>2</v>
      </c>
      <c r="E940" s="1207">
        <v>183.5</v>
      </c>
      <c r="F940" s="32">
        <f t="shared" si="26"/>
        <v>798586.5</v>
      </c>
      <c r="G940" s="649"/>
    </row>
    <row r="941" spans="1:7">
      <c r="A941" s="715">
        <v>2.5</v>
      </c>
      <c r="B941" s="716" t="s">
        <v>35</v>
      </c>
      <c r="C941" s="805">
        <f>+C937*1.4+'MT-G'!I32</f>
        <v>1935</v>
      </c>
      <c r="D941" s="713" t="s">
        <v>2</v>
      </c>
      <c r="E941" s="1207">
        <v>165</v>
      </c>
      <c r="F941" s="32">
        <f t="shared" si="26"/>
        <v>319275</v>
      </c>
      <c r="G941" s="649"/>
    </row>
    <row r="942" spans="1:7">
      <c r="A942" s="12"/>
      <c r="B942" s="28"/>
      <c r="C942" s="803"/>
      <c r="D942" s="9"/>
      <c r="E942" s="803"/>
      <c r="F942" s="32">
        <f t="shared" si="26"/>
        <v>0</v>
      </c>
      <c r="G942" s="649"/>
    </row>
    <row r="943" spans="1:7">
      <c r="A943" s="718">
        <v>3</v>
      </c>
      <c r="B943" s="711" t="s">
        <v>25</v>
      </c>
      <c r="C943" s="804"/>
      <c r="D943" s="10"/>
      <c r="E943" s="1039"/>
      <c r="F943" s="32">
        <f t="shared" si="26"/>
        <v>0</v>
      </c>
      <c r="G943" s="649"/>
    </row>
    <row r="944" spans="1:7">
      <c r="A944" s="17">
        <v>3.1</v>
      </c>
      <c r="B944" s="28" t="s">
        <v>993</v>
      </c>
      <c r="C944" s="806">
        <f>+C933*1.04</f>
        <v>5004.4799999999996</v>
      </c>
      <c r="D944" s="15" t="s">
        <v>1</v>
      </c>
      <c r="E944" s="806">
        <v>3714.36</v>
      </c>
      <c r="F944" s="32">
        <f t="shared" si="26"/>
        <v>18588440.329999998</v>
      </c>
      <c r="G944" s="649"/>
    </row>
    <row r="945" spans="1:7">
      <c r="A945" s="719"/>
      <c r="B945" s="51"/>
      <c r="C945" s="803"/>
      <c r="D945" s="9"/>
      <c r="E945" s="803"/>
      <c r="F945" s="32">
        <f t="shared" si="26"/>
        <v>0</v>
      </c>
      <c r="G945" s="649"/>
    </row>
    <row r="946" spans="1:7">
      <c r="A946" s="720">
        <v>4</v>
      </c>
      <c r="B946" s="51" t="s">
        <v>26</v>
      </c>
      <c r="C946" s="803"/>
      <c r="D946" s="9"/>
      <c r="E946" s="803"/>
      <c r="F946" s="39">
        <f t="shared" si="26"/>
        <v>0</v>
      </c>
      <c r="G946" s="649"/>
    </row>
    <row r="947" spans="1:7">
      <c r="A947" s="17">
        <v>4.0999999999999996</v>
      </c>
      <c r="B947" s="28" t="s">
        <v>993</v>
      </c>
      <c r="C947" s="806">
        <f>+C944</f>
        <v>5004.4799999999996</v>
      </c>
      <c r="D947" s="1046" t="s">
        <v>1</v>
      </c>
      <c r="E947" s="1047">
        <v>55.55</v>
      </c>
      <c r="F947" s="39">
        <f>+ROUND(C947*E947,2)</f>
        <v>277998.86</v>
      </c>
      <c r="G947" s="649"/>
    </row>
    <row r="948" spans="1:7">
      <c r="A948" s="739"/>
      <c r="B948" s="740"/>
      <c r="C948" s="854"/>
      <c r="D948" s="741"/>
      <c r="E948" s="1050"/>
      <c r="F948" s="742">
        <f t="shared" si="26"/>
        <v>0</v>
      </c>
      <c r="G948" s="649"/>
    </row>
    <row r="949" spans="1:7">
      <c r="A949" s="746">
        <v>5</v>
      </c>
      <c r="B949" s="744" t="s">
        <v>486</v>
      </c>
      <c r="C949" s="806"/>
      <c r="D949" s="1046"/>
      <c r="E949" s="1047"/>
      <c r="F949" s="1048"/>
      <c r="G949" s="649"/>
    </row>
    <row r="950" spans="1:7" ht="25.5">
      <c r="A950" s="17">
        <v>5.0999999999999996</v>
      </c>
      <c r="B950" s="1217" t="s">
        <v>1190</v>
      </c>
      <c r="C950" s="1216">
        <v>57</v>
      </c>
      <c r="D950" s="1223" t="s">
        <v>3</v>
      </c>
      <c r="E950" s="1224">
        <v>8809.77</v>
      </c>
      <c r="F950" s="724">
        <f>ROUND(C950*E950,2)</f>
        <v>502156.89</v>
      </c>
      <c r="G950" s="649"/>
    </row>
    <row r="951" spans="1:7" ht="25.5">
      <c r="A951" s="17">
        <v>5.2</v>
      </c>
      <c r="B951" s="1312" t="s">
        <v>1191</v>
      </c>
      <c r="C951" s="1216">
        <v>3</v>
      </c>
      <c r="D951" s="1223" t="s">
        <v>3</v>
      </c>
      <c r="E951" s="1224">
        <v>11665.37</v>
      </c>
      <c r="F951" s="724">
        <f>ROUND(C951*E951,2)</f>
        <v>34996.11</v>
      </c>
      <c r="G951" s="649"/>
    </row>
    <row r="952" spans="1:7">
      <c r="A952" s="17">
        <v>5.3</v>
      </c>
      <c r="B952" s="1217" t="s">
        <v>1214</v>
      </c>
      <c r="C952" s="1216">
        <v>120</v>
      </c>
      <c r="D952" s="1223" t="s">
        <v>3</v>
      </c>
      <c r="E952" s="1224">
        <v>4516.01</v>
      </c>
      <c r="F952" s="724">
        <f>ROUND(C952*E952,2)</f>
        <v>541921.19999999995</v>
      </c>
      <c r="G952" s="649"/>
    </row>
    <row r="953" spans="1:7">
      <c r="A953" s="743">
        <v>5.7</v>
      </c>
      <c r="B953" s="745" t="s">
        <v>487</v>
      </c>
      <c r="C953" s="1216">
        <v>60</v>
      </c>
      <c r="D953" s="1223" t="s">
        <v>3</v>
      </c>
      <c r="E953" s="1216">
        <f>+E37</f>
        <v>0</v>
      </c>
      <c r="F953" s="724">
        <f>ROUND(C953*E953,2)</f>
        <v>0</v>
      </c>
      <c r="G953" s="649"/>
    </row>
    <row r="954" spans="1:7" ht="25.5">
      <c r="A954" s="1320">
        <v>6.3</v>
      </c>
      <c r="B954" s="1325" t="s">
        <v>413</v>
      </c>
      <c r="C954" s="1321">
        <v>1</v>
      </c>
      <c r="D954" s="1322" t="s">
        <v>3</v>
      </c>
      <c r="E954" s="1323">
        <v>1500</v>
      </c>
      <c r="F954" s="1311">
        <f>+ROUND(C954*E954,2)</f>
        <v>1500</v>
      </c>
      <c r="G954" s="1324"/>
    </row>
    <row r="955" spans="1:7">
      <c r="A955" s="1320">
        <v>6.4</v>
      </c>
      <c r="B955" s="1383" t="s">
        <v>480</v>
      </c>
      <c r="C955" s="1384">
        <v>4</v>
      </c>
      <c r="D955" s="1385" t="s">
        <v>47</v>
      </c>
      <c r="E955" s="802">
        <v>397.75</v>
      </c>
      <c r="F955" s="1215">
        <f>+ROUND(C955*E955,2)</f>
        <v>1591</v>
      </c>
      <c r="G955" s="1324"/>
    </row>
    <row r="956" spans="1:7">
      <c r="A956" s="17"/>
      <c r="B956" s="18"/>
      <c r="C956" s="804"/>
      <c r="D956" s="1049"/>
      <c r="E956" s="1039"/>
      <c r="F956" s="47"/>
      <c r="G956" s="649"/>
    </row>
    <row r="957" spans="1:7">
      <c r="A957" s="721">
        <v>7</v>
      </c>
      <c r="B957" s="722" t="s">
        <v>39</v>
      </c>
      <c r="C957" s="804"/>
      <c r="D957" s="1049"/>
      <c r="E957" s="1039"/>
      <c r="F957" s="39">
        <f>+ROUND(C957*E957,2)</f>
        <v>0</v>
      </c>
      <c r="G957" s="649"/>
    </row>
    <row r="958" spans="1:7">
      <c r="A958" s="695">
        <v>7.1</v>
      </c>
      <c r="B958" s="18" t="s">
        <v>994</v>
      </c>
      <c r="C958" s="804">
        <v>16</v>
      </c>
      <c r="D958" s="10" t="s">
        <v>3</v>
      </c>
      <c r="E958" s="1039">
        <v>38964.559999999998</v>
      </c>
      <c r="F958" s="47">
        <f>+ROUND(C958*E958,2)</f>
        <v>623432.95999999996</v>
      </c>
      <c r="G958" s="649"/>
    </row>
    <row r="959" spans="1:7">
      <c r="A959" s="695">
        <v>7.1</v>
      </c>
      <c r="B959" s="18" t="s">
        <v>1215</v>
      </c>
      <c r="C959" s="804">
        <v>5</v>
      </c>
      <c r="D959" s="10" t="s">
        <v>3</v>
      </c>
      <c r="E959" s="1039">
        <f>+E46</f>
        <v>14652.98</v>
      </c>
      <c r="F959" s="47">
        <f>+ROUND(C959*E959,2)</f>
        <v>73264.899999999994</v>
      </c>
      <c r="G959" s="649"/>
    </row>
    <row r="960" spans="1:7">
      <c r="A960" s="695">
        <v>7.2</v>
      </c>
      <c r="B960" s="18" t="s">
        <v>983</v>
      </c>
      <c r="C960" s="804">
        <v>15</v>
      </c>
      <c r="D960" s="1049" t="s">
        <v>3</v>
      </c>
      <c r="E960" s="1039">
        <f>+E638</f>
        <v>40718.379999999997</v>
      </c>
      <c r="F960" s="47">
        <f>+ROUND(C960*E960,2)</f>
        <v>610775.69999999995</v>
      </c>
      <c r="G960" s="649"/>
    </row>
    <row r="961" spans="1:7">
      <c r="A961" s="695">
        <v>7.2</v>
      </c>
      <c r="B961" s="18" t="s">
        <v>414</v>
      </c>
      <c r="C961" s="804">
        <f>+C960</f>
        <v>15</v>
      </c>
      <c r="D961" s="1049" t="s">
        <v>3</v>
      </c>
      <c r="E961" s="1039">
        <v>3500</v>
      </c>
      <c r="F961" s="39">
        <f>+ROUND(C961*E961,2)</f>
        <v>52500</v>
      </c>
      <c r="G961" s="649"/>
    </row>
    <row r="962" spans="1:7">
      <c r="A962" s="17"/>
      <c r="B962" s="28"/>
      <c r="C962" s="806"/>
      <c r="D962" s="1046"/>
      <c r="E962" s="1047"/>
      <c r="F962" s="39"/>
      <c r="G962" s="649"/>
    </row>
    <row r="963" spans="1:7">
      <c r="A963" s="721">
        <v>9</v>
      </c>
      <c r="B963" s="722" t="s">
        <v>59</v>
      </c>
      <c r="C963" s="855"/>
      <c r="D963" s="1386"/>
      <c r="E963" s="1051"/>
      <c r="F963" s="39">
        <f>+ROUND(C963*E963,2)</f>
        <v>0</v>
      </c>
      <c r="G963" s="649"/>
    </row>
    <row r="964" spans="1:7">
      <c r="A964" s="695">
        <v>9.1</v>
      </c>
      <c r="B964" s="18" t="s">
        <v>993</v>
      </c>
      <c r="C964" s="804">
        <f>+C933</f>
        <v>4812</v>
      </c>
      <c r="D964" s="10" t="s">
        <v>1</v>
      </c>
      <c r="E964" s="1039">
        <v>53.28</v>
      </c>
      <c r="F964" s="39">
        <f>+ROUND(C964*E964,2)</f>
        <v>256383.35999999999</v>
      </c>
      <c r="G964" s="649"/>
    </row>
    <row r="965" spans="1:7">
      <c r="A965" s="695"/>
      <c r="B965" s="18"/>
      <c r="C965" s="804"/>
      <c r="D965" s="1049"/>
      <c r="E965" s="1039"/>
      <c r="F965" s="39"/>
      <c r="G965" s="649"/>
    </row>
    <row r="966" spans="1:7" ht="38.25">
      <c r="A966" s="732">
        <v>10</v>
      </c>
      <c r="B966" s="697" t="s">
        <v>520</v>
      </c>
      <c r="C966" s="1216">
        <f>+C933</f>
        <v>4812</v>
      </c>
      <c r="D966" s="1223" t="s">
        <v>1</v>
      </c>
      <c r="E966" s="1216">
        <v>50.15</v>
      </c>
      <c r="F966" s="696">
        <f>ROUND(C966*E966,2)</f>
        <v>241321.8</v>
      </c>
      <c r="G966" s="649"/>
    </row>
    <row r="967" spans="1:7">
      <c r="A967" s="709"/>
      <c r="B967" s="29"/>
      <c r="C967" s="803"/>
      <c r="D967" s="1223"/>
      <c r="E967" s="803"/>
      <c r="F967" s="696"/>
      <c r="G967" s="649"/>
    </row>
    <row r="968" spans="1:7">
      <c r="A968" s="709">
        <v>11</v>
      </c>
      <c r="B968" s="29" t="s">
        <v>462</v>
      </c>
      <c r="C968" s="803">
        <f>+C966</f>
        <v>4812</v>
      </c>
      <c r="D968" s="1223" t="s">
        <v>1</v>
      </c>
      <c r="E968" s="803">
        <v>21</v>
      </c>
      <c r="F968" s="696">
        <f>ROUND(C968*E968,2)</f>
        <v>101052</v>
      </c>
      <c r="G968" s="649"/>
    </row>
    <row r="969" spans="1:7">
      <c r="A969" s="663"/>
      <c r="B969" s="693" t="s">
        <v>974</v>
      </c>
      <c r="C969" s="665"/>
      <c r="D969" s="666"/>
      <c r="E969" s="665"/>
      <c r="F969" s="667">
        <f>SUM(F933:F968)</f>
        <v>25341744.579999998</v>
      </c>
      <c r="G969" s="649"/>
    </row>
    <row r="970" spans="1:7">
      <c r="A970" s="651"/>
      <c r="B970" s="26"/>
      <c r="C970" s="31"/>
      <c r="D970" s="652"/>
      <c r="E970" s="31"/>
      <c r="F970" s="653"/>
      <c r="G970" s="649"/>
    </row>
    <row r="971" spans="1:7">
      <c r="A971" s="737" t="s">
        <v>32</v>
      </c>
      <c r="B971" s="722" t="s">
        <v>33</v>
      </c>
      <c r="C971" s="729"/>
      <c r="D971" s="730"/>
      <c r="E971" s="731"/>
      <c r="F971" s="33"/>
      <c r="G971" s="649"/>
    </row>
    <row r="972" spans="1:7" ht="63.75">
      <c r="A972" s="738">
        <v>1</v>
      </c>
      <c r="B972" s="18" t="s">
        <v>1177</v>
      </c>
      <c r="C972" s="712">
        <v>1</v>
      </c>
      <c r="D972" s="713" t="s">
        <v>3</v>
      </c>
      <c r="E972" s="714">
        <v>42316.79</v>
      </c>
      <c r="F972" s="32">
        <f>+ROUND(C972*E972,2)</f>
        <v>42316.79</v>
      </c>
      <c r="G972" s="649"/>
    </row>
    <row r="973" spans="1:7" ht="38.25">
      <c r="A973" s="1202">
        <v>2</v>
      </c>
      <c r="B973" s="1201" t="s">
        <v>458</v>
      </c>
      <c r="C973" s="712">
        <v>4</v>
      </c>
      <c r="D973" s="713" t="s">
        <v>521</v>
      </c>
      <c r="E973" s="714">
        <v>35000</v>
      </c>
      <c r="F973" s="32">
        <f>+ROUND(C973*E973,2)</f>
        <v>140000</v>
      </c>
      <c r="G973" s="852"/>
    </row>
    <row r="974" spans="1:7">
      <c r="A974" s="663"/>
      <c r="B974" s="693" t="s">
        <v>34</v>
      </c>
      <c r="C974" s="665"/>
      <c r="D974" s="666"/>
      <c r="E974" s="665"/>
      <c r="F974" s="667">
        <f>SUM(F972:F973)</f>
        <v>182316.79</v>
      </c>
      <c r="G974" s="649"/>
    </row>
    <row r="975" spans="1:7">
      <c r="A975" s="27"/>
      <c r="B975" s="18"/>
      <c r="C975" s="11"/>
      <c r="D975" s="10"/>
      <c r="E975" s="30"/>
      <c r="F975" s="13"/>
      <c r="G975" s="649"/>
    </row>
    <row r="976" spans="1:7">
      <c r="A976" s="683"/>
      <c r="B976" s="684" t="s">
        <v>15</v>
      </c>
      <c r="C976" s="685"/>
      <c r="D976" s="686"/>
      <c r="E976" s="685"/>
      <c r="F976" s="687" t="e">
        <f>+F57+F608+F646+F822+F927+F969+F974</f>
        <v>#REF!</v>
      </c>
      <c r="G976" s="706"/>
    </row>
    <row r="977" spans="1:7">
      <c r="A977" s="688"/>
      <c r="B977" s="689" t="s">
        <v>15</v>
      </c>
      <c r="C977" s="690"/>
      <c r="D977" s="691"/>
      <c r="E977" s="690"/>
      <c r="F977" s="692" t="e">
        <f>+F976</f>
        <v>#REF!</v>
      </c>
    </row>
    <row r="978" spans="1:7">
      <c r="A978" s="27"/>
      <c r="B978" s="48" t="s">
        <v>16</v>
      </c>
      <c r="C978" s="41"/>
      <c r="D978" s="662"/>
      <c r="E978" s="40"/>
      <c r="F978" s="40"/>
    </row>
    <row r="979" spans="1:7">
      <c r="A979" s="27"/>
      <c r="B979" s="48" t="s">
        <v>17</v>
      </c>
      <c r="C979" s="42">
        <v>0.1</v>
      </c>
      <c r="D979" s="662"/>
      <c r="E979" s="40"/>
      <c r="F979" s="668" t="e">
        <f t="shared" ref="F979:F984" si="27">+ROUND($F$977*C979,2)</f>
        <v>#REF!</v>
      </c>
    </row>
    <row r="980" spans="1:7">
      <c r="A980" s="27"/>
      <c r="B980" s="48" t="s">
        <v>8</v>
      </c>
      <c r="C980" s="42">
        <v>0.04</v>
      </c>
      <c r="D980" s="662"/>
      <c r="E980" s="40"/>
      <c r="F980" s="668" t="e">
        <f t="shared" si="27"/>
        <v>#REF!</v>
      </c>
    </row>
    <row r="981" spans="1:7">
      <c r="A981" s="27"/>
      <c r="B981" s="48" t="s">
        <v>18</v>
      </c>
      <c r="C981" s="42">
        <v>0.04</v>
      </c>
      <c r="D981" s="662"/>
      <c r="E981" s="40"/>
      <c r="F981" s="668" t="e">
        <f t="shared" si="27"/>
        <v>#REF!</v>
      </c>
    </row>
    <row r="982" spans="1:7">
      <c r="A982" s="27"/>
      <c r="B982" s="48" t="s">
        <v>19</v>
      </c>
      <c r="C982" s="42">
        <v>0.04</v>
      </c>
      <c r="D982" s="662"/>
      <c r="E982" s="40"/>
      <c r="F982" s="668" t="e">
        <f t="shared" si="27"/>
        <v>#REF!</v>
      </c>
    </row>
    <row r="983" spans="1:7">
      <c r="A983" s="27"/>
      <c r="B983" s="48" t="s">
        <v>20</v>
      </c>
      <c r="C983" s="42">
        <v>0.05</v>
      </c>
      <c r="D983" s="662"/>
      <c r="E983" s="40"/>
      <c r="F983" s="668" t="e">
        <f t="shared" si="27"/>
        <v>#REF!</v>
      </c>
    </row>
    <row r="984" spans="1:7">
      <c r="A984" s="40"/>
      <c r="B984" s="48" t="s">
        <v>21</v>
      </c>
      <c r="C984" s="42">
        <v>0.01</v>
      </c>
      <c r="D984" s="662"/>
      <c r="E984" s="40"/>
      <c r="F984" s="668" t="e">
        <f t="shared" si="27"/>
        <v>#REF!</v>
      </c>
    </row>
    <row r="985" spans="1:7">
      <c r="A985" s="40"/>
      <c r="B985" s="48" t="s">
        <v>22</v>
      </c>
      <c r="C985" s="42">
        <v>0.18</v>
      </c>
      <c r="D985" s="662"/>
      <c r="E985" s="40"/>
      <c r="F985" s="43" t="e">
        <f>+ROUND(C985*$F$979,2)</f>
        <v>#REF!</v>
      </c>
      <c r="G985" s="701"/>
    </row>
    <row r="986" spans="1:7">
      <c r="A986" s="40"/>
      <c r="B986" s="48" t="s">
        <v>459</v>
      </c>
      <c r="C986" s="42">
        <v>1E-3</v>
      </c>
      <c r="D986" s="662"/>
      <c r="E986" s="40"/>
      <c r="F986" s="43" t="e">
        <f>+ROUND(C986*$F$977,2)</f>
        <v>#REF!</v>
      </c>
      <c r="G986" s="7"/>
    </row>
    <row r="987" spans="1:7">
      <c r="A987" s="40"/>
      <c r="B987" s="48" t="s">
        <v>24</v>
      </c>
      <c r="C987" s="42">
        <v>0.05</v>
      </c>
      <c r="D987" s="662"/>
      <c r="E987" s="40"/>
      <c r="F987" s="668" t="e">
        <f>+ROUND($F$977*C987,2)</f>
        <v>#REF!</v>
      </c>
      <c r="G987" s="7"/>
    </row>
    <row r="988" spans="1:7">
      <c r="A988" s="40"/>
      <c r="B988" s="48" t="s">
        <v>64</v>
      </c>
      <c r="C988" s="42">
        <v>0.1</v>
      </c>
      <c r="D988" s="662"/>
      <c r="E988" s="40"/>
      <c r="F988" s="668" t="e">
        <f>+ROUND($F$977*C988,2)</f>
        <v>#REF!</v>
      </c>
      <c r="G988" s="7"/>
    </row>
    <row r="989" spans="1:7">
      <c r="A989" s="40"/>
      <c r="B989" s="48" t="s">
        <v>36</v>
      </c>
      <c r="C989" s="43">
        <v>1</v>
      </c>
      <c r="D989" s="662" t="s">
        <v>3</v>
      </c>
      <c r="E989" s="40"/>
      <c r="F989" s="43">
        <v>40000</v>
      </c>
      <c r="G989" s="7"/>
    </row>
    <row r="990" spans="1:7">
      <c r="A990" s="663"/>
      <c r="B990" s="664" t="s">
        <v>23</v>
      </c>
      <c r="C990" s="665"/>
      <c r="D990" s="666"/>
      <c r="E990" s="665"/>
      <c r="F990" s="667" t="e">
        <f>SUM(F979:F989)</f>
        <v>#REF!</v>
      </c>
      <c r="G990" s="7"/>
    </row>
    <row r="991" spans="1:7">
      <c r="A991" s="651"/>
      <c r="B991" s="2"/>
      <c r="C991" s="31"/>
      <c r="D991" s="652"/>
      <c r="E991" s="31"/>
      <c r="F991" s="653"/>
      <c r="G991" s="7"/>
    </row>
    <row r="992" spans="1:7">
      <c r="A992" s="664"/>
      <c r="B992" s="664" t="s">
        <v>460</v>
      </c>
      <c r="C992" s="676"/>
      <c r="D992" s="677"/>
      <c r="E992" s="676"/>
      <c r="F992" s="678" t="e">
        <f>+F977+F990</f>
        <v>#REF!</v>
      </c>
      <c r="G992" s="7"/>
    </row>
    <row r="993" spans="1:7">
      <c r="A993" s="2"/>
      <c r="B993" s="2"/>
      <c r="C993" s="669"/>
      <c r="D993" s="670"/>
      <c r="E993" s="669"/>
      <c r="F993" s="671"/>
      <c r="G993" s="7"/>
    </row>
    <row r="994" spans="1:7">
      <c r="A994" s="679"/>
      <c r="B994" s="679" t="s">
        <v>461</v>
      </c>
      <c r="C994" s="680"/>
      <c r="D994" s="681"/>
      <c r="E994" s="680"/>
      <c r="F994" s="682" t="e">
        <f>+F992</f>
        <v>#REF!</v>
      </c>
      <c r="G994" s="7"/>
    </row>
    <row r="995" spans="1:7">
      <c r="A995" s="672"/>
      <c r="B995" s="672"/>
      <c r="C995" s="673"/>
      <c r="D995" s="674"/>
      <c r="E995" s="673"/>
      <c r="F995" s="675"/>
      <c r="G995" s="7"/>
    </row>
    <row r="996" spans="1:7">
      <c r="A996" s="672"/>
      <c r="B996" s="672"/>
      <c r="C996" s="673"/>
      <c r="D996" s="674"/>
      <c r="E996" s="673"/>
      <c r="F996" s="675"/>
      <c r="G996" s="7"/>
    </row>
    <row r="997" spans="1:7">
      <c r="A997" s="672"/>
      <c r="B997" s="672"/>
      <c r="C997" s="673"/>
      <c r="D997" s="674"/>
      <c r="E997" s="673"/>
      <c r="F997" s="675"/>
      <c r="G997" s="7"/>
    </row>
    <row r="998" spans="1:7">
      <c r="A998" s="672"/>
      <c r="B998" s="672"/>
      <c r="C998" s="673"/>
      <c r="D998" s="674"/>
      <c r="E998" s="673"/>
      <c r="F998" s="675"/>
      <c r="G998" s="7"/>
    </row>
    <row r="999" spans="1:7">
      <c r="A999" s="6"/>
      <c r="B999" s="6"/>
      <c r="C999" s="23"/>
      <c r="D999" s="1412"/>
      <c r="E999" s="23"/>
      <c r="F999" s="700"/>
      <c r="G999" s="7"/>
    </row>
    <row r="1000" spans="1:7">
      <c r="A1000" s="5065" t="s">
        <v>463</v>
      </c>
      <c r="B1000" s="5065"/>
      <c r="C1000" s="5065" t="s">
        <v>464</v>
      </c>
      <c r="D1000" s="5065"/>
      <c r="E1000" s="5065"/>
      <c r="F1000" s="5065"/>
      <c r="G1000" s="7"/>
    </row>
    <row r="1001" spans="1:7">
      <c r="A1001" s="6"/>
      <c r="B1001" s="6"/>
      <c r="C1001" s="23"/>
      <c r="D1001" s="1412"/>
      <c r="E1001" s="23"/>
      <c r="F1001" s="700"/>
      <c r="G1001" s="7"/>
    </row>
    <row r="1002" spans="1:7">
      <c r="A1002" s="6"/>
      <c r="B1002" s="6"/>
      <c r="C1002" s="23"/>
      <c r="D1002" s="1412"/>
      <c r="E1002" s="23"/>
      <c r="F1002" s="700"/>
      <c r="G1002" s="7"/>
    </row>
    <row r="1003" spans="1:7">
      <c r="A1003" s="6"/>
      <c r="B1003" s="6"/>
      <c r="C1003" s="23"/>
      <c r="D1003" s="1412"/>
      <c r="E1003" s="23"/>
      <c r="F1003" s="700"/>
      <c r="G1003" s="7"/>
    </row>
    <row r="1004" spans="1:7">
      <c r="A1004" s="5065" t="s">
        <v>1003</v>
      </c>
      <c r="B1004" s="5065"/>
      <c r="C1004" s="5065" t="s">
        <v>485</v>
      </c>
      <c r="D1004" s="5065"/>
      <c r="E1004" s="5065"/>
      <c r="F1004" s="5065"/>
    </row>
    <row r="1005" spans="1:7">
      <c r="A1005" s="6" t="s">
        <v>465</v>
      </c>
      <c r="B1005" s="6"/>
      <c r="C1005" s="5065" t="s">
        <v>466</v>
      </c>
      <c r="D1005" s="5065"/>
      <c r="E1005" s="5065"/>
      <c r="F1005" s="5065"/>
    </row>
    <row r="1006" spans="1:7">
      <c r="A1006" s="6"/>
      <c r="B1006" s="6"/>
      <c r="C1006" s="23"/>
      <c r="D1006" s="1412"/>
      <c r="E1006" s="23"/>
      <c r="F1006" s="700"/>
    </row>
    <row r="1007" spans="1:7">
      <c r="A1007" s="6"/>
      <c r="B1007" s="6"/>
      <c r="C1007" s="23"/>
      <c r="D1007" s="1412"/>
      <c r="E1007" s="23"/>
      <c r="F1007" s="700"/>
    </row>
    <row r="1008" spans="1:7">
      <c r="A1008" s="6"/>
      <c r="B1008" s="6"/>
      <c r="C1008" s="23"/>
      <c r="D1008" s="1412"/>
      <c r="E1008" s="23"/>
      <c r="F1008" s="700"/>
    </row>
    <row r="1009" spans="1:6">
      <c r="A1009" s="6"/>
      <c r="B1009" s="6"/>
      <c r="C1009" s="23"/>
      <c r="D1009" s="1412"/>
      <c r="E1009" s="23"/>
      <c r="F1009" s="700"/>
    </row>
    <row r="1010" spans="1:6">
      <c r="A1010" s="6"/>
      <c r="B1010" s="6"/>
      <c r="C1010" s="23"/>
      <c r="D1010" s="1412"/>
      <c r="E1010" s="23"/>
      <c r="F1010" s="700"/>
    </row>
    <row r="1011" spans="1:6">
      <c r="A1011" s="5065" t="s">
        <v>467</v>
      </c>
      <c r="B1011" s="5065"/>
      <c r="C1011" s="5065" t="s">
        <v>468</v>
      </c>
      <c r="D1011" s="5065"/>
      <c r="E1011" s="5065"/>
      <c r="F1011" s="5065"/>
    </row>
    <row r="1012" spans="1:6">
      <c r="A1012" s="6"/>
      <c r="B1012" s="6"/>
      <c r="C1012" s="23"/>
      <c r="D1012" s="1412"/>
      <c r="E1012" s="23"/>
      <c r="F1012" s="700"/>
    </row>
    <row r="1013" spans="1:6">
      <c r="A1013" s="6"/>
      <c r="B1013" s="6"/>
      <c r="C1013" s="23"/>
      <c r="D1013" s="1412"/>
      <c r="E1013" s="23"/>
      <c r="F1013" s="700"/>
    </row>
    <row r="1014" spans="1:6">
      <c r="A1014" s="6"/>
      <c r="B1014" s="6"/>
      <c r="C1014" s="23"/>
      <c r="D1014" s="1412"/>
      <c r="E1014" s="23"/>
      <c r="F1014" s="700"/>
    </row>
    <row r="1015" spans="1:6">
      <c r="A1015" s="5065" t="s">
        <v>469</v>
      </c>
      <c r="B1015" s="5065"/>
      <c r="C1015" s="5065" t="s">
        <v>470</v>
      </c>
      <c r="D1015" s="5065"/>
      <c r="E1015" s="5065"/>
      <c r="F1015" s="5065"/>
    </row>
    <row r="1016" spans="1:6">
      <c r="A1016" s="6" t="s">
        <v>471</v>
      </c>
      <c r="B1016" s="6"/>
      <c r="C1016" s="5065" t="s">
        <v>472</v>
      </c>
      <c r="D1016" s="5065"/>
      <c r="E1016" s="5065"/>
      <c r="F1016" s="5065"/>
    </row>
    <row r="1017" spans="1:6">
      <c r="A1017" s="6"/>
      <c r="B1017" s="6"/>
      <c r="C1017" s="23"/>
      <c r="D1017" s="1412"/>
      <c r="E1017" s="23"/>
      <c r="F1017" s="700"/>
    </row>
    <row r="1018" spans="1:6">
      <c r="A1018" s="6"/>
      <c r="B1018" s="6"/>
      <c r="C1018" s="23"/>
      <c r="D1018" s="1412"/>
      <c r="E1018" s="23"/>
      <c r="F1018" s="700"/>
    </row>
    <row r="1019" spans="1:6">
      <c r="A1019" s="6"/>
      <c r="B1019" s="6"/>
      <c r="C1019" s="23"/>
      <c r="D1019" s="1412"/>
      <c r="E1019" s="23"/>
      <c r="F1019" s="700"/>
    </row>
    <row r="1020" spans="1:6">
      <c r="A1020" s="7"/>
      <c r="B1020" s="7"/>
      <c r="C1020" s="23"/>
      <c r="D1020" s="1412"/>
      <c r="E1020" s="23"/>
      <c r="F1020" s="23"/>
    </row>
    <row r="1021" spans="1:6">
      <c r="A1021" s="7"/>
      <c r="B1021" s="7"/>
      <c r="C1021" s="23"/>
      <c r="D1021" s="1412"/>
      <c r="E1021" s="23"/>
      <c r="F1021" s="23"/>
    </row>
    <row r="1022" spans="1:6">
      <c r="E1022" s="24"/>
      <c r="F1022" s="24"/>
    </row>
  </sheetData>
  <customSheetViews>
    <customSheetView guid="{43BC9397-3E8C-478C-B548-E4A845A7F82B}" state="hidden">
      <selection sqref="A1:F1"/>
      <pageMargins left="0.7" right="0.7" top="0.75" bottom="0.75" header="0.3" footer="0.3"/>
      <pageSetup paperSize="9" orientation="portrait" r:id="rId1"/>
    </customSheetView>
  </customSheetViews>
  <mergeCells count="135">
    <mergeCell ref="A1011:B1011"/>
    <mergeCell ref="C1011:F1011"/>
    <mergeCell ref="A1015:B1015"/>
    <mergeCell ref="C1015:F1015"/>
    <mergeCell ref="C1016:F1016"/>
    <mergeCell ref="A6:F6"/>
    <mergeCell ref="A1000:B1000"/>
    <mergeCell ref="C1000:F1000"/>
    <mergeCell ref="A1004:B1004"/>
    <mergeCell ref="C1004:F1004"/>
    <mergeCell ref="C1005:F1005"/>
    <mergeCell ref="DK4:DP4"/>
    <mergeCell ref="DQ4:DV4"/>
    <mergeCell ref="DW4:EB4"/>
    <mergeCell ref="EC4:EH4"/>
    <mergeCell ref="EI4:EN4"/>
    <mergeCell ref="EO4:ET4"/>
    <mergeCell ref="IS4:IV4"/>
    <mergeCell ref="GE4:GJ4"/>
    <mergeCell ref="GK4:GP4"/>
    <mergeCell ref="GQ4:GV4"/>
    <mergeCell ref="GW4:HB4"/>
    <mergeCell ref="HC4:HH4"/>
    <mergeCell ref="HI4:HN4"/>
    <mergeCell ref="HO4:HT4"/>
    <mergeCell ref="HU4:HZ4"/>
    <mergeCell ref="IA4:IF4"/>
    <mergeCell ref="IG4:IL4"/>
    <mergeCell ref="IM4:IR4"/>
    <mergeCell ref="EU4:EZ4"/>
    <mergeCell ref="FA4:FF4"/>
    <mergeCell ref="FG4:FL4"/>
    <mergeCell ref="FM4:FR4"/>
    <mergeCell ref="HU3:HZ3"/>
    <mergeCell ref="IA3:IF3"/>
    <mergeCell ref="IG3:IL3"/>
    <mergeCell ref="IM3:IR3"/>
    <mergeCell ref="IS3:IV3"/>
    <mergeCell ref="A4:F4"/>
    <mergeCell ref="S4:X4"/>
    <mergeCell ref="Y4:AD4"/>
    <mergeCell ref="AE4:AJ4"/>
    <mergeCell ref="AK4:AP4"/>
    <mergeCell ref="AQ4:AV4"/>
    <mergeCell ref="AW4:BB4"/>
    <mergeCell ref="BC4:BH4"/>
    <mergeCell ref="BI4:BN4"/>
    <mergeCell ref="BO4:BT4"/>
    <mergeCell ref="BU4:BZ4"/>
    <mergeCell ref="CA4:CF4"/>
    <mergeCell ref="CG4:CL4"/>
    <mergeCell ref="CM4:CR4"/>
    <mergeCell ref="CS4:CX4"/>
    <mergeCell ref="CY4:DD4"/>
    <mergeCell ref="DE4:DJ4"/>
    <mergeCell ref="FS4:FX4"/>
    <mergeCell ref="FY4:GD4"/>
    <mergeCell ref="FS3:FX3"/>
    <mergeCell ref="FY3:GD3"/>
    <mergeCell ref="GE3:GJ3"/>
    <mergeCell ref="GK3:GP3"/>
    <mergeCell ref="GQ3:GV3"/>
    <mergeCell ref="GW3:HB3"/>
    <mergeCell ref="HC3:HH3"/>
    <mergeCell ref="HI3:HN3"/>
    <mergeCell ref="HO3:HT3"/>
    <mergeCell ref="DQ3:DV3"/>
    <mergeCell ref="DW3:EB3"/>
    <mergeCell ref="EC3:EH3"/>
    <mergeCell ref="EI3:EN3"/>
    <mergeCell ref="EO3:ET3"/>
    <mergeCell ref="EU3:EZ3"/>
    <mergeCell ref="FA3:FF3"/>
    <mergeCell ref="FG3:FL3"/>
    <mergeCell ref="FM3:FR3"/>
    <mergeCell ref="HO2:HT2"/>
    <mergeCell ref="HU2:HZ2"/>
    <mergeCell ref="IA2:IF2"/>
    <mergeCell ref="IG2:IL2"/>
    <mergeCell ref="IM2:IR2"/>
    <mergeCell ref="IS2:IV2"/>
    <mergeCell ref="A3:F3"/>
    <mergeCell ref="S3:X3"/>
    <mergeCell ref="Y3:AD3"/>
    <mergeCell ref="AE3:AJ3"/>
    <mergeCell ref="AK3:AP3"/>
    <mergeCell ref="AQ3:AV3"/>
    <mergeCell ref="AW3:BB3"/>
    <mergeCell ref="BC3:BH3"/>
    <mergeCell ref="BI3:BN3"/>
    <mergeCell ref="BO3:BT3"/>
    <mergeCell ref="BU3:BZ3"/>
    <mergeCell ref="CA3:CF3"/>
    <mergeCell ref="CG3:CL3"/>
    <mergeCell ref="CM3:CR3"/>
    <mergeCell ref="CS3:CX3"/>
    <mergeCell ref="CY3:DD3"/>
    <mergeCell ref="DE3:DJ3"/>
    <mergeCell ref="DK3:DP3"/>
    <mergeCell ref="FM2:FR2"/>
    <mergeCell ref="FS2:FX2"/>
    <mergeCell ref="FY2:GD2"/>
    <mergeCell ref="GE2:GJ2"/>
    <mergeCell ref="GK2:GP2"/>
    <mergeCell ref="GQ2:GV2"/>
    <mergeCell ref="GW2:HB2"/>
    <mergeCell ref="HC2:HH2"/>
    <mergeCell ref="HI2:HN2"/>
    <mergeCell ref="DK2:DP2"/>
    <mergeCell ref="DQ2:DV2"/>
    <mergeCell ref="DW2:EB2"/>
    <mergeCell ref="EC2:EH2"/>
    <mergeCell ref="EI2:EN2"/>
    <mergeCell ref="EO2:ET2"/>
    <mergeCell ref="EU2:EZ2"/>
    <mergeCell ref="FA2:FF2"/>
    <mergeCell ref="FG2:FL2"/>
    <mergeCell ref="BI2:BN2"/>
    <mergeCell ref="BO2:BT2"/>
    <mergeCell ref="BU2:BZ2"/>
    <mergeCell ref="CA2:CF2"/>
    <mergeCell ref="CG2:CL2"/>
    <mergeCell ref="CM2:CR2"/>
    <mergeCell ref="CS2:CX2"/>
    <mergeCell ref="CY2:DD2"/>
    <mergeCell ref="DE2:DJ2"/>
    <mergeCell ref="A1:F1"/>
    <mergeCell ref="A2:F2"/>
    <mergeCell ref="S2:X2"/>
    <mergeCell ref="Y2:AD2"/>
    <mergeCell ref="AE2:AJ2"/>
    <mergeCell ref="AK2:AP2"/>
    <mergeCell ref="AQ2:AV2"/>
    <mergeCell ref="AW2:BB2"/>
    <mergeCell ref="BC2:BH2"/>
  </mergeCell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IV1136"/>
  <sheetViews>
    <sheetView workbookViewId="0"/>
  </sheetViews>
  <sheetFormatPr baseColWidth="10" defaultColWidth="11.42578125" defaultRowHeight="12.75"/>
  <cols>
    <col min="1" max="1" width="8" style="1739" customWidth="1"/>
    <col min="2" max="2" width="53.42578125" style="7" customWidth="1"/>
    <col min="3" max="3" width="9.7109375" style="7" bestFit="1" customWidth="1"/>
    <col min="4" max="4" width="6.140625" style="7" customWidth="1"/>
    <col min="5" max="5" width="10.85546875" style="1739" customWidth="1"/>
    <col min="6" max="6" width="14.28515625" style="1739" bestFit="1" customWidth="1"/>
    <col min="7" max="7" width="15.140625" style="1844" customWidth="1"/>
    <col min="8" max="8" width="10.28515625" style="44" bestFit="1" customWidth="1"/>
    <col min="9" max="9" width="11.42578125" style="44"/>
    <col min="10" max="10" width="13.28515625" style="44" customWidth="1"/>
    <col min="11" max="12" width="11.42578125" style="44"/>
    <col min="13" max="13" width="12.85546875" style="7" bestFit="1" customWidth="1"/>
    <col min="14" max="16384" width="11.42578125" style="7"/>
  </cols>
  <sheetData>
    <row r="2" spans="1:7" s="1539" customFormat="1" ht="12.95" customHeight="1">
      <c r="A2" s="5065" t="s">
        <v>5</v>
      </c>
      <c r="B2" s="5065"/>
      <c r="C2" s="5065"/>
      <c r="D2" s="5065"/>
      <c r="E2" s="5065"/>
      <c r="F2" s="5065"/>
      <c r="G2" s="1329"/>
    </row>
    <row r="3" spans="1:7" s="1539" customFormat="1" ht="12.95" customHeight="1">
      <c r="A3" s="5065" t="s">
        <v>6</v>
      </c>
      <c r="B3" s="5065"/>
      <c r="C3" s="5065"/>
      <c r="D3" s="5065"/>
      <c r="E3" s="5065"/>
      <c r="F3" s="5065"/>
      <c r="G3" s="1329"/>
    </row>
    <row r="4" spans="1:7" s="1539" customFormat="1" ht="12.95" customHeight="1">
      <c r="A4" s="5065" t="s">
        <v>7</v>
      </c>
      <c r="B4" s="5065"/>
      <c r="C4" s="5065"/>
      <c r="D4" s="5065"/>
      <c r="E4" s="5065"/>
      <c r="F4" s="5065"/>
      <c r="G4" s="1329"/>
    </row>
    <row r="5" spans="1:7" s="1539" customFormat="1" ht="12.95" customHeight="1">
      <c r="A5" s="5065" t="s">
        <v>60</v>
      </c>
      <c r="B5" s="5065"/>
      <c r="C5" s="5065"/>
      <c r="D5" s="5065"/>
      <c r="E5" s="5065"/>
      <c r="F5" s="5065"/>
      <c r="G5" s="1329"/>
    </row>
    <row r="6" spans="1:7" s="1539" customFormat="1" ht="12.95" customHeight="1">
      <c r="A6" s="1796"/>
      <c r="B6" s="1796"/>
      <c r="C6" s="1796"/>
      <c r="D6" s="1796"/>
      <c r="E6" s="1796"/>
      <c r="F6" s="1796"/>
      <c r="G6" s="1329"/>
    </row>
    <row r="7" spans="1:7" s="1539" customFormat="1" ht="12.95" customHeight="1">
      <c r="A7" t="s">
        <v>2337</v>
      </c>
      <c r="B7"/>
      <c r="C7"/>
      <c r="D7"/>
      <c r="E7"/>
      <c r="F7"/>
      <c r="G7" s="1329"/>
    </row>
    <row r="8" spans="1:7" s="1539" customFormat="1" ht="32.25" customHeight="1">
      <c r="A8" s="1598" t="s">
        <v>2210</v>
      </c>
      <c r="B8" s="5065" t="s">
        <v>2338</v>
      </c>
      <c r="C8" s="5065"/>
      <c r="D8" s="5065"/>
      <c r="E8" s="5065"/>
      <c r="F8"/>
      <c r="G8" s="1329"/>
    </row>
    <row r="9" spans="1:7" s="1539" customFormat="1" ht="12.95" customHeight="1">
      <c r="A9" t="s">
        <v>2211</v>
      </c>
      <c r="B9"/>
      <c r="C9"/>
      <c r="D9" t="s">
        <v>2212</v>
      </c>
      <c r="E9"/>
      <c r="F9"/>
      <c r="G9" s="1329"/>
    </row>
    <row r="10" spans="1:7" s="1539" customFormat="1" ht="12.95" customHeight="1" thickBot="1">
      <c r="A10" s="7"/>
      <c r="B10" s="5"/>
      <c r="C10" s="7"/>
      <c r="D10" s="7"/>
      <c r="E10" s="7"/>
      <c r="F10" s="7"/>
      <c r="G10" s="1329"/>
    </row>
    <row r="11" spans="1:7" s="1740" customFormat="1" ht="21" customHeight="1">
      <c r="A11" s="1852" t="s">
        <v>28</v>
      </c>
      <c r="B11" s="1853" t="s">
        <v>29</v>
      </c>
      <c r="C11" s="1853" t="s">
        <v>30</v>
      </c>
      <c r="D11" s="1853" t="s">
        <v>976</v>
      </c>
      <c r="E11" s="1853" t="s">
        <v>44</v>
      </c>
      <c r="F11" s="1854" t="s">
        <v>45</v>
      </c>
    </row>
    <row r="12" spans="1:7" s="1539" customFormat="1" ht="12.75" customHeight="1">
      <c r="A12" s="1855"/>
      <c r="B12" s="3"/>
      <c r="C12" s="1794"/>
      <c r="D12" s="1794"/>
      <c r="E12" s="1794"/>
      <c r="F12" s="1856"/>
    </row>
    <row r="13" spans="1:7" s="650" customFormat="1" ht="30">
      <c r="A13" s="1857" t="s">
        <v>0</v>
      </c>
      <c r="B13" s="1403" t="s">
        <v>2231</v>
      </c>
      <c r="C13" s="31"/>
      <c r="D13" s="1794"/>
      <c r="E13" s="31"/>
      <c r="F13" s="1858"/>
      <c r="G13" s="1741"/>
    </row>
    <row r="14" spans="1:7" s="1539" customFormat="1">
      <c r="A14" s="1859"/>
      <c r="B14" s="51"/>
      <c r="C14" s="31"/>
      <c r="D14" s="1794"/>
      <c r="E14" s="31"/>
      <c r="F14" s="1858"/>
      <c r="G14" s="1741"/>
    </row>
    <row r="15" spans="1:7" s="1539" customFormat="1">
      <c r="A15" s="1855">
        <v>1</v>
      </c>
      <c r="B15" s="51" t="s">
        <v>2213</v>
      </c>
      <c r="C15" s="31"/>
      <c r="D15" s="1794"/>
      <c r="E15" s="31"/>
      <c r="F15" s="1858"/>
      <c r="G15" s="1741"/>
    </row>
    <row r="16" spans="1:7" s="1539" customFormat="1">
      <c r="A16" s="1860">
        <v>1.1000000000000001</v>
      </c>
      <c r="B16" s="28" t="s">
        <v>1494</v>
      </c>
      <c r="C16" s="31">
        <v>409</v>
      </c>
      <c r="D16" s="1794" t="s">
        <v>1</v>
      </c>
      <c r="E16" s="31">
        <v>45</v>
      </c>
      <c r="F16" s="1858">
        <f>+ROUND(C16*E16,2)</f>
        <v>18405</v>
      </c>
      <c r="G16" s="1741"/>
    </row>
    <row r="17" spans="1:9" s="1539" customFormat="1">
      <c r="A17" s="1860"/>
      <c r="B17" s="51"/>
      <c r="C17" s="31"/>
      <c r="D17" s="1794"/>
      <c r="E17" s="31"/>
      <c r="F17" s="1858">
        <f>+ROUND(C17*E17,2)</f>
        <v>0</v>
      </c>
      <c r="G17" s="1741"/>
    </row>
    <row r="18" spans="1:9" s="1539" customFormat="1">
      <c r="A18" s="1861">
        <v>2</v>
      </c>
      <c r="B18" s="711" t="s">
        <v>14</v>
      </c>
      <c r="C18" s="31"/>
      <c r="D18" s="713"/>
      <c r="E18" s="714"/>
      <c r="F18" s="1858">
        <f>+ROUND(C18*E18,2)</f>
        <v>0</v>
      </c>
      <c r="G18" s="1741"/>
    </row>
    <row r="19" spans="1:9" s="1539" customFormat="1">
      <c r="A19" s="1860"/>
      <c r="B19" s="711"/>
      <c r="C19" s="31"/>
      <c r="D19" s="713"/>
      <c r="E19" s="714"/>
      <c r="F19" s="1858"/>
      <c r="G19" s="1741"/>
    </row>
    <row r="20" spans="1:9" s="1539" customFormat="1">
      <c r="A20" s="1862">
        <v>2.1</v>
      </c>
      <c r="B20" s="1804" t="s">
        <v>2214</v>
      </c>
      <c r="C20" s="31"/>
      <c r="D20" s="713"/>
      <c r="E20" s="714"/>
      <c r="F20" s="1858"/>
      <c r="G20" s="1741"/>
    </row>
    <row r="21" spans="1:9" s="1539" customFormat="1">
      <c r="A21" s="1863" t="s">
        <v>1182</v>
      </c>
      <c r="B21" s="1201" t="s">
        <v>2314</v>
      </c>
      <c r="C21" s="31">
        <v>53.61</v>
      </c>
      <c r="D21" s="713" t="s">
        <v>2</v>
      </c>
      <c r="E21" s="714">
        <v>154.53</v>
      </c>
      <c r="F21" s="1864">
        <f>+ROUND(C21*E21,2)</f>
        <v>8284.35</v>
      </c>
      <c r="G21" s="1741"/>
      <c r="H21" s="1742"/>
      <c r="I21" s="1743"/>
    </row>
    <row r="22" spans="1:9" s="1539" customFormat="1" ht="25.5">
      <c r="A22" s="1863" t="s">
        <v>1183</v>
      </c>
      <c r="B22" s="1201" t="s">
        <v>2315</v>
      </c>
      <c r="C22" s="31">
        <v>22.98</v>
      </c>
      <c r="D22" s="713" t="s">
        <v>2</v>
      </c>
      <c r="E22" s="714">
        <v>1125.8</v>
      </c>
      <c r="F22" s="1864">
        <f>+ROUND(C22*E22,2)</f>
        <v>25870.880000000001</v>
      </c>
      <c r="G22" s="1741"/>
      <c r="H22" s="1742"/>
      <c r="I22" s="1743"/>
    </row>
    <row r="23" spans="1:9" s="1539" customFormat="1">
      <c r="A23" s="1863"/>
      <c r="B23" s="1201"/>
      <c r="C23" s="31"/>
      <c r="D23" s="713"/>
      <c r="E23" s="714"/>
      <c r="F23" s="1864"/>
      <c r="G23" s="1741"/>
      <c r="H23" s="1742"/>
      <c r="I23" s="1743"/>
    </row>
    <row r="24" spans="1:9" s="1539" customFormat="1">
      <c r="A24" s="1863">
        <v>2.2000000000000002</v>
      </c>
      <c r="B24" s="1201" t="s">
        <v>1181</v>
      </c>
      <c r="C24" s="31">
        <v>58.65</v>
      </c>
      <c r="D24" s="713" t="s">
        <v>11</v>
      </c>
      <c r="E24" s="714">
        <v>28.5</v>
      </c>
      <c r="F24" s="1864">
        <f t="shared" ref="F24:F35" si="0">+ROUND(C24*E24,2)</f>
        <v>1671.53</v>
      </c>
      <c r="G24" s="1741"/>
      <c r="H24" s="1742"/>
      <c r="I24" s="1743"/>
    </row>
    <row r="25" spans="1:9" s="1539" customFormat="1">
      <c r="A25" s="1860">
        <v>2.2999999999999998</v>
      </c>
      <c r="B25" s="716" t="s">
        <v>2215</v>
      </c>
      <c r="C25" s="31">
        <v>5.87</v>
      </c>
      <c r="D25" s="713" t="s">
        <v>2</v>
      </c>
      <c r="E25" s="714">
        <v>1108.8900000000001</v>
      </c>
      <c r="F25" s="1858">
        <f t="shared" si="0"/>
        <v>6509.18</v>
      </c>
      <c r="G25" s="1741"/>
    </row>
    <row r="26" spans="1:9" s="1539" customFormat="1" ht="27.75" customHeight="1">
      <c r="A26" s="1860">
        <v>2.4</v>
      </c>
      <c r="B26" s="747" t="s">
        <v>1185</v>
      </c>
      <c r="C26" s="31">
        <v>28.72</v>
      </c>
      <c r="D26" s="713" t="s">
        <v>2</v>
      </c>
      <c r="E26" s="714">
        <v>668.95</v>
      </c>
      <c r="F26" s="1858">
        <f t="shared" si="0"/>
        <v>19212.240000000002</v>
      </c>
      <c r="G26" s="1741"/>
    </row>
    <row r="27" spans="1:9" s="1539" customFormat="1" ht="25.5">
      <c r="A27" s="1860">
        <v>2.5</v>
      </c>
      <c r="B27" s="1201" t="s">
        <v>1184</v>
      </c>
      <c r="C27" s="31">
        <v>62.4</v>
      </c>
      <c r="D27" s="713" t="s">
        <v>2</v>
      </c>
      <c r="E27" s="714">
        <v>183.5</v>
      </c>
      <c r="F27" s="1858">
        <f t="shared" si="0"/>
        <v>11450.4</v>
      </c>
      <c r="G27" s="1741"/>
    </row>
    <row r="28" spans="1:9" s="1539" customFormat="1" ht="25.5">
      <c r="A28" s="1860">
        <v>2.6</v>
      </c>
      <c r="B28" s="717" t="s">
        <v>2216</v>
      </c>
      <c r="C28" s="31">
        <v>57.23</v>
      </c>
      <c r="D28" s="713" t="s">
        <v>2</v>
      </c>
      <c r="E28" s="714">
        <v>210</v>
      </c>
      <c r="F28" s="1858">
        <f t="shared" si="0"/>
        <v>12018.3</v>
      </c>
      <c r="G28" s="1741"/>
    </row>
    <row r="29" spans="1:9" s="1539" customFormat="1">
      <c r="A29" s="1860"/>
      <c r="B29" s="28"/>
      <c r="C29" s="31"/>
      <c r="D29" s="1794"/>
      <c r="E29" s="31"/>
      <c r="F29" s="1858">
        <f t="shared" si="0"/>
        <v>0</v>
      </c>
      <c r="G29" s="1741"/>
    </row>
    <row r="30" spans="1:9" s="1539" customFormat="1">
      <c r="A30" s="1861">
        <v>3</v>
      </c>
      <c r="B30" s="711" t="s">
        <v>25</v>
      </c>
      <c r="C30" s="31"/>
      <c r="D30" s="713"/>
      <c r="E30" s="714"/>
      <c r="F30" s="1858">
        <f t="shared" si="0"/>
        <v>0</v>
      </c>
      <c r="G30" s="1741"/>
    </row>
    <row r="31" spans="1:9" s="1745" customFormat="1" ht="25.5">
      <c r="A31" s="1865">
        <v>3.1</v>
      </c>
      <c r="B31" s="853" t="s">
        <v>2217</v>
      </c>
      <c r="C31" s="31">
        <v>409</v>
      </c>
      <c r="D31" s="1805" t="s">
        <v>1</v>
      </c>
      <c r="E31" s="31">
        <v>6935.55</v>
      </c>
      <c r="F31" s="1858">
        <f t="shared" si="0"/>
        <v>2836639.95</v>
      </c>
      <c r="G31" s="1744"/>
    </row>
    <row r="32" spans="1:9" s="1539" customFormat="1">
      <c r="A32" s="1860"/>
      <c r="B32" s="51"/>
      <c r="C32" s="31"/>
      <c r="D32" s="1805"/>
      <c r="E32" s="31"/>
      <c r="F32" s="1858">
        <f t="shared" si="0"/>
        <v>0</v>
      </c>
      <c r="G32" s="1741"/>
    </row>
    <row r="33" spans="1:7" s="1539" customFormat="1">
      <c r="A33" s="1861">
        <v>4</v>
      </c>
      <c r="B33" s="51" t="s">
        <v>26</v>
      </c>
      <c r="C33" s="31"/>
      <c r="D33" s="1805"/>
      <c r="E33" s="31"/>
      <c r="F33" s="1858">
        <f t="shared" si="0"/>
        <v>0</v>
      </c>
      <c r="G33" s="1741"/>
    </row>
    <row r="34" spans="1:7" s="1745" customFormat="1" ht="25.5">
      <c r="A34" s="1865">
        <v>4.0999999999999996</v>
      </c>
      <c r="B34" s="853" t="s">
        <v>2217</v>
      </c>
      <c r="C34" s="31">
        <v>409</v>
      </c>
      <c r="D34" s="1805" t="s">
        <v>1</v>
      </c>
      <c r="E34" s="31">
        <v>481.64</v>
      </c>
      <c r="F34" s="1858">
        <f t="shared" si="0"/>
        <v>196990.76</v>
      </c>
      <c r="G34" s="1744"/>
    </row>
    <row r="35" spans="1:7" s="1539" customFormat="1" ht="15" customHeight="1">
      <c r="A35" s="1860"/>
      <c r="B35" s="28"/>
      <c r="C35" s="31"/>
      <c r="D35" s="1794"/>
      <c r="E35" s="31"/>
      <c r="F35" s="1858">
        <f t="shared" si="0"/>
        <v>0</v>
      </c>
      <c r="G35" s="1741"/>
    </row>
    <row r="36" spans="1:7" s="1745" customFormat="1" ht="20.25" customHeight="1">
      <c r="A36" s="1861">
        <v>5</v>
      </c>
      <c r="B36" s="851" t="s">
        <v>2218</v>
      </c>
      <c r="C36" s="31"/>
      <c r="D36" s="814"/>
      <c r="E36" s="1582"/>
      <c r="F36" s="1858"/>
      <c r="G36" s="1744"/>
    </row>
    <row r="37" spans="1:7" s="1539" customFormat="1" ht="25.5" customHeight="1">
      <c r="A37" s="1860">
        <v>5.0999999999999996</v>
      </c>
      <c r="B37" s="1746" t="s">
        <v>1190</v>
      </c>
      <c r="C37" s="31">
        <v>5</v>
      </c>
      <c r="D37" s="814" t="s">
        <v>3</v>
      </c>
      <c r="E37" s="32">
        <v>11305.07</v>
      </c>
      <c r="F37" s="1864">
        <f>ROUND(C37*E37,2)</f>
        <v>56525.35</v>
      </c>
      <c r="G37" s="1741"/>
    </row>
    <row r="38" spans="1:7" s="1539" customFormat="1" ht="25.5" customHeight="1">
      <c r="A38" s="1860">
        <v>5.2</v>
      </c>
      <c r="B38" s="1746" t="s">
        <v>1191</v>
      </c>
      <c r="C38" s="31">
        <v>2</v>
      </c>
      <c r="D38" s="814" t="s">
        <v>3</v>
      </c>
      <c r="E38" s="1582">
        <v>14160.67</v>
      </c>
      <c r="F38" s="1864">
        <f>ROUND(C38*E38,2)</f>
        <v>28321.34</v>
      </c>
      <c r="G38" s="1741"/>
    </row>
    <row r="39" spans="1:7" s="1539" customFormat="1" ht="29.25" customHeight="1">
      <c r="A39" s="1865">
        <v>5.3</v>
      </c>
      <c r="B39" s="28" t="s">
        <v>2316</v>
      </c>
      <c r="C39" s="31">
        <v>6</v>
      </c>
      <c r="D39" s="1805" t="s">
        <v>3</v>
      </c>
      <c r="E39" s="31">
        <v>2500</v>
      </c>
      <c r="F39" s="1864">
        <f>+ROUND(C39*E39,2)</f>
        <v>15000</v>
      </c>
      <c r="G39" s="1741"/>
    </row>
    <row r="40" spans="1:7" s="1539" customFormat="1" ht="27" customHeight="1">
      <c r="A40" s="1865">
        <v>54</v>
      </c>
      <c r="B40" s="28" t="s">
        <v>2227</v>
      </c>
      <c r="C40" s="1811">
        <v>7</v>
      </c>
      <c r="D40" s="1805" t="s">
        <v>3</v>
      </c>
      <c r="E40" s="1811">
        <v>16415.560000000001</v>
      </c>
      <c r="F40" s="1866">
        <f>ROUND(C40*E40,2)</f>
        <v>114908.92</v>
      </c>
      <c r="G40" s="1741"/>
    </row>
    <row r="41" spans="1:7" s="1539" customFormat="1" ht="10.5" customHeight="1">
      <c r="A41" s="1860"/>
      <c r="B41" s="28"/>
      <c r="C41" s="31"/>
      <c r="D41" s="522"/>
      <c r="E41" s="31"/>
      <c r="F41" s="1858"/>
      <c r="G41" s="1741"/>
    </row>
    <row r="42" spans="1:7" s="1539" customFormat="1" ht="25.5">
      <c r="A42" s="1867">
        <v>6</v>
      </c>
      <c r="B42" s="51" t="s">
        <v>2228</v>
      </c>
      <c r="C42" s="31"/>
      <c r="D42" s="522"/>
      <c r="E42" s="31"/>
      <c r="F42" s="1858"/>
      <c r="G42" s="1741"/>
    </row>
    <row r="43" spans="1:7" s="1745" customFormat="1" ht="26.25" customHeight="1">
      <c r="A43" s="1865">
        <v>6.1</v>
      </c>
      <c r="B43" s="1053" t="s">
        <v>2222</v>
      </c>
      <c r="C43" s="31">
        <v>28</v>
      </c>
      <c r="D43" s="814" t="s">
        <v>3</v>
      </c>
      <c r="E43" s="1582">
        <v>16415.560000000001</v>
      </c>
      <c r="F43" s="1864">
        <f>ROUND(C43*E43,2)</f>
        <v>459635.68</v>
      </c>
      <c r="G43" s="1744"/>
    </row>
    <row r="44" spans="1:7" s="1745" customFormat="1" ht="15" customHeight="1">
      <c r="A44" s="1868">
        <v>6.2</v>
      </c>
      <c r="B44" s="1822" t="s">
        <v>2219</v>
      </c>
      <c r="C44" s="1813">
        <v>112</v>
      </c>
      <c r="D44" s="1821" t="s">
        <v>47</v>
      </c>
      <c r="E44" s="1825">
        <v>397.75</v>
      </c>
      <c r="F44" s="1869">
        <f>+ROUND(C44*E44,2)</f>
        <v>44548</v>
      </c>
      <c r="G44" s="1744"/>
    </row>
    <row r="45" spans="1:7" s="1539" customFormat="1" ht="12.95" customHeight="1">
      <c r="A45" s="1860"/>
      <c r="B45" s="18"/>
      <c r="C45" s="31"/>
      <c r="D45" s="713"/>
      <c r="E45" s="714"/>
      <c r="F45" s="1858"/>
      <c r="G45" s="1741"/>
    </row>
    <row r="46" spans="1:7" s="1539" customFormat="1" ht="38.25">
      <c r="A46" s="1865">
        <v>7</v>
      </c>
      <c r="B46" s="1053" t="s">
        <v>2229</v>
      </c>
      <c r="C46" s="31">
        <v>40</v>
      </c>
      <c r="D46" s="814" t="s">
        <v>3</v>
      </c>
      <c r="E46" s="1582">
        <v>3550</v>
      </c>
      <c r="F46" s="1864">
        <f>ROUND(C46*E46,2)</f>
        <v>142000</v>
      </c>
      <c r="G46" s="1741"/>
    </row>
    <row r="47" spans="1:7" s="1539" customFormat="1" ht="12.95" customHeight="1">
      <c r="A47" s="1860"/>
      <c r="B47" s="18"/>
      <c r="C47" s="31"/>
      <c r="D47" s="713"/>
      <c r="E47" s="714"/>
      <c r="F47" s="1858"/>
      <c r="G47" s="1741"/>
    </row>
    <row r="48" spans="1:7" s="1539" customFormat="1">
      <c r="A48" s="1860">
        <v>8</v>
      </c>
      <c r="B48" s="722" t="s">
        <v>39</v>
      </c>
      <c r="C48" s="31"/>
      <c r="D48" s="713"/>
      <c r="E48" s="714"/>
      <c r="F48" s="1858">
        <f t="shared" ref="F48:F53" si="1">+ROUND(C48*E48,2)</f>
        <v>0</v>
      </c>
      <c r="G48" s="1741"/>
    </row>
    <row r="49" spans="1:10" s="1539" customFormat="1" ht="51">
      <c r="A49" s="1860">
        <v>8.1</v>
      </c>
      <c r="B49" s="1746" t="s">
        <v>2232</v>
      </c>
      <c r="C49" s="31">
        <v>1</v>
      </c>
      <c r="D49" s="713" t="s">
        <v>3</v>
      </c>
      <c r="E49" s="714">
        <v>111255.8</v>
      </c>
      <c r="F49" s="1858">
        <f t="shared" si="1"/>
        <v>111255.8</v>
      </c>
      <c r="G49" s="1741"/>
    </row>
    <row r="50" spans="1:10" s="1539" customFormat="1">
      <c r="A50" s="1860">
        <v>8.1999999999999993</v>
      </c>
      <c r="B50" s="1746" t="s">
        <v>2220</v>
      </c>
      <c r="C50" s="31">
        <v>2</v>
      </c>
      <c r="D50" s="713" t="s">
        <v>3</v>
      </c>
      <c r="E50" s="714">
        <v>38964.559999999998</v>
      </c>
      <c r="F50" s="1858">
        <f t="shared" si="1"/>
        <v>77929.119999999995</v>
      </c>
      <c r="G50" s="1741"/>
    </row>
    <row r="51" spans="1:10" s="1539" customFormat="1" ht="66.75" customHeight="1">
      <c r="A51" s="1860">
        <v>8.3000000000000007</v>
      </c>
      <c r="B51" s="1746" t="s">
        <v>2233</v>
      </c>
      <c r="C51" s="31">
        <v>1</v>
      </c>
      <c r="D51" s="713" t="s">
        <v>3</v>
      </c>
      <c r="E51" s="714">
        <v>50772.81</v>
      </c>
      <c r="F51" s="1858">
        <f t="shared" si="1"/>
        <v>50772.81</v>
      </c>
      <c r="G51" s="1741"/>
    </row>
    <row r="52" spans="1:10" s="1539" customFormat="1">
      <c r="A52" s="1860">
        <v>8.4</v>
      </c>
      <c r="B52" s="18" t="s">
        <v>414</v>
      </c>
      <c r="C52" s="31">
        <v>1</v>
      </c>
      <c r="D52" s="713" t="s">
        <v>3</v>
      </c>
      <c r="E52" s="714">
        <v>3500</v>
      </c>
      <c r="F52" s="1858">
        <f t="shared" si="1"/>
        <v>3500</v>
      </c>
      <c r="G52" s="1741"/>
    </row>
    <row r="53" spans="1:10" s="1539" customFormat="1" ht="14.25" customHeight="1">
      <c r="A53" s="1860">
        <v>8.5</v>
      </c>
      <c r="B53" s="18" t="s">
        <v>2230</v>
      </c>
      <c r="C53" s="31">
        <v>1</v>
      </c>
      <c r="D53" s="713" t="s">
        <v>3</v>
      </c>
      <c r="E53" s="714">
        <v>22500</v>
      </c>
      <c r="F53" s="1858">
        <f t="shared" si="1"/>
        <v>22500</v>
      </c>
      <c r="G53" s="1741"/>
    </row>
    <row r="54" spans="1:10" s="1539" customFormat="1" ht="14.25" customHeight="1">
      <c r="A54" s="1860"/>
      <c r="B54" s="18"/>
      <c r="C54" s="31"/>
      <c r="D54" s="713"/>
      <c r="E54" s="714"/>
      <c r="F54" s="1858"/>
      <c r="G54" s="1741"/>
    </row>
    <row r="55" spans="1:10" s="1539" customFormat="1">
      <c r="A55" s="1861">
        <v>9</v>
      </c>
      <c r="B55" s="722" t="s">
        <v>59</v>
      </c>
      <c r="C55" s="31"/>
      <c r="D55" s="522"/>
      <c r="E55" s="522"/>
      <c r="F55" s="1858">
        <f>+ROUND(C55*E55,2)</f>
        <v>0</v>
      </c>
      <c r="G55" s="1741"/>
    </row>
    <row r="56" spans="1:10" s="1745" customFormat="1" ht="25.5">
      <c r="A56" s="1865">
        <v>9.1</v>
      </c>
      <c r="B56" s="853" t="s">
        <v>981</v>
      </c>
      <c r="C56" s="31">
        <v>409</v>
      </c>
      <c r="D56" s="713" t="s">
        <v>1</v>
      </c>
      <c r="E56" s="1747">
        <v>53.28</v>
      </c>
      <c r="F56" s="1858">
        <f>+ROUND(C56*E56,2)</f>
        <v>21791.52</v>
      </c>
      <c r="G56" s="1744"/>
    </row>
    <row r="57" spans="1:10" s="1745" customFormat="1" ht="11.25" customHeight="1">
      <c r="A57" s="1870"/>
      <c r="B57" s="1052"/>
      <c r="C57" s="31"/>
      <c r="D57" s="713"/>
      <c r="E57" s="1747"/>
      <c r="F57" s="1858">
        <f>+ROUND(C57*E57,2)</f>
        <v>0</v>
      </c>
      <c r="G57" s="1744"/>
    </row>
    <row r="58" spans="1:10" s="1745" customFormat="1" ht="38.25">
      <c r="A58" s="1871">
        <v>10</v>
      </c>
      <c r="B58" s="1053" t="s">
        <v>520</v>
      </c>
      <c r="C58" s="31">
        <v>409</v>
      </c>
      <c r="D58" s="814" t="s">
        <v>1</v>
      </c>
      <c r="E58" s="32">
        <v>23.11</v>
      </c>
      <c r="F58" s="1858">
        <f>ROUND(C58*E58,2)</f>
        <v>9451.99</v>
      </c>
      <c r="G58" s="1744"/>
      <c r="J58" s="1748"/>
    </row>
    <row r="59" spans="1:10" s="1745" customFormat="1" ht="12.75" customHeight="1">
      <c r="A59" s="1860"/>
      <c r="B59" s="1052"/>
      <c r="C59" s="31"/>
      <c r="D59" s="814"/>
      <c r="E59" s="1777"/>
      <c r="F59" s="1872"/>
      <c r="G59" s="1744"/>
    </row>
    <row r="60" spans="1:10" s="1745" customFormat="1" ht="12.75" customHeight="1">
      <c r="A60" s="1860">
        <v>11</v>
      </c>
      <c r="B60" s="1052" t="s">
        <v>462</v>
      </c>
      <c r="C60" s="31">
        <v>409</v>
      </c>
      <c r="D60" s="814" t="s">
        <v>1</v>
      </c>
      <c r="E60" s="1777">
        <v>15</v>
      </c>
      <c r="F60" s="1858">
        <f>ROUND(C60*E60,2)</f>
        <v>6135</v>
      </c>
      <c r="G60" s="1744"/>
      <c r="J60" s="1748"/>
    </row>
    <row r="61" spans="1:10" s="1539" customFormat="1" ht="16.5" customHeight="1">
      <c r="A61" s="1873">
        <v>0</v>
      </c>
      <c r="B61" s="1827" t="s">
        <v>456</v>
      </c>
      <c r="C61" s="1827"/>
      <c r="D61" s="1827"/>
      <c r="E61" s="1828"/>
      <c r="F61" s="1874">
        <f>SUM(F16:F60)</f>
        <v>4301328.12</v>
      </c>
      <c r="G61" s="1741"/>
    </row>
    <row r="62" spans="1:10" s="1539" customFormat="1" ht="12.75" customHeight="1">
      <c r="A62" s="1860"/>
      <c r="B62" s="522"/>
      <c r="C62" s="31"/>
      <c r="D62" s="522"/>
      <c r="E62" s="31"/>
      <c r="F62" s="1875"/>
      <c r="G62" s="1741"/>
    </row>
    <row r="63" spans="1:10" s="650" customFormat="1" ht="30">
      <c r="A63" s="1857" t="s">
        <v>9</v>
      </c>
      <c r="B63" s="1403" t="s">
        <v>2317</v>
      </c>
      <c r="C63" s="31"/>
      <c r="D63" s="1794"/>
      <c r="E63" s="31"/>
      <c r="F63" s="1858"/>
      <c r="G63" s="1741"/>
    </row>
    <row r="64" spans="1:10" s="44" customFormat="1" ht="12.75" customHeight="1">
      <c r="A64" s="1860"/>
      <c r="B64" s="522"/>
      <c r="C64" s="31"/>
      <c r="D64" s="522"/>
      <c r="E64" s="522"/>
      <c r="F64" s="1875"/>
      <c r="G64" s="328"/>
      <c r="H64" s="328"/>
      <c r="I64" s="328"/>
      <c r="J64" s="328"/>
    </row>
    <row r="65" spans="1:10" s="44" customFormat="1" ht="15" customHeight="1">
      <c r="A65" s="1857" t="s">
        <v>482</v>
      </c>
      <c r="B65" s="819" t="s">
        <v>576</v>
      </c>
      <c r="C65" s="31"/>
      <c r="D65" s="1798"/>
      <c r="E65" s="1749"/>
      <c r="F65" s="1875">
        <f>+C65*E65</f>
        <v>0</v>
      </c>
      <c r="G65" s="251"/>
      <c r="H65" s="251"/>
      <c r="I65" s="251"/>
      <c r="J65" s="251"/>
    </row>
    <row r="66" spans="1:10" s="44" customFormat="1" ht="12.75" customHeight="1">
      <c r="A66" s="1876"/>
      <c r="B66" s="522"/>
      <c r="C66" s="31"/>
      <c r="D66" s="1798"/>
      <c r="E66" s="1749"/>
      <c r="F66" s="1875"/>
      <c r="G66" s="251"/>
      <c r="H66" s="251"/>
      <c r="I66" s="251"/>
      <c r="J66" s="251"/>
    </row>
    <row r="67" spans="1:10" s="44" customFormat="1" ht="12.75" customHeight="1">
      <c r="A67" s="1876">
        <v>1</v>
      </c>
      <c r="B67" s="522" t="s">
        <v>577</v>
      </c>
      <c r="C67" s="31">
        <v>10</v>
      </c>
      <c r="D67" s="1798" t="s">
        <v>578</v>
      </c>
      <c r="E67" s="1749">
        <v>22500</v>
      </c>
      <c r="F67" s="1864">
        <f>+ROUND((E67*C67),2)</f>
        <v>225000</v>
      </c>
      <c r="G67" s="251"/>
      <c r="H67" s="251"/>
      <c r="I67" s="251"/>
      <c r="J67" s="251"/>
    </row>
    <row r="68" spans="1:10" s="44" customFormat="1" ht="6" customHeight="1">
      <c r="A68" s="1876"/>
      <c r="B68" s="522"/>
      <c r="C68" s="31"/>
      <c r="D68" s="1798"/>
      <c r="E68" s="1749"/>
      <c r="F68" s="1864">
        <f t="shared" ref="F68:F76" si="2">+ROUND((E68*C68),2)</f>
        <v>0</v>
      </c>
      <c r="G68" s="251"/>
      <c r="H68" s="251"/>
      <c r="I68" s="251"/>
      <c r="J68" s="251"/>
    </row>
    <row r="69" spans="1:10" s="44" customFormat="1" ht="12.75" customHeight="1">
      <c r="A69" s="1861">
        <v>2</v>
      </c>
      <c r="B69" s="819" t="s">
        <v>579</v>
      </c>
      <c r="C69" s="31"/>
      <c r="D69" s="1750"/>
      <c r="E69" s="522"/>
      <c r="F69" s="1864">
        <f t="shared" si="2"/>
        <v>0</v>
      </c>
      <c r="G69" s="840"/>
      <c r="H69" s="840"/>
      <c r="I69" s="840"/>
      <c r="J69" s="840"/>
    </row>
    <row r="70" spans="1:10" s="44" customFormat="1" ht="8.25" customHeight="1">
      <c r="A70" s="1861"/>
      <c r="B70" s="819"/>
      <c r="C70" s="31"/>
      <c r="D70" s="1750"/>
      <c r="E70" s="522"/>
      <c r="F70" s="1864"/>
      <c r="G70" s="840"/>
      <c r="H70" s="840"/>
      <c r="I70" s="840"/>
      <c r="J70" s="840"/>
    </row>
    <row r="71" spans="1:10" s="44" customFormat="1" ht="25.5">
      <c r="A71" s="1877">
        <f>A69+0.1</f>
        <v>2.1</v>
      </c>
      <c r="B71" s="1797" t="s">
        <v>2183</v>
      </c>
      <c r="C71" s="1794"/>
      <c r="D71" s="522"/>
      <c r="E71" s="1751"/>
      <c r="F71" s="1864"/>
      <c r="G71" s="840"/>
      <c r="H71" s="840"/>
      <c r="I71" s="840"/>
      <c r="J71" s="840"/>
    </row>
    <row r="72" spans="1:10" s="1539" customFormat="1">
      <c r="A72" s="1863" t="s">
        <v>1182</v>
      </c>
      <c r="B72" s="1201" t="s">
        <v>2314</v>
      </c>
      <c r="C72" s="31">
        <v>11991</v>
      </c>
      <c r="D72" s="713" t="s">
        <v>2</v>
      </c>
      <c r="E72" s="714">
        <v>65</v>
      </c>
      <c r="F72" s="1864">
        <f>+ROUND(C72*E72,2)</f>
        <v>779415</v>
      </c>
      <c r="G72" s="1741"/>
      <c r="H72" s="1742"/>
      <c r="I72" s="1743"/>
    </row>
    <row r="73" spans="1:10" s="1539" customFormat="1">
      <c r="A73" s="1863" t="s">
        <v>1183</v>
      </c>
      <c r="B73" s="1201" t="s">
        <v>2318</v>
      </c>
      <c r="C73" s="31">
        <v>5139</v>
      </c>
      <c r="D73" s="713" t="s">
        <v>2</v>
      </c>
      <c r="E73" s="714">
        <v>450.8</v>
      </c>
      <c r="F73" s="1864">
        <f>+ROUND(C73*E73,2)</f>
        <v>2316661.2000000002</v>
      </c>
      <c r="G73" s="1741"/>
      <c r="H73" s="1742"/>
      <c r="I73" s="1743"/>
    </row>
    <row r="74" spans="1:10" ht="25.5">
      <c r="A74" s="1863" t="s">
        <v>1958</v>
      </c>
      <c r="B74" s="1201" t="s">
        <v>2184</v>
      </c>
      <c r="C74" s="31">
        <v>6423.75</v>
      </c>
      <c r="D74" s="1799" t="s">
        <v>2</v>
      </c>
      <c r="E74" s="714">
        <v>183.5</v>
      </c>
      <c r="F74" s="1864">
        <f t="shared" si="2"/>
        <v>1178758.1299999999</v>
      </c>
      <c r="G74" s="44"/>
    </row>
    <row r="75" spans="1:10" s="44" customFormat="1" ht="25.5">
      <c r="A75" s="1878" t="s">
        <v>1959</v>
      </c>
      <c r="B75" s="1824" t="s">
        <v>2223</v>
      </c>
      <c r="C75" s="1813">
        <v>10170.94</v>
      </c>
      <c r="D75" s="1817" t="s">
        <v>2</v>
      </c>
      <c r="E75" s="1829">
        <v>210</v>
      </c>
      <c r="F75" s="1879">
        <f t="shared" si="2"/>
        <v>2135897.4</v>
      </c>
      <c r="G75" s="840"/>
      <c r="H75" s="840"/>
      <c r="I75" s="840"/>
      <c r="J75" s="840"/>
    </row>
    <row r="76" spans="1:10" s="44" customFormat="1" ht="12.75" customHeight="1">
      <c r="A76" s="1880"/>
      <c r="B76" s="1799"/>
      <c r="C76" s="31"/>
      <c r="D76" s="522"/>
      <c r="E76" s="1751"/>
      <c r="F76" s="1864">
        <f t="shared" si="2"/>
        <v>0</v>
      </c>
      <c r="G76" s="840"/>
      <c r="H76" s="840"/>
      <c r="I76" s="840"/>
      <c r="J76" s="840"/>
    </row>
    <row r="77" spans="1:10" s="44" customFormat="1" ht="25.5">
      <c r="A77" s="1877">
        <v>3</v>
      </c>
      <c r="B77" s="1797" t="s">
        <v>2224</v>
      </c>
      <c r="C77" s="1794"/>
      <c r="D77" s="522"/>
      <c r="E77" s="1751"/>
      <c r="F77" s="1864"/>
      <c r="G77" s="840"/>
      <c r="H77" s="840"/>
      <c r="I77" s="840"/>
      <c r="J77" s="840"/>
    </row>
    <row r="78" spans="1:10" s="44" customFormat="1" ht="12.75" customHeight="1">
      <c r="A78" s="1880">
        <v>3.1</v>
      </c>
      <c r="B78" s="1752" t="s">
        <v>1534</v>
      </c>
      <c r="C78" s="31">
        <v>2.2999999999999998</v>
      </c>
      <c r="D78" s="1798" t="s">
        <v>2</v>
      </c>
      <c r="E78" s="1749">
        <v>17748.18</v>
      </c>
      <c r="F78" s="1864">
        <f t="shared" ref="F78:F99" si="3">+ROUND((E78*C78),2)</f>
        <v>40820.81</v>
      </c>
      <c r="G78" s="510"/>
      <c r="H78" s="840"/>
      <c r="I78" s="840"/>
      <c r="J78" s="840"/>
    </row>
    <row r="79" spans="1:10" s="44" customFormat="1" ht="25.5">
      <c r="A79" s="1880">
        <f>+A78+0.1</f>
        <v>3.2</v>
      </c>
      <c r="B79" s="1753" t="s">
        <v>1532</v>
      </c>
      <c r="C79" s="31">
        <v>2.93</v>
      </c>
      <c r="D79" s="1798" t="s">
        <v>2</v>
      </c>
      <c r="E79" s="1749">
        <v>15161.86</v>
      </c>
      <c r="F79" s="1864">
        <f t="shared" si="3"/>
        <v>44424.25</v>
      </c>
      <c r="G79" s="510"/>
      <c r="H79" s="840"/>
      <c r="I79" s="840"/>
      <c r="J79" s="840"/>
    </row>
    <row r="80" spans="1:10" s="44" customFormat="1" ht="12.75" customHeight="1">
      <c r="A80" s="1880">
        <f t="shared" ref="A80:A86" si="4">+A79+0.1</f>
        <v>3.3</v>
      </c>
      <c r="B80" s="522" t="s">
        <v>1522</v>
      </c>
      <c r="C80" s="31">
        <v>224.21</v>
      </c>
      <c r="D80" s="1798" t="s">
        <v>2</v>
      </c>
      <c r="E80" s="1749">
        <v>19757.759999999998</v>
      </c>
      <c r="F80" s="1864">
        <f t="shared" si="3"/>
        <v>4429887.37</v>
      </c>
      <c r="G80" s="510"/>
      <c r="H80" s="251"/>
      <c r="J80" s="251"/>
    </row>
    <row r="81" spans="1:10" s="44" customFormat="1" ht="12.75" customHeight="1">
      <c r="A81" s="1880">
        <f t="shared" si="4"/>
        <v>3.4</v>
      </c>
      <c r="B81" s="522" t="s">
        <v>1523</v>
      </c>
      <c r="C81" s="31">
        <v>1.79</v>
      </c>
      <c r="D81" s="1798" t="s">
        <v>2</v>
      </c>
      <c r="E81" s="1749">
        <v>14048.28</v>
      </c>
      <c r="F81" s="1864">
        <f t="shared" si="3"/>
        <v>25146.42</v>
      </c>
      <c r="G81" s="510"/>
      <c r="H81" s="251"/>
      <c r="I81" s="251"/>
      <c r="J81" s="251"/>
    </row>
    <row r="82" spans="1:10" s="44" customFormat="1" ht="12.75" customHeight="1">
      <c r="A82" s="1880">
        <f t="shared" si="4"/>
        <v>3.5</v>
      </c>
      <c r="B82" s="522" t="s">
        <v>1524</v>
      </c>
      <c r="C82" s="31">
        <v>15.46</v>
      </c>
      <c r="D82" s="1798" t="s">
        <v>2</v>
      </c>
      <c r="E82" s="1749">
        <v>17228.18</v>
      </c>
      <c r="F82" s="1864">
        <f t="shared" si="3"/>
        <v>266347.65999999997</v>
      </c>
      <c r="G82" s="510"/>
      <c r="H82" s="251"/>
      <c r="J82" s="251"/>
    </row>
    <row r="83" spans="1:10" s="44" customFormat="1" ht="12.75" customHeight="1">
      <c r="A83" s="1880">
        <f t="shared" si="4"/>
        <v>3.6</v>
      </c>
      <c r="B83" s="1752" t="s">
        <v>1525</v>
      </c>
      <c r="C83" s="31">
        <v>4.9000000000000004</v>
      </c>
      <c r="D83" s="1798" t="s">
        <v>2</v>
      </c>
      <c r="E83" s="1749">
        <v>18757.37</v>
      </c>
      <c r="F83" s="1864">
        <f t="shared" si="3"/>
        <v>91911.11</v>
      </c>
      <c r="G83" s="510"/>
      <c r="H83" s="840"/>
      <c r="I83" s="840"/>
      <c r="J83" s="840"/>
    </row>
    <row r="84" spans="1:10" s="44" customFormat="1" ht="27" customHeight="1">
      <c r="A84" s="1880">
        <f t="shared" si="4"/>
        <v>3.7</v>
      </c>
      <c r="B84" s="1753" t="s">
        <v>1526</v>
      </c>
      <c r="C84" s="31">
        <v>7.32</v>
      </c>
      <c r="D84" s="1798" t="s">
        <v>2</v>
      </c>
      <c r="E84" s="1749">
        <v>22107.32</v>
      </c>
      <c r="F84" s="1864">
        <f t="shared" si="3"/>
        <v>161825.57999999999</v>
      </c>
      <c r="G84" s="510"/>
      <c r="H84" s="840"/>
      <c r="I84" s="840"/>
      <c r="J84" s="840"/>
    </row>
    <row r="85" spans="1:10" s="44" customFormat="1" ht="12.75" customHeight="1">
      <c r="A85" s="1880">
        <f t="shared" si="4"/>
        <v>3.8</v>
      </c>
      <c r="B85" s="522" t="s">
        <v>1550</v>
      </c>
      <c r="C85" s="31">
        <v>7.4</v>
      </c>
      <c r="D85" s="1798" t="s">
        <v>2</v>
      </c>
      <c r="E85" s="1749">
        <v>26913.77</v>
      </c>
      <c r="F85" s="1864">
        <f t="shared" si="3"/>
        <v>199161.9</v>
      </c>
      <c r="G85" s="510"/>
      <c r="H85" s="251"/>
      <c r="I85" s="251"/>
      <c r="J85" s="251"/>
    </row>
    <row r="86" spans="1:10" s="44" customFormat="1" ht="24.75" customHeight="1">
      <c r="A86" s="1880">
        <f t="shared" si="4"/>
        <v>3.9</v>
      </c>
      <c r="B86" s="1753" t="s">
        <v>1528</v>
      </c>
      <c r="C86" s="31">
        <v>2.93</v>
      </c>
      <c r="D86" s="1798" t="s">
        <v>2</v>
      </c>
      <c r="E86" s="1749">
        <v>20709.080000000002</v>
      </c>
      <c r="F86" s="1864">
        <f t="shared" si="3"/>
        <v>60677.599999999999</v>
      </c>
      <c r="G86" s="510"/>
      <c r="H86" s="251"/>
      <c r="I86" s="251"/>
      <c r="J86" s="251"/>
    </row>
    <row r="87" spans="1:10" s="44" customFormat="1" ht="12.75" customHeight="1">
      <c r="A87" s="1855">
        <v>3.1</v>
      </c>
      <c r="B87" s="522" t="s">
        <v>1529</v>
      </c>
      <c r="C87" s="31">
        <v>13.72</v>
      </c>
      <c r="D87" s="1798" t="s">
        <v>2</v>
      </c>
      <c r="E87" s="1749">
        <v>18262.16</v>
      </c>
      <c r="F87" s="1864">
        <f t="shared" si="3"/>
        <v>250556.84</v>
      </c>
      <c r="G87" s="510"/>
      <c r="H87" s="251"/>
      <c r="I87" s="251"/>
      <c r="J87" s="251"/>
    </row>
    <row r="88" spans="1:10" s="44" customFormat="1" ht="12.75" customHeight="1">
      <c r="A88" s="1855">
        <v>3.11</v>
      </c>
      <c r="B88" s="1752" t="s">
        <v>1530</v>
      </c>
      <c r="C88" s="31">
        <v>2.92</v>
      </c>
      <c r="D88" s="1798" t="s">
        <v>2</v>
      </c>
      <c r="E88" s="1749">
        <v>19802.72</v>
      </c>
      <c r="F88" s="1864">
        <f t="shared" si="3"/>
        <v>57823.94</v>
      </c>
      <c r="G88" s="510"/>
      <c r="H88" s="1369"/>
      <c r="I88" s="251"/>
      <c r="J88" s="251"/>
    </row>
    <row r="89" spans="1:10" s="44" customFormat="1" ht="12.75" customHeight="1">
      <c r="A89" s="1855">
        <v>3.12</v>
      </c>
      <c r="B89" s="1752" t="s">
        <v>1531</v>
      </c>
      <c r="C89" s="31">
        <v>0.04</v>
      </c>
      <c r="D89" s="1798" t="s">
        <v>2</v>
      </c>
      <c r="E89" s="1749">
        <v>23116.9</v>
      </c>
      <c r="F89" s="1864">
        <f t="shared" si="3"/>
        <v>924.68</v>
      </c>
      <c r="G89" s="510"/>
      <c r="H89" s="251"/>
      <c r="I89" s="251"/>
      <c r="J89" s="251"/>
    </row>
    <row r="90" spans="1:10" s="44" customFormat="1" ht="12.75" customHeight="1">
      <c r="A90" s="1855">
        <v>3.13</v>
      </c>
      <c r="B90" s="1752" t="s">
        <v>1539</v>
      </c>
      <c r="C90" s="31">
        <v>87.63</v>
      </c>
      <c r="D90" s="1798" t="s">
        <v>2</v>
      </c>
      <c r="E90" s="1749">
        <v>12553.46</v>
      </c>
      <c r="F90" s="1864">
        <f t="shared" si="3"/>
        <v>1100059.7</v>
      </c>
      <c r="G90" s="510"/>
      <c r="H90" s="251"/>
      <c r="I90" s="251"/>
      <c r="J90" s="251"/>
    </row>
    <row r="91" spans="1:10" s="44" customFormat="1" ht="12.75" customHeight="1">
      <c r="A91" s="1855">
        <v>3.14</v>
      </c>
      <c r="B91" s="1752" t="s">
        <v>1533</v>
      </c>
      <c r="C91" s="31">
        <v>5.59</v>
      </c>
      <c r="D91" s="1798" t="s">
        <v>2</v>
      </c>
      <c r="E91" s="1749">
        <v>15699.5</v>
      </c>
      <c r="F91" s="1864">
        <f t="shared" si="3"/>
        <v>87760.21</v>
      </c>
      <c r="G91" s="510"/>
      <c r="H91" s="251"/>
      <c r="I91" s="251"/>
      <c r="J91" s="251"/>
    </row>
    <row r="92" spans="1:10" s="44" customFormat="1" ht="12.75" customHeight="1">
      <c r="A92" s="1855">
        <v>3.15</v>
      </c>
      <c r="B92" s="1752" t="s">
        <v>1535</v>
      </c>
      <c r="C92" s="31">
        <v>1.1299999999999999</v>
      </c>
      <c r="D92" s="1798" t="s">
        <v>2</v>
      </c>
      <c r="E92" s="1749">
        <v>12407.81</v>
      </c>
      <c r="F92" s="1864">
        <f t="shared" si="3"/>
        <v>14020.83</v>
      </c>
      <c r="G92" s="510"/>
      <c r="H92" s="251"/>
      <c r="I92" s="251"/>
      <c r="J92" s="251"/>
    </row>
    <row r="93" spans="1:10" s="44" customFormat="1" ht="26.25" customHeight="1">
      <c r="A93" s="1855">
        <v>3.16</v>
      </c>
      <c r="B93" s="1753" t="s">
        <v>1536</v>
      </c>
      <c r="C93" s="31">
        <v>0.86</v>
      </c>
      <c r="D93" s="1798" t="s">
        <v>2</v>
      </c>
      <c r="E93" s="1749">
        <v>11941.73</v>
      </c>
      <c r="F93" s="1864">
        <f t="shared" si="3"/>
        <v>10269.89</v>
      </c>
      <c r="G93" s="510"/>
      <c r="H93" s="251"/>
      <c r="I93" s="251"/>
      <c r="J93" s="251"/>
    </row>
    <row r="94" spans="1:10" s="44" customFormat="1" ht="12.75" customHeight="1">
      <c r="A94" s="1855">
        <v>3.17</v>
      </c>
      <c r="B94" s="1752" t="s">
        <v>1537</v>
      </c>
      <c r="C94" s="31">
        <v>6.6</v>
      </c>
      <c r="D94" s="1798" t="s">
        <v>2</v>
      </c>
      <c r="E94" s="1749">
        <v>12582.59</v>
      </c>
      <c r="F94" s="1864">
        <f t="shared" si="3"/>
        <v>83045.09</v>
      </c>
      <c r="G94" s="510"/>
      <c r="H94" s="251"/>
      <c r="I94" s="251"/>
      <c r="J94" s="251"/>
    </row>
    <row r="95" spans="1:10" s="44" customFormat="1" ht="12.75" customHeight="1">
      <c r="A95" s="1855">
        <v>3.18</v>
      </c>
      <c r="B95" s="1752" t="s">
        <v>1538</v>
      </c>
      <c r="C95" s="31">
        <v>0.75</v>
      </c>
      <c r="D95" s="1798" t="s">
        <v>2</v>
      </c>
      <c r="E95" s="1749">
        <v>13223.45</v>
      </c>
      <c r="F95" s="1864">
        <f t="shared" si="3"/>
        <v>9917.59</v>
      </c>
      <c r="G95" s="510"/>
      <c r="H95" s="251"/>
      <c r="I95" s="251"/>
      <c r="J95" s="251"/>
    </row>
    <row r="96" spans="1:10" s="44" customFormat="1" ht="25.5">
      <c r="A96" s="1855">
        <v>3.19</v>
      </c>
      <c r="B96" s="1753" t="s">
        <v>1540</v>
      </c>
      <c r="C96" s="31">
        <v>0.54</v>
      </c>
      <c r="D96" s="1798" t="s">
        <v>2</v>
      </c>
      <c r="E96" s="1749">
        <v>11165.15</v>
      </c>
      <c r="F96" s="1864">
        <f t="shared" si="3"/>
        <v>6029.18</v>
      </c>
      <c r="G96" s="510"/>
      <c r="H96" s="251"/>
      <c r="I96" s="251"/>
      <c r="J96" s="251"/>
    </row>
    <row r="97" spans="1:14" s="44" customFormat="1" ht="27.75" customHeight="1">
      <c r="A97" s="1855">
        <v>3.2</v>
      </c>
      <c r="B97" s="1753" t="s">
        <v>1542</v>
      </c>
      <c r="C97" s="31">
        <v>0.66</v>
      </c>
      <c r="D97" s="1798" t="s">
        <v>2</v>
      </c>
      <c r="E97" s="1749">
        <v>10491.75</v>
      </c>
      <c r="F97" s="1864">
        <f t="shared" si="3"/>
        <v>6924.56</v>
      </c>
      <c r="G97" s="510"/>
      <c r="H97" s="251"/>
      <c r="I97" s="251"/>
      <c r="J97" s="251"/>
      <c r="N97" s="44">
        <v>1.84</v>
      </c>
    </row>
    <row r="98" spans="1:14" s="44" customFormat="1" ht="12.75" customHeight="1">
      <c r="A98" s="1855">
        <v>3.21</v>
      </c>
      <c r="B98" s="1752" t="s">
        <v>1541</v>
      </c>
      <c r="C98" s="31">
        <v>7.16</v>
      </c>
      <c r="D98" s="1798" t="s">
        <v>2</v>
      </c>
      <c r="E98" s="1749">
        <v>14595.49</v>
      </c>
      <c r="F98" s="1864">
        <f t="shared" si="3"/>
        <v>104503.71</v>
      </c>
      <c r="G98" s="510"/>
      <c r="H98" s="251"/>
      <c r="I98" s="251"/>
      <c r="J98" s="251"/>
      <c r="N98" s="44">
        <f>1.95+0.15+0.5</f>
        <v>2.6</v>
      </c>
    </row>
    <row r="99" spans="1:14" s="44" customFormat="1" ht="12.75" customHeight="1">
      <c r="A99" s="1855">
        <v>3.22</v>
      </c>
      <c r="B99" s="1794" t="s">
        <v>1543</v>
      </c>
      <c r="C99" s="1794">
        <v>0.56999999999999995</v>
      </c>
      <c r="D99" s="1794" t="s">
        <v>2</v>
      </c>
      <c r="E99" s="1794">
        <v>16401.55</v>
      </c>
      <c r="F99" s="1856">
        <f t="shared" si="3"/>
        <v>9348.8799999999992</v>
      </c>
      <c r="G99" s="510"/>
      <c r="H99" s="251"/>
      <c r="I99" s="251"/>
      <c r="J99" s="251"/>
      <c r="N99" s="44">
        <f>+N98*N97*6</f>
        <v>28.704000000000001</v>
      </c>
    </row>
    <row r="100" spans="1:14" s="44" customFormat="1" ht="12.75" customHeight="1">
      <c r="A100" s="1855">
        <v>3.23</v>
      </c>
      <c r="B100" s="1752" t="s">
        <v>1982</v>
      </c>
      <c r="C100" s="31">
        <v>28.7</v>
      </c>
      <c r="D100" s="1798" t="s">
        <v>11</v>
      </c>
      <c r="E100" s="1749">
        <v>7952.56</v>
      </c>
      <c r="F100" s="1864">
        <f>+ROUND((E100*C100),2)</f>
        <v>228238.47</v>
      </c>
      <c r="G100" s="510"/>
      <c r="H100" s="251"/>
      <c r="I100" s="251"/>
      <c r="J100" s="251"/>
      <c r="N100" s="44">
        <f>+N99*6</f>
        <v>172.22399999999999</v>
      </c>
    </row>
    <row r="101" spans="1:14" s="44" customFormat="1" ht="12.75" customHeight="1">
      <c r="A101" s="1880"/>
      <c r="B101" s="1799"/>
      <c r="C101" s="31"/>
      <c r="D101" s="522"/>
      <c r="E101" s="1751"/>
      <c r="F101" s="1864"/>
      <c r="G101" s="510"/>
      <c r="H101" s="840"/>
      <c r="I101" s="840"/>
      <c r="J101" s="840"/>
    </row>
    <row r="102" spans="1:14" s="44" customFormat="1" ht="12.75" customHeight="1">
      <c r="A102" s="1861">
        <v>4</v>
      </c>
      <c r="B102" s="819" t="s">
        <v>600</v>
      </c>
      <c r="C102" s="31"/>
      <c r="D102" s="1798"/>
      <c r="E102" s="1749"/>
      <c r="F102" s="1864">
        <f t="shared" ref="F102:F107" si="5">+ROUND((E102*C102),2)</f>
        <v>0</v>
      </c>
      <c r="G102" s="251"/>
      <c r="H102" s="251"/>
      <c r="I102" s="251"/>
      <c r="J102" s="251"/>
    </row>
    <row r="103" spans="1:14" s="44" customFormat="1" ht="12.75" customHeight="1">
      <c r="A103" s="1876">
        <v>4.0999999999999996</v>
      </c>
      <c r="B103" s="522" t="s">
        <v>587</v>
      </c>
      <c r="C103" s="522">
        <v>338.94</v>
      </c>
      <c r="D103" s="1798" t="s">
        <v>11</v>
      </c>
      <c r="E103" s="1749">
        <v>518.98</v>
      </c>
      <c r="F103" s="1864">
        <f t="shared" si="5"/>
        <v>175903.08</v>
      </c>
      <c r="G103" s="251"/>
      <c r="H103" s="251"/>
      <c r="I103" s="251"/>
      <c r="J103" s="251"/>
    </row>
    <row r="104" spans="1:14" s="275" customFormat="1" ht="12.75" customHeight="1">
      <c r="A104" s="1876">
        <v>4.2</v>
      </c>
      <c r="B104" s="522" t="s">
        <v>174</v>
      </c>
      <c r="C104" s="522">
        <v>51.58</v>
      </c>
      <c r="D104" s="1798" t="s">
        <v>11</v>
      </c>
      <c r="E104" s="1749">
        <v>501.75</v>
      </c>
      <c r="F104" s="1864">
        <f t="shared" si="5"/>
        <v>25880.27</v>
      </c>
      <c r="G104" s="251"/>
      <c r="H104" s="251"/>
      <c r="I104" s="251"/>
      <c r="J104" s="251"/>
    </row>
    <row r="105" spans="1:14" s="275" customFormat="1" ht="12.75" customHeight="1">
      <c r="A105" s="1876">
        <v>4.3</v>
      </c>
      <c r="B105" s="522" t="s">
        <v>165</v>
      </c>
      <c r="C105" s="522">
        <v>583.35</v>
      </c>
      <c r="D105" s="1798" t="s">
        <v>11</v>
      </c>
      <c r="E105" s="1749">
        <v>312.7</v>
      </c>
      <c r="F105" s="1864">
        <f t="shared" si="5"/>
        <v>182413.55</v>
      </c>
      <c r="G105" s="251"/>
      <c r="H105" s="251"/>
      <c r="I105" s="251"/>
      <c r="J105" s="251"/>
    </row>
    <row r="106" spans="1:14" s="275" customFormat="1" ht="12.75" customHeight="1">
      <c r="A106" s="1876">
        <v>4.4000000000000004</v>
      </c>
      <c r="B106" s="522" t="s">
        <v>152</v>
      </c>
      <c r="C106" s="522">
        <v>452.26</v>
      </c>
      <c r="D106" s="1798" t="s">
        <v>11</v>
      </c>
      <c r="E106" s="1749">
        <v>331.47</v>
      </c>
      <c r="F106" s="1864">
        <f t="shared" si="5"/>
        <v>149910.62</v>
      </c>
      <c r="G106" s="251"/>
      <c r="H106" s="251"/>
      <c r="I106" s="251"/>
      <c r="J106" s="251"/>
    </row>
    <row r="107" spans="1:14" s="44" customFormat="1" ht="12.75" customHeight="1">
      <c r="A107" s="1876">
        <v>4.5</v>
      </c>
      <c r="B107" s="522" t="s">
        <v>177</v>
      </c>
      <c r="C107" s="522">
        <v>328.17</v>
      </c>
      <c r="D107" s="1798" t="s">
        <v>1</v>
      </c>
      <c r="E107" s="1749">
        <v>82.21</v>
      </c>
      <c r="F107" s="1864">
        <f t="shared" si="5"/>
        <v>26978.86</v>
      </c>
      <c r="G107" s="251"/>
      <c r="H107" s="251"/>
      <c r="I107" s="251"/>
      <c r="J107" s="251"/>
    </row>
    <row r="108" spans="1:14" s="44" customFormat="1" ht="12.75" customHeight="1">
      <c r="A108" s="1880"/>
      <c r="B108" s="1799"/>
      <c r="C108" s="31"/>
      <c r="D108" s="522"/>
      <c r="E108" s="1751"/>
      <c r="F108" s="1864"/>
      <c r="G108" s="840"/>
      <c r="H108" s="840"/>
      <c r="I108" s="840"/>
      <c r="J108" s="840"/>
    </row>
    <row r="109" spans="1:14" s="44" customFormat="1" ht="12.75" customHeight="1">
      <c r="A109" s="1876">
        <v>5</v>
      </c>
      <c r="B109" s="522" t="s">
        <v>766</v>
      </c>
      <c r="C109" s="522">
        <v>180.08</v>
      </c>
      <c r="D109" s="1798" t="s">
        <v>11</v>
      </c>
      <c r="E109" s="1749">
        <v>777.08</v>
      </c>
      <c r="F109" s="1864">
        <f>+ROUND((E109*C109),2)</f>
        <v>139936.57</v>
      </c>
      <c r="G109" s="251"/>
      <c r="H109" s="251"/>
      <c r="I109" s="251"/>
      <c r="J109" s="251"/>
    </row>
    <row r="110" spans="1:14" s="44" customFormat="1" ht="12.75" customHeight="1">
      <c r="A110" s="1876"/>
      <c r="B110" s="522"/>
      <c r="C110" s="31"/>
      <c r="D110" s="1798"/>
      <c r="E110" s="1749"/>
      <c r="F110" s="1856"/>
      <c r="G110" s="251"/>
      <c r="H110" s="251"/>
      <c r="I110" s="251"/>
      <c r="J110" s="251"/>
    </row>
    <row r="111" spans="1:14" s="44" customFormat="1" ht="25.5">
      <c r="A111" s="1867">
        <v>6</v>
      </c>
      <c r="B111" s="744" t="s">
        <v>2226</v>
      </c>
      <c r="C111" s="31"/>
      <c r="D111" s="1798"/>
      <c r="E111" s="1749"/>
      <c r="F111" s="1856">
        <f>+ROUND((E111*C111),2)</f>
        <v>0</v>
      </c>
      <c r="G111" s="251"/>
      <c r="H111" s="251"/>
      <c r="I111" s="251"/>
      <c r="J111" s="251"/>
    </row>
    <row r="112" spans="1:14" s="44" customFormat="1" ht="25.5">
      <c r="A112" s="1881">
        <v>6.1</v>
      </c>
      <c r="B112" s="1830" t="s">
        <v>2159</v>
      </c>
      <c r="C112" s="1813">
        <v>3</v>
      </c>
      <c r="D112" s="1815" t="s">
        <v>13</v>
      </c>
      <c r="E112" s="1816">
        <v>7417.19</v>
      </c>
      <c r="F112" s="1879">
        <f>+ROUND((E112*C112),2)</f>
        <v>22251.57</v>
      </c>
      <c r="H112" s="251"/>
      <c r="I112" s="251"/>
      <c r="J112" s="251"/>
    </row>
    <row r="113" spans="1:10" ht="25.5">
      <c r="A113" s="1865">
        <v>6.2</v>
      </c>
      <c r="B113" s="1753" t="s">
        <v>2235</v>
      </c>
      <c r="C113" s="31">
        <v>1</v>
      </c>
      <c r="D113" s="1798" t="s">
        <v>3</v>
      </c>
      <c r="E113" s="1749">
        <v>14160.67</v>
      </c>
      <c r="F113" s="1864">
        <f>ROUND(E113*C113,2)</f>
        <v>14160.67</v>
      </c>
      <c r="G113" s="1754"/>
      <c r="H113" s="1754"/>
      <c r="I113" s="1754"/>
      <c r="J113" s="1754"/>
    </row>
    <row r="114" spans="1:10">
      <c r="A114" s="1865">
        <v>6.3</v>
      </c>
      <c r="B114" s="1753" t="s">
        <v>1169</v>
      </c>
      <c r="C114" s="31">
        <v>1</v>
      </c>
      <c r="D114" s="1798" t="s">
        <v>3</v>
      </c>
      <c r="E114" s="1749">
        <v>3500</v>
      </c>
      <c r="F114" s="1864">
        <f>ROUND(E114*C114,2)</f>
        <v>3500</v>
      </c>
      <c r="G114" s="1754"/>
      <c r="H114" s="1754"/>
      <c r="I114" s="1754"/>
      <c r="J114" s="1754"/>
    </row>
    <row r="115" spans="1:10" s="44" customFormat="1">
      <c r="A115" s="1876"/>
      <c r="B115" s="522"/>
      <c r="C115" s="31"/>
      <c r="D115" s="1798"/>
      <c r="E115" s="1749"/>
      <c r="F115" s="1864"/>
      <c r="H115" s="251"/>
      <c r="I115" s="251"/>
      <c r="J115" s="251"/>
    </row>
    <row r="116" spans="1:10" s="44" customFormat="1" ht="12.75" customHeight="1">
      <c r="A116" s="1861">
        <v>7</v>
      </c>
      <c r="B116" s="819" t="s">
        <v>710</v>
      </c>
      <c r="C116" s="31">
        <v>0</v>
      </c>
      <c r="D116" s="1798"/>
      <c r="E116" s="1749"/>
      <c r="F116" s="1864">
        <f t="shared" ref="F116:F122" si="6">ROUND(E116*C116,2)</f>
        <v>0</v>
      </c>
      <c r="G116" s="251"/>
      <c r="H116" s="251"/>
      <c r="I116" s="251"/>
      <c r="J116" s="251"/>
    </row>
    <row r="117" spans="1:10" ht="25.5">
      <c r="A117" s="1860">
        <v>7.1</v>
      </c>
      <c r="B117" s="1753" t="s">
        <v>1990</v>
      </c>
      <c r="C117" s="31">
        <v>19.5</v>
      </c>
      <c r="D117" s="1798" t="s">
        <v>1</v>
      </c>
      <c r="E117" s="1749">
        <v>7417.19</v>
      </c>
      <c r="F117" s="1864">
        <f t="shared" si="6"/>
        <v>144635.21</v>
      </c>
      <c r="G117" s="1754"/>
      <c r="H117" s="1754"/>
      <c r="I117" s="1754"/>
      <c r="J117" s="1754"/>
    </row>
    <row r="118" spans="1:10" ht="26.25" customHeight="1">
      <c r="A118" s="1860">
        <v>7.2</v>
      </c>
      <c r="B118" s="1753" t="s">
        <v>1991</v>
      </c>
      <c r="C118" s="31">
        <v>2</v>
      </c>
      <c r="D118" s="1798" t="s">
        <v>3</v>
      </c>
      <c r="E118" s="1749">
        <v>111255.8</v>
      </c>
      <c r="F118" s="1864">
        <f t="shared" si="6"/>
        <v>222511.6</v>
      </c>
      <c r="G118" s="1754"/>
      <c r="H118" s="1754"/>
      <c r="I118" s="1754"/>
      <c r="J118" s="1754"/>
    </row>
    <row r="119" spans="1:10" ht="25.5">
      <c r="A119" s="1860">
        <v>7.3</v>
      </c>
      <c r="B119" s="1753" t="s">
        <v>2235</v>
      </c>
      <c r="C119" s="31">
        <v>2</v>
      </c>
      <c r="D119" s="1798" t="s">
        <v>3</v>
      </c>
      <c r="E119" s="1749">
        <v>14160.67</v>
      </c>
      <c r="F119" s="1864">
        <f t="shared" si="6"/>
        <v>28321.34</v>
      </c>
      <c r="G119" s="1754"/>
      <c r="H119" s="1754"/>
      <c r="I119" s="1754"/>
      <c r="J119" s="1754"/>
    </row>
    <row r="120" spans="1:10" ht="25.5">
      <c r="A120" s="1860">
        <v>7.4</v>
      </c>
      <c r="B120" s="1753" t="s">
        <v>2236</v>
      </c>
      <c r="C120" s="31">
        <v>1</v>
      </c>
      <c r="D120" s="1798" t="s">
        <v>3</v>
      </c>
      <c r="E120" s="1749">
        <v>14160.67</v>
      </c>
      <c r="F120" s="1864">
        <f>ROUND(E120*C120,2)</f>
        <v>14160.67</v>
      </c>
      <c r="G120" s="1754"/>
      <c r="H120" s="1754"/>
      <c r="I120" s="1754"/>
      <c r="J120" s="1754"/>
    </row>
    <row r="121" spans="1:10" ht="25.5">
      <c r="A121" s="1860">
        <v>7.5</v>
      </c>
      <c r="B121" s="1753" t="s">
        <v>2237</v>
      </c>
      <c r="C121" s="31">
        <v>2</v>
      </c>
      <c r="D121" s="1798" t="s">
        <v>3</v>
      </c>
      <c r="E121" s="1749">
        <v>3152.42</v>
      </c>
      <c r="F121" s="1864">
        <f t="shared" si="6"/>
        <v>6304.84</v>
      </c>
      <c r="G121" s="1754"/>
      <c r="H121" s="1754"/>
      <c r="I121" s="1754"/>
      <c r="J121" s="1754"/>
    </row>
    <row r="122" spans="1:10">
      <c r="A122" s="1860">
        <v>7.6</v>
      </c>
      <c r="B122" s="522" t="s">
        <v>1992</v>
      </c>
      <c r="C122" s="31">
        <v>7</v>
      </c>
      <c r="D122" s="1798" t="s">
        <v>3</v>
      </c>
      <c r="E122" s="1749">
        <v>4144.3100000000004</v>
      </c>
      <c r="F122" s="1864">
        <f t="shared" si="6"/>
        <v>29010.17</v>
      </c>
      <c r="G122" s="1754"/>
      <c r="H122" s="1754"/>
      <c r="I122" s="1754"/>
      <c r="J122" s="1754"/>
    </row>
    <row r="123" spans="1:10" ht="15.75" customHeight="1">
      <c r="A123" s="1860">
        <v>7.7</v>
      </c>
      <c r="B123" s="522" t="s">
        <v>1994</v>
      </c>
      <c r="C123" s="31">
        <v>2</v>
      </c>
      <c r="D123" s="1798" t="s">
        <v>3</v>
      </c>
      <c r="E123" s="1749">
        <v>22500</v>
      </c>
      <c r="F123" s="1864">
        <f>ROUND(E123*C123,2)</f>
        <v>45000</v>
      </c>
      <c r="G123" s="1754"/>
      <c r="H123" s="1754"/>
      <c r="I123" s="1754"/>
      <c r="J123" s="1754"/>
    </row>
    <row r="124" spans="1:10" ht="15.75" customHeight="1">
      <c r="A124" s="1860"/>
      <c r="B124" s="522"/>
      <c r="C124" s="31"/>
      <c r="D124" s="1798"/>
      <c r="E124" s="522"/>
      <c r="F124" s="1864"/>
      <c r="G124" s="1754"/>
      <c r="H124" s="1754"/>
      <c r="I124" s="1754"/>
      <c r="J124" s="1754"/>
    </row>
    <row r="125" spans="1:10" s="44" customFormat="1" ht="12.75" customHeight="1">
      <c r="A125" s="1861">
        <v>8</v>
      </c>
      <c r="B125" s="819" t="s">
        <v>607</v>
      </c>
      <c r="C125" s="31"/>
      <c r="D125" s="1798"/>
      <c r="E125" s="1749"/>
      <c r="F125" s="1864">
        <f>+ROUND((E125*C125),2)</f>
        <v>0</v>
      </c>
      <c r="G125" s="251"/>
      <c r="H125" s="251"/>
      <c r="I125" s="251"/>
      <c r="J125" s="251"/>
    </row>
    <row r="126" spans="1:10" ht="67.5" customHeight="1">
      <c r="A126" s="1882">
        <v>8.1</v>
      </c>
      <c r="B126" s="853" t="s">
        <v>1553</v>
      </c>
      <c r="C126" s="31">
        <v>2</v>
      </c>
      <c r="D126" s="1798" t="s">
        <v>3</v>
      </c>
      <c r="E126" s="713">
        <v>413827.28</v>
      </c>
      <c r="F126" s="1864">
        <f>+ROUND((E126*C126),2)</f>
        <v>827654.56</v>
      </c>
      <c r="G126" s="251"/>
      <c r="H126" s="251"/>
      <c r="I126" s="251"/>
      <c r="J126" s="251"/>
    </row>
    <row r="127" spans="1:10" ht="15.75" customHeight="1">
      <c r="A127" s="1883">
        <v>8.1999999999999993</v>
      </c>
      <c r="B127" s="1794" t="s">
        <v>1552</v>
      </c>
      <c r="C127" s="1794">
        <v>2929.5</v>
      </c>
      <c r="D127" s="1794" t="s">
        <v>155</v>
      </c>
      <c r="E127" s="1794">
        <v>3851.55</v>
      </c>
      <c r="F127" s="1856">
        <f t="shared" ref="F127:F132" si="7">+ROUND((E127*C127),2)</f>
        <v>11283115.73</v>
      </c>
      <c r="G127" s="251"/>
      <c r="H127" s="251"/>
      <c r="I127" s="251"/>
      <c r="J127" s="251"/>
    </row>
    <row r="128" spans="1:10" ht="14.25" customHeight="1">
      <c r="A128" s="1882"/>
      <c r="B128" s="745"/>
      <c r="C128" s="31"/>
      <c r="D128" s="1798"/>
      <c r="E128" s="1749"/>
      <c r="F128" s="1864">
        <f t="shared" si="7"/>
        <v>0</v>
      </c>
      <c r="G128" s="251"/>
      <c r="H128" s="251"/>
      <c r="I128" s="251"/>
      <c r="J128" s="251"/>
    </row>
    <row r="129" spans="1:13" ht="14.25" customHeight="1">
      <c r="A129" s="1884">
        <v>9</v>
      </c>
      <c r="B129" s="819" t="s">
        <v>621</v>
      </c>
      <c r="C129" s="31"/>
      <c r="D129" s="1798"/>
      <c r="E129" s="1749"/>
      <c r="F129" s="1864">
        <f t="shared" si="7"/>
        <v>0</v>
      </c>
      <c r="G129" s="251"/>
      <c r="H129" s="251"/>
      <c r="I129" s="251"/>
      <c r="J129" s="251"/>
    </row>
    <row r="130" spans="1:13" ht="102">
      <c r="A130" s="1885">
        <v>9.1</v>
      </c>
      <c r="B130" s="1053" t="s">
        <v>1554</v>
      </c>
      <c r="C130" s="31">
        <v>1</v>
      </c>
      <c r="D130" s="1798" t="s">
        <v>3</v>
      </c>
      <c r="E130" s="1749">
        <v>66115.7</v>
      </c>
      <c r="F130" s="1864">
        <f t="shared" si="7"/>
        <v>66115.7</v>
      </c>
      <c r="G130" s="251"/>
      <c r="H130" s="251"/>
      <c r="I130" s="251"/>
      <c r="J130" s="251"/>
    </row>
    <row r="131" spans="1:13" s="660" customFormat="1" ht="25.5">
      <c r="A131" s="1865">
        <v>9.1999999999999993</v>
      </c>
      <c r="B131" s="745" t="s">
        <v>2238</v>
      </c>
      <c r="C131" s="31">
        <v>1</v>
      </c>
      <c r="D131" s="1798" t="s">
        <v>3</v>
      </c>
      <c r="E131" s="1749">
        <v>2100</v>
      </c>
      <c r="F131" s="1864">
        <f t="shared" si="7"/>
        <v>2100</v>
      </c>
      <c r="G131" s="251"/>
      <c r="H131" s="251"/>
      <c r="I131" s="251"/>
      <c r="J131" s="251"/>
    </row>
    <row r="132" spans="1:13" ht="14.25" customHeight="1">
      <c r="A132" s="1860"/>
      <c r="B132" s="745"/>
      <c r="C132" s="31"/>
      <c r="D132" s="1798"/>
      <c r="E132" s="1749"/>
      <c r="F132" s="1864">
        <f t="shared" si="7"/>
        <v>0</v>
      </c>
      <c r="G132" s="251"/>
      <c r="H132" s="251"/>
      <c r="I132" s="251"/>
      <c r="J132" s="251"/>
    </row>
    <row r="133" spans="1:13" s="44" customFormat="1" ht="12.75" customHeight="1">
      <c r="A133" s="1861">
        <v>10</v>
      </c>
      <c r="B133" s="819" t="s">
        <v>642</v>
      </c>
      <c r="C133" s="31"/>
      <c r="D133" s="1798"/>
      <c r="E133" s="1749"/>
      <c r="F133" s="1864">
        <f t="shared" ref="F133:F150" si="8">+ROUND((E133*C133),2)</f>
        <v>0</v>
      </c>
      <c r="G133" s="251"/>
      <c r="H133" s="251"/>
      <c r="I133" s="251"/>
      <c r="J133" s="251"/>
    </row>
    <row r="134" spans="1:13" s="44" customFormat="1" ht="12.75" customHeight="1">
      <c r="A134" s="1861"/>
      <c r="B134" s="819"/>
      <c r="C134" s="31"/>
      <c r="D134" s="1798"/>
      <c r="E134" s="1749"/>
      <c r="F134" s="1864"/>
      <c r="G134" s="251"/>
      <c r="H134" s="251"/>
      <c r="I134" s="251"/>
      <c r="J134" s="251"/>
    </row>
    <row r="135" spans="1:13" s="44" customFormat="1" ht="12.75" customHeight="1">
      <c r="A135" s="1861">
        <v>10.1</v>
      </c>
      <c r="B135" s="819" t="s">
        <v>639</v>
      </c>
      <c r="C135" s="31"/>
      <c r="D135" s="1798"/>
      <c r="E135" s="1749"/>
      <c r="F135" s="1864">
        <f t="shared" si="8"/>
        <v>0</v>
      </c>
      <c r="G135" s="251"/>
      <c r="H135" s="251"/>
      <c r="I135" s="251"/>
      <c r="J135" s="251"/>
    </row>
    <row r="136" spans="1:13" s="44" customFormat="1" ht="65.25" customHeight="1">
      <c r="A136" s="1881" t="s">
        <v>667</v>
      </c>
      <c r="B136" s="1818" t="s">
        <v>1562</v>
      </c>
      <c r="C136" s="1813">
        <v>2</v>
      </c>
      <c r="D136" s="1815" t="s">
        <v>3</v>
      </c>
      <c r="E136" s="1816">
        <v>353976.49</v>
      </c>
      <c r="F136" s="1879">
        <f t="shared" si="8"/>
        <v>707952.98</v>
      </c>
      <c r="G136" s="251"/>
      <c r="H136" s="251"/>
      <c r="I136" s="251"/>
      <c r="J136" s="251"/>
    </row>
    <row r="137" spans="1:13" s="44" customFormat="1" ht="6" customHeight="1">
      <c r="A137" s="1876"/>
      <c r="B137" s="522"/>
      <c r="C137" s="31"/>
      <c r="D137" s="1798"/>
      <c r="E137" s="1749"/>
      <c r="F137" s="1864">
        <f t="shared" si="8"/>
        <v>0</v>
      </c>
      <c r="G137" s="251"/>
      <c r="H137" s="251"/>
      <c r="I137" s="251"/>
      <c r="J137" s="251"/>
    </row>
    <row r="138" spans="1:13" s="44" customFormat="1" ht="12.75" customHeight="1">
      <c r="A138" s="1861">
        <v>10.199999999999999</v>
      </c>
      <c r="B138" s="819" t="s">
        <v>2185</v>
      </c>
      <c r="C138" s="31"/>
      <c r="D138" s="1798"/>
      <c r="E138" s="1749"/>
      <c r="F138" s="1864">
        <f t="shared" si="8"/>
        <v>0</v>
      </c>
      <c r="G138" s="251"/>
      <c r="H138" s="251"/>
      <c r="I138" s="251"/>
      <c r="J138" s="251"/>
    </row>
    <row r="139" spans="1:13" s="842" customFormat="1" ht="30" customHeight="1">
      <c r="A139" s="1876" t="s">
        <v>669</v>
      </c>
      <c r="B139" s="1053" t="s">
        <v>1993</v>
      </c>
      <c r="C139" s="31">
        <v>35.479999999999997</v>
      </c>
      <c r="D139" s="1798" t="s">
        <v>2</v>
      </c>
      <c r="E139" s="1749">
        <v>6349.9</v>
      </c>
      <c r="F139" s="1864">
        <f t="shared" si="8"/>
        <v>225294.45</v>
      </c>
      <c r="G139" s="1754"/>
      <c r="H139" s="1754"/>
      <c r="I139" s="1754"/>
      <c r="J139" s="1754"/>
      <c r="M139" s="842">
        <f>+L139*1.05</f>
        <v>0</v>
      </c>
    </row>
    <row r="140" spans="1:13" s="44" customFormat="1" ht="4.5" customHeight="1">
      <c r="A140" s="1876"/>
      <c r="B140" s="522"/>
      <c r="C140" s="31"/>
      <c r="D140" s="1798"/>
      <c r="E140" s="1749"/>
      <c r="F140" s="1864">
        <f t="shared" si="8"/>
        <v>0</v>
      </c>
      <c r="G140" s="251"/>
      <c r="H140" s="251"/>
      <c r="I140" s="251"/>
      <c r="J140" s="251"/>
    </row>
    <row r="141" spans="1:13" s="44" customFormat="1" ht="12.75" customHeight="1">
      <c r="A141" s="1861">
        <v>11</v>
      </c>
      <c r="B141" s="819" t="s">
        <v>648</v>
      </c>
      <c r="C141" s="31"/>
      <c r="D141" s="522"/>
      <c r="E141" s="1749"/>
      <c r="F141" s="1864">
        <f t="shared" si="8"/>
        <v>0</v>
      </c>
      <c r="G141" s="251"/>
      <c r="H141" s="251"/>
      <c r="I141" s="251"/>
      <c r="J141" s="251"/>
    </row>
    <row r="142" spans="1:13" s="842" customFormat="1" ht="25.5">
      <c r="A142" s="1876">
        <v>11.1</v>
      </c>
      <c r="B142" s="853" t="s">
        <v>1979</v>
      </c>
      <c r="C142" s="31">
        <v>29.7</v>
      </c>
      <c r="D142" s="1798" t="s">
        <v>1</v>
      </c>
      <c r="E142" s="1755">
        <v>7417.19</v>
      </c>
      <c r="F142" s="1864">
        <f t="shared" si="8"/>
        <v>220290.54</v>
      </c>
      <c r="G142" s="44"/>
      <c r="H142" s="44"/>
      <c r="I142" s="44"/>
      <c r="J142" s="44"/>
    </row>
    <row r="143" spans="1:13" s="44" customFormat="1" ht="25.5">
      <c r="A143" s="1876">
        <v>11.2</v>
      </c>
      <c r="B143" s="829" t="s">
        <v>2239</v>
      </c>
      <c r="C143" s="31">
        <v>6</v>
      </c>
      <c r="D143" s="1798" t="s">
        <v>3</v>
      </c>
      <c r="E143" s="1755">
        <v>1000</v>
      </c>
      <c r="F143" s="1864">
        <f t="shared" si="8"/>
        <v>6000</v>
      </c>
      <c r="G143" s="1367"/>
      <c r="H143" s="1367"/>
      <c r="I143" s="1367"/>
      <c r="J143" s="1367"/>
    </row>
    <row r="144" spans="1:13" s="44" customFormat="1" ht="168" customHeight="1">
      <c r="A144" s="1876">
        <v>11.3</v>
      </c>
      <c r="B144" s="853" t="s">
        <v>1567</v>
      </c>
      <c r="C144" s="31">
        <v>4</v>
      </c>
      <c r="D144" s="1798" t="s">
        <v>3</v>
      </c>
      <c r="E144" s="1755">
        <v>121894</v>
      </c>
      <c r="F144" s="1864">
        <f>+ROUND((E144*C144),2)</f>
        <v>487576</v>
      </c>
      <c r="H144" s="251"/>
      <c r="I144" s="251"/>
      <c r="J144" s="251"/>
    </row>
    <row r="145" spans="1:12" s="44" customFormat="1" ht="25.5">
      <c r="A145" s="1876">
        <v>11.4</v>
      </c>
      <c r="B145" s="853" t="s">
        <v>1975</v>
      </c>
      <c r="C145" s="31">
        <v>12</v>
      </c>
      <c r="D145" s="1798" t="s">
        <v>3</v>
      </c>
      <c r="E145" s="1755">
        <v>9656.61</v>
      </c>
      <c r="F145" s="1864">
        <f>ROUND(E145*C145,2)</f>
        <v>115879.32</v>
      </c>
      <c r="H145" s="251"/>
      <c r="I145" s="251"/>
      <c r="J145" s="251"/>
    </row>
    <row r="146" spans="1:12" s="44" customFormat="1">
      <c r="A146" s="1876">
        <v>11.5</v>
      </c>
      <c r="B146" s="522" t="s">
        <v>1976</v>
      </c>
      <c r="C146" s="31">
        <v>4</v>
      </c>
      <c r="D146" s="1798" t="s">
        <v>3</v>
      </c>
      <c r="E146" s="1755">
        <v>5749.11</v>
      </c>
      <c r="F146" s="1864">
        <f>ROUND(E146*C146,2)</f>
        <v>22996.44</v>
      </c>
      <c r="H146" s="251"/>
      <c r="I146" s="251"/>
      <c r="J146" s="251"/>
    </row>
    <row r="147" spans="1:12" s="44" customFormat="1" ht="12.75" customHeight="1">
      <c r="A147" s="1876">
        <v>11.6</v>
      </c>
      <c r="B147" s="522" t="s">
        <v>656</v>
      </c>
      <c r="C147" s="31">
        <v>12</v>
      </c>
      <c r="D147" s="1798" t="s">
        <v>3</v>
      </c>
      <c r="E147" s="1755">
        <v>3366.95</v>
      </c>
      <c r="F147" s="1864">
        <f t="shared" si="8"/>
        <v>40403.4</v>
      </c>
      <c r="G147" s="251"/>
      <c r="H147" s="251"/>
      <c r="I147" s="251"/>
      <c r="J147" s="251"/>
    </row>
    <row r="148" spans="1:12" s="44" customFormat="1" ht="12.75" customHeight="1">
      <c r="A148" s="1883">
        <v>11.7</v>
      </c>
      <c r="B148" s="522" t="s">
        <v>658</v>
      </c>
      <c r="C148" s="31">
        <v>12</v>
      </c>
      <c r="D148" s="1798" t="s">
        <v>3</v>
      </c>
      <c r="E148" s="1755">
        <v>250</v>
      </c>
      <c r="F148" s="1886">
        <f t="shared" si="8"/>
        <v>3000</v>
      </c>
      <c r="G148" s="251"/>
      <c r="H148" s="251"/>
      <c r="I148" s="251"/>
      <c r="J148" s="251"/>
    </row>
    <row r="149" spans="1:12" s="842" customFormat="1" ht="81.75" customHeight="1">
      <c r="A149" s="1876">
        <v>11.8</v>
      </c>
      <c r="B149" s="1053" t="s">
        <v>1561</v>
      </c>
      <c r="C149" s="1755">
        <v>1777.01</v>
      </c>
      <c r="D149" s="1798" t="s">
        <v>661</v>
      </c>
      <c r="E149" s="1755">
        <v>3341</v>
      </c>
      <c r="F149" s="1864">
        <f t="shared" si="8"/>
        <v>5936990.4100000001</v>
      </c>
      <c r="G149" s="1754"/>
      <c r="H149" s="1754"/>
      <c r="I149" s="1754"/>
      <c r="J149" s="1754"/>
    </row>
    <row r="150" spans="1:12" s="44" customFormat="1" ht="3" customHeight="1">
      <c r="A150" s="1860"/>
      <c r="B150" s="819"/>
      <c r="C150" s="31"/>
      <c r="D150" s="1798"/>
      <c r="E150" s="1749"/>
      <c r="F150" s="1864">
        <f t="shared" si="8"/>
        <v>0</v>
      </c>
      <c r="G150" s="251"/>
      <c r="H150" s="251"/>
      <c r="I150" s="251"/>
      <c r="J150" s="251"/>
    </row>
    <row r="151" spans="1:12" s="44" customFormat="1" ht="12.75" customHeight="1">
      <c r="A151" s="1861">
        <v>12</v>
      </c>
      <c r="B151" s="819" t="s">
        <v>673</v>
      </c>
      <c r="C151" s="31"/>
      <c r="D151" s="1798"/>
      <c r="E151" s="1749"/>
      <c r="F151" s="1864">
        <f t="shared" ref="F151:F159" si="9">+ROUND((E151*C151),2)</f>
        <v>0</v>
      </c>
      <c r="G151" s="251"/>
      <c r="H151" s="251"/>
      <c r="I151" s="251"/>
      <c r="J151" s="251"/>
    </row>
    <row r="152" spans="1:12" s="44" customFormat="1" ht="25.5">
      <c r="A152" s="1865">
        <v>12.1</v>
      </c>
      <c r="B152" s="1053" t="s">
        <v>1978</v>
      </c>
      <c r="C152" s="31">
        <v>231.64</v>
      </c>
      <c r="D152" s="713" t="s">
        <v>155</v>
      </c>
      <c r="E152" s="1755">
        <v>7424.14</v>
      </c>
      <c r="F152" s="1864">
        <f>ROUND(E152*C152,2)</f>
        <v>1719727.79</v>
      </c>
      <c r="G152" s="251"/>
      <c r="H152" s="251"/>
      <c r="I152" s="251"/>
      <c r="J152" s="251"/>
    </row>
    <row r="153" spans="1:12" s="44" customFormat="1" ht="6.75" customHeight="1">
      <c r="A153" s="1860"/>
      <c r="B153" s="819"/>
      <c r="C153" s="31"/>
      <c r="D153" s="1798"/>
      <c r="E153" s="1749"/>
      <c r="F153" s="1864">
        <f t="shared" si="9"/>
        <v>0</v>
      </c>
      <c r="G153" s="251"/>
      <c r="H153" s="251"/>
      <c r="I153" s="251"/>
      <c r="J153" s="251"/>
      <c r="L153" s="1845"/>
    </row>
    <row r="154" spans="1:12" s="44" customFormat="1" ht="12.75" customHeight="1">
      <c r="A154" s="1861">
        <v>12.2</v>
      </c>
      <c r="B154" s="819" t="s">
        <v>690</v>
      </c>
      <c r="C154" s="31"/>
      <c r="D154" s="1798"/>
      <c r="E154" s="1749"/>
      <c r="F154" s="1864">
        <f t="shared" si="9"/>
        <v>0</v>
      </c>
      <c r="G154" s="251"/>
      <c r="H154" s="251"/>
      <c r="I154" s="251"/>
      <c r="J154" s="251"/>
    </row>
    <row r="155" spans="1:12" s="44" customFormat="1" ht="28.5" customHeight="1">
      <c r="A155" s="1876" t="s">
        <v>2110</v>
      </c>
      <c r="B155" s="1053" t="s">
        <v>2309</v>
      </c>
      <c r="C155" s="31">
        <v>19</v>
      </c>
      <c r="D155" s="1798" t="s">
        <v>2</v>
      </c>
      <c r="E155" s="1749">
        <v>15169.31</v>
      </c>
      <c r="F155" s="1864">
        <f t="shared" si="9"/>
        <v>288216.89</v>
      </c>
      <c r="G155" s="251"/>
      <c r="H155" s="251"/>
      <c r="I155" s="251"/>
      <c r="J155" s="251"/>
    </row>
    <row r="156" spans="1:12" s="44" customFormat="1" ht="12.75" customHeight="1">
      <c r="A156" s="1876" t="s">
        <v>2111</v>
      </c>
      <c r="B156" s="522" t="s">
        <v>694</v>
      </c>
      <c r="C156" s="31">
        <v>19</v>
      </c>
      <c r="D156" s="1798" t="s">
        <v>2</v>
      </c>
      <c r="E156" s="1749">
        <v>930</v>
      </c>
      <c r="F156" s="1864">
        <f t="shared" si="9"/>
        <v>17670</v>
      </c>
      <c r="G156" s="251"/>
      <c r="H156" s="251"/>
      <c r="I156" s="251"/>
      <c r="J156" s="251"/>
    </row>
    <row r="157" spans="1:12" s="44" customFormat="1" ht="12.75" customHeight="1">
      <c r="A157" s="1881" t="s">
        <v>2112</v>
      </c>
      <c r="B157" s="1795" t="s">
        <v>696</v>
      </c>
      <c r="C157" s="1813">
        <v>19</v>
      </c>
      <c r="D157" s="1815" t="s">
        <v>2</v>
      </c>
      <c r="E157" s="1816">
        <v>950</v>
      </c>
      <c r="F157" s="1879">
        <f t="shared" si="9"/>
        <v>18050</v>
      </c>
      <c r="G157" s="251"/>
      <c r="H157" s="251"/>
      <c r="I157" s="251"/>
      <c r="J157" s="251"/>
    </row>
    <row r="158" spans="1:12" s="44" customFormat="1" ht="5.25" customHeight="1">
      <c r="A158" s="1876"/>
      <c r="B158" s="522"/>
      <c r="C158" s="31"/>
      <c r="D158" s="1798"/>
      <c r="E158" s="1749"/>
      <c r="F158" s="1864">
        <f t="shared" si="9"/>
        <v>0</v>
      </c>
      <c r="G158" s="251"/>
      <c r="H158" s="251"/>
      <c r="I158" s="251"/>
      <c r="J158" s="251"/>
    </row>
    <row r="159" spans="1:12" s="44" customFormat="1" ht="12.75" customHeight="1">
      <c r="A159" s="1861">
        <v>12.3</v>
      </c>
      <c r="B159" s="819" t="s">
        <v>1559</v>
      </c>
      <c r="C159" s="31"/>
      <c r="D159" s="1798"/>
      <c r="E159" s="1749"/>
      <c r="F159" s="1864">
        <f t="shared" si="9"/>
        <v>0</v>
      </c>
      <c r="G159" s="251"/>
      <c r="H159" s="251"/>
      <c r="I159" s="251"/>
      <c r="J159" s="251"/>
    </row>
    <row r="160" spans="1:12" s="44" customFormat="1" ht="155.25" customHeight="1">
      <c r="A160" s="1876" t="s">
        <v>2113</v>
      </c>
      <c r="B160" s="1053" t="s">
        <v>1980</v>
      </c>
      <c r="C160" s="1826">
        <v>6</v>
      </c>
      <c r="D160" s="1798" t="s">
        <v>3</v>
      </c>
      <c r="E160" s="1750">
        <v>47349.51</v>
      </c>
      <c r="F160" s="1887">
        <f>+ROUND((E160*C160),2)</f>
        <v>284097.06</v>
      </c>
      <c r="G160" s="251"/>
      <c r="H160" s="251"/>
      <c r="I160" s="251"/>
      <c r="J160" s="251"/>
    </row>
    <row r="161" spans="1:12" s="44" customFormat="1" ht="155.25" customHeight="1">
      <c r="A161" s="1876" t="s">
        <v>2114</v>
      </c>
      <c r="B161" s="1053" t="s">
        <v>1568</v>
      </c>
      <c r="C161" s="1826">
        <v>6</v>
      </c>
      <c r="D161" s="1798" t="s">
        <v>3</v>
      </c>
      <c r="E161" s="1750">
        <v>34444.57</v>
      </c>
      <c r="F161" s="1887">
        <f>+ROUND((E161*C161),2)</f>
        <v>206667.42</v>
      </c>
      <c r="G161" s="251"/>
      <c r="H161" s="251"/>
      <c r="I161" s="251"/>
      <c r="J161" s="251"/>
    </row>
    <row r="162" spans="1:12" s="842" customFormat="1" ht="171" customHeight="1">
      <c r="A162" s="1881" t="s">
        <v>2115</v>
      </c>
      <c r="B162" s="1818" t="s">
        <v>1981</v>
      </c>
      <c r="C162">
        <v>1</v>
      </c>
      <c r="D162" s="1815" t="s">
        <v>3</v>
      </c>
      <c r="E162" s="1819">
        <v>34444.57</v>
      </c>
      <c r="F162">
        <f>+ROUND((E162*C162),2)</f>
        <v>34444.57</v>
      </c>
      <c r="G162" s="44"/>
      <c r="H162" s="44"/>
      <c r="I162" s="44"/>
      <c r="J162" s="44"/>
    </row>
    <row r="163" spans="1:12" s="842" customFormat="1" ht="154.5" customHeight="1">
      <c r="A163" s="1876" t="s">
        <v>2116</v>
      </c>
      <c r="B163" s="1053" t="s">
        <v>1569</v>
      </c>
      <c r="C163" s="1826">
        <v>6</v>
      </c>
      <c r="D163" s="1798" t="s">
        <v>3</v>
      </c>
      <c r="E163" s="1750">
        <v>121894</v>
      </c>
      <c r="F163" s="1887">
        <f>+ROUND((E163*C163),2)</f>
        <v>731364</v>
      </c>
      <c r="G163" s="1754"/>
      <c r="H163" s="1754"/>
      <c r="I163" s="1754"/>
      <c r="J163" s="1754"/>
    </row>
    <row r="164" spans="1:12" s="842" customFormat="1" ht="80.25" customHeight="1">
      <c r="A164" s="1876" t="s">
        <v>2117</v>
      </c>
      <c r="B164" s="1053" t="s">
        <v>2186</v>
      </c>
      <c r="C164" s="1826">
        <v>6</v>
      </c>
      <c r="D164" s="1798" t="s">
        <v>3</v>
      </c>
      <c r="E164" s="1750">
        <v>365800</v>
      </c>
      <c r="F164" s="1887">
        <f>+ROUND((E164*C164),2)</f>
        <v>2194800</v>
      </c>
      <c r="G164" s="1754"/>
      <c r="H164" s="1754"/>
      <c r="I164" s="1754"/>
      <c r="J164" s="1754"/>
    </row>
    <row r="165" spans="1:12" s="842" customFormat="1">
      <c r="A165" s="1876"/>
      <c r="B165" s="1053"/>
      <c r="C165" s="1826"/>
      <c r="D165" s="1798"/>
      <c r="E165" s="1750"/>
      <c r="F165" s="1887"/>
      <c r="G165" s="1754"/>
      <c r="H165" s="1754"/>
      <c r="I165" s="1754"/>
      <c r="J165" s="1754"/>
    </row>
    <row r="166" spans="1:12" s="6" customFormat="1" ht="15" customHeight="1">
      <c r="A166" s="1861" t="s">
        <v>2118</v>
      </c>
      <c r="B166" s="819" t="s">
        <v>2128</v>
      </c>
      <c r="C166" s="31"/>
      <c r="D166" s="1798"/>
      <c r="E166" s="1799"/>
      <c r="F166" s="1864"/>
      <c r="G166" s="1367"/>
      <c r="H166" s="1367"/>
      <c r="I166" s="1367"/>
      <c r="J166" s="1367"/>
      <c r="K166" s="1367"/>
      <c r="L166" s="1367"/>
    </row>
    <row r="167" spans="1:12" s="6" customFormat="1" ht="83.25" customHeight="1">
      <c r="A167" s="1865" t="s">
        <v>2319</v>
      </c>
      <c r="B167" s="1053" t="s">
        <v>2187</v>
      </c>
      <c r="C167" s="31">
        <v>1</v>
      </c>
      <c r="D167" s="1798" t="s">
        <v>3</v>
      </c>
      <c r="E167" s="1749">
        <v>502126.85</v>
      </c>
      <c r="F167" s="1864">
        <f>ROUND(C167*E167,2)</f>
        <v>502126.85</v>
      </c>
      <c r="G167" s="1367"/>
      <c r="H167" s="1367"/>
      <c r="I167" s="1367"/>
      <c r="J167" s="1367"/>
      <c r="K167" s="1367"/>
      <c r="L167" s="1367"/>
    </row>
    <row r="168" spans="1:12" s="1756" customFormat="1" ht="12.75" customHeight="1">
      <c r="A168" s="1876" t="s">
        <v>2320</v>
      </c>
      <c r="B168" s="522" t="s">
        <v>1977</v>
      </c>
      <c r="C168" s="31">
        <v>231.64</v>
      </c>
      <c r="D168" s="1798" t="s">
        <v>155</v>
      </c>
      <c r="E168" s="1749">
        <v>6674.61</v>
      </c>
      <c r="F168" s="1864">
        <f>ROUND(E168*C168,2)</f>
        <v>1546106.66</v>
      </c>
      <c r="G168" s="44"/>
      <c r="H168" s="44"/>
      <c r="I168" s="44"/>
      <c r="J168" s="44"/>
    </row>
    <row r="169" spans="1:12" s="44" customFormat="1" ht="12.75" customHeight="1">
      <c r="A169" s="1876"/>
      <c r="B169" s="522"/>
      <c r="C169" s="31"/>
      <c r="D169" s="1798"/>
      <c r="E169" s="1749"/>
      <c r="F169" s="1864"/>
      <c r="G169" s="251"/>
      <c r="H169" s="251"/>
      <c r="I169" s="251"/>
      <c r="J169" s="251"/>
    </row>
    <row r="170" spans="1:12" s="842" customFormat="1" ht="38.25">
      <c r="A170" s="1876" t="s">
        <v>2321</v>
      </c>
      <c r="B170" s="1053" t="s">
        <v>2188</v>
      </c>
      <c r="C170" s="31">
        <v>1</v>
      </c>
      <c r="D170" s="1798" t="s">
        <v>3</v>
      </c>
      <c r="E170" s="1749">
        <v>9200</v>
      </c>
      <c r="F170" s="1864">
        <f>+ROUND((E170*C170),2)</f>
        <v>9200</v>
      </c>
      <c r="G170" s="1754"/>
      <c r="H170" s="1754"/>
      <c r="I170" s="1754"/>
      <c r="J170" s="1754"/>
    </row>
    <row r="171" spans="1:12" s="44" customFormat="1" ht="51">
      <c r="A171" s="1876" t="s">
        <v>2119</v>
      </c>
      <c r="B171" s="1053" t="s">
        <v>2189</v>
      </c>
      <c r="C171" s="31">
        <v>6</v>
      </c>
      <c r="D171" s="1798" t="s">
        <v>3</v>
      </c>
      <c r="E171" s="1749">
        <v>9200</v>
      </c>
      <c r="F171" s="1864">
        <f>+ROUND((E171*C171),2)</f>
        <v>55200</v>
      </c>
      <c r="G171" s="251"/>
      <c r="H171" s="251"/>
      <c r="I171" s="251"/>
      <c r="J171" s="251"/>
    </row>
    <row r="172" spans="1:12" s="44" customFormat="1" ht="6.75" customHeight="1">
      <c r="A172" s="1876"/>
      <c r="B172" s="522"/>
      <c r="C172" s="31"/>
      <c r="D172" s="1798"/>
      <c r="E172" s="1749"/>
      <c r="F172" s="1864"/>
      <c r="G172" s="251"/>
      <c r="H172" s="251"/>
      <c r="I172" s="251"/>
      <c r="J172" s="251"/>
    </row>
    <row r="173" spans="1:12" s="44" customFormat="1" ht="12.75" customHeight="1">
      <c r="A173" s="1861">
        <v>13</v>
      </c>
      <c r="B173" s="819" t="s">
        <v>1983</v>
      </c>
      <c r="C173" s="31">
        <v>0</v>
      </c>
      <c r="D173" s="1798"/>
      <c r="E173" s="1749"/>
      <c r="F173" s="1864">
        <f t="shared" ref="F173:F181" si="10">ROUND(E173*C173,2)</f>
        <v>0</v>
      </c>
      <c r="G173" s="251"/>
      <c r="H173" s="251"/>
      <c r="I173" s="251"/>
      <c r="J173" s="251"/>
    </row>
    <row r="174" spans="1:12" s="44" customFormat="1" ht="12.75" customHeight="1">
      <c r="A174" s="1860">
        <v>13.1</v>
      </c>
      <c r="B174" s="522" t="s">
        <v>1984</v>
      </c>
      <c r="C174" s="31">
        <v>0.26</v>
      </c>
      <c r="D174" s="1798" t="s">
        <v>2</v>
      </c>
      <c r="E174" s="1749">
        <v>17920.86</v>
      </c>
      <c r="F174" s="1864">
        <f t="shared" si="10"/>
        <v>4659.42</v>
      </c>
      <c r="G174" s="251"/>
      <c r="H174" s="251"/>
      <c r="I174" s="251"/>
      <c r="J174" s="251"/>
    </row>
    <row r="175" spans="1:12" s="44" customFormat="1" ht="12.75" customHeight="1">
      <c r="A175" s="1860">
        <v>13.2</v>
      </c>
      <c r="B175" s="522" t="s">
        <v>1985</v>
      </c>
      <c r="C175" s="31">
        <v>2.71</v>
      </c>
      <c r="D175" s="1798" t="s">
        <v>2</v>
      </c>
      <c r="E175" s="1749">
        <v>19852.38</v>
      </c>
      <c r="F175" s="1864">
        <f t="shared" si="10"/>
        <v>53799.95</v>
      </c>
      <c r="G175" s="251"/>
      <c r="H175" s="251"/>
      <c r="I175" s="251"/>
      <c r="J175" s="251"/>
    </row>
    <row r="176" spans="1:12" s="44" customFormat="1" ht="12.75" customHeight="1">
      <c r="A176" s="1860">
        <v>13.3</v>
      </c>
      <c r="B176" s="522" t="s">
        <v>1986</v>
      </c>
      <c r="C176" s="31">
        <v>0.12</v>
      </c>
      <c r="D176" s="1798" t="s">
        <v>2</v>
      </c>
      <c r="E176" s="1749">
        <v>18883.64</v>
      </c>
      <c r="F176" s="1864">
        <f>ROUND(E176*C176,2)</f>
        <v>2266.04</v>
      </c>
      <c r="G176" s="251"/>
      <c r="H176" s="251"/>
      <c r="I176" s="251"/>
      <c r="J176" s="251"/>
    </row>
    <row r="177" spans="1:10" s="44" customFormat="1" ht="12.75" customHeight="1">
      <c r="A177" s="1860">
        <v>13.4</v>
      </c>
      <c r="B177" s="522" t="s">
        <v>1264</v>
      </c>
      <c r="C177" s="31">
        <v>0.6</v>
      </c>
      <c r="D177" s="1798" t="s">
        <v>11</v>
      </c>
      <c r="E177" s="1749">
        <v>535.76</v>
      </c>
      <c r="F177" s="1864">
        <f t="shared" si="10"/>
        <v>321.45999999999998</v>
      </c>
      <c r="G177" s="251"/>
      <c r="H177" s="251"/>
      <c r="I177" s="251"/>
      <c r="J177" s="251"/>
    </row>
    <row r="178" spans="1:10" s="44" customFormat="1" ht="12.75" customHeight="1">
      <c r="A178" s="1860">
        <v>13.5</v>
      </c>
      <c r="B178" s="522" t="s">
        <v>1987</v>
      </c>
      <c r="C178" s="31">
        <v>8.5500000000000007</v>
      </c>
      <c r="D178" s="1798" t="s">
        <v>11</v>
      </c>
      <c r="E178" s="1749">
        <v>319.99</v>
      </c>
      <c r="F178" s="1864">
        <f t="shared" si="10"/>
        <v>2735.91</v>
      </c>
      <c r="G178" s="251"/>
      <c r="H178" s="251"/>
      <c r="I178" s="251"/>
      <c r="J178" s="251"/>
    </row>
    <row r="179" spans="1:10" s="44" customFormat="1" ht="12.75" customHeight="1">
      <c r="A179" s="1860">
        <v>13.6</v>
      </c>
      <c r="B179" s="522" t="s">
        <v>588</v>
      </c>
      <c r="C179" s="31">
        <v>12.35</v>
      </c>
      <c r="D179" s="1798" t="s">
        <v>11</v>
      </c>
      <c r="E179" s="1749">
        <v>327.45</v>
      </c>
      <c r="F179" s="1864">
        <f t="shared" si="10"/>
        <v>4044.01</v>
      </c>
      <c r="G179" s="251"/>
      <c r="H179" s="251"/>
      <c r="I179" s="251"/>
      <c r="J179" s="251"/>
    </row>
    <row r="180" spans="1:10" s="44" customFormat="1" ht="12.75" customHeight="1">
      <c r="A180" s="1860">
        <v>13.7</v>
      </c>
      <c r="B180" s="522" t="s">
        <v>177</v>
      </c>
      <c r="C180" s="31">
        <v>5.5</v>
      </c>
      <c r="D180" s="1798" t="s">
        <v>1</v>
      </c>
      <c r="E180" s="1749">
        <v>82.21</v>
      </c>
      <c r="F180" s="1864">
        <f t="shared" si="10"/>
        <v>452.16</v>
      </c>
      <c r="G180" s="251"/>
      <c r="H180" s="251"/>
      <c r="I180" s="251"/>
      <c r="J180" s="251"/>
    </row>
    <row r="181" spans="1:10" s="44" customFormat="1" ht="12.75" customHeight="1">
      <c r="A181" s="1860">
        <v>13.8</v>
      </c>
      <c r="B181" s="522" t="s">
        <v>1988</v>
      </c>
      <c r="C181" s="31">
        <v>1</v>
      </c>
      <c r="D181" s="1798" t="s">
        <v>3</v>
      </c>
      <c r="E181" s="1749">
        <v>5500</v>
      </c>
      <c r="F181" s="1864">
        <f t="shared" si="10"/>
        <v>5500</v>
      </c>
      <c r="G181" s="251"/>
      <c r="H181" s="251"/>
      <c r="I181" s="251"/>
      <c r="J181" s="251"/>
    </row>
    <row r="182" spans="1:10" ht="25.5" customHeight="1">
      <c r="A182" s="1888">
        <v>13.9</v>
      </c>
      <c r="B182" s="1812" t="s">
        <v>2146</v>
      </c>
      <c r="C182" s="1813">
        <v>1</v>
      </c>
      <c r="D182" s="1815" t="s">
        <v>3</v>
      </c>
      <c r="E182" s="1816">
        <v>1500</v>
      </c>
      <c r="F182" s="1879">
        <f>ROUND(C182*E182,2)</f>
        <v>1500</v>
      </c>
      <c r="G182" s="44"/>
    </row>
    <row r="183" spans="1:10" s="44" customFormat="1" ht="12.75" customHeight="1">
      <c r="A183" s="1860"/>
      <c r="B183" s="522"/>
      <c r="C183" s="31"/>
      <c r="D183" s="1798"/>
      <c r="E183" s="1749"/>
      <c r="F183" s="1864"/>
      <c r="G183" s="251"/>
      <c r="H183" s="251"/>
      <c r="I183" s="251"/>
      <c r="J183" s="251"/>
    </row>
    <row r="184" spans="1:10" s="44" customFormat="1" ht="12.75" customHeight="1">
      <c r="A184" s="1861">
        <v>14</v>
      </c>
      <c r="B184" s="819" t="s">
        <v>1989</v>
      </c>
      <c r="C184" s="31"/>
      <c r="D184" s="1798"/>
      <c r="E184" s="1749"/>
      <c r="F184" s="1864">
        <f t="shared" ref="F184:F212" si="11">+ROUND((E184*C184),2)</f>
        <v>0</v>
      </c>
      <c r="G184" s="251"/>
      <c r="H184" s="251"/>
      <c r="I184" s="251"/>
      <c r="J184" s="251"/>
    </row>
    <row r="185" spans="1:10" s="842" customFormat="1" ht="90" customHeight="1">
      <c r="A185" s="1876">
        <v>14.1</v>
      </c>
      <c r="B185" s="1053" t="s">
        <v>1560</v>
      </c>
      <c r="C185" s="31">
        <v>117.85</v>
      </c>
      <c r="D185" s="1798" t="s">
        <v>1</v>
      </c>
      <c r="E185" s="1749">
        <v>4240</v>
      </c>
      <c r="F185" s="1864">
        <f t="shared" si="11"/>
        <v>499684</v>
      </c>
      <c r="G185" s="44"/>
      <c r="H185" s="44"/>
      <c r="I185" s="44"/>
      <c r="J185" s="44"/>
    </row>
    <row r="186" spans="1:10" s="44" customFormat="1">
      <c r="A186" s="1865">
        <v>14.2</v>
      </c>
      <c r="B186" s="522" t="s">
        <v>2322</v>
      </c>
      <c r="C186" s="31">
        <v>1</v>
      </c>
      <c r="D186" s="1798" t="s">
        <v>3</v>
      </c>
      <c r="E186" s="1755">
        <v>69000</v>
      </c>
      <c r="F186" s="1864">
        <f>ROUND(E186*C186,2)</f>
        <v>69000</v>
      </c>
      <c r="G186" s="251"/>
      <c r="H186" s="251"/>
      <c r="I186" s="251"/>
      <c r="J186" s="251"/>
    </row>
    <row r="187" spans="1:10" s="44" customFormat="1" ht="12.75" customHeight="1">
      <c r="A187" s="1876"/>
      <c r="B187" s="425"/>
      <c r="C187" s="31"/>
      <c r="D187" s="1798"/>
      <c r="E187" s="1749"/>
      <c r="F187" s="1864">
        <f t="shared" si="11"/>
        <v>0</v>
      </c>
      <c r="G187" s="251"/>
      <c r="H187" s="251"/>
      <c r="I187" s="251"/>
      <c r="J187" s="251"/>
    </row>
    <row r="188" spans="1:10" s="44" customFormat="1" ht="12.75" customHeight="1">
      <c r="A188" s="1861">
        <v>15</v>
      </c>
      <c r="B188" s="819" t="s">
        <v>741</v>
      </c>
      <c r="C188" s="31"/>
      <c r="D188" s="1798"/>
      <c r="E188" s="1749"/>
      <c r="F188" s="1864">
        <f t="shared" si="11"/>
        <v>0</v>
      </c>
      <c r="G188" s="251"/>
      <c r="H188" s="251"/>
      <c r="I188" s="251"/>
      <c r="J188" s="251"/>
    </row>
    <row r="189" spans="1:10" s="44" customFormat="1" ht="12.75" customHeight="1">
      <c r="A189" s="1876"/>
      <c r="B189" s="522"/>
      <c r="C189" s="31"/>
      <c r="D189" s="1798"/>
      <c r="E189" s="1749"/>
      <c r="F189" s="1864">
        <f t="shared" si="11"/>
        <v>0</v>
      </c>
      <c r="G189" s="251"/>
      <c r="H189" s="251"/>
      <c r="I189" s="251"/>
      <c r="J189" s="251"/>
    </row>
    <row r="190" spans="1:10" s="44" customFormat="1" ht="12.75" customHeight="1">
      <c r="A190" s="1861">
        <v>15.1</v>
      </c>
      <c r="B190" s="819" t="s">
        <v>748</v>
      </c>
      <c r="C190" s="31"/>
      <c r="D190" s="1798"/>
      <c r="E190" s="1749"/>
      <c r="F190" s="1864">
        <f t="shared" si="11"/>
        <v>0</v>
      </c>
      <c r="G190" s="251"/>
      <c r="H190" s="251"/>
      <c r="I190" s="251"/>
      <c r="J190" s="251"/>
    </row>
    <row r="191" spans="1:10" s="44" customFormat="1" ht="12.75" customHeight="1">
      <c r="A191" s="1876" t="s">
        <v>724</v>
      </c>
      <c r="B191" s="522" t="s">
        <v>750</v>
      </c>
      <c r="C191" s="31">
        <v>19</v>
      </c>
      <c r="D191" s="1798" t="s">
        <v>1</v>
      </c>
      <c r="E191" s="1749">
        <v>5187.57</v>
      </c>
      <c r="F191" s="1864">
        <f t="shared" si="11"/>
        <v>98563.83</v>
      </c>
      <c r="G191" s="251"/>
      <c r="H191" s="251"/>
      <c r="I191" s="251"/>
      <c r="J191" s="251"/>
    </row>
    <row r="192" spans="1:10" s="44" customFormat="1" ht="12.75" customHeight="1">
      <c r="A192" s="1876" t="s">
        <v>2030</v>
      </c>
      <c r="B192" s="522" t="s">
        <v>752</v>
      </c>
      <c r="C192" s="31">
        <v>2</v>
      </c>
      <c r="D192" s="1798" t="s">
        <v>3</v>
      </c>
      <c r="E192" s="1749">
        <v>6186.89</v>
      </c>
      <c r="F192" s="1864">
        <f t="shared" si="11"/>
        <v>12373.78</v>
      </c>
      <c r="G192" s="251"/>
      <c r="H192" s="251"/>
      <c r="I192" s="251"/>
      <c r="J192" s="251"/>
    </row>
    <row r="193" spans="1:10" s="842" customFormat="1" ht="38.25">
      <c r="A193" s="1876" t="s">
        <v>2032</v>
      </c>
      <c r="B193" s="745" t="s">
        <v>1563</v>
      </c>
      <c r="C193" s="31">
        <v>3</v>
      </c>
      <c r="D193" s="1798" t="s">
        <v>3</v>
      </c>
      <c r="E193" s="1749">
        <v>8000</v>
      </c>
      <c r="F193" s="1864">
        <f t="shared" si="11"/>
        <v>24000</v>
      </c>
      <c r="G193" s="1754"/>
      <c r="H193" s="1754"/>
      <c r="I193" s="1754"/>
      <c r="J193" s="1754"/>
    </row>
    <row r="194" spans="1:10" s="44" customFormat="1" ht="12.75" customHeight="1">
      <c r="A194" s="1876"/>
      <c r="B194" s="425"/>
      <c r="C194" s="31"/>
      <c r="D194" s="1798"/>
      <c r="E194" s="1749"/>
      <c r="F194" s="1864">
        <f t="shared" si="11"/>
        <v>0</v>
      </c>
      <c r="G194" s="251"/>
      <c r="H194" s="251"/>
      <c r="I194" s="251"/>
      <c r="J194" s="251"/>
    </row>
    <row r="195" spans="1:10" s="44" customFormat="1" ht="12.75" customHeight="1">
      <c r="A195" s="1861">
        <v>15.2</v>
      </c>
      <c r="B195" s="819" t="s">
        <v>755</v>
      </c>
      <c r="C195" s="31"/>
      <c r="D195" s="1798"/>
      <c r="E195" s="1749"/>
      <c r="F195" s="1864">
        <f>+ROUND((E195*C195),2)</f>
        <v>0</v>
      </c>
      <c r="G195" s="251"/>
      <c r="H195" s="251"/>
      <c r="I195" s="251"/>
      <c r="J195" s="251"/>
    </row>
    <row r="196" spans="1:10" s="44" customFormat="1" ht="12.75" customHeight="1">
      <c r="A196" s="1882" t="s">
        <v>725</v>
      </c>
      <c r="B196" s="816" t="s">
        <v>581</v>
      </c>
      <c r="C196" s="31">
        <v>26.6</v>
      </c>
      <c r="D196" s="1798" t="s">
        <v>2</v>
      </c>
      <c r="E196" s="1749">
        <v>334.5</v>
      </c>
      <c r="F196" s="1864">
        <f>+ROUND((E196*C196),2)</f>
        <v>8897.7000000000007</v>
      </c>
      <c r="G196" s="251"/>
      <c r="H196" s="251"/>
      <c r="I196" s="251"/>
      <c r="J196" s="251"/>
    </row>
    <row r="197" spans="1:10" s="44" customFormat="1" ht="12.75" customHeight="1">
      <c r="A197" s="1882" t="s">
        <v>726</v>
      </c>
      <c r="B197" s="522" t="s">
        <v>253</v>
      </c>
      <c r="C197" s="31">
        <v>7.47</v>
      </c>
      <c r="D197" s="1798" t="s">
        <v>2</v>
      </c>
      <c r="E197" s="1749">
        <v>183.68</v>
      </c>
      <c r="F197" s="1864">
        <f t="shared" si="11"/>
        <v>1372.09</v>
      </c>
      <c r="G197" s="251"/>
      <c r="H197" s="251"/>
      <c r="I197" s="251"/>
      <c r="J197" s="251"/>
    </row>
    <row r="198" spans="1:10" s="44" customFormat="1" ht="12.75" customHeight="1">
      <c r="A198" s="1882" t="s">
        <v>727</v>
      </c>
      <c r="B198" s="522" t="s">
        <v>759</v>
      </c>
      <c r="C198" s="31">
        <v>22.96</v>
      </c>
      <c r="D198" s="1798" t="s">
        <v>2</v>
      </c>
      <c r="E198" s="1749">
        <v>210</v>
      </c>
      <c r="F198" s="1864">
        <f t="shared" si="11"/>
        <v>4821.6000000000004</v>
      </c>
      <c r="G198" s="251"/>
      <c r="H198" s="251"/>
      <c r="I198" s="251"/>
      <c r="J198" s="251"/>
    </row>
    <row r="199" spans="1:10" s="44" customFormat="1" ht="12.75" customHeight="1">
      <c r="A199" s="1882"/>
      <c r="B199" s="522"/>
      <c r="C199" s="31"/>
      <c r="D199" s="1798"/>
      <c r="E199" s="1749"/>
      <c r="F199" s="1864">
        <f t="shared" si="11"/>
        <v>0</v>
      </c>
      <c r="G199" s="251"/>
      <c r="H199" s="251"/>
      <c r="I199" s="251"/>
      <c r="J199" s="251"/>
    </row>
    <row r="200" spans="1:10" s="44" customFormat="1" ht="12.75" customHeight="1">
      <c r="A200" s="1861">
        <v>16</v>
      </c>
      <c r="B200" s="819" t="s">
        <v>760</v>
      </c>
      <c r="C200" s="31"/>
      <c r="D200" s="1798"/>
      <c r="E200" s="1749"/>
      <c r="F200" s="1864">
        <f t="shared" si="11"/>
        <v>0</v>
      </c>
      <c r="G200" s="251"/>
      <c r="H200" s="251"/>
      <c r="I200" s="251"/>
      <c r="J200" s="251"/>
    </row>
    <row r="201" spans="1:10" s="44" customFormat="1" ht="12.75" customHeight="1">
      <c r="A201" s="1855">
        <v>16.100000000000001</v>
      </c>
      <c r="B201" s="1794" t="s">
        <v>763</v>
      </c>
      <c r="C201" s="1794">
        <v>1</v>
      </c>
      <c r="D201" s="1794" t="s">
        <v>3</v>
      </c>
      <c r="E201" s="1794">
        <v>185000</v>
      </c>
      <c r="F201" s="1856">
        <f t="shared" si="11"/>
        <v>185000</v>
      </c>
      <c r="G201" s="251"/>
      <c r="H201" s="251"/>
      <c r="I201" s="251"/>
      <c r="J201" s="251"/>
    </row>
    <row r="202" spans="1:10" s="44" customFormat="1" ht="12.75" customHeight="1">
      <c r="A202" s="1876"/>
      <c r="B202" s="522"/>
      <c r="C202" s="31"/>
      <c r="D202" s="1798"/>
      <c r="E202" s="1749"/>
      <c r="F202" s="1864">
        <f t="shared" si="11"/>
        <v>0</v>
      </c>
      <c r="G202" s="251"/>
      <c r="H202" s="251"/>
      <c r="I202" s="251"/>
      <c r="J202" s="251"/>
    </row>
    <row r="203" spans="1:10" s="44" customFormat="1" ht="12.75" customHeight="1">
      <c r="A203" s="1861">
        <v>17</v>
      </c>
      <c r="B203" s="819" t="s">
        <v>764</v>
      </c>
      <c r="C203" s="31"/>
      <c r="D203" s="1798"/>
      <c r="E203" s="1749"/>
      <c r="F203" s="1864">
        <f t="shared" si="11"/>
        <v>0</v>
      </c>
      <c r="G203" s="251"/>
      <c r="H203" s="251"/>
      <c r="I203" s="251"/>
      <c r="J203" s="251"/>
    </row>
    <row r="204" spans="1:10" s="44" customFormat="1" ht="12.75" customHeight="1">
      <c r="A204" s="1876">
        <v>17.100000000000001</v>
      </c>
      <c r="B204" s="522" t="s">
        <v>261</v>
      </c>
      <c r="C204" s="31">
        <v>204.75</v>
      </c>
      <c r="D204" s="1798" t="s">
        <v>11</v>
      </c>
      <c r="E204" s="1749">
        <v>144</v>
      </c>
      <c r="F204" s="1864">
        <f t="shared" si="11"/>
        <v>29484</v>
      </c>
      <c r="G204" s="251"/>
      <c r="H204" s="251"/>
      <c r="I204" s="251"/>
      <c r="J204" s="251"/>
    </row>
    <row r="205" spans="1:10" s="44" customFormat="1" ht="12.75" customHeight="1">
      <c r="A205" s="1876">
        <v>17.2</v>
      </c>
      <c r="B205" s="522" t="s">
        <v>767</v>
      </c>
      <c r="C205" s="31">
        <v>204.75</v>
      </c>
      <c r="D205" s="1798" t="s">
        <v>11</v>
      </c>
      <c r="E205" s="1749">
        <v>144</v>
      </c>
      <c r="F205" s="1864">
        <f t="shared" si="11"/>
        <v>29484</v>
      </c>
      <c r="G205" s="251"/>
      <c r="H205" s="251"/>
      <c r="I205" s="251"/>
      <c r="J205" s="251"/>
    </row>
    <row r="206" spans="1:10" s="44" customFormat="1" ht="12.75" customHeight="1">
      <c r="A206" s="1876">
        <v>17.3</v>
      </c>
      <c r="B206" s="522" t="s">
        <v>768</v>
      </c>
      <c r="C206" s="31">
        <v>1</v>
      </c>
      <c r="D206" s="1798" t="s">
        <v>3</v>
      </c>
      <c r="E206" s="1749">
        <v>7500</v>
      </c>
      <c r="F206" s="1864">
        <f t="shared" si="11"/>
        <v>7500</v>
      </c>
      <c r="G206" s="251"/>
      <c r="I206" s="251"/>
      <c r="J206" s="251"/>
    </row>
    <row r="207" spans="1:10" s="44" customFormat="1" ht="12.75" customHeight="1">
      <c r="A207" s="1876"/>
      <c r="B207" s="522"/>
      <c r="C207" s="31"/>
      <c r="D207" s="1798"/>
      <c r="E207" s="1749"/>
      <c r="F207" s="1864">
        <f t="shared" si="11"/>
        <v>0</v>
      </c>
      <c r="G207" s="251"/>
      <c r="H207" s="251"/>
      <c r="I207" s="251"/>
      <c r="J207" s="251"/>
    </row>
    <row r="208" spans="1:10" s="44" customFormat="1" ht="12.75" customHeight="1">
      <c r="A208" s="1861">
        <v>18</v>
      </c>
      <c r="B208" s="819" t="s">
        <v>769</v>
      </c>
      <c r="C208" s="31"/>
      <c r="D208" s="1798"/>
      <c r="E208" s="1749"/>
      <c r="F208" s="1864">
        <f t="shared" si="11"/>
        <v>0</v>
      </c>
      <c r="G208" s="251"/>
      <c r="H208" s="251"/>
      <c r="I208" s="251"/>
      <c r="J208" s="251"/>
    </row>
    <row r="209" spans="1:10" s="44" customFormat="1">
      <c r="A209" s="1889">
        <v>18.100000000000001</v>
      </c>
      <c r="B209" s="522" t="s">
        <v>770</v>
      </c>
      <c r="C209" s="31">
        <v>360</v>
      </c>
      <c r="D209" s="1798" t="s">
        <v>138</v>
      </c>
      <c r="E209" s="1749">
        <v>304.5</v>
      </c>
      <c r="F209" s="1864">
        <f t="shared" si="11"/>
        <v>109620</v>
      </c>
      <c r="G209" s="1369"/>
      <c r="H209" s="1370"/>
      <c r="I209" s="251"/>
      <c r="J209" s="251"/>
    </row>
    <row r="210" spans="1:10" s="44" customFormat="1" ht="12.75" customHeight="1">
      <c r="A210" s="1889">
        <v>18.2</v>
      </c>
      <c r="B210" s="522" t="s">
        <v>2087</v>
      </c>
      <c r="C210" s="31">
        <v>163.36000000000001</v>
      </c>
      <c r="D210" s="1798" t="s">
        <v>1</v>
      </c>
      <c r="E210" s="1749">
        <v>414</v>
      </c>
      <c r="F210" s="1864">
        <f t="shared" si="11"/>
        <v>67631.039999999994</v>
      </c>
      <c r="G210" s="1369"/>
      <c r="H210" s="251"/>
      <c r="I210" s="251"/>
      <c r="J210" s="251"/>
    </row>
    <row r="211" spans="1:10" s="44" customFormat="1">
      <c r="A211" s="1889">
        <v>18.3</v>
      </c>
      <c r="B211" s="522" t="s">
        <v>772</v>
      </c>
      <c r="C211" s="31">
        <v>1</v>
      </c>
      <c r="D211" s="1750" t="s">
        <v>42</v>
      </c>
      <c r="E211" s="1749">
        <v>75000</v>
      </c>
      <c r="F211" s="1864">
        <f t="shared" si="11"/>
        <v>75000</v>
      </c>
      <c r="G211" s="251"/>
      <c r="H211" s="1757"/>
      <c r="I211" s="1758"/>
      <c r="J211" s="1759"/>
    </row>
    <row r="212" spans="1:10" s="44" customFormat="1" ht="12.75" customHeight="1">
      <c r="A212" s="1889">
        <v>18.399999999999999</v>
      </c>
      <c r="B212" s="425" t="s">
        <v>773</v>
      </c>
      <c r="C212" s="31">
        <v>1</v>
      </c>
      <c r="D212" s="1798" t="s">
        <v>3</v>
      </c>
      <c r="E212" s="1749">
        <v>50000</v>
      </c>
      <c r="F212" s="1864">
        <f t="shared" si="11"/>
        <v>50000</v>
      </c>
      <c r="G212" s="251"/>
      <c r="H212" s="251"/>
      <c r="I212" s="251"/>
      <c r="J212" s="251"/>
    </row>
    <row r="213" spans="1:10" s="44" customFormat="1" ht="12.75" customHeight="1">
      <c r="A213" s="1889"/>
      <c r="B213" s="425"/>
      <c r="C213" s="31"/>
      <c r="D213" s="1798"/>
      <c r="E213" s="1749"/>
      <c r="F213" s="1864"/>
      <c r="G213" s="251"/>
      <c r="H213" s="251"/>
      <c r="I213" s="251"/>
      <c r="J213" s="251"/>
    </row>
    <row r="214" spans="1:10" s="1539" customFormat="1" ht="16.5" customHeight="1">
      <c r="A214" s="1873"/>
      <c r="B214" s="1827" t="s">
        <v>2127</v>
      </c>
      <c r="C214" s="1827"/>
      <c r="D214" s="1827"/>
      <c r="E214" s="1828"/>
      <c r="F214" s="1874">
        <f>SUM(F65:F212)</f>
        <v>44056988.780000001</v>
      </c>
      <c r="G214" s="1741"/>
    </row>
    <row r="215" spans="1:10" s="44" customFormat="1" ht="12.75" customHeight="1">
      <c r="A215" s="1860"/>
      <c r="B215" s="1760"/>
      <c r="C215" s="31"/>
      <c r="D215" s="1761"/>
      <c r="E215" s="1762"/>
      <c r="F215" s="1864">
        <f>+ROUND((E215*C215),2)</f>
        <v>0</v>
      </c>
      <c r="G215" s="328"/>
    </row>
    <row r="216" spans="1:10" s="44" customFormat="1" ht="12.75" customHeight="1">
      <c r="A216" s="1890" t="s">
        <v>774</v>
      </c>
      <c r="B216" s="819" t="s">
        <v>1995</v>
      </c>
      <c r="C216" s="31"/>
      <c r="D216" s="522"/>
      <c r="E216" s="522"/>
      <c r="F216" s="1864">
        <f>ROUND((C216*E216),2)</f>
        <v>0</v>
      </c>
      <c r="G216" s="328"/>
    </row>
    <row r="217" spans="1:10" s="44" customFormat="1" ht="12.75" customHeight="1">
      <c r="A217" s="1860"/>
      <c r="B217" s="522"/>
      <c r="C217" s="31"/>
      <c r="D217" s="522"/>
      <c r="E217" s="1749"/>
      <c r="F217" s="1864">
        <f>ROUND((C217*E217),2)</f>
        <v>0</v>
      </c>
      <c r="G217" s="328"/>
    </row>
    <row r="218" spans="1:10" s="44" customFormat="1" ht="12.75" customHeight="1">
      <c r="A218" s="1860">
        <v>1</v>
      </c>
      <c r="B218" s="522" t="s">
        <v>37</v>
      </c>
      <c r="C218" s="31">
        <v>1</v>
      </c>
      <c r="D218" s="713" t="s">
        <v>3</v>
      </c>
      <c r="E218" s="1749">
        <v>1500</v>
      </c>
      <c r="F218" s="1864">
        <f t="shared" ref="F218:F284" si="12">ROUND(E218*C218,2)</f>
        <v>1500</v>
      </c>
      <c r="G218" s="328"/>
    </row>
    <row r="219" spans="1:10" s="44" customFormat="1" ht="12.75" customHeight="1">
      <c r="A219" s="1860"/>
      <c r="B219" s="522"/>
      <c r="C219" s="31"/>
      <c r="D219" s="713"/>
      <c r="E219" s="1749"/>
      <c r="F219" s="1864">
        <f t="shared" si="12"/>
        <v>0</v>
      </c>
      <c r="G219" s="328"/>
    </row>
    <row r="220" spans="1:10" s="44" customFormat="1" ht="12.75" customHeight="1">
      <c r="A220" s="1868">
        <v>2</v>
      </c>
      <c r="B220" s="1795" t="s">
        <v>38</v>
      </c>
      <c r="C220" s="1813">
        <v>1</v>
      </c>
      <c r="D220" s="1821" t="s">
        <v>3</v>
      </c>
      <c r="E220" s="1816">
        <v>8500</v>
      </c>
      <c r="F220" s="1879">
        <f t="shared" si="12"/>
        <v>8500</v>
      </c>
      <c r="G220" s="328"/>
    </row>
    <row r="221" spans="1:10" s="44" customFormat="1" ht="12.75" customHeight="1">
      <c r="A221" s="1860"/>
      <c r="B221" s="522"/>
      <c r="C221" s="31"/>
      <c r="D221" s="713"/>
      <c r="E221" s="1749"/>
      <c r="F221" s="1864">
        <f t="shared" si="12"/>
        <v>0</v>
      </c>
      <c r="G221" s="328"/>
    </row>
    <row r="222" spans="1:10" s="44" customFormat="1" ht="25.5">
      <c r="A222" s="1867">
        <v>3</v>
      </c>
      <c r="B222" s="1807" t="s">
        <v>2246</v>
      </c>
      <c r="C222" s="31"/>
      <c r="D222" s="713"/>
      <c r="E222" s="1749"/>
      <c r="F222" s="1864">
        <f t="shared" si="12"/>
        <v>0</v>
      </c>
      <c r="G222" s="328"/>
    </row>
    <row r="223" spans="1:10" s="44" customFormat="1" ht="12.75" customHeight="1">
      <c r="A223" s="1860">
        <f>A222+0.1</f>
        <v>3.1</v>
      </c>
      <c r="B223" s="1760" t="s">
        <v>2155</v>
      </c>
      <c r="C223" s="31">
        <v>8.1</v>
      </c>
      <c r="D223" s="713" t="s">
        <v>2</v>
      </c>
      <c r="E223" s="1749">
        <v>12273.61</v>
      </c>
      <c r="F223" s="1864">
        <f t="shared" ref="F223:F233" si="13">ROUND(E223*C223,2)</f>
        <v>99416.24</v>
      </c>
      <c r="G223" s="328"/>
    </row>
    <row r="224" spans="1:10" s="44" customFormat="1" ht="12.75" customHeight="1">
      <c r="A224" s="1860">
        <f t="shared" ref="A224:A229" si="14">A223+0.1</f>
        <v>3.2</v>
      </c>
      <c r="B224" s="1760" t="s">
        <v>2155</v>
      </c>
      <c r="C224" s="31">
        <v>1.3</v>
      </c>
      <c r="D224" s="713" t="s">
        <v>2</v>
      </c>
      <c r="E224" s="1749">
        <v>14355.53</v>
      </c>
      <c r="F224" s="1864">
        <f t="shared" si="13"/>
        <v>18662.189999999999</v>
      </c>
      <c r="G224" s="328"/>
    </row>
    <row r="225" spans="1:7" s="44" customFormat="1" ht="12.75" customHeight="1">
      <c r="A225" s="1860">
        <f>A224+0.1</f>
        <v>3.3</v>
      </c>
      <c r="B225" s="522" t="s">
        <v>1998</v>
      </c>
      <c r="C225" s="31">
        <v>1.1299999999999999</v>
      </c>
      <c r="D225" s="713" t="s">
        <v>2</v>
      </c>
      <c r="E225" s="1749">
        <v>24437.89</v>
      </c>
      <c r="F225" s="1864">
        <f t="shared" si="13"/>
        <v>27614.82</v>
      </c>
      <c r="G225" s="328"/>
    </row>
    <row r="226" spans="1:7" s="44" customFormat="1" ht="12.75" customHeight="1">
      <c r="A226" s="1860">
        <f t="shared" si="14"/>
        <v>3.4</v>
      </c>
      <c r="B226" s="522" t="s">
        <v>1999</v>
      </c>
      <c r="C226" s="31">
        <v>6.98</v>
      </c>
      <c r="D226" s="713" t="s">
        <v>2</v>
      </c>
      <c r="E226" s="1749">
        <v>25050.62</v>
      </c>
      <c r="F226" s="1864">
        <f t="shared" si="13"/>
        <v>174853.33</v>
      </c>
      <c r="G226" s="328"/>
    </row>
    <row r="227" spans="1:7" s="44" customFormat="1" ht="12.75" customHeight="1">
      <c r="A227" s="1860">
        <f t="shared" si="14"/>
        <v>3.5</v>
      </c>
      <c r="B227" s="522" t="s">
        <v>2156</v>
      </c>
      <c r="C227" s="31">
        <v>3.04</v>
      </c>
      <c r="D227" s="713" t="s">
        <v>2</v>
      </c>
      <c r="E227" s="1749">
        <v>21652.59</v>
      </c>
      <c r="F227" s="1864">
        <f t="shared" si="13"/>
        <v>65823.87</v>
      </c>
      <c r="G227" s="328"/>
    </row>
    <row r="228" spans="1:7" s="44" customFormat="1" ht="12.75" customHeight="1">
      <c r="A228" s="1860">
        <f t="shared" si="14"/>
        <v>3.6</v>
      </c>
      <c r="B228" s="522" t="s">
        <v>2157</v>
      </c>
      <c r="C228" s="31">
        <v>5.31</v>
      </c>
      <c r="D228" s="713" t="s">
        <v>2</v>
      </c>
      <c r="E228" s="1749">
        <v>25892.62</v>
      </c>
      <c r="F228" s="1864">
        <f t="shared" si="13"/>
        <v>137489.81</v>
      </c>
      <c r="G228" s="328"/>
    </row>
    <row r="229" spans="1:7" s="44" customFormat="1" ht="12.75" customHeight="1">
      <c r="A229" s="1860">
        <f t="shared" si="14"/>
        <v>3.7</v>
      </c>
      <c r="B229" s="522" t="s">
        <v>2158</v>
      </c>
      <c r="C229" s="31">
        <v>4.5599999999999996</v>
      </c>
      <c r="D229" s="713" t="s">
        <v>2</v>
      </c>
      <c r="E229" s="1749">
        <v>19152.64</v>
      </c>
      <c r="F229" s="1864">
        <f t="shared" si="13"/>
        <v>87336.04</v>
      </c>
      <c r="G229" s="328"/>
    </row>
    <row r="230" spans="1:7" s="44" customFormat="1" ht="12.75" customHeight="1">
      <c r="A230" s="1860">
        <v>3.11</v>
      </c>
      <c r="B230" s="522" t="s">
        <v>2004</v>
      </c>
      <c r="C230" s="31">
        <v>8.4700000000000006</v>
      </c>
      <c r="D230" s="713" t="s">
        <v>2</v>
      </c>
      <c r="E230" s="1749">
        <v>12875.9</v>
      </c>
      <c r="F230" s="1864">
        <f t="shared" si="13"/>
        <v>109058.87</v>
      </c>
      <c r="G230" s="328"/>
    </row>
    <row r="231" spans="1:7" s="44" customFormat="1" ht="12.75" customHeight="1">
      <c r="A231" s="1860">
        <v>3.12</v>
      </c>
      <c r="B231" s="522" t="s">
        <v>2005</v>
      </c>
      <c r="C231" s="31">
        <v>11.09</v>
      </c>
      <c r="D231" s="713" t="s">
        <v>2</v>
      </c>
      <c r="E231" s="1749">
        <v>12875.9</v>
      </c>
      <c r="F231" s="1864">
        <f t="shared" si="13"/>
        <v>142793.73000000001</v>
      </c>
      <c r="G231" s="328"/>
    </row>
    <row r="232" spans="1:7" s="44" customFormat="1" ht="12.75" customHeight="1">
      <c r="A232" s="1860">
        <v>3.13</v>
      </c>
      <c r="B232" s="522" t="s">
        <v>2006</v>
      </c>
      <c r="C232" s="31">
        <v>1.37</v>
      </c>
      <c r="D232" s="713" t="s">
        <v>2</v>
      </c>
      <c r="E232" s="1749">
        <v>14166.63</v>
      </c>
      <c r="F232" s="1864">
        <f t="shared" si="13"/>
        <v>19408.28</v>
      </c>
      <c r="G232" s="328"/>
    </row>
    <row r="233" spans="1:7" s="44" customFormat="1" ht="12.75" customHeight="1">
      <c r="A233" s="1860">
        <v>3.15</v>
      </c>
      <c r="B233" s="522" t="s">
        <v>2008</v>
      </c>
      <c r="C233" s="31">
        <v>1.1000000000000001</v>
      </c>
      <c r="D233" s="713" t="s">
        <v>3</v>
      </c>
      <c r="E233" s="1749">
        <v>15500</v>
      </c>
      <c r="F233" s="1864">
        <f t="shared" si="13"/>
        <v>17050</v>
      </c>
      <c r="G233" s="328"/>
    </row>
    <row r="234" spans="1:7" s="44" customFormat="1" ht="12.75" customHeight="1">
      <c r="A234" s="1860"/>
      <c r="B234" s="522"/>
      <c r="C234" s="31">
        <v>0</v>
      </c>
      <c r="D234" s="713"/>
      <c r="E234" s="1749"/>
      <c r="F234" s="1864">
        <f t="shared" si="12"/>
        <v>0</v>
      </c>
      <c r="G234" s="328"/>
    </row>
    <row r="235" spans="1:7" s="44" customFormat="1" ht="12.75" customHeight="1">
      <c r="A235" s="1861">
        <v>4</v>
      </c>
      <c r="B235" s="819" t="s">
        <v>784</v>
      </c>
      <c r="C235" s="31">
        <v>0</v>
      </c>
      <c r="D235" s="713"/>
      <c r="E235" s="1749"/>
      <c r="F235" s="1864">
        <f t="shared" si="12"/>
        <v>0</v>
      </c>
      <c r="G235" s="328"/>
    </row>
    <row r="236" spans="1:7" s="44" customFormat="1" ht="12.75" customHeight="1">
      <c r="A236" s="1860">
        <v>4.0999999999999996</v>
      </c>
      <c r="B236" s="522" t="s">
        <v>2009</v>
      </c>
      <c r="C236" s="31">
        <v>47.19</v>
      </c>
      <c r="D236" s="713" t="s">
        <v>11</v>
      </c>
      <c r="E236" s="1749">
        <v>878.76</v>
      </c>
      <c r="F236" s="1864">
        <f>ROUND(E236*C236,2)</f>
        <v>41468.68</v>
      </c>
      <c r="G236" s="328"/>
    </row>
    <row r="237" spans="1:7" s="44" customFormat="1" ht="12.75" customHeight="1">
      <c r="A237" s="1860">
        <v>4.2</v>
      </c>
      <c r="B237" s="522" t="s">
        <v>2010</v>
      </c>
      <c r="C237" s="31">
        <v>225.18</v>
      </c>
      <c r="D237" s="713" t="s">
        <v>11</v>
      </c>
      <c r="E237" s="1749">
        <v>893.71</v>
      </c>
      <c r="F237" s="1864">
        <f>ROUND(E237*C237,2)</f>
        <v>201245.62</v>
      </c>
      <c r="G237" s="328"/>
    </row>
    <row r="238" spans="1:7" s="44" customFormat="1" ht="12.75" customHeight="1">
      <c r="A238" s="1860"/>
      <c r="B238" s="522"/>
      <c r="C238" s="31">
        <v>0</v>
      </c>
      <c r="D238" s="713"/>
      <c r="E238" s="1749"/>
      <c r="F238" s="1864">
        <f t="shared" si="12"/>
        <v>0</v>
      </c>
      <c r="G238" s="328"/>
    </row>
    <row r="239" spans="1:7" s="44" customFormat="1" ht="12.75" customHeight="1">
      <c r="A239" s="1861">
        <v>5</v>
      </c>
      <c r="B239" s="819" t="s">
        <v>787</v>
      </c>
      <c r="C239" s="31">
        <v>0</v>
      </c>
      <c r="D239" s="713"/>
      <c r="E239" s="1749"/>
      <c r="F239" s="1864">
        <f t="shared" si="12"/>
        <v>0</v>
      </c>
      <c r="G239" s="328"/>
    </row>
    <row r="240" spans="1:7" s="44" customFormat="1" ht="12.75" customHeight="1">
      <c r="A240" s="1860">
        <v>5.0999999999999996</v>
      </c>
      <c r="B240" s="522" t="s">
        <v>2011</v>
      </c>
      <c r="C240" s="31">
        <v>695.3</v>
      </c>
      <c r="D240" s="713" t="s">
        <v>11</v>
      </c>
      <c r="E240" s="1749">
        <v>277.06</v>
      </c>
      <c r="F240" s="1864">
        <f t="shared" si="12"/>
        <v>192639.82</v>
      </c>
      <c r="G240" s="328"/>
    </row>
    <row r="241" spans="1:7" s="44" customFormat="1" ht="12.75" customHeight="1">
      <c r="A241" s="1860">
        <v>5.2</v>
      </c>
      <c r="B241" s="522" t="s">
        <v>789</v>
      </c>
      <c r="C241" s="31">
        <v>71.38</v>
      </c>
      <c r="D241" s="713" t="s">
        <v>11</v>
      </c>
      <c r="E241" s="1749">
        <v>475.19</v>
      </c>
      <c r="F241" s="1864">
        <f t="shared" si="12"/>
        <v>33919.06</v>
      </c>
      <c r="G241" s="328"/>
    </row>
    <row r="242" spans="1:7" s="44" customFormat="1" ht="12.75" customHeight="1">
      <c r="A242" s="1860">
        <v>5.3</v>
      </c>
      <c r="B242" s="522" t="s">
        <v>2012</v>
      </c>
      <c r="C242" s="31">
        <v>33.799999999999997</v>
      </c>
      <c r="D242" s="713" t="s">
        <v>11</v>
      </c>
      <c r="E242" s="1749">
        <v>98.75</v>
      </c>
      <c r="F242" s="1864">
        <f t="shared" si="12"/>
        <v>3337.75</v>
      </c>
      <c r="G242" s="328"/>
    </row>
    <row r="243" spans="1:7" s="44" customFormat="1" ht="12.75" customHeight="1">
      <c r="A243" s="1860">
        <v>5.4</v>
      </c>
      <c r="B243" s="522" t="s">
        <v>618</v>
      </c>
      <c r="C243" s="31">
        <v>478.68</v>
      </c>
      <c r="D243" s="713" t="s">
        <v>1</v>
      </c>
      <c r="E243" s="1749">
        <v>89.18</v>
      </c>
      <c r="F243" s="1864">
        <f t="shared" si="12"/>
        <v>42688.68</v>
      </c>
      <c r="G243" s="328"/>
    </row>
    <row r="244" spans="1:7" s="44" customFormat="1" ht="12.75" customHeight="1">
      <c r="A244" s="1860">
        <v>5.5</v>
      </c>
      <c r="B244" s="522" t="s">
        <v>862</v>
      </c>
      <c r="C244" s="31">
        <v>33.799999999999997</v>
      </c>
      <c r="D244" s="713" t="s">
        <v>1</v>
      </c>
      <c r="E244" s="1749">
        <v>524.32000000000005</v>
      </c>
      <c r="F244" s="1864">
        <f t="shared" si="12"/>
        <v>17722.02</v>
      </c>
      <c r="G244" s="328"/>
    </row>
    <row r="245" spans="1:7" s="44" customFormat="1" ht="12.75" customHeight="1">
      <c r="A245" s="1860">
        <v>5.6</v>
      </c>
      <c r="B245" s="522" t="s">
        <v>2013</v>
      </c>
      <c r="C245" s="1794">
        <v>3.11</v>
      </c>
      <c r="D245" s="1794" t="s">
        <v>11</v>
      </c>
      <c r="E245" s="1794">
        <v>277.06</v>
      </c>
      <c r="F245" s="1856">
        <f t="shared" si="12"/>
        <v>861.66</v>
      </c>
      <c r="G245" s="328"/>
    </row>
    <row r="246" spans="1:7" s="44" customFormat="1" ht="12.75" customHeight="1">
      <c r="A246" s="1860">
        <v>5.7</v>
      </c>
      <c r="B246" s="522" t="s">
        <v>2014</v>
      </c>
      <c r="C246" s="31">
        <v>15.18</v>
      </c>
      <c r="D246" s="713" t="s">
        <v>11</v>
      </c>
      <c r="E246" s="1749">
        <v>294.29000000000002</v>
      </c>
      <c r="F246" s="1864">
        <f t="shared" si="12"/>
        <v>4467.32</v>
      </c>
      <c r="G246" s="328"/>
    </row>
    <row r="247" spans="1:7" s="44" customFormat="1" ht="12.75" customHeight="1">
      <c r="A247" s="1860">
        <v>5.8</v>
      </c>
      <c r="B247" s="522" t="s">
        <v>2015</v>
      </c>
      <c r="C247" s="31">
        <v>4.95</v>
      </c>
      <c r="D247" s="713" t="s">
        <v>11</v>
      </c>
      <c r="E247" s="1749">
        <v>624.79999999999995</v>
      </c>
      <c r="F247" s="1864">
        <f t="shared" si="12"/>
        <v>3092.76</v>
      </c>
      <c r="G247" s="328"/>
    </row>
    <row r="248" spans="1:7" s="44" customFormat="1" ht="12.75" customHeight="1">
      <c r="A248" s="1860">
        <v>5.9</v>
      </c>
      <c r="B248" s="522" t="s">
        <v>2016</v>
      </c>
      <c r="C248" s="31">
        <v>20.13</v>
      </c>
      <c r="D248" s="713" t="s">
        <v>11</v>
      </c>
      <c r="E248" s="1749">
        <v>1875</v>
      </c>
      <c r="F248" s="1864">
        <f t="shared" si="12"/>
        <v>37743.75</v>
      </c>
      <c r="G248" s="328"/>
    </row>
    <row r="249" spans="1:7" s="44" customFormat="1" ht="12.75" customHeight="1">
      <c r="A249" s="1860">
        <v>5.0999999999999996</v>
      </c>
      <c r="B249" s="522" t="s">
        <v>2017</v>
      </c>
      <c r="C249" s="31">
        <v>98.88</v>
      </c>
      <c r="D249" s="713" t="s">
        <v>11</v>
      </c>
      <c r="E249" s="1749">
        <v>1224.8900000000001</v>
      </c>
      <c r="F249" s="1864">
        <f t="shared" si="12"/>
        <v>121117.12</v>
      </c>
      <c r="G249" s="328"/>
    </row>
    <row r="250" spans="1:7" s="44" customFormat="1" ht="12.75" customHeight="1">
      <c r="A250" s="1860">
        <v>5.1100000000000003</v>
      </c>
      <c r="B250" s="522" t="s">
        <v>2018</v>
      </c>
      <c r="C250" s="31">
        <v>77.150000000000006</v>
      </c>
      <c r="D250" s="713" t="s">
        <v>1</v>
      </c>
      <c r="E250" s="1749">
        <v>407.8</v>
      </c>
      <c r="F250" s="1864">
        <f t="shared" si="12"/>
        <v>31461.77</v>
      </c>
      <c r="G250" s="328"/>
    </row>
    <row r="251" spans="1:7" s="44" customFormat="1" ht="12.75" customHeight="1">
      <c r="A251" s="1860">
        <v>5.12</v>
      </c>
      <c r="B251" s="522" t="s">
        <v>1265</v>
      </c>
      <c r="C251" s="31">
        <v>695.3</v>
      </c>
      <c r="D251" s="713" t="s">
        <v>11</v>
      </c>
      <c r="E251" s="1749">
        <v>144</v>
      </c>
      <c r="F251" s="1864">
        <f t="shared" si="12"/>
        <v>100123.2</v>
      </c>
      <c r="G251" s="328"/>
    </row>
    <row r="252" spans="1:7" s="44" customFormat="1" ht="12.75" customHeight="1">
      <c r="A252" s="1860">
        <v>5.13</v>
      </c>
      <c r="B252" s="522" t="s">
        <v>261</v>
      </c>
      <c r="C252" s="31">
        <v>695.3</v>
      </c>
      <c r="D252" s="713" t="s">
        <v>11</v>
      </c>
      <c r="E252" s="1749">
        <v>144</v>
      </c>
      <c r="F252" s="1864">
        <f t="shared" si="12"/>
        <v>100123.2</v>
      </c>
      <c r="G252" s="328"/>
    </row>
    <row r="253" spans="1:7" s="44" customFormat="1" ht="12.75" customHeight="1">
      <c r="A253" s="1860">
        <v>5.14</v>
      </c>
      <c r="B253" s="522" t="s">
        <v>2190</v>
      </c>
      <c r="C253" s="31">
        <v>27.84</v>
      </c>
      <c r="D253" s="713" t="s">
        <v>11</v>
      </c>
      <c r="E253" s="1755">
        <v>777.08</v>
      </c>
      <c r="F253" s="1864">
        <f t="shared" si="12"/>
        <v>21633.91</v>
      </c>
      <c r="G253" s="328"/>
    </row>
    <row r="254" spans="1:7" s="44" customFormat="1" ht="12.75" customHeight="1">
      <c r="A254" s="1860"/>
      <c r="B254" s="522"/>
      <c r="C254" s="31"/>
      <c r="D254" s="713"/>
      <c r="E254" s="1794"/>
      <c r="F254" s="1864"/>
      <c r="G254" s="328"/>
    </row>
    <row r="255" spans="1:7" s="44" customFormat="1" ht="12.75" customHeight="1">
      <c r="A255" s="1861">
        <v>6</v>
      </c>
      <c r="B255" s="819" t="s">
        <v>793</v>
      </c>
      <c r="C255" s="31">
        <v>0</v>
      </c>
      <c r="D255" s="713"/>
      <c r="E255" s="1794"/>
      <c r="F255" s="1864">
        <f t="shared" si="12"/>
        <v>0</v>
      </c>
      <c r="G255" s="328"/>
    </row>
    <row r="256" spans="1:7" s="44" customFormat="1" ht="12.75" customHeight="1">
      <c r="A256" s="1860">
        <v>6.1</v>
      </c>
      <c r="B256" s="522" t="s">
        <v>2019</v>
      </c>
      <c r="C256" s="31">
        <v>3</v>
      </c>
      <c r="D256" s="713" t="s">
        <v>3</v>
      </c>
      <c r="E256" s="1749">
        <v>8200</v>
      </c>
      <c r="F256" s="1864">
        <f t="shared" si="12"/>
        <v>24600</v>
      </c>
      <c r="G256" s="328"/>
    </row>
    <row r="257" spans="1:7" s="44" customFormat="1" ht="12.75" customHeight="1">
      <c r="A257" s="1860">
        <v>6.2</v>
      </c>
      <c r="B257" s="522" t="s">
        <v>2020</v>
      </c>
      <c r="C257" s="31">
        <v>1</v>
      </c>
      <c r="D257" s="713" t="s">
        <v>3</v>
      </c>
      <c r="E257" s="1749">
        <v>28760.32</v>
      </c>
      <c r="F257" s="1864">
        <f t="shared" si="12"/>
        <v>28760.32</v>
      </c>
      <c r="G257" s="328"/>
    </row>
    <row r="258" spans="1:7" s="44" customFormat="1" ht="12.75" customHeight="1">
      <c r="A258" s="1860"/>
      <c r="B258" s="522"/>
      <c r="C258" s="31">
        <v>0</v>
      </c>
      <c r="D258" s="713"/>
      <c r="E258" s="1794"/>
      <c r="F258" s="1864"/>
      <c r="G258" s="328"/>
    </row>
    <row r="259" spans="1:7" s="44" customFormat="1" ht="12.75" customHeight="1">
      <c r="A259" s="1861">
        <v>7</v>
      </c>
      <c r="B259" s="819" t="s">
        <v>2021</v>
      </c>
      <c r="C259" s="31">
        <v>0</v>
      </c>
      <c r="D259" s="713"/>
      <c r="E259" s="1794"/>
      <c r="F259" s="1864">
        <f t="shared" si="12"/>
        <v>0</v>
      </c>
      <c r="G259" s="328"/>
    </row>
    <row r="260" spans="1:7" s="44" customFormat="1" ht="12.75" customHeight="1">
      <c r="A260" s="1860">
        <v>7.1</v>
      </c>
      <c r="B260" s="522" t="s">
        <v>2022</v>
      </c>
      <c r="C260" s="31">
        <v>258.45999999999998</v>
      </c>
      <c r="D260" s="713" t="s">
        <v>155</v>
      </c>
      <c r="E260" s="1749">
        <v>475</v>
      </c>
      <c r="F260" s="1864">
        <f t="shared" si="12"/>
        <v>122768.5</v>
      </c>
      <c r="G260" s="328"/>
    </row>
    <row r="261" spans="1:7" s="44" customFormat="1" ht="12.75" customHeight="1">
      <c r="A261" s="1860"/>
      <c r="B261" s="522"/>
      <c r="C261" s="31"/>
      <c r="D261" s="713"/>
      <c r="E261" s="1794"/>
      <c r="F261" s="1864">
        <f t="shared" si="12"/>
        <v>0</v>
      </c>
      <c r="G261" s="328"/>
    </row>
    <row r="262" spans="1:7" s="44" customFormat="1" ht="25.5">
      <c r="A262" s="1860">
        <v>8</v>
      </c>
      <c r="B262" s="1760" t="s">
        <v>2191</v>
      </c>
      <c r="C262" s="31">
        <v>1</v>
      </c>
      <c r="D262" s="713" t="s">
        <v>3</v>
      </c>
      <c r="E262" s="1755">
        <v>22500</v>
      </c>
      <c r="F262" s="1864">
        <f t="shared" si="12"/>
        <v>22500</v>
      </c>
      <c r="G262" s="328"/>
    </row>
    <row r="263" spans="1:7" s="44" customFormat="1" ht="25.5">
      <c r="A263" s="1868">
        <v>9</v>
      </c>
      <c r="B263" s="1839" t="s">
        <v>2192</v>
      </c>
      <c r="C263" s="1813">
        <v>1</v>
      </c>
      <c r="D263" s="1821" t="s">
        <v>3</v>
      </c>
      <c r="E263" s="1820">
        <v>18500</v>
      </c>
      <c r="F263" s="1879">
        <f t="shared" si="12"/>
        <v>18500</v>
      </c>
      <c r="G263" s="328"/>
    </row>
    <row r="264" spans="1:7" s="44" customFormat="1" ht="12.75" customHeight="1">
      <c r="A264" s="1860">
        <v>10</v>
      </c>
      <c r="B264" s="522" t="s">
        <v>2023</v>
      </c>
      <c r="C264" s="31">
        <v>2</v>
      </c>
      <c r="D264" s="713" t="s">
        <v>3</v>
      </c>
      <c r="E264" s="1755">
        <v>4500</v>
      </c>
      <c r="F264" s="1864">
        <f t="shared" si="12"/>
        <v>9000</v>
      </c>
      <c r="G264" s="328"/>
    </row>
    <row r="265" spans="1:7" s="44" customFormat="1" ht="76.5">
      <c r="A265" s="1860">
        <v>11</v>
      </c>
      <c r="B265" s="1760" t="s">
        <v>2024</v>
      </c>
      <c r="C265" s="31">
        <v>2</v>
      </c>
      <c r="D265" s="713" t="s">
        <v>3</v>
      </c>
      <c r="E265" s="1755">
        <v>271291.44</v>
      </c>
      <c r="F265" s="1864">
        <f t="shared" si="12"/>
        <v>542582.88</v>
      </c>
      <c r="G265" s="328"/>
    </row>
    <row r="266" spans="1:7" s="44" customFormat="1">
      <c r="A266" s="1860">
        <v>12</v>
      </c>
      <c r="B266" s="522" t="s">
        <v>2025</v>
      </c>
      <c r="C266" s="31">
        <v>1</v>
      </c>
      <c r="D266" s="713" t="s">
        <v>3</v>
      </c>
      <c r="E266" s="1762">
        <v>2200</v>
      </c>
      <c r="F266" s="1864">
        <f t="shared" si="12"/>
        <v>2200</v>
      </c>
      <c r="G266" s="328"/>
    </row>
    <row r="267" spans="1:7" s="44" customFormat="1" ht="78.75" customHeight="1">
      <c r="A267" s="1860">
        <v>13</v>
      </c>
      <c r="B267" s="1760" t="s">
        <v>1551</v>
      </c>
      <c r="C267" s="31">
        <v>2</v>
      </c>
      <c r="D267" s="713" t="s">
        <v>3</v>
      </c>
      <c r="E267" s="1755">
        <v>246136.2</v>
      </c>
      <c r="F267" s="1864">
        <f t="shared" si="12"/>
        <v>492272.4</v>
      </c>
      <c r="G267" s="328"/>
    </row>
    <row r="268" spans="1:7" s="44" customFormat="1" ht="25.5">
      <c r="A268" s="1860">
        <v>14</v>
      </c>
      <c r="B268" s="1760" t="s">
        <v>2026</v>
      </c>
      <c r="C268" s="31">
        <v>1</v>
      </c>
      <c r="D268" s="713" t="s">
        <v>3</v>
      </c>
      <c r="E268" s="1755">
        <v>30600</v>
      </c>
      <c r="F268" s="1864">
        <f t="shared" si="12"/>
        <v>30600</v>
      </c>
      <c r="G268" s="328"/>
    </row>
    <row r="269" spans="1:7" s="44" customFormat="1" ht="12.75" customHeight="1">
      <c r="A269" s="1860">
        <v>15</v>
      </c>
      <c r="B269" s="522" t="s">
        <v>2027</v>
      </c>
      <c r="C269" s="31">
        <v>1</v>
      </c>
      <c r="D269" s="713"/>
      <c r="E269" s="1755">
        <v>7500</v>
      </c>
      <c r="F269" s="1864">
        <f t="shared" si="12"/>
        <v>7500</v>
      </c>
      <c r="G269" s="328"/>
    </row>
    <row r="270" spans="1:7" s="44" customFormat="1" ht="12.75" customHeight="1">
      <c r="A270" s="1860"/>
      <c r="B270" s="522"/>
      <c r="C270" s="31"/>
      <c r="D270" s="713"/>
      <c r="E270" s="1794"/>
      <c r="F270" s="1864">
        <f t="shared" si="12"/>
        <v>0</v>
      </c>
      <c r="G270" s="328"/>
    </row>
    <row r="271" spans="1:7" s="44" customFormat="1" ht="12.75" customHeight="1">
      <c r="A271" s="1861">
        <v>16</v>
      </c>
      <c r="B271" s="819" t="s">
        <v>808</v>
      </c>
      <c r="C271" s="31"/>
      <c r="D271" s="713"/>
      <c r="E271" s="1794"/>
      <c r="F271" s="1864">
        <f t="shared" si="12"/>
        <v>0</v>
      </c>
      <c r="G271" s="328"/>
    </row>
    <row r="272" spans="1:7" s="44" customFormat="1" ht="12.75" customHeight="1">
      <c r="A272" s="1861"/>
      <c r="B272" s="819"/>
      <c r="C272" s="31"/>
      <c r="D272" s="713"/>
      <c r="E272" s="1794"/>
      <c r="F272" s="1864"/>
      <c r="G272" s="328"/>
    </row>
    <row r="273" spans="1:7" s="44" customFormat="1" ht="12.75" customHeight="1">
      <c r="A273" s="1861">
        <v>16.100000000000001</v>
      </c>
      <c r="B273" s="819" t="s">
        <v>2028</v>
      </c>
      <c r="C273" s="31"/>
      <c r="D273" s="713"/>
      <c r="E273" s="1794"/>
      <c r="F273" s="1864">
        <f t="shared" si="12"/>
        <v>0</v>
      </c>
      <c r="G273" s="328"/>
    </row>
    <row r="274" spans="1:7" s="44" customFormat="1" ht="12.75" customHeight="1">
      <c r="A274" s="1860" t="s">
        <v>729</v>
      </c>
      <c r="B274" s="522" t="s">
        <v>2029</v>
      </c>
      <c r="C274" s="31">
        <v>1</v>
      </c>
      <c r="D274" s="713" t="s">
        <v>3</v>
      </c>
      <c r="E274" s="1755">
        <v>8413.4</v>
      </c>
      <c r="F274" s="1864">
        <f>ROUND(E274*C274,2)</f>
        <v>8413.4</v>
      </c>
      <c r="G274" s="328"/>
    </row>
    <row r="275" spans="1:7" s="44" customFormat="1" ht="12.75" customHeight="1">
      <c r="A275" s="1860" t="s">
        <v>731</v>
      </c>
      <c r="B275" s="522" t="s">
        <v>2031</v>
      </c>
      <c r="C275" s="31">
        <v>36</v>
      </c>
      <c r="D275" s="713" t="s">
        <v>3</v>
      </c>
      <c r="E275" s="1755">
        <v>40.71</v>
      </c>
      <c r="F275" s="1864">
        <f>ROUND(E275*C275,2)</f>
        <v>1465.56</v>
      </c>
      <c r="G275" s="328"/>
    </row>
    <row r="276" spans="1:7" s="44" customFormat="1" ht="12.75" customHeight="1">
      <c r="A276" s="1860" t="s">
        <v>2193</v>
      </c>
      <c r="B276" s="522" t="s">
        <v>2033</v>
      </c>
      <c r="C276" s="31">
        <v>6</v>
      </c>
      <c r="D276" s="713" t="s">
        <v>3</v>
      </c>
      <c r="E276" s="1755">
        <v>4003.15</v>
      </c>
      <c r="F276" s="1864">
        <f>ROUND(E276*C276,2)</f>
        <v>24018.9</v>
      </c>
      <c r="G276" s="328"/>
    </row>
    <row r="277" spans="1:7" s="44" customFormat="1" ht="12.75" customHeight="1">
      <c r="A277" s="1860" t="s">
        <v>2194</v>
      </c>
      <c r="B277" s="522" t="s">
        <v>2034</v>
      </c>
      <c r="C277" s="31">
        <v>1</v>
      </c>
      <c r="D277" s="713" t="s">
        <v>3</v>
      </c>
      <c r="E277" s="1755">
        <v>6513.6</v>
      </c>
      <c r="F277" s="1864">
        <f t="shared" si="12"/>
        <v>6513.6</v>
      </c>
      <c r="G277" s="328"/>
    </row>
    <row r="278" spans="1:7" s="44" customFormat="1" ht="12.75" customHeight="1">
      <c r="A278" s="1860" t="s">
        <v>2195</v>
      </c>
      <c r="B278" s="522" t="s">
        <v>2035</v>
      </c>
      <c r="C278" s="31">
        <v>6</v>
      </c>
      <c r="D278" s="713" t="s">
        <v>3</v>
      </c>
      <c r="E278" s="1755">
        <v>515.66</v>
      </c>
      <c r="F278" s="1864">
        <f t="shared" si="12"/>
        <v>3093.96</v>
      </c>
      <c r="G278" s="328"/>
    </row>
    <row r="279" spans="1:7" s="44" customFormat="1" ht="12.75" customHeight="1">
      <c r="A279" s="1860" t="s">
        <v>2196</v>
      </c>
      <c r="B279" s="522" t="s">
        <v>2036</v>
      </c>
      <c r="C279" s="31">
        <v>3</v>
      </c>
      <c r="D279" s="713" t="s">
        <v>3</v>
      </c>
      <c r="E279" s="1755">
        <v>2239.0500000000002</v>
      </c>
      <c r="F279" s="1864">
        <f t="shared" si="12"/>
        <v>6717.15</v>
      </c>
      <c r="G279" s="328"/>
    </row>
    <row r="280" spans="1:7" s="44" customFormat="1" ht="12.75" customHeight="1">
      <c r="A280" s="1860" t="s">
        <v>2197</v>
      </c>
      <c r="B280" s="522" t="s">
        <v>2037</v>
      </c>
      <c r="C280" s="31">
        <v>8</v>
      </c>
      <c r="D280" s="713" t="s">
        <v>3</v>
      </c>
      <c r="E280" s="1755">
        <v>1628.4</v>
      </c>
      <c r="F280" s="1864">
        <f t="shared" si="12"/>
        <v>13027.2</v>
      </c>
      <c r="G280" s="328"/>
    </row>
    <row r="281" spans="1:7" s="44" customFormat="1" ht="12.75" customHeight="1">
      <c r="A281" s="1860" t="s">
        <v>2198</v>
      </c>
      <c r="B281" s="522" t="s">
        <v>2038</v>
      </c>
      <c r="C281" s="31">
        <v>7</v>
      </c>
      <c r="D281" s="713" t="s">
        <v>3</v>
      </c>
      <c r="E281" s="1755">
        <v>1289.1500000000001</v>
      </c>
      <c r="F281" s="1864">
        <f t="shared" si="12"/>
        <v>9024.0499999999993</v>
      </c>
      <c r="G281" s="328"/>
    </row>
    <row r="282" spans="1:7" s="44" customFormat="1" ht="12.75" customHeight="1">
      <c r="A282" s="1860" t="s">
        <v>2199</v>
      </c>
      <c r="B282" s="522" t="s">
        <v>2039</v>
      </c>
      <c r="C282" s="31">
        <v>5</v>
      </c>
      <c r="D282" s="713" t="s">
        <v>3</v>
      </c>
      <c r="E282" s="1755">
        <v>53.1</v>
      </c>
      <c r="F282" s="1864">
        <f t="shared" si="12"/>
        <v>265.5</v>
      </c>
      <c r="G282" s="328"/>
    </row>
    <row r="283" spans="1:7" s="44" customFormat="1" ht="12.75" customHeight="1">
      <c r="A283" s="1860" t="s">
        <v>2200</v>
      </c>
      <c r="B283" s="522" t="s">
        <v>2040</v>
      </c>
      <c r="C283" s="31">
        <v>40</v>
      </c>
      <c r="D283" s="713" t="s">
        <v>800</v>
      </c>
      <c r="E283" s="1755">
        <v>47.5</v>
      </c>
      <c r="F283" s="1864">
        <f t="shared" si="12"/>
        <v>1900</v>
      </c>
      <c r="G283" s="328"/>
    </row>
    <row r="284" spans="1:7" s="44" customFormat="1" ht="12.75" customHeight="1">
      <c r="A284" s="1860" t="s">
        <v>2201</v>
      </c>
      <c r="B284" s="522" t="s">
        <v>2041</v>
      </c>
      <c r="C284" s="31">
        <v>16</v>
      </c>
      <c r="D284" s="713" t="s">
        <v>3</v>
      </c>
      <c r="E284" s="1755">
        <v>882.85</v>
      </c>
      <c r="F284" s="1864">
        <f t="shared" si="12"/>
        <v>14125.6</v>
      </c>
      <c r="G284" s="328"/>
    </row>
    <row r="285" spans="1:7" s="44" customFormat="1" ht="12.75" customHeight="1">
      <c r="A285" s="1860" t="s">
        <v>2202</v>
      </c>
      <c r="B285" s="522" t="s">
        <v>2042</v>
      </c>
      <c r="C285" s="1794">
        <v>1</v>
      </c>
      <c r="D285" s="1794" t="s">
        <v>3</v>
      </c>
      <c r="E285" s="1794">
        <v>882.05</v>
      </c>
      <c r="F285" s="1856">
        <f t="shared" ref="F285:F357" si="15">ROUND(E285*C285,2)</f>
        <v>882.05</v>
      </c>
      <c r="G285" s="328"/>
    </row>
    <row r="286" spans="1:7" s="44" customFormat="1" ht="12.75" customHeight="1">
      <c r="A286" s="1860" t="s">
        <v>2203</v>
      </c>
      <c r="B286" s="522" t="s">
        <v>2043</v>
      </c>
      <c r="C286" s="31">
        <v>8</v>
      </c>
      <c r="D286" s="713" t="s">
        <v>3</v>
      </c>
      <c r="E286" s="1755">
        <v>67.849999999999994</v>
      </c>
      <c r="F286" s="1864">
        <f t="shared" si="15"/>
        <v>542.79999999999995</v>
      </c>
      <c r="G286" s="328"/>
    </row>
    <row r="287" spans="1:7" s="44" customFormat="1" ht="12.75" customHeight="1">
      <c r="A287" s="1860" t="s">
        <v>2204</v>
      </c>
      <c r="B287" s="522" t="s">
        <v>2044</v>
      </c>
      <c r="C287" s="31">
        <v>2</v>
      </c>
      <c r="D287" s="713" t="s">
        <v>3</v>
      </c>
      <c r="E287" s="1755">
        <v>2646.15</v>
      </c>
      <c r="F287" s="1864">
        <f t="shared" si="15"/>
        <v>5292.3</v>
      </c>
      <c r="G287" s="328"/>
    </row>
    <row r="288" spans="1:7" s="44" customFormat="1" ht="12.75" customHeight="1">
      <c r="A288" s="1860" t="s">
        <v>2205</v>
      </c>
      <c r="B288" s="522" t="s">
        <v>2045</v>
      </c>
      <c r="C288" s="31">
        <v>5</v>
      </c>
      <c r="D288" s="713" t="s">
        <v>800</v>
      </c>
      <c r="E288" s="1755">
        <v>169.63</v>
      </c>
      <c r="F288" s="1864">
        <f t="shared" si="15"/>
        <v>848.15</v>
      </c>
      <c r="G288" s="328"/>
    </row>
    <row r="289" spans="1:7" s="44" customFormat="1" ht="12.75" customHeight="1">
      <c r="A289" s="1860" t="s">
        <v>2206</v>
      </c>
      <c r="B289" s="522" t="s">
        <v>2046</v>
      </c>
      <c r="C289" s="31">
        <v>4</v>
      </c>
      <c r="D289" s="713" t="s">
        <v>3</v>
      </c>
      <c r="E289" s="1755">
        <v>1085.5999999999999</v>
      </c>
      <c r="F289" s="1864">
        <f t="shared" si="15"/>
        <v>4342.3999999999996</v>
      </c>
      <c r="G289" s="328"/>
    </row>
    <row r="290" spans="1:7" s="44" customFormat="1" ht="12.75" customHeight="1">
      <c r="A290" s="1860" t="s">
        <v>2207</v>
      </c>
      <c r="B290" s="522" t="s">
        <v>2047</v>
      </c>
      <c r="C290" s="31">
        <v>1</v>
      </c>
      <c r="D290" s="713" t="s">
        <v>3</v>
      </c>
      <c r="E290" s="1755">
        <v>43905.74</v>
      </c>
      <c r="F290" s="1864">
        <f t="shared" si="15"/>
        <v>43905.74</v>
      </c>
      <c r="G290" s="328"/>
    </row>
    <row r="291" spans="1:7" s="44" customFormat="1" ht="12.75" customHeight="1">
      <c r="A291" s="1860" t="s">
        <v>2208</v>
      </c>
      <c r="B291" s="522" t="s">
        <v>2048</v>
      </c>
      <c r="C291" s="31">
        <v>1</v>
      </c>
      <c r="D291" s="713" t="s">
        <v>3</v>
      </c>
      <c r="E291" s="1755">
        <v>83307.990000000005</v>
      </c>
      <c r="F291" s="1864">
        <f t="shared" si="15"/>
        <v>83307.990000000005</v>
      </c>
      <c r="G291" s="328"/>
    </row>
    <row r="292" spans="1:7" s="44" customFormat="1" ht="12.75" customHeight="1">
      <c r="A292" s="1860"/>
      <c r="B292" s="522"/>
      <c r="C292" s="31"/>
      <c r="D292" s="713"/>
      <c r="E292" s="1755"/>
      <c r="F292" s="1864">
        <f t="shared" si="15"/>
        <v>0</v>
      </c>
      <c r="G292" s="328"/>
    </row>
    <row r="293" spans="1:7" s="44" customFormat="1" ht="12.75" customHeight="1">
      <c r="A293" s="1861">
        <v>17</v>
      </c>
      <c r="B293" s="819" t="s">
        <v>810</v>
      </c>
      <c r="C293" s="31"/>
      <c r="D293" s="713"/>
      <c r="E293" s="1794"/>
      <c r="F293" s="1864">
        <f t="shared" si="15"/>
        <v>0</v>
      </c>
      <c r="G293" s="328"/>
    </row>
    <row r="294" spans="1:7" s="44" customFormat="1" ht="12.75" customHeight="1">
      <c r="A294" s="1860">
        <v>17.100000000000001</v>
      </c>
      <c r="B294" s="522" t="s">
        <v>2049</v>
      </c>
      <c r="C294" s="31">
        <v>1</v>
      </c>
      <c r="D294" s="713" t="s">
        <v>3</v>
      </c>
      <c r="E294" s="1755">
        <v>3341.07</v>
      </c>
      <c r="F294" s="1864">
        <f t="shared" si="15"/>
        <v>3341.07</v>
      </c>
      <c r="G294" s="328"/>
    </row>
    <row r="295" spans="1:7" s="44" customFormat="1" ht="12.75" customHeight="1">
      <c r="A295" s="1860">
        <v>17.2</v>
      </c>
      <c r="B295" s="522" t="s">
        <v>2050</v>
      </c>
      <c r="C295" s="31">
        <v>1</v>
      </c>
      <c r="D295" s="713" t="s">
        <v>3</v>
      </c>
      <c r="E295" s="1755">
        <v>4773</v>
      </c>
      <c r="F295" s="1864">
        <f t="shared" si="15"/>
        <v>4773</v>
      </c>
      <c r="G295" s="328"/>
    </row>
    <row r="296" spans="1:7" s="44" customFormat="1" ht="12.75" customHeight="1">
      <c r="A296" s="1860">
        <v>17.3</v>
      </c>
      <c r="B296" s="522" t="s">
        <v>2051</v>
      </c>
      <c r="C296" s="31">
        <v>1</v>
      </c>
      <c r="D296" s="713" t="s">
        <v>3</v>
      </c>
      <c r="E296" s="1755">
        <v>2734.27</v>
      </c>
      <c r="F296" s="1864">
        <f t="shared" si="15"/>
        <v>2734.27</v>
      </c>
      <c r="G296" s="328"/>
    </row>
    <row r="297" spans="1:7" s="44" customFormat="1" ht="12.75" customHeight="1">
      <c r="A297" s="1860">
        <v>17.399999999999999</v>
      </c>
      <c r="B297" s="522" t="s">
        <v>2052</v>
      </c>
      <c r="C297" s="31">
        <v>1</v>
      </c>
      <c r="D297" s="713" t="s">
        <v>3</v>
      </c>
      <c r="E297" s="1755">
        <v>680.57</v>
      </c>
      <c r="F297" s="1864">
        <f t="shared" si="15"/>
        <v>680.57</v>
      </c>
      <c r="G297" s="328"/>
    </row>
    <row r="298" spans="1:7" s="44" customFormat="1" ht="12.75" customHeight="1">
      <c r="A298" s="1868">
        <v>17.5</v>
      </c>
      <c r="B298" s="1795" t="s">
        <v>2053</v>
      </c>
      <c r="C298" s="1813">
        <v>1</v>
      </c>
      <c r="D298" s="1821" t="s">
        <v>3</v>
      </c>
      <c r="E298" s="1820">
        <v>250</v>
      </c>
      <c r="F298" s="1879">
        <f t="shared" si="15"/>
        <v>250</v>
      </c>
      <c r="G298" s="328"/>
    </row>
    <row r="299" spans="1:7" s="44" customFormat="1" ht="12.75" customHeight="1">
      <c r="A299" s="1860">
        <v>17.600000000000001</v>
      </c>
      <c r="B299" s="522" t="s">
        <v>2054</v>
      </c>
      <c r="C299" s="31">
        <v>1</v>
      </c>
      <c r="D299" s="713" t="s">
        <v>3</v>
      </c>
      <c r="E299" s="1755">
        <v>7500</v>
      </c>
      <c r="F299" s="1864">
        <f t="shared" si="15"/>
        <v>7500</v>
      </c>
      <c r="G299" s="328"/>
    </row>
    <row r="300" spans="1:7" s="44" customFormat="1" ht="25.5">
      <c r="A300" s="1860">
        <v>17.7</v>
      </c>
      <c r="B300" s="1760" t="s">
        <v>2055</v>
      </c>
      <c r="C300" s="31">
        <v>1</v>
      </c>
      <c r="D300" s="713" t="s">
        <v>3</v>
      </c>
      <c r="E300" s="1755">
        <v>6500</v>
      </c>
      <c r="F300" s="1864">
        <f t="shared" si="15"/>
        <v>6500</v>
      </c>
      <c r="G300" s="328"/>
    </row>
    <row r="301" spans="1:7" s="44" customFormat="1" ht="12.75" customHeight="1">
      <c r="A301" s="1860">
        <v>17.8</v>
      </c>
      <c r="B301" s="522" t="s">
        <v>2056</v>
      </c>
      <c r="C301" s="31">
        <v>1</v>
      </c>
      <c r="D301" s="713" t="s">
        <v>3</v>
      </c>
      <c r="E301" s="1755">
        <v>4500</v>
      </c>
      <c r="F301" s="1864">
        <f t="shared" si="15"/>
        <v>4500</v>
      </c>
      <c r="G301" s="328"/>
    </row>
    <row r="302" spans="1:7" s="44" customFormat="1" ht="12.75" customHeight="1">
      <c r="A302" s="1860">
        <v>17.899999999999999</v>
      </c>
      <c r="B302" s="522" t="s">
        <v>815</v>
      </c>
      <c r="C302" s="31">
        <v>4</v>
      </c>
      <c r="D302" s="713" t="s">
        <v>3</v>
      </c>
      <c r="E302" s="1755">
        <v>5100</v>
      </c>
      <c r="F302" s="1864">
        <f t="shared" si="15"/>
        <v>20400</v>
      </c>
      <c r="G302" s="328"/>
    </row>
    <row r="303" spans="1:7" s="44" customFormat="1" ht="12.75" customHeight="1">
      <c r="A303" s="1860"/>
      <c r="B303" s="522"/>
      <c r="C303" s="31"/>
      <c r="D303" s="713"/>
      <c r="E303" s="1794"/>
      <c r="F303" s="1864">
        <f t="shared" si="15"/>
        <v>0</v>
      </c>
      <c r="G303" s="328"/>
    </row>
    <row r="304" spans="1:7" s="44" customFormat="1" ht="12.75" customHeight="1">
      <c r="A304" s="1861">
        <v>18</v>
      </c>
      <c r="B304" s="819" t="s">
        <v>819</v>
      </c>
      <c r="C304" s="31"/>
      <c r="D304" s="713"/>
      <c r="E304" s="1794"/>
      <c r="F304" s="1864">
        <f t="shared" si="15"/>
        <v>0</v>
      </c>
      <c r="G304" s="328"/>
    </row>
    <row r="305" spans="1:7" s="44" customFormat="1" ht="12.75" customHeight="1">
      <c r="A305" s="1860">
        <v>18.100000000000001</v>
      </c>
      <c r="B305" s="522" t="s">
        <v>2057</v>
      </c>
      <c r="C305" s="31">
        <v>12</v>
      </c>
      <c r="D305" s="713" t="s">
        <v>3</v>
      </c>
      <c r="E305" s="1755">
        <v>1400</v>
      </c>
      <c r="F305" s="1864">
        <f t="shared" si="15"/>
        <v>16800</v>
      </c>
      <c r="G305" s="328"/>
    </row>
    <row r="306" spans="1:7" s="44" customFormat="1" ht="12.75" customHeight="1">
      <c r="A306" s="1860">
        <v>18.2</v>
      </c>
      <c r="B306" s="522" t="s">
        <v>2058</v>
      </c>
      <c r="C306" s="31">
        <v>4</v>
      </c>
      <c r="D306" s="713" t="s">
        <v>3</v>
      </c>
      <c r="E306" s="1755">
        <v>3250</v>
      </c>
      <c r="F306" s="1864">
        <f t="shared" si="15"/>
        <v>13000</v>
      </c>
      <c r="G306" s="328"/>
    </row>
    <row r="307" spans="1:7" s="44" customFormat="1" ht="12.75" customHeight="1">
      <c r="A307" s="1860">
        <v>18.3</v>
      </c>
      <c r="B307" s="522" t="s">
        <v>821</v>
      </c>
      <c r="C307" s="31">
        <v>11</v>
      </c>
      <c r="D307" s="713" t="s">
        <v>3</v>
      </c>
      <c r="E307" s="1755">
        <v>1250</v>
      </c>
      <c r="F307" s="1864">
        <f t="shared" si="15"/>
        <v>13750</v>
      </c>
      <c r="G307" s="328"/>
    </row>
    <row r="308" spans="1:7" s="44" customFormat="1" ht="12.75" customHeight="1">
      <c r="A308" s="1860">
        <v>18.399999999999999</v>
      </c>
      <c r="B308" s="522" t="s">
        <v>2059</v>
      </c>
      <c r="C308" s="31">
        <v>2</v>
      </c>
      <c r="D308" s="713" t="s">
        <v>3</v>
      </c>
      <c r="E308" s="1755">
        <v>1650</v>
      </c>
      <c r="F308" s="1864">
        <f t="shared" si="15"/>
        <v>3300</v>
      </c>
      <c r="G308" s="328"/>
    </row>
    <row r="309" spans="1:7" s="44" customFormat="1" ht="12.75" customHeight="1">
      <c r="A309" s="1860">
        <v>18.5</v>
      </c>
      <c r="B309" s="522" t="s">
        <v>2060</v>
      </c>
      <c r="C309" s="31">
        <v>7</v>
      </c>
      <c r="D309" s="713" t="s">
        <v>3</v>
      </c>
      <c r="E309" s="1755">
        <v>1023.42</v>
      </c>
      <c r="F309" s="1864">
        <f t="shared" si="15"/>
        <v>7163.94</v>
      </c>
      <c r="G309" s="328"/>
    </row>
    <row r="310" spans="1:7" s="44" customFormat="1" ht="12.75" customHeight="1">
      <c r="A310" s="1860">
        <v>18.600000000000001</v>
      </c>
      <c r="B310" s="522" t="s">
        <v>2061</v>
      </c>
      <c r="C310" s="31">
        <v>2</v>
      </c>
      <c r="D310" s="713" t="s">
        <v>3</v>
      </c>
      <c r="E310" s="1755">
        <v>6500</v>
      </c>
      <c r="F310" s="1864">
        <f t="shared" si="15"/>
        <v>13000</v>
      </c>
      <c r="G310" s="328"/>
    </row>
    <row r="311" spans="1:7" s="44" customFormat="1" ht="12.75" customHeight="1">
      <c r="A311" s="1860"/>
      <c r="B311" s="522"/>
      <c r="C311" s="31"/>
      <c r="D311" s="713"/>
      <c r="E311" s="1794"/>
      <c r="F311" s="1864">
        <f t="shared" si="15"/>
        <v>0</v>
      </c>
      <c r="G311" s="328"/>
    </row>
    <row r="312" spans="1:7" s="44" customFormat="1" ht="12.75" customHeight="1">
      <c r="A312" s="1861">
        <v>19</v>
      </c>
      <c r="B312" s="819" t="s">
        <v>824</v>
      </c>
      <c r="C312" s="31"/>
      <c r="D312" s="713"/>
      <c r="E312" s="1794"/>
      <c r="F312" s="1864">
        <f t="shared" si="15"/>
        <v>0</v>
      </c>
      <c r="G312" s="328"/>
    </row>
    <row r="313" spans="1:7" s="44" customFormat="1" ht="12.75" customHeight="1">
      <c r="A313" s="1860">
        <v>19.100000000000001</v>
      </c>
      <c r="B313" s="522" t="s">
        <v>2062</v>
      </c>
      <c r="C313" s="31">
        <v>1.5</v>
      </c>
      <c r="D313" s="713" t="s">
        <v>1</v>
      </c>
      <c r="E313" s="1755">
        <v>4690.3999999999996</v>
      </c>
      <c r="F313" s="1864">
        <f t="shared" si="15"/>
        <v>7035.6</v>
      </c>
      <c r="G313" s="328"/>
    </row>
    <row r="314" spans="1:7" s="44" customFormat="1" ht="12.75" customHeight="1">
      <c r="A314" s="1860">
        <v>19.2</v>
      </c>
      <c r="B314" s="522" t="s">
        <v>2063</v>
      </c>
      <c r="C314" s="31">
        <v>2</v>
      </c>
      <c r="D314" s="713" t="s">
        <v>1</v>
      </c>
      <c r="E314" s="1755">
        <v>4690.3999999999996</v>
      </c>
      <c r="F314" s="1864">
        <f t="shared" si="15"/>
        <v>9380.7999999999993</v>
      </c>
      <c r="G314" s="328"/>
    </row>
    <row r="315" spans="1:7" s="44" customFormat="1" ht="12.75" customHeight="1">
      <c r="A315" s="1860">
        <v>19.3</v>
      </c>
      <c r="B315" s="522" t="s">
        <v>2064</v>
      </c>
      <c r="C315" s="31">
        <v>1.2</v>
      </c>
      <c r="D315" s="713" t="s">
        <v>11</v>
      </c>
      <c r="E315" s="1755">
        <v>4147</v>
      </c>
      <c r="F315" s="1864">
        <f t="shared" si="15"/>
        <v>4976.3999999999996</v>
      </c>
      <c r="G315" s="328"/>
    </row>
    <row r="316" spans="1:7" s="44" customFormat="1" ht="12.75" customHeight="1">
      <c r="A316" s="1860"/>
      <c r="B316" s="522"/>
      <c r="C316" s="31"/>
      <c r="D316" s="713"/>
      <c r="E316" s="1794"/>
      <c r="F316" s="1864">
        <f t="shared" si="15"/>
        <v>0</v>
      </c>
      <c r="G316" s="328"/>
    </row>
    <row r="317" spans="1:7" s="44" customFormat="1" ht="12.75" customHeight="1">
      <c r="A317" s="1861">
        <v>20</v>
      </c>
      <c r="B317" s="819" t="s">
        <v>2065</v>
      </c>
      <c r="C317" s="31"/>
      <c r="D317" s="713"/>
      <c r="E317" s="1794"/>
      <c r="F317" s="1864">
        <f t="shared" si="15"/>
        <v>0</v>
      </c>
      <c r="G317" s="328"/>
    </row>
    <row r="318" spans="1:7" s="44" customFormat="1" ht="12.75" customHeight="1">
      <c r="A318" s="1860">
        <v>20.100000000000001</v>
      </c>
      <c r="B318" s="522" t="s">
        <v>2066</v>
      </c>
      <c r="C318" s="31">
        <v>1</v>
      </c>
      <c r="D318" s="713" t="s">
        <v>3</v>
      </c>
      <c r="E318" s="1755">
        <v>106430.1</v>
      </c>
      <c r="F318" s="1864">
        <f t="shared" si="15"/>
        <v>106430.1</v>
      </c>
      <c r="G318" s="328"/>
    </row>
    <row r="319" spans="1:7" s="44" customFormat="1" ht="12.75" customHeight="1">
      <c r="A319" s="1860">
        <v>20.2</v>
      </c>
      <c r="B319" s="522" t="s">
        <v>2067</v>
      </c>
      <c r="C319" s="31">
        <v>1</v>
      </c>
      <c r="D319" s="713" t="s">
        <v>3</v>
      </c>
      <c r="E319" s="1755">
        <v>328942.11</v>
      </c>
      <c r="F319" s="1864">
        <f t="shared" si="15"/>
        <v>328942.11</v>
      </c>
      <c r="G319" s="328"/>
    </row>
    <row r="320" spans="1:7" s="44" customFormat="1" ht="12.75" customHeight="1">
      <c r="A320" s="1860">
        <v>20.3</v>
      </c>
      <c r="B320" s="522" t="s">
        <v>2068</v>
      </c>
      <c r="C320" s="31">
        <v>1</v>
      </c>
      <c r="D320" s="713" t="s">
        <v>3</v>
      </c>
      <c r="E320" s="1755">
        <v>11446</v>
      </c>
      <c r="F320" s="1864">
        <f t="shared" si="15"/>
        <v>11446</v>
      </c>
      <c r="G320" s="328"/>
    </row>
    <row r="321" spans="1:7" s="44" customFormat="1" ht="12.75" customHeight="1">
      <c r="A321" s="1860">
        <v>20.399999999999999</v>
      </c>
      <c r="B321" s="522" t="s">
        <v>830</v>
      </c>
      <c r="C321" s="31">
        <v>2</v>
      </c>
      <c r="D321" s="713" t="s">
        <v>3</v>
      </c>
      <c r="E321" s="1755">
        <v>719</v>
      </c>
      <c r="F321" s="1864">
        <f t="shared" si="15"/>
        <v>1438</v>
      </c>
      <c r="G321" s="328"/>
    </row>
    <row r="322" spans="1:7" s="44" customFormat="1" ht="12.75" customHeight="1">
      <c r="A322" s="1860">
        <v>20.5</v>
      </c>
      <c r="B322" s="522" t="s">
        <v>2069</v>
      </c>
      <c r="C322" s="31">
        <v>2</v>
      </c>
      <c r="D322" s="713" t="s">
        <v>3</v>
      </c>
      <c r="E322" s="1755">
        <v>377.6</v>
      </c>
      <c r="F322" s="1864">
        <f t="shared" si="15"/>
        <v>755.2</v>
      </c>
      <c r="G322" s="328"/>
    </row>
    <row r="323" spans="1:7" s="44" customFormat="1" ht="12.75" customHeight="1">
      <c r="A323" s="1860">
        <v>20.6</v>
      </c>
      <c r="B323" s="522" t="s">
        <v>2070</v>
      </c>
      <c r="C323" s="31">
        <v>12</v>
      </c>
      <c r="D323" s="713" t="s">
        <v>3</v>
      </c>
      <c r="E323" s="1755">
        <v>5699.4</v>
      </c>
      <c r="F323" s="1864">
        <f t="shared" si="15"/>
        <v>68392.800000000003</v>
      </c>
      <c r="G323" s="328"/>
    </row>
    <row r="324" spans="1:7" s="44" customFormat="1" ht="12.75" customHeight="1">
      <c r="A324" s="1860">
        <v>20.7</v>
      </c>
      <c r="B324" s="522" t="s">
        <v>2071</v>
      </c>
      <c r="C324" s="31">
        <v>2</v>
      </c>
      <c r="D324" s="713" t="s">
        <v>3</v>
      </c>
      <c r="E324" s="1755">
        <v>873.2</v>
      </c>
      <c r="F324" s="1864">
        <f t="shared" si="15"/>
        <v>1746.4</v>
      </c>
      <c r="G324" s="328"/>
    </row>
    <row r="325" spans="1:7" s="44" customFormat="1" ht="12.75" customHeight="1">
      <c r="A325" s="1860">
        <v>20.8</v>
      </c>
      <c r="B325" s="522" t="s">
        <v>2072</v>
      </c>
      <c r="C325" s="31">
        <v>1</v>
      </c>
      <c r="D325" s="713" t="s">
        <v>3</v>
      </c>
      <c r="E325" s="1755">
        <v>3469.2</v>
      </c>
      <c r="F325" s="1864">
        <f t="shared" si="15"/>
        <v>3469.2</v>
      </c>
      <c r="G325" s="328"/>
    </row>
    <row r="326" spans="1:7" ht="51">
      <c r="A326" s="1865">
        <v>20.9</v>
      </c>
      <c r="B326" s="1760" t="s">
        <v>2129</v>
      </c>
      <c r="C326" s="31">
        <v>1</v>
      </c>
      <c r="D326" s="713" t="s">
        <v>3</v>
      </c>
      <c r="E326" s="1755">
        <v>65000</v>
      </c>
      <c r="F326" s="1864">
        <f>ROUND(C326*E326,2)</f>
        <v>65000</v>
      </c>
      <c r="G326" s="44"/>
    </row>
    <row r="327" spans="1:7">
      <c r="A327" s="1891">
        <v>20.100000000000001</v>
      </c>
      <c r="B327" s="522" t="s">
        <v>2130</v>
      </c>
      <c r="C327" s="31">
        <v>1</v>
      </c>
      <c r="D327" s="713" t="s">
        <v>3</v>
      </c>
      <c r="E327" s="1755">
        <v>40997.160000000003</v>
      </c>
      <c r="F327" s="1864">
        <f>ROUND(C327*E327,2)</f>
        <v>40997.160000000003</v>
      </c>
      <c r="G327" s="44"/>
    </row>
    <row r="328" spans="1:7">
      <c r="A328" s="1860"/>
      <c r="B328" s="522"/>
      <c r="C328" s="1794"/>
      <c r="D328" s="1794"/>
      <c r="E328" s="1794"/>
      <c r="F328" s="1856"/>
      <c r="G328" s="44"/>
    </row>
    <row r="329" spans="1:7" ht="29.25" customHeight="1">
      <c r="A329" s="1861">
        <v>21</v>
      </c>
      <c r="B329" s="744" t="s">
        <v>2147</v>
      </c>
      <c r="C329" s="31"/>
      <c r="D329" s="713"/>
      <c r="E329" s="1755"/>
      <c r="F329" s="1864">
        <f t="shared" ref="F329:F337" si="16">ROUND(C329*E329,2)</f>
        <v>0</v>
      </c>
      <c r="G329" s="44"/>
    </row>
    <row r="330" spans="1:7">
      <c r="A330" s="1865">
        <v>21.1</v>
      </c>
      <c r="B330" s="522" t="s">
        <v>2148</v>
      </c>
      <c r="C330" s="31">
        <v>2</v>
      </c>
      <c r="D330" s="713" t="s">
        <v>3</v>
      </c>
      <c r="E330" s="1755">
        <v>6500</v>
      </c>
      <c r="F330" s="1864">
        <f t="shared" si="16"/>
        <v>13000</v>
      </c>
      <c r="G330" s="44"/>
    </row>
    <row r="331" spans="1:7" ht="38.25">
      <c r="A331" s="1865">
        <v>21.2</v>
      </c>
      <c r="B331" s="1760" t="s">
        <v>2149</v>
      </c>
      <c r="C331" s="31">
        <v>1</v>
      </c>
      <c r="D331" s="713" t="s">
        <v>3</v>
      </c>
      <c r="E331" s="1755">
        <v>1500</v>
      </c>
      <c r="F331" s="1864">
        <f t="shared" si="16"/>
        <v>1500</v>
      </c>
      <c r="G331" s="44"/>
    </row>
    <row r="332" spans="1:7" ht="25.5">
      <c r="A332" s="1865">
        <v>21.3</v>
      </c>
      <c r="B332" s="1760" t="s">
        <v>2150</v>
      </c>
      <c r="C332" s="31">
        <v>1</v>
      </c>
      <c r="D332" s="713" t="s">
        <v>3</v>
      </c>
      <c r="E332" s="1755">
        <v>4500</v>
      </c>
      <c r="F332" s="1864">
        <f t="shared" si="16"/>
        <v>4500</v>
      </c>
      <c r="G332" s="44"/>
    </row>
    <row r="333" spans="1:7">
      <c r="A333" s="1865">
        <v>21.4</v>
      </c>
      <c r="B333" s="522" t="s">
        <v>2151</v>
      </c>
      <c r="C333" s="31">
        <v>2</v>
      </c>
      <c r="D333" s="713" t="s">
        <v>3</v>
      </c>
      <c r="E333" s="1755">
        <v>25000</v>
      </c>
      <c r="F333" s="1864">
        <f t="shared" si="16"/>
        <v>50000</v>
      </c>
      <c r="G333" s="44"/>
    </row>
    <row r="334" spans="1:7" ht="25.5">
      <c r="A334" s="1865">
        <v>21.5</v>
      </c>
      <c r="B334" s="1760" t="s">
        <v>2152</v>
      </c>
      <c r="C334" s="31">
        <v>2</v>
      </c>
      <c r="D334" s="713" t="s">
        <v>3</v>
      </c>
      <c r="E334" s="1755">
        <v>25000</v>
      </c>
      <c r="F334" s="1864">
        <f t="shared" si="16"/>
        <v>50000</v>
      </c>
      <c r="G334" s="44"/>
    </row>
    <row r="335" spans="1:7">
      <c r="A335" s="1888">
        <v>21.6</v>
      </c>
      <c r="B335" s="1795" t="s">
        <v>2153</v>
      </c>
      <c r="C335" s="1813">
        <v>0.25</v>
      </c>
      <c r="D335" s="1821" t="s">
        <v>3</v>
      </c>
      <c r="E335" s="1820">
        <v>4418.28</v>
      </c>
      <c r="F335" s="1879">
        <f t="shared" si="16"/>
        <v>1104.57</v>
      </c>
      <c r="G335" s="44"/>
    </row>
    <row r="336" spans="1:7" ht="25.5">
      <c r="A336" s="1865">
        <v>21.7</v>
      </c>
      <c r="B336" s="1760" t="s">
        <v>796</v>
      </c>
      <c r="C336" s="31">
        <v>2</v>
      </c>
      <c r="D336" s="713" t="s">
        <v>2</v>
      </c>
      <c r="E336" s="1755">
        <v>2800</v>
      </c>
      <c r="F336" s="1864">
        <f t="shared" si="16"/>
        <v>5600</v>
      </c>
      <c r="G336" s="44"/>
    </row>
    <row r="337" spans="1:7" ht="89.25">
      <c r="A337" s="1865">
        <v>21.8</v>
      </c>
      <c r="B337" s="1760" t="s">
        <v>2154</v>
      </c>
      <c r="C337" s="31">
        <v>2</v>
      </c>
      <c r="D337" s="713" t="s">
        <v>3</v>
      </c>
      <c r="E337" s="1755">
        <v>280000</v>
      </c>
      <c r="F337" s="1864">
        <f t="shared" si="16"/>
        <v>560000</v>
      </c>
      <c r="G337" s="44"/>
    </row>
    <row r="338" spans="1:7" s="44" customFormat="1" ht="12.75" customHeight="1">
      <c r="A338" s="1860"/>
      <c r="B338" s="522"/>
      <c r="C338" s="31"/>
      <c r="D338" s="713"/>
      <c r="E338" s="1794"/>
      <c r="F338" s="1864">
        <f t="shared" si="15"/>
        <v>0</v>
      </c>
      <c r="G338" s="328"/>
    </row>
    <row r="339" spans="1:7" s="44" customFormat="1" ht="12.75" customHeight="1">
      <c r="A339" s="1861">
        <v>22</v>
      </c>
      <c r="B339" s="819" t="s">
        <v>833</v>
      </c>
      <c r="C339" s="31"/>
      <c r="D339" s="713"/>
      <c r="E339" s="1794"/>
      <c r="F339" s="1864">
        <f t="shared" si="15"/>
        <v>0</v>
      </c>
      <c r="G339" s="328"/>
    </row>
    <row r="340" spans="1:7" s="44" customFormat="1" ht="12.75" customHeight="1">
      <c r="A340" s="1860">
        <v>22.1</v>
      </c>
      <c r="B340" s="522" t="s">
        <v>834</v>
      </c>
      <c r="C340" s="31"/>
      <c r="D340" s="713"/>
      <c r="E340" s="1794"/>
      <c r="F340" s="1864">
        <f t="shared" si="15"/>
        <v>0</v>
      </c>
      <c r="G340" s="328"/>
    </row>
    <row r="341" spans="1:7" s="44" customFormat="1" ht="12.75" customHeight="1">
      <c r="A341" s="1860">
        <v>22.2</v>
      </c>
      <c r="B341" s="522" t="s">
        <v>835</v>
      </c>
      <c r="C341" s="31">
        <v>3</v>
      </c>
      <c r="D341" s="713" t="s">
        <v>3</v>
      </c>
      <c r="E341" s="1755">
        <v>1260</v>
      </c>
      <c r="F341" s="1864">
        <f t="shared" si="15"/>
        <v>3780</v>
      </c>
      <c r="G341" s="328"/>
    </row>
    <row r="342" spans="1:7" s="44" customFormat="1" ht="12.75" customHeight="1">
      <c r="A342" s="1860">
        <v>22.3</v>
      </c>
      <c r="B342" s="522" t="s">
        <v>836</v>
      </c>
      <c r="C342" s="31">
        <v>1</v>
      </c>
      <c r="D342" s="713" t="s">
        <v>3</v>
      </c>
      <c r="E342" s="1755">
        <v>9094.4</v>
      </c>
      <c r="F342" s="1864">
        <f t="shared" si="15"/>
        <v>9094.4</v>
      </c>
      <c r="G342" s="328"/>
    </row>
    <row r="343" spans="1:7" s="44" customFormat="1" ht="12.75" customHeight="1">
      <c r="A343" s="1860"/>
      <c r="B343" s="522"/>
      <c r="C343" s="31">
        <v>1</v>
      </c>
      <c r="D343" s="713" t="s">
        <v>3</v>
      </c>
      <c r="E343" s="1755">
        <v>3897.6</v>
      </c>
      <c r="F343" s="1864">
        <f t="shared" si="15"/>
        <v>3897.6</v>
      </c>
      <c r="G343" s="328"/>
    </row>
    <row r="344" spans="1:7" s="44" customFormat="1" ht="12.75" customHeight="1">
      <c r="A344" s="1861">
        <v>23</v>
      </c>
      <c r="B344" s="819" t="s">
        <v>2073</v>
      </c>
      <c r="C344" s="31"/>
      <c r="D344" s="713"/>
      <c r="E344" s="1755"/>
      <c r="F344" s="1864">
        <f t="shared" si="15"/>
        <v>0</v>
      </c>
      <c r="G344" s="328"/>
    </row>
    <row r="345" spans="1:7" s="44" customFormat="1" ht="12.75" customHeight="1">
      <c r="A345" s="1860">
        <v>23.1</v>
      </c>
      <c r="B345" s="522" t="s">
        <v>838</v>
      </c>
      <c r="C345" s="31">
        <v>2</v>
      </c>
      <c r="D345" s="713" t="s">
        <v>3</v>
      </c>
      <c r="E345" s="1755">
        <v>383.5</v>
      </c>
      <c r="F345" s="1864">
        <f t="shared" si="15"/>
        <v>767</v>
      </c>
      <c r="G345" s="328"/>
    </row>
    <row r="346" spans="1:7" s="44" customFormat="1" ht="12.75" customHeight="1">
      <c r="A346" s="1860">
        <v>23.2</v>
      </c>
      <c r="B346" s="522" t="s">
        <v>839</v>
      </c>
      <c r="C346" s="31">
        <v>4</v>
      </c>
      <c r="D346" s="713" t="s">
        <v>3</v>
      </c>
      <c r="E346" s="1755">
        <v>148.68</v>
      </c>
      <c r="F346" s="1864">
        <f t="shared" si="15"/>
        <v>594.72</v>
      </c>
      <c r="G346" s="328"/>
    </row>
    <row r="347" spans="1:7" s="44" customFormat="1" ht="12.75" customHeight="1">
      <c r="A347" s="1860">
        <v>23.3</v>
      </c>
      <c r="B347" s="522" t="s">
        <v>840</v>
      </c>
      <c r="C347" s="31">
        <v>4</v>
      </c>
      <c r="D347" s="713" t="s">
        <v>3</v>
      </c>
      <c r="E347" s="1755">
        <v>59</v>
      </c>
      <c r="F347" s="1864">
        <f t="shared" si="15"/>
        <v>236</v>
      </c>
      <c r="G347" s="328"/>
    </row>
    <row r="348" spans="1:7" s="44" customFormat="1" ht="12.75" customHeight="1">
      <c r="A348" s="1860">
        <v>23.4</v>
      </c>
      <c r="B348" s="522" t="s">
        <v>2074</v>
      </c>
      <c r="C348" s="31">
        <v>2</v>
      </c>
      <c r="D348" s="713" t="s">
        <v>3</v>
      </c>
      <c r="E348" s="1755">
        <v>295</v>
      </c>
      <c r="F348" s="1864">
        <f t="shared" si="15"/>
        <v>590</v>
      </c>
      <c r="G348" s="328"/>
    </row>
    <row r="349" spans="1:7" s="44" customFormat="1" ht="12.75" customHeight="1">
      <c r="A349" s="1860">
        <v>23.5</v>
      </c>
      <c r="B349" s="522" t="s">
        <v>842</v>
      </c>
      <c r="C349" s="31">
        <v>2</v>
      </c>
      <c r="D349" s="713" t="s">
        <v>3</v>
      </c>
      <c r="E349" s="1755">
        <v>253.7</v>
      </c>
      <c r="F349" s="1864">
        <f t="shared" si="15"/>
        <v>507.4</v>
      </c>
      <c r="G349" s="328"/>
    </row>
    <row r="350" spans="1:7" s="44" customFormat="1" ht="12.75" customHeight="1">
      <c r="A350" s="1860">
        <v>23.6</v>
      </c>
      <c r="B350" s="522" t="s">
        <v>843</v>
      </c>
      <c r="C350" s="31">
        <v>2</v>
      </c>
      <c r="D350" s="713" t="s">
        <v>3</v>
      </c>
      <c r="E350" s="1755">
        <v>460.2</v>
      </c>
      <c r="F350" s="1864">
        <f t="shared" si="15"/>
        <v>920.4</v>
      </c>
      <c r="G350" s="328"/>
    </row>
    <row r="351" spans="1:7" s="44" customFormat="1" ht="12.75" customHeight="1">
      <c r="A351" s="1860">
        <v>23.7</v>
      </c>
      <c r="B351" s="522" t="s">
        <v>844</v>
      </c>
      <c r="C351" s="31">
        <v>260</v>
      </c>
      <c r="D351" s="713" t="s">
        <v>800</v>
      </c>
      <c r="E351" s="1755">
        <v>206.5</v>
      </c>
      <c r="F351" s="1864">
        <f t="shared" si="15"/>
        <v>53690</v>
      </c>
      <c r="G351" s="328"/>
    </row>
    <row r="352" spans="1:7" s="44" customFormat="1" ht="12.75" customHeight="1">
      <c r="A352" s="1860">
        <v>23.8</v>
      </c>
      <c r="B352" s="522" t="s">
        <v>2075</v>
      </c>
      <c r="C352" s="31">
        <v>2</v>
      </c>
      <c r="D352" s="713" t="s">
        <v>3</v>
      </c>
      <c r="E352" s="1755">
        <v>206.5</v>
      </c>
      <c r="F352" s="1864">
        <f t="shared" si="15"/>
        <v>413</v>
      </c>
      <c r="G352" s="328"/>
    </row>
    <row r="353" spans="1:12" s="44" customFormat="1" ht="12.75" customHeight="1">
      <c r="A353" s="1860">
        <v>23.9</v>
      </c>
      <c r="B353" s="522" t="s">
        <v>846</v>
      </c>
      <c r="C353" s="31">
        <v>2</v>
      </c>
      <c r="D353" s="713" t="s">
        <v>3</v>
      </c>
      <c r="E353" s="1755">
        <v>177</v>
      </c>
      <c r="F353" s="1864">
        <f t="shared" si="15"/>
        <v>354</v>
      </c>
      <c r="G353" s="328"/>
    </row>
    <row r="354" spans="1:12" s="44" customFormat="1" ht="12.75" customHeight="1">
      <c r="A354" s="1891">
        <v>23.1</v>
      </c>
      <c r="B354" s="522" t="s">
        <v>847</v>
      </c>
      <c r="C354" s="31">
        <v>1</v>
      </c>
      <c r="D354" s="713" t="s">
        <v>3</v>
      </c>
      <c r="E354" s="1755">
        <v>354</v>
      </c>
      <c r="F354" s="1864">
        <f t="shared" si="15"/>
        <v>354</v>
      </c>
      <c r="G354" s="328"/>
    </row>
    <row r="355" spans="1:12" s="44" customFormat="1" ht="12.75" customHeight="1">
      <c r="A355" s="1860">
        <v>23.11</v>
      </c>
      <c r="B355" s="522" t="s">
        <v>848</v>
      </c>
      <c r="C355" s="31">
        <v>2</v>
      </c>
      <c r="D355" s="713" t="s">
        <v>3</v>
      </c>
      <c r="E355" s="1755">
        <v>147.5</v>
      </c>
      <c r="F355" s="1864">
        <f t="shared" si="15"/>
        <v>295</v>
      </c>
      <c r="G355" s="328"/>
    </row>
    <row r="356" spans="1:12" s="44" customFormat="1" ht="12.75" customHeight="1">
      <c r="A356" s="1860">
        <v>23.12</v>
      </c>
      <c r="B356" s="522" t="s">
        <v>849</v>
      </c>
      <c r="C356" s="31">
        <v>2</v>
      </c>
      <c r="D356" s="713" t="s">
        <v>3</v>
      </c>
      <c r="E356" s="1755">
        <v>218.3</v>
      </c>
      <c r="F356" s="1864">
        <f t="shared" si="15"/>
        <v>436.6</v>
      </c>
      <c r="G356" s="328"/>
    </row>
    <row r="357" spans="1:12" s="44" customFormat="1" ht="12.75" customHeight="1">
      <c r="A357" s="1860">
        <v>23.13</v>
      </c>
      <c r="B357" s="522" t="s">
        <v>2076</v>
      </c>
      <c r="C357" s="31">
        <v>2</v>
      </c>
      <c r="D357" s="713" t="s">
        <v>3</v>
      </c>
      <c r="E357" s="1755">
        <v>236</v>
      </c>
      <c r="F357" s="1864">
        <f t="shared" si="15"/>
        <v>472</v>
      </c>
      <c r="G357" s="328"/>
    </row>
    <row r="358" spans="1:12" s="44" customFormat="1" ht="6.75" customHeight="1">
      <c r="A358" s="1860"/>
      <c r="B358" s="522"/>
      <c r="C358" s="31"/>
      <c r="D358" s="713"/>
      <c r="E358" s="1755"/>
      <c r="F358" s="1864"/>
      <c r="G358" s="328"/>
    </row>
    <row r="359" spans="1:12" s="44" customFormat="1" ht="12.75" customHeight="1">
      <c r="A359" s="1860">
        <v>24</v>
      </c>
      <c r="B359" s="522" t="s">
        <v>2077</v>
      </c>
      <c r="C359" s="31">
        <v>1</v>
      </c>
      <c r="D359" s="713" t="s">
        <v>3</v>
      </c>
      <c r="E359" s="1755">
        <v>12500</v>
      </c>
      <c r="F359" s="1864">
        <f>ROUND(E359*C359,2)</f>
        <v>12500</v>
      </c>
      <c r="G359" s="328"/>
    </row>
    <row r="360" spans="1:12" s="44" customFormat="1" ht="12.75" customHeight="1">
      <c r="A360" s="1860"/>
      <c r="B360" s="522"/>
      <c r="C360" s="31"/>
      <c r="D360" s="713"/>
      <c r="E360" s="1755"/>
      <c r="F360" s="1864"/>
      <c r="G360" s="328"/>
    </row>
    <row r="361" spans="1:12" s="44" customFormat="1" ht="12.75" customHeight="1">
      <c r="A361" s="1860">
        <v>25</v>
      </c>
      <c r="B361" s="522" t="s">
        <v>876</v>
      </c>
      <c r="C361" s="31">
        <v>1</v>
      </c>
      <c r="D361" s="713" t="s">
        <v>3</v>
      </c>
      <c r="E361" s="1755">
        <v>4500</v>
      </c>
      <c r="F361" s="1864">
        <f>ROUND((C361*E361),2)</f>
        <v>4500</v>
      </c>
      <c r="G361" s="328"/>
    </row>
    <row r="362" spans="1:12" s="1539" customFormat="1" ht="16.5" customHeight="1">
      <c r="A362" s="1873"/>
      <c r="B362" s="1827" t="s">
        <v>2126</v>
      </c>
      <c r="C362" s="1827"/>
      <c r="D362" s="1827"/>
      <c r="E362" s="1828"/>
      <c r="F362" s="1874">
        <f>SUM(F218:F361)</f>
        <v>4938933.26</v>
      </c>
      <c r="G362" s="1741"/>
    </row>
    <row r="363" spans="1:12" s="44" customFormat="1" ht="12.75" customHeight="1">
      <c r="A363" s="1860"/>
      <c r="B363" s="522"/>
      <c r="C363" s="31"/>
      <c r="D363" s="522"/>
      <c r="E363" s="522"/>
      <c r="F363" s="1864"/>
      <c r="G363" s="328"/>
    </row>
    <row r="364" spans="1:12">
      <c r="A364" s="1857" t="s">
        <v>851</v>
      </c>
      <c r="B364" s="819" t="s">
        <v>1771</v>
      </c>
      <c r="C364" s="31">
        <v>0</v>
      </c>
      <c r="D364" s="713"/>
      <c r="E364" s="522"/>
      <c r="F364" s="1864">
        <f>+ROUND((E364*C364),2)</f>
        <v>0</v>
      </c>
      <c r="G364" s="44"/>
    </row>
    <row r="365" spans="1:12">
      <c r="A365" s="1861"/>
      <c r="B365" s="819"/>
      <c r="C365" s="31"/>
      <c r="D365" s="713"/>
      <c r="E365" s="1755"/>
      <c r="F365" s="1864"/>
      <c r="G365" s="44"/>
    </row>
    <row r="366" spans="1:12">
      <c r="A366" s="1860">
        <v>1</v>
      </c>
      <c r="B366" s="1799" t="s">
        <v>1494</v>
      </c>
      <c r="C366" s="31">
        <v>1</v>
      </c>
      <c r="D366" s="713" t="s">
        <v>3</v>
      </c>
      <c r="E366" s="1755">
        <v>2000</v>
      </c>
      <c r="F366" s="1864">
        <f>ROUND(E366*C366,2)</f>
        <v>2000</v>
      </c>
      <c r="G366" s="44"/>
    </row>
    <row r="367" spans="1:12" s="1739" customFormat="1">
      <c r="A367" s="1860">
        <v>2</v>
      </c>
      <c r="B367" s="1053" t="s">
        <v>1775</v>
      </c>
      <c r="C367" s="31">
        <v>1</v>
      </c>
      <c r="D367" s="713" t="s">
        <v>3</v>
      </c>
      <c r="E367" s="1755">
        <v>3500</v>
      </c>
      <c r="F367" s="1864">
        <f t="shared" ref="F367:F415" si="17">ROUND(E367*C367,2)</f>
        <v>3500</v>
      </c>
      <c r="G367" s="842"/>
      <c r="H367" s="842"/>
      <c r="I367" s="842"/>
      <c r="J367" s="842"/>
      <c r="K367" s="842"/>
      <c r="L367" s="842"/>
    </row>
    <row r="368" spans="1:12">
      <c r="A368" s="1860"/>
      <c r="B368" s="1799"/>
      <c r="C368" s="31"/>
      <c r="D368" s="713"/>
      <c r="E368" s="1755"/>
      <c r="F368" s="1864"/>
      <c r="G368" s="44"/>
    </row>
    <row r="369" spans="1:12">
      <c r="A369" s="1861">
        <v>3</v>
      </c>
      <c r="B369" s="819" t="s">
        <v>1776</v>
      </c>
      <c r="C369" s="31"/>
      <c r="D369" s="713"/>
      <c r="E369" s="1755"/>
      <c r="F369" s="1864"/>
      <c r="G369" s="44"/>
    </row>
    <row r="370" spans="1:12" s="6" customFormat="1">
      <c r="A370" s="1860">
        <v>3.1</v>
      </c>
      <c r="B370" s="1799" t="s">
        <v>1777</v>
      </c>
      <c r="C370" s="31">
        <v>2.94</v>
      </c>
      <c r="D370" s="713" t="s">
        <v>2</v>
      </c>
      <c r="E370" s="1755">
        <v>7225.77</v>
      </c>
      <c r="F370" s="1864">
        <f t="shared" si="17"/>
        <v>21243.759999999998</v>
      </c>
      <c r="G370" s="1367"/>
      <c r="H370" s="1367"/>
      <c r="I370" s="1367"/>
      <c r="J370" s="1367"/>
      <c r="K370" s="1367"/>
      <c r="L370" s="1367"/>
    </row>
    <row r="371" spans="1:12" s="6" customFormat="1">
      <c r="A371" s="1860">
        <v>3.2</v>
      </c>
      <c r="B371" s="1799" t="s">
        <v>1778</v>
      </c>
      <c r="C371" s="31">
        <v>1.1499999999999999</v>
      </c>
      <c r="D371" s="713" t="s">
        <v>2</v>
      </c>
      <c r="E371" s="1755">
        <v>8653.14</v>
      </c>
      <c r="F371" s="1864">
        <f t="shared" si="17"/>
        <v>9951.11</v>
      </c>
      <c r="G371" s="1367"/>
      <c r="H371" s="1367"/>
      <c r="I371" s="1367"/>
      <c r="J371" s="1367"/>
      <c r="K371" s="1367"/>
      <c r="L371" s="1367"/>
    </row>
    <row r="372" spans="1:12" s="6" customFormat="1">
      <c r="A372" s="1860">
        <v>3.3</v>
      </c>
      <c r="B372" s="1799" t="s">
        <v>1779</v>
      </c>
      <c r="C372" s="31">
        <v>2.16</v>
      </c>
      <c r="D372" s="713" t="s">
        <v>2</v>
      </c>
      <c r="E372" s="1755">
        <v>17845.77</v>
      </c>
      <c r="F372" s="1864">
        <f t="shared" si="17"/>
        <v>38546.86</v>
      </c>
      <c r="G372" s="1367"/>
      <c r="H372" s="1367"/>
      <c r="I372" s="1367"/>
      <c r="J372" s="1367"/>
      <c r="K372" s="1367"/>
      <c r="L372" s="1367"/>
    </row>
    <row r="373" spans="1:12" s="6" customFormat="1">
      <c r="A373" s="1860">
        <v>3.4</v>
      </c>
      <c r="B373" s="1799" t="s">
        <v>1781</v>
      </c>
      <c r="C373" s="31">
        <v>1.1000000000000001</v>
      </c>
      <c r="D373" s="713" t="s">
        <v>2</v>
      </c>
      <c r="E373" s="1755">
        <v>28685.98</v>
      </c>
      <c r="F373" s="1864">
        <f t="shared" si="17"/>
        <v>31554.58</v>
      </c>
      <c r="G373" s="1367"/>
      <c r="H373" s="1367"/>
      <c r="I373" s="1367"/>
      <c r="J373" s="1367"/>
      <c r="K373" s="1367"/>
      <c r="L373" s="1367"/>
    </row>
    <row r="374" spans="1:12" s="6" customFormat="1">
      <c r="A374" s="1860">
        <v>3.5</v>
      </c>
      <c r="B374" s="1799" t="s">
        <v>1783</v>
      </c>
      <c r="C374" s="31">
        <v>2.8</v>
      </c>
      <c r="D374" s="713" t="s">
        <v>2</v>
      </c>
      <c r="E374" s="1755">
        <v>13945.46</v>
      </c>
      <c r="F374" s="1864">
        <f t="shared" si="17"/>
        <v>39047.29</v>
      </c>
      <c r="G374" s="1367"/>
      <c r="H374" s="1367"/>
      <c r="I374" s="1367"/>
      <c r="J374" s="1367"/>
      <c r="K374" s="1367"/>
      <c r="L374" s="1367"/>
    </row>
    <row r="375" spans="1:12" ht="6.75" customHeight="1">
      <c r="A375" s="1860"/>
      <c r="B375" s="1799"/>
      <c r="C375" s="31"/>
      <c r="D375" s="713"/>
      <c r="E375" s="1755"/>
      <c r="F375" s="1864"/>
      <c r="G375" s="44"/>
    </row>
    <row r="376" spans="1:12">
      <c r="A376" s="1861">
        <v>4</v>
      </c>
      <c r="B376" s="819" t="s">
        <v>1784</v>
      </c>
      <c r="C376" s="31"/>
      <c r="D376" s="713"/>
      <c r="E376" s="1755"/>
      <c r="F376" s="1864"/>
      <c r="G376" s="44"/>
    </row>
    <row r="377" spans="1:12" s="6" customFormat="1">
      <c r="A377" s="1868">
        <v>4.0999999999999996</v>
      </c>
      <c r="B377" s="1817" t="s">
        <v>1786</v>
      </c>
      <c r="C377" s="1813">
        <v>48.4</v>
      </c>
      <c r="D377" s="1821" t="s">
        <v>11</v>
      </c>
      <c r="E377" s="1820">
        <v>920.17</v>
      </c>
      <c r="F377" s="1879">
        <f t="shared" si="17"/>
        <v>44536.23</v>
      </c>
      <c r="G377" s="1367"/>
      <c r="H377" s="1367"/>
      <c r="I377" s="1367"/>
      <c r="J377" s="1367"/>
      <c r="K377" s="1367"/>
      <c r="L377" s="1367"/>
    </row>
    <row r="378" spans="1:12" ht="7.5" customHeight="1">
      <c r="A378" s="1860"/>
      <c r="B378" s="1799"/>
      <c r="C378" s="31"/>
      <c r="D378" s="713"/>
      <c r="E378" s="1755"/>
      <c r="F378" s="1864"/>
      <c r="G378" s="44"/>
    </row>
    <row r="379" spans="1:12" s="6" customFormat="1">
      <c r="A379" s="1861">
        <v>5</v>
      </c>
      <c r="B379" s="819" t="s">
        <v>859</v>
      </c>
      <c r="C379" s="31"/>
      <c r="D379" s="713"/>
      <c r="E379" s="1755"/>
      <c r="F379" s="1864"/>
      <c r="G379" s="1367"/>
      <c r="H379" s="1367"/>
      <c r="I379" s="1367"/>
      <c r="J379" s="1367"/>
      <c r="K379" s="1367"/>
      <c r="L379" s="1367"/>
    </row>
    <row r="380" spans="1:12" s="6" customFormat="1">
      <c r="A380" s="1860">
        <v>5.0999999999999996</v>
      </c>
      <c r="B380" s="1799" t="s">
        <v>1788</v>
      </c>
      <c r="C380" s="31">
        <v>52.24</v>
      </c>
      <c r="D380" s="713" t="s">
        <v>11</v>
      </c>
      <c r="E380" s="1755">
        <v>331.47</v>
      </c>
      <c r="F380" s="1864">
        <f t="shared" si="17"/>
        <v>17315.990000000002</v>
      </c>
      <c r="G380" s="1367"/>
      <c r="H380" s="1367"/>
      <c r="I380" s="1367"/>
      <c r="J380" s="1367"/>
      <c r="K380" s="1367"/>
      <c r="L380" s="1367"/>
    </row>
    <row r="381" spans="1:12" s="6" customFormat="1">
      <c r="A381" s="1860">
        <v>5.2</v>
      </c>
      <c r="B381" s="1799" t="s">
        <v>158</v>
      </c>
      <c r="C381" s="31">
        <v>48.4</v>
      </c>
      <c r="D381" s="713" t="s">
        <v>11</v>
      </c>
      <c r="E381" s="1755">
        <v>295.47000000000003</v>
      </c>
      <c r="F381" s="1864">
        <f t="shared" si="17"/>
        <v>14300.75</v>
      </c>
      <c r="G381" s="1367"/>
      <c r="H381" s="1367"/>
      <c r="I381" s="1367"/>
      <c r="J381" s="1367"/>
      <c r="K381" s="1367"/>
      <c r="L381" s="1367"/>
    </row>
    <row r="382" spans="1:12" s="6" customFormat="1">
      <c r="A382" s="1860">
        <v>5.3</v>
      </c>
      <c r="B382" s="1799" t="s">
        <v>1791</v>
      </c>
      <c r="C382" s="31">
        <v>17.2</v>
      </c>
      <c r="D382" s="713" t="s">
        <v>11</v>
      </c>
      <c r="E382" s="1755">
        <v>302.86</v>
      </c>
      <c r="F382" s="1864">
        <f t="shared" si="17"/>
        <v>5209.1899999999996</v>
      </c>
      <c r="G382" s="1367"/>
      <c r="H382" s="1367"/>
      <c r="I382" s="1367"/>
      <c r="J382" s="1367"/>
      <c r="K382" s="1367"/>
      <c r="L382" s="1367"/>
    </row>
    <row r="383" spans="1:12" s="6" customFormat="1">
      <c r="A383" s="1860">
        <v>5.4</v>
      </c>
      <c r="B383" s="1799" t="s">
        <v>889</v>
      </c>
      <c r="C383" s="31">
        <v>23.32</v>
      </c>
      <c r="D383" s="713" t="s">
        <v>11</v>
      </c>
      <c r="E383" s="1755">
        <v>501.75</v>
      </c>
      <c r="F383" s="1864">
        <f t="shared" si="17"/>
        <v>11700.81</v>
      </c>
      <c r="G383" s="1367"/>
      <c r="H383" s="1367"/>
      <c r="I383" s="1367"/>
      <c r="J383" s="1367"/>
      <c r="K383" s="1367"/>
      <c r="L383" s="1367"/>
    </row>
    <row r="384" spans="1:12" s="6" customFormat="1">
      <c r="A384" s="1860">
        <v>5.5</v>
      </c>
      <c r="B384" s="1799" t="s">
        <v>1794</v>
      </c>
      <c r="C384" s="31">
        <v>117.84</v>
      </c>
      <c r="D384" s="713" t="s">
        <v>11</v>
      </c>
      <c r="E384" s="1755">
        <v>144</v>
      </c>
      <c r="F384" s="1864">
        <f t="shared" si="17"/>
        <v>16968.96</v>
      </c>
      <c r="G384" s="1367"/>
      <c r="H384" s="1367"/>
      <c r="I384" s="1367"/>
      <c r="J384" s="1367"/>
      <c r="K384" s="1367"/>
      <c r="L384" s="1367"/>
    </row>
    <row r="385" spans="1:12" s="6" customFormat="1">
      <c r="A385" s="1860">
        <v>5.6</v>
      </c>
      <c r="B385" s="1799" t="s">
        <v>1796</v>
      </c>
      <c r="C385" s="31">
        <v>17.2</v>
      </c>
      <c r="D385" s="713" t="s">
        <v>11</v>
      </c>
      <c r="E385" s="1755">
        <v>592.75</v>
      </c>
      <c r="F385" s="1864">
        <f t="shared" si="17"/>
        <v>10195.299999999999</v>
      </c>
      <c r="G385" s="1367"/>
      <c r="H385" s="1367"/>
      <c r="I385" s="1367"/>
      <c r="J385" s="1367"/>
      <c r="K385" s="1367"/>
      <c r="L385" s="1367"/>
    </row>
    <row r="386" spans="1:12" s="6" customFormat="1">
      <c r="A386" s="1860">
        <v>5.7</v>
      </c>
      <c r="B386" s="1799" t="s">
        <v>618</v>
      </c>
      <c r="C386" s="31">
        <v>70.8</v>
      </c>
      <c r="D386" s="713" t="s">
        <v>1</v>
      </c>
      <c r="E386" s="1755">
        <v>82.21</v>
      </c>
      <c r="F386" s="1864">
        <f t="shared" si="17"/>
        <v>5820.47</v>
      </c>
      <c r="G386" s="1367"/>
      <c r="H386" s="1367"/>
      <c r="I386" s="1367"/>
      <c r="J386" s="1367"/>
      <c r="K386" s="1367"/>
      <c r="L386" s="1367"/>
    </row>
    <row r="387" spans="1:12" s="6" customFormat="1">
      <c r="A387" s="1860">
        <v>5.8</v>
      </c>
      <c r="B387" s="1799" t="s">
        <v>862</v>
      </c>
      <c r="C387" s="31">
        <v>3.56</v>
      </c>
      <c r="D387" s="713" t="s">
        <v>11</v>
      </c>
      <c r="E387" s="1755">
        <v>530.77</v>
      </c>
      <c r="F387" s="1864">
        <f t="shared" si="17"/>
        <v>1889.54</v>
      </c>
      <c r="G387" s="1367"/>
      <c r="H387" s="1367"/>
      <c r="I387" s="1367"/>
      <c r="J387" s="1367"/>
      <c r="K387" s="1367"/>
      <c r="L387" s="1367"/>
    </row>
    <row r="388" spans="1:12" s="6" customFormat="1">
      <c r="A388" s="1860">
        <v>5.9</v>
      </c>
      <c r="B388" s="1799" t="s">
        <v>792</v>
      </c>
      <c r="C388" s="31">
        <v>17.8</v>
      </c>
      <c r="D388" s="713" t="s">
        <v>1</v>
      </c>
      <c r="E388" s="1755">
        <v>98.84</v>
      </c>
      <c r="F388" s="1864">
        <f t="shared" si="17"/>
        <v>1759.35</v>
      </c>
      <c r="G388" s="1367"/>
      <c r="H388" s="1367"/>
      <c r="I388" s="1367"/>
      <c r="J388" s="1367"/>
      <c r="K388" s="1367"/>
      <c r="L388" s="1367"/>
    </row>
    <row r="389" spans="1:12">
      <c r="A389" s="1860">
        <v>5.0999999999999996</v>
      </c>
      <c r="B389" s="1799" t="s">
        <v>1801</v>
      </c>
      <c r="C389" s="31">
        <v>10.68</v>
      </c>
      <c r="D389" s="713" t="s">
        <v>11</v>
      </c>
      <c r="E389" s="1755">
        <v>777.08</v>
      </c>
      <c r="F389" s="1864">
        <f t="shared" si="17"/>
        <v>8299.2099999999991</v>
      </c>
      <c r="G389" s="44"/>
    </row>
    <row r="390" spans="1:12" ht="25.5">
      <c r="A390" s="1860">
        <v>5.1100000000000003</v>
      </c>
      <c r="B390" s="1053" t="s">
        <v>1803</v>
      </c>
      <c r="C390" s="31">
        <v>29.38</v>
      </c>
      <c r="D390" s="713" t="s">
        <v>2</v>
      </c>
      <c r="E390" s="1755">
        <v>650</v>
      </c>
      <c r="F390" s="1864">
        <f t="shared" si="17"/>
        <v>19097</v>
      </c>
      <c r="G390" s="44"/>
    </row>
    <row r="391" spans="1:12" ht="25.5">
      <c r="A391" s="1860">
        <v>5.12</v>
      </c>
      <c r="B391" s="1053" t="s">
        <v>1805</v>
      </c>
      <c r="C391" s="31">
        <v>27.91</v>
      </c>
      <c r="D391" s="713" t="s">
        <v>2</v>
      </c>
      <c r="E391" s="1755">
        <v>183.68</v>
      </c>
      <c r="F391" s="1864">
        <f t="shared" si="17"/>
        <v>5126.51</v>
      </c>
      <c r="G391" s="44"/>
    </row>
    <row r="392" spans="1:12" s="842" customFormat="1" ht="25.5">
      <c r="A392" s="1860">
        <v>5.13</v>
      </c>
      <c r="B392" s="745" t="s">
        <v>1570</v>
      </c>
      <c r="C392" s="31">
        <v>1</v>
      </c>
      <c r="D392" s="713" t="s">
        <v>3</v>
      </c>
      <c r="E392" s="1755">
        <v>7500</v>
      </c>
      <c r="F392" s="1864">
        <f>+ROUND((E392*C392),2)</f>
        <v>7500</v>
      </c>
      <c r="G392" s="1756"/>
      <c r="H392" s="1756"/>
      <c r="I392" s="1756"/>
      <c r="J392" s="1756"/>
    </row>
    <row r="393" spans="1:12" ht="5.25" customHeight="1">
      <c r="A393" s="1860"/>
      <c r="B393" s="1799"/>
      <c r="C393" s="31"/>
      <c r="D393" s="713"/>
      <c r="E393" s="1755"/>
      <c r="F393" s="1864"/>
      <c r="G393" s="44"/>
    </row>
    <row r="394" spans="1:12">
      <c r="A394" s="1861">
        <v>6</v>
      </c>
      <c r="B394" s="819" t="s">
        <v>1806</v>
      </c>
      <c r="C394" s="31"/>
      <c r="D394" s="713"/>
      <c r="E394" s="1755"/>
      <c r="F394" s="1864"/>
      <c r="G394" s="44"/>
    </row>
    <row r="395" spans="1:12">
      <c r="A395" s="1860">
        <v>6.1</v>
      </c>
      <c r="B395" s="1799" t="s">
        <v>1807</v>
      </c>
      <c r="C395" s="31">
        <v>1</v>
      </c>
      <c r="D395" s="713" t="s">
        <v>3</v>
      </c>
      <c r="E395" s="1755">
        <v>3600</v>
      </c>
      <c r="F395" s="1864">
        <f t="shared" si="17"/>
        <v>3600</v>
      </c>
      <c r="G395" s="44"/>
      <c r="H395" s="1372"/>
    </row>
    <row r="396" spans="1:12">
      <c r="A396" s="1860">
        <v>6.2</v>
      </c>
      <c r="B396" s="1799" t="s">
        <v>1808</v>
      </c>
      <c r="C396" s="31">
        <v>2</v>
      </c>
      <c r="D396" s="713" t="s">
        <v>3</v>
      </c>
      <c r="E396" s="1755">
        <v>1370.74</v>
      </c>
      <c r="F396" s="1864">
        <f t="shared" si="17"/>
        <v>2741.48</v>
      </c>
      <c r="G396" s="44"/>
      <c r="H396" s="1372"/>
    </row>
    <row r="397" spans="1:12">
      <c r="A397" s="1860">
        <v>6.3</v>
      </c>
      <c r="B397" s="1799" t="s">
        <v>1810</v>
      </c>
      <c r="C397" s="31">
        <v>2</v>
      </c>
      <c r="D397" s="713" t="s">
        <v>3</v>
      </c>
      <c r="E397" s="1755">
        <v>1420.28</v>
      </c>
      <c r="F397" s="1864">
        <f t="shared" si="17"/>
        <v>2840.56</v>
      </c>
      <c r="G397" s="44"/>
      <c r="H397" s="1372"/>
    </row>
    <row r="398" spans="1:12">
      <c r="A398" s="1860">
        <v>6.4</v>
      </c>
      <c r="B398" s="1799" t="s">
        <v>869</v>
      </c>
      <c r="C398" s="31">
        <v>2</v>
      </c>
      <c r="D398" s="713" t="s">
        <v>3</v>
      </c>
      <c r="E398" s="1755">
        <v>1453.9</v>
      </c>
      <c r="F398" s="1864">
        <f t="shared" si="17"/>
        <v>2907.8</v>
      </c>
      <c r="G398" s="44"/>
      <c r="H398" s="1372"/>
    </row>
    <row r="399" spans="1:12">
      <c r="A399" s="1860">
        <v>6.5</v>
      </c>
      <c r="B399" s="1799" t="s">
        <v>1813</v>
      </c>
      <c r="C399" s="31">
        <v>2</v>
      </c>
      <c r="D399" s="713" t="s">
        <v>3</v>
      </c>
      <c r="E399" s="1755">
        <v>4645</v>
      </c>
      <c r="F399" s="1864">
        <f t="shared" si="17"/>
        <v>9290</v>
      </c>
      <c r="G399" s="44"/>
    </row>
    <row r="400" spans="1:12" ht="27" customHeight="1">
      <c r="A400" s="1860">
        <v>6.6</v>
      </c>
      <c r="B400" s="1053" t="s">
        <v>1815</v>
      </c>
      <c r="C400" s="31">
        <v>1</v>
      </c>
      <c r="D400" s="713" t="s">
        <v>3</v>
      </c>
      <c r="E400" s="1755">
        <v>6000</v>
      </c>
      <c r="F400" s="1864">
        <f t="shared" si="17"/>
        <v>6000</v>
      </c>
      <c r="G400" s="44"/>
    </row>
    <row r="401" spans="1:12" ht="6" customHeight="1">
      <c r="A401" s="1860"/>
      <c r="B401" s="1799"/>
      <c r="C401" s="31"/>
      <c r="D401" s="713"/>
      <c r="E401" s="1755"/>
      <c r="F401" s="1864"/>
      <c r="G401" s="44"/>
    </row>
    <row r="402" spans="1:12">
      <c r="A402" s="1861">
        <v>7</v>
      </c>
      <c r="B402" s="819" t="s">
        <v>1816</v>
      </c>
      <c r="C402" s="31"/>
      <c r="D402" s="713"/>
      <c r="E402" s="1755"/>
      <c r="F402" s="1864"/>
      <c r="G402" s="44"/>
    </row>
    <row r="403" spans="1:12" s="842" customFormat="1" ht="25.5" customHeight="1">
      <c r="A403" s="1855">
        <v>7.1</v>
      </c>
      <c r="B403" s="1763" t="s">
        <v>1557</v>
      </c>
      <c r="C403" s="1831">
        <v>1</v>
      </c>
      <c r="D403" s="1831" t="s">
        <v>3</v>
      </c>
      <c r="E403" s="1831">
        <v>161103.6</v>
      </c>
      <c r="F403" s="1892">
        <f>+ROUND((E403*C403),2)</f>
        <v>161103.6</v>
      </c>
    </row>
    <row r="404" spans="1:12" s="44" customFormat="1" ht="25.5" customHeight="1">
      <c r="A404" s="1893">
        <v>7.2</v>
      </c>
      <c r="B404" s="1764" t="s">
        <v>1556</v>
      </c>
      <c r="C404" s="1832">
        <v>2</v>
      </c>
      <c r="D404" s="1833" t="s">
        <v>3</v>
      </c>
      <c r="E404" s="1833">
        <v>7000</v>
      </c>
      <c r="F404" s="1894">
        <f>+ROUND((E404*C404),2)</f>
        <v>14000</v>
      </c>
      <c r="G404" s="842"/>
      <c r="H404" s="842"/>
      <c r="I404" s="842"/>
      <c r="J404" s="842"/>
    </row>
    <row r="405" spans="1:12" s="842" customFormat="1" ht="25.5">
      <c r="A405" s="1893">
        <v>7.3</v>
      </c>
      <c r="B405" s="1763" t="s">
        <v>1558</v>
      </c>
      <c r="C405" s="1832">
        <v>2</v>
      </c>
      <c r="D405" s="1833" t="s">
        <v>3</v>
      </c>
      <c r="E405" s="1833">
        <v>165732.25</v>
      </c>
      <c r="F405" s="1894">
        <f>+ROUND((E405*C405),2)</f>
        <v>331464.5</v>
      </c>
      <c r="G405" s="1756"/>
      <c r="H405" s="1756"/>
      <c r="I405" s="1756"/>
      <c r="J405" s="1756"/>
    </row>
    <row r="406" spans="1:12" s="44" customFormat="1" ht="12.75" customHeight="1">
      <c r="A406" s="1893">
        <v>7.4</v>
      </c>
      <c r="B406" s="1764" t="s">
        <v>1555</v>
      </c>
      <c r="C406" s="1832">
        <v>1</v>
      </c>
      <c r="D406" s="1833" t="s">
        <v>3</v>
      </c>
      <c r="E406" s="1833">
        <v>8500</v>
      </c>
      <c r="F406" s="1894">
        <f>+ROUND((E406*C406),2)</f>
        <v>8500</v>
      </c>
      <c r="G406" s="841"/>
      <c r="H406" s="841"/>
      <c r="I406" s="841"/>
      <c r="J406" s="841"/>
    </row>
    <row r="407" spans="1:12" s="6" customFormat="1">
      <c r="A407" s="1893">
        <v>7.5</v>
      </c>
      <c r="B407" s="1053" t="s">
        <v>1824</v>
      </c>
      <c r="C407" s="1832">
        <v>3</v>
      </c>
      <c r="D407" s="1833" t="s">
        <v>3</v>
      </c>
      <c r="E407" s="1833">
        <v>4882.5</v>
      </c>
      <c r="F407" s="1894">
        <f t="shared" si="17"/>
        <v>14647.5</v>
      </c>
      <c r="G407" s="1367"/>
      <c r="H407" s="1367"/>
      <c r="I407" s="1367"/>
      <c r="J407" s="1367"/>
      <c r="K407" s="1367"/>
      <c r="L407" s="1367"/>
    </row>
    <row r="408" spans="1:12" s="6" customFormat="1" ht="25.5">
      <c r="A408" s="1893">
        <v>7.6</v>
      </c>
      <c r="B408" s="1763" t="s">
        <v>1826</v>
      </c>
      <c r="C408" s="1832">
        <v>1</v>
      </c>
      <c r="D408" s="1833" t="s">
        <v>3</v>
      </c>
      <c r="E408" s="1833">
        <v>60000</v>
      </c>
      <c r="F408" s="1894">
        <f t="shared" si="17"/>
        <v>60000</v>
      </c>
      <c r="G408" s="1367"/>
      <c r="H408" s="1367"/>
      <c r="I408" s="1367"/>
      <c r="J408" s="1367"/>
      <c r="K408" s="1367"/>
      <c r="L408" s="1367"/>
    </row>
    <row r="409" spans="1:12" s="6" customFormat="1" ht="25.5">
      <c r="A409" s="1893">
        <v>7.7</v>
      </c>
      <c r="B409" s="745" t="s">
        <v>1828</v>
      </c>
      <c r="C409" s="1832">
        <v>1</v>
      </c>
      <c r="D409" s="1833" t="s">
        <v>3</v>
      </c>
      <c r="E409" s="1833">
        <v>159500</v>
      </c>
      <c r="F409" s="1894">
        <f t="shared" si="17"/>
        <v>159500</v>
      </c>
      <c r="G409" s="1367"/>
      <c r="H409" s="1367"/>
      <c r="I409" s="1367"/>
      <c r="J409" s="1367"/>
      <c r="K409" s="1367"/>
      <c r="L409" s="1367"/>
    </row>
    <row r="410" spans="1:12" s="6" customFormat="1" ht="38.25">
      <c r="A410" s="1893">
        <v>7.8</v>
      </c>
      <c r="B410" s="745" t="s">
        <v>1830</v>
      </c>
      <c r="C410" s="1832">
        <v>1</v>
      </c>
      <c r="D410" s="1833" t="s">
        <v>3</v>
      </c>
      <c r="E410" s="1833">
        <v>32500</v>
      </c>
      <c r="F410" s="1894">
        <f t="shared" si="17"/>
        <v>32500</v>
      </c>
      <c r="G410" s="1367"/>
      <c r="H410" s="1367"/>
      <c r="I410" s="1367"/>
      <c r="J410" s="1367"/>
      <c r="K410" s="1367"/>
      <c r="L410" s="1367"/>
    </row>
    <row r="411" spans="1:12" s="6" customFormat="1">
      <c r="A411" s="1893">
        <v>7.9</v>
      </c>
      <c r="B411" s="745" t="s">
        <v>1832</v>
      </c>
      <c r="C411" s="1832">
        <v>1</v>
      </c>
      <c r="D411" s="1833" t="s">
        <v>3</v>
      </c>
      <c r="E411" s="1833">
        <v>25000</v>
      </c>
      <c r="F411" s="1894">
        <f>ROUND(E411*C411,2)</f>
        <v>25000</v>
      </c>
      <c r="G411" s="1367"/>
      <c r="H411" s="1367"/>
      <c r="I411" s="1367"/>
      <c r="J411" s="1367"/>
      <c r="K411" s="1367"/>
      <c r="L411" s="1367"/>
    </row>
    <row r="412" spans="1:12" s="6" customFormat="1">
      <c r="A412" s="1860">
        <v>7.1</v>
      </c>
      <c r="B412" s="522" t="s">
        <v>1834</v>
      </c>
      <c r="C412" s="1832">
        <v>1</v>
      </c>
      <c r="D412" s="1833" t="s">
        <v>3</v>
      </c>
      <c r="E412" s="1833">
        <v>30000</v>
      </c>
      <c r="F412" s="1894">
        <f t="shared" si="17"/>
        <v>30000</v>
      </c>
      <c r="G412" s="1367"/>
      <c r="H412" s="1367"/>
      <c r="I412" s="1367"/>
      <c r="J412" s="1367"/>
      <c r="K412" s="1367"/>
      <c r="L412" s="1367"/>
    </row>
    <row r="413" spans="1:12" s="6" customFormat="1">
      <c r="A413" s="1860">
        <v>7.11</v>
      </c>
      <c r="B413" s="522" t="s">
        <v>1836</v>
      </c>
      <c r="C413" s="1832">
        <v>1</v>
      </c>
      <c r="D413" s="1833" t="s">
        <v>3</v>
      </c>
      <c r="E413" s="1833">
        <v>36855</v>
      </c>
      <c r="F413" s="1894">
        <f t="shared" si="17"/>
        <v>36855</v>
      </c>
      <c r="G413" s="1367"/>
      <c r="H413" s="1367"/>
      <c r="I413" s="1367"/>
      <c r="J413" s="1367"/>
      <c r="K413" s="1367"/>
      <c r="L413" s="1367"/>
    </row>
    <row r="414" spans="1:12" s="6" customFormat="1">
      <c r="A414" s="1860">
        <v>7.12</v>
      </c>
      <c r="B414" s="522" t="s">
        <v>1838</v>
      </c>
      <c r="C414" s="1832">
        <v>1</v>
      </c>
      <c r="D414" s="1833" t="s">
        <v>3</v>
      </c>
      <c r="E414" s="1833">
        <v>2500</v>
      </c>
      <c r="F414" s="1894">
        <f t="shared" si="17"/>
        <v>2500</v>
      </c>
      <c r="G414" s="1367"/>
      <c r="H414" s="1367"/>
      <c r="I414" s="1367"/>
      <c r="J414" s="1367"/>
      <c r="K414" s="1367"/>
      <c r="L414" s="1367"/>
    </row>
    <row r="415" spans="1:12" s="6" customFormat="1">
      <c r="A415" s="1868">
        <v>7.13</v>
      </c>
      <c r="B415" s="1817" t="s">
        <v>1023</v>
      </c>
      <c r="C415" s="1840">
        <v>1</v>
      </c>
      <c r="D415" s="1841" t="s">
        <v>3</v>
      </c>
      <c r="E415" s="1841">
        <v>3500</v>
      </c>
      <c r="F415" s="1895">
        <f t="shared" si="17"/>
        <v>3500</v>
      </c>
      <c r="G415" s="1367"/>
      <c r="H415" s="1367"/>
      <c r="I415" s="1367"/>
      <c r="J415" s="1367"/>
      <c r="K415" s="1367"/>
      <c r="L415" s="1367"/>
    </row>
    <row r="416" spans="1:12" s="6" customFormat="1">
      <c r="A416" s="1860"/>
      <c r="B416" s="1799"/>
      <c r="C416" s="31"/>
      <c r="D416" s="713"/>
      <c r="E416" s="1755"/>
      <c r="F416" s="1864"/>
      <c r="G416" s="1367"/>
      <c r="H416" s="1367"/>
      <c r="I416" s="1367"/>
      <c r="J416" s="1367"/>
      <c r="K416" s="1367"/>
      <c r="L416" s="1367"/>
    </row>
    <row r="417" spans="1:12" s="6" customFormat="1" ht="25.5">
      <c r="A417" s="1867">
        <v>7.14</v>
      </c>
      <c r="B417" s="1807" t="s">
        <v>2209</v>
      </c>
      <c r="C417" s="31"/>
      <c r="D417" s="713"/>
      <c r="E417" s="1755"/>
      <c r="F417" s="1864"/>
      <c r="G417" s="1367"/>
      <c r="H417" s="1367"/>
      <c r="I417" s="1367"/>
      <c r="J417" s="1367"/>
      <c r="K417" s="1367"/>
      <c r="L417" s="1367"/>
    </row>
    <row r="418" spans="1:12" s="6" customFormat="1">
      <c r="A418" s="1896" t="s">
        <v>2139</v>
      </c>
      <c r="B418" s="522" t="s">
        <v>2132</v>
      </c>
      <c r="C418" s="31">
        <v>2</v>
      </c>
      <c r="D418" s="713" t="s">
        <v>3</v>
      </c>
      <c r="E418" s="1755">
        <v>184.94</v>
      </c>
      <c r="F418" s="1864">
        <f t="shared" ref="F418:F424" si="18">+ROUND(C418*E418,2)</f>
        <v>369.88</v>
      </c>
      <c r="G418" s="1367"/>
      <c r="H418" s="1367"/>
      <c r="I418" s="1367"/>
      <c r="J418" s="1367"/>
      <c r="K418" s="1367"/>
      <c r="L418" s="1367"/>
    </row>
    <row r="419" spans="1:12" s="6" customFormat="1">
      <c r="A419" s="1896" t="s">
        <v>2140</v>
      </c>
      <c r="B419" s="522" t="s">
        <v>2133</v>
      </c>
      <c r="C419" s="31">
        <v>2</v>
      </c>
      <c r="D419" s="713" t="s">
        <v>3</v>
      </c>
      <c r="E419" s="1755">
        <v>75.239999999999995</v>
      </c>
      <c r="F419" s="1864">
        <f t="shared" si="18"/>
        <v>150.47999999999999</v>
      </c>
      <c r="G419" s="1367"/>
      <c r="H419" s="1367"/>
      <c r="I419" s="1367"/>
      <c r="J419" s="1367"/>
      <c r="K419" s="1367"/>
      <c r="L419" s="1367"/>
    </row>
    <row r="420" spans="1:12" s="6" customFormat="1">
      <c r="A420" s="1896" t="s">
        <v>2141</v>
      </c>
      <c r="B420" s="522" t="s">
        <v>2134</v>
      </c>
      <c r="C420" s="31">
        <v>40</v>
      </c>
      <c r="D420" s="713" t="s">
        <v>1</v>
      </c>
      <c r="E420" s="1755">
        <v>97.31</v>
      </c>
      <c r="F420" s="1864">
        <f t="shared" si="18"/>
        <v>3892.4</v>
      </c>
      <c r="G420" s="1367"/>
      <c r="H420" s="1367"/>
      <c r="I420" s="1367"/>
      <c r="J420" s="1367"/>
      <c r="K420" s="1367"/>
      <c r="L420" s="1367"/>
    </row>
    <row r="421" spans="1:12" s="6" customFormat="1">
      <c r="A421" s="1896" t="s">
        <v>2142</v>
      </c>
      <c r="B421" s="522" t="s">
        <v>2135</v>
      </c>
      <c r="C421" s="31">
        <v>4</v>
      </c>
      <c r="D421" s="713" t="s">
        <v>3</v>
      </c>
      <c r="E421" s="1755">
        <v>56.76</v>
      </c>
      <c r="F421" s="1864">
        <f t="shared" si="18"/>
        <v>227.04</v>
      </c>
      <c r="G421" s="1367"/>
      <c r="H421" s="1367"/>
      <c r="I421" s="44"/>
      <c r="J421" s="1367"/>
      <c r="K421" s="1367"/>
      <c r="L421" s="1367"/>
    </row>
    <row r="422" spans="1:12" s="6" customFormat="1">
      <c r="A422" s="1896" t="s">
        <v>2143</v>
      </c>
      <c r="B422" s="522" t="s">
        <v>2136</v>
      </c>
      <c r="C422" s="31">
        <v>4</v>
      </c>
      <c r="D422" s="713" t="s">
        <v>3</v>
      </c>
      <c r="E422" s="1755">
        <v>59</v>
      </c>
      <c r="F422" s="1864">
        <f t="shared" si="18"/>
        <v>236</v>
      </c>
      <c r="G422" s="1367"/>
      <c r="H422" s="1367"/>
      <c r="I422" s="1367"/>
      <c r="J422" s="1367"/>
      <c r="K422" s="1367"/>
      <c r="L422" s="1367"/>
    </row>
    <row r="423" spans="1:12" s="6" customFormat="1">
      <c r="A423" s="1896" t="s">
        <v>2144</v>
      </c>
      <c r="B423" s="522" t="s">
        <v>2137</v>
      </c>
      <c r="C423" s="31">
        <v>1</v>
      </c>
      <c r="D423" s="713" t="s">
        <v>3</v>
      </c>
      <c r="E423" s="1755">
        <v>5000</v>
      </c>
      <c r="F423" s="1864">
        <f t="shared" si="18"/>
        <v>5000</v>
      </c>
      <c r="G423" s="1367"/>
      <c r="H423" s="1367"/>
      <c r="I423" s="1367"/>
      <c r="J423" s="1367"/>
      <c r="K423" s="1367"/>
      <c r="L423" s="1367"/>
    </row>
    <row r="424" spans="1:12" s="6" customFormat="1">
      <c r="A424" s="1896" t="s">
        <v>2145</v>
      </c>
      <c r="B424" s="522" t="s">
        <v>2138</v>
      </c>
      <c r="C424" s="31">
        <v>1</v>
      </c>
      <c r="D424" s="713" t="s">
        <v>3</v>
      </c>
      <c r="E424" s="1755">
        <v>3500</v>
      </c>
      <c r="F424" s="1864">
        <f t="shared" si="18"/>
        <v>3500</v>
      </c>
      <c r="G424" s="1367"/>
      <c r="H424" s="1367"/>
      <c r="I424" s="1367"/>
      <c r="J424" s="1367"/>
      <c r="K424" s="1367"/>
      <c r="L424" s="1367"/>
    </row>
    <row r="425" spans="1:12" s="44" customFormat="1" ht="12.75" customHeight="1">
      <c r="A425" s="1860"/>
      <c r="B425" s="522"/>
      <c r="C425" s="31"/>
      <c r="D425" s="713"/>
      <c r="E425" s="1755"/>
      <c r="F425" s="1864"/>
      <c r="G425" s="841"/>
      <c r="H425" s="841"/>
      <c r="I425" s="841"/>
      <c r="J425" s="841"/>
    </row>
    <row r="426" spans="1:12" s="6" customFormat="1">
      <c r="A426" s="1861">
        <v>8</v>
      </c>
      <c r="B426" s="1765" t="s">
        <v>1578</v>
      </c>
      <c r="C426" s="31"/>
      <c r="D426" s="713"/>
      <c r="E426" s="1755"/>
      <c r="F426" s="1864"/>
      <c r="G426" s="1367"/>
      <c r="H426" s="1367"/>
      <c r="I426" s="1367"/>
      <c r="J426" s="1367"/>
      <c r="K426" s="1367"/>
      <c r="L426" s="1367"/>
    </row>
    <row r="427" spans="1:12" s="6" customFormat="1" ht="51">
      <c r="A427" s="1860">
        <v>8.1</v>
      </c>
      <c r="B427" s="1766" t="s">
        <v>1571</v>
      </c>
      <c r="C427" s="31">
        <v>1</v>
      </c>
      <c r="D427" s="713" t="s">
        <v>3</v>
      </c>
      <c r="E427" s="1755">
        <v>90000</v>
      </c>
      <c r="F427" s="1864">
        <f t="shared" ref="F427:F436" si="19">+ROUND(C427*E427,2)</f>
        <v>90000</v>
      </c>
      <c r="G427" s="1367"/>
      <c r="H427" s="1367"/>
      <c r="I427" s="1367"/>
      <c r="J427" s="1367"/>
      <c r="K427" s="1367"/>
      <c r="L427" s="1367"/>
    </row>
    <row r="428" spans="1:12" s="6" customFormat="1" ht="12" customHeight="1">
      <c r="A428" s="1860">
        <v>8.1999999999999993</v>
      </c>
      <c r="B428" s="1766" t="s">
        <v>1572</v>
      </c>
      <c r="C428" s="31">
        <v>1</v>
      </c>
      <c r="D428" s="713" t="s">
        <v>3</v>
      </c>
      <c r="E428" s="1755">
        <v>19495</v>
      </c>
      <c r="F428" s="1864">
        <f t="shared" si="19"/>
        <v>19495</v>
      </c>
      <c r="G428" s="1367"/>
      <c r="H428" s="1367"/>
      <c r="I428" s="1367"/>
      <c r="J428" s="1367"/>
      <c r="K428" s="1367"/>
      <c r="L428" s="1367"/>
    </row>
    <row r="429" spans="1:12" s="6" customFormat="1">
      <c r="A429" s="1860">
        <v>8.3000000000000007</v>
      </c>
      <c r="B429" s="1766" t="s">
        <v>1573</v>
      </c>
      <c r="C429" s="31">
        <v>2</v>
      </c>
      <c r="D429" s="713" t="s">
        <v>3</v>
      </c>
      <c r="E429" s="1755">
        <v>2500</v>
      </c>
      <c r="F429" s="1864">
        <f t="shared" si="19"/>
        <v>5000</v>
      </c>
      <c r="G429" s="1367"/>
      <c r="H429" s="1367"/>
      <c r="I429" s="1367"/>
      <c r="J429" s="1367"/>
      <c r="K429" s="1367"/>
      <c r="L429" s="1367"/>
    </row>
    <row r="430" spans="1:12" s="6" customFormat="1">
      <c r="A430" s="1860">
        <v>8.4</v>
      </c>
      <c r="B430" s="1766" t="s">
        <v>1574</v>
      </c>
      <c r="C430" s="31">
        <v>20</v>
      </c>
      <c r="D430" s="713" t="s">
        <v>3</v>
      </c>
      <c r="E430" s="1755">
        <v>106.96</v>
      </c>
      <c r="F430" s="1864">
        <f t="shared" si="19"/>
        <v>2139.1999999999998</v>
      </c>
      <c r="G430" s="1367"/>
      <c r="H430" s="1367"/>
      <c r="I430" s="1367"/>
      <c r="J430" s="1367"/>
      <c r="K430" s="1367"/>
      <c r="L430" s="1367"/>
    </row>
    <row r="431" spans="1:12" s="6" customFormat="1">
      <c r="A431" s="1860">
        <v>8.5</v>
      </c>
      <c r="B431" s="1766" t="s">
        <v>1575</v>
      </c>
      <c r="C431" s="31">
        <v>15</v>
      </c>
      <c r="D431" s="713" t="s">
        <v>3</v>
      </c>
      <c r="E431" s="1755">
        <v>250</v>
      </c>
      <c r="F431" s="1864">
        <f t="shared" si="19"/>
        <v>3750</v>
      </c>
      <c r="G431" s="1367"/>
      <c r="H431" s="1367"/>
      <c r="I431" s="1367"/>
      <c r="J431" s="1367"/>
      <c r="K431" s="1367"/>
      <c r="L431" s="1367"/>
    </row>
    <row r="432" spans="1:12" s="6" customFormat="1">
      <c r="A432" s="1860">
        <v>8.6</v>
      </c>
      <c r="B432" s="1766" t="s">
        <v>1576</v>
      </c>
      <c r="C432" s="31">
        <v>7.34</v>
      </c>
      <c r="D432" s="713" t="s">
        <v>1</v>
      </c>
      <c r="E432" s="1755">
        <v>149.57</v>
      </c>
      <c r="F432" s="1864">
        <f t="shared" si="19"/>
        <v>1097.8399999999999</v>
      </c>
      <c r="G432" s="1367"/>
      <c r="H432" s="1367"/>
      <c r="I432" s="1367"/>
      <c r="J432" s="1367"/>
      <c r="K432" s="1367"/>
      <c r="L432" s="1367"/>
    </row>
    <row r="433" spans="1:12" s="6" customFormat="1" ht="25.5">
      <c r="A433" s="1860">
        <v>8.6999999999999993</v>
      </c>
      <c r="B433" s="1766" t="s">
        <v>1577</v>
      </c>
      <c r="C433" s="31">
        <v>1</v>
      </c>
      <c r="D433" s="713" t="s">
        <v>3</v>
      </c>
      <c r="E433" s="1755">
        <v>12000</v>
      </c>
      <c r="F433" s="1864">
        <f t="shared" si="19"/>
        <v>12000</v>
      </c>
      <c r="G433" s="1367"/>
      <c r="H433" s="1367"/>
      <c r="I433" s="1367"/>
      <c r="J433" s="1367"/>
      <c r="K433" s="1367"/>
      <c r="L433" s="1367"/>
    </row>
    <row r="434" spans="1:12" s="6" customFormat="1" ht="6.75" customHeight="1">
      <c r="A434" s="1860"/>
      <c r="B434" s="1766"/>
      <c r="C434" s="31"/>
      <c r="D434" s="713"/>
      <c r="E434" s="1755"/>
      <c r="F434" s="1864">
        <f t="shared" si="19"/>
        <v>0</v>
      </c>
      <c r="G434" s="1367"/>
      <c r="H434" s="1367"/>
      <c r="I434" s="1367"/>
      <c r="J434" s="1367"/>
      <c r="K434" s="1367"/>
      <c r="L434" s="1367"/>
    </row>
    <row r="435" spans="1:12" ht="25.5">
      <c r="A435" s="1867">
        <v>9</v>
      </c>
      <c r="B435" s="1807" t="s">
        <v>2088</v>
      </c>
      <c r="C435" s="31"/>
      <c r="D435" s="713"/>
      <c r="E435" s="1755"/>
      <c r="F435" s="1864">
        <f t="shared" si="19"/>
        <v>0</v>
      </c>
      <c r="G435" s="44"/>
    </row>
    <row r="436" spans="1:12" ht="25.5">
      <c r="A436" s="1865">
        <v>9.1</v>
      </c>
      <c r="B436" s="1766" t="s">
        <v>2313</v>
      </c>
      <c r="C436" s="31">
        <v>264</v>
      </c>
      <c r="D436" s="713" t="s">
        <v>1</v>
      </c>
      <c r="E436" s="1755">
        <v>6400</v>
      </c>
      <c r="F436" s="1864">
        <f t="shared" si="19"/>
        <v>1689600</v>
      </c>
      <c r="G436" s="44"/>
    </row>
    <row r="437" spans="1:12" s="1739" customFormat="1" ht="12.75" customHeight="1">
      <c r="A437" s="1860">
        <v>9.1999999999999993</v>
      </c>
      <c r="B437" s="1766" t="s">
        <v>2089</v>
      </c>
      <c r="C437" s="1834">
        <v>1</v>
      </c>
      <c r="D437" s="1794" t="s">
        <v>3</v>
      </c>
      <c r="E437" s="1755">
        <v>26500</v>
      </c>
      <c r="F437" s="1864">
        <f>ROUND(C437*E437,2)</f>
        <v>26500</v>
      </c>
      <c r="G437" s="44"/>
      <c r="H437" s="44"/>
      <c r="I437" s="842"/>
      <c r="J437" s="842"/>
      <c r="K437" s="842"/>
      <c r="L437" s="842"/>
    </row>
    <row r="438" spans="1:12" ht="4.5" customHeight="1">
      <c r="A438" s="1860"/>
      <c r="B438" s="522"/>
      <c r="C438" s="31"/>
      <c r="D438" s="713"/>
      <c r="E438" s="1755"/>
      <c r="F438" s="1864"/>
      <c r="G438" s="44"/>
    </row>
    <row r="439" spans="1:12" s="44" customFormat="1" ht="12.75" customHeight="1">
      <c r="A439" s="1860">
        <v>10</v>
      </c>
      <c r="B439" s="1767" t="s">
        <v>870</v>
      </c>
      <c r="C439" s="31">
        <v>1</v>
      </c>
      <c r="D439" s="713" t="s">
        <v>3</v>
      </c>
      <c r="E439" s="1755">
        <v>4000</v>
      </c>
      <c r="F439" s="1864">
        <f>+ROUND((E439*C439),2)</f>
        <v>4000</v>
      </c>
      <c r="G439" s="841"/>
      <c r="H439" s="841"/>
      <c r="I439" s="841"/>
      <c r="J439" s="841"/>
    </row>
    <row r="440" spans="1:12" s="1539" customFormat="1" ht="16.5" customHeight="1">
      <c r="A440" s="1873"/>
      <c r="B440" s="1827" t="s">
        <v>2125</v>
      </c>
      <c r="C440" s="1827"/>
      <c r="D440" s="1827"/>
      <c r="E440" s="1828"/>
      <c r="F440" s="1874">
        <f>SUM(F366:F439)</f>
        <v>3089471.19</v>
      </c>
      <c r="G440" s="1741"/>
    </row>
    <row r="441" spans="1:12" s="1546" customFormat="1" ht="3.75" customHeight="1">
      <c r="A441" s="1860"/>
      <c r="B441" s="522"/>
      <c r="C441" s="31"/>
      <c r="D441" s="713"/>
      <c r="E441" s="1755"/>
      <c r="F441" s="1864"/>
      <c r="G441" s="44"/>
      <c r="H441" s="44"/>
    </row>
    <row r="442" spans="1:12" s="44" customFormat="1" ht="12.75" customHeight="1">
      <c r="A442" s="1857" t="s">
        <v>877</v>
      </c>
      <c r="B442" s="819" t="s">
        <v>1856</v>
      </c>
      <c r="C442" s="31"/>
      <c r="D442" s="713"/>
      <c r="E442" s="1755"/>
      <c r="F442" s="1864">
        <f>+ROUND((E442*C442),2)</f>
        <v>0</v>
      </c>
    </row>
    <row r="443" spans="1:12" s="44" customFormat="1" ht="5.25" customHeight="1">
      <c r="A443" s="1855"/>
      <c r="B443" s="819"/>
      <c r="C443" s="31"/>
      <c r="D443" s="713"/>
      <c r="E443" s="1755"/>
      <c r="F443" s="1864"/>
    </row>
    <row r="444" spans="1:12" ht="12.75" customHeight="1">
      <c r="A444" s="1860">
        <v>1</v>
      </c>
      <c r="B444" s="522" t="s">
        <v>37</v>
      </c>
      <c r="C444" s="31">
        <v>1</v>
      </c>
      <c r="D444" s="713" t="s">
        <v>3</v>
      </c>
      <c r="E444" s="1755">
        <v>1500</v>
      </c>
      <c r="F444" s="1864">
        <f t="shared" ref="F444:F457" si="20">ROUND(E444*C444,2)</f>
        <v>1500</v>
      </c>
      <c r="G444" s="44"/>
    </row>
    <row r="445" spans="1:12" ht="5.25" customHeight="1">
      <c r="A445" s="1860"/>
      <c r="B445" s="522"/>
      <c r="C445" s="31"/>
      <c r="D445" s="713"/>
      <c r="E445" s="1755"/>
      <c r="F445" s="1864">
        <f t="shared" si="20"/>
        <v>0</v>
      </c>
      <c r="G445" s="44"/>
    </row>
    <row r="446" spans="1:12" ht="12.75" customHeight="1">
      <c r="A446" s="1860">
        <v>2</v>
      </c>
      <c r="B446" s="808" t="s">
        <v>1841</v>
      </c>
      <c r="C446" s="31"/>
      <c r="D446" s="713"/>
      <c r="E446" s="1755"/>
      <c r="F446" s="1864">
        <f t="shared" si="20"/>
        <v>0</v>
      </c>
      <c r="G446" s="44"/>
    </row>
    <row r="447" spans="1:12" ht="12.75" customHeight="1">
      <c r="A447" s="1860">
        <v>2.1</v>
      </c>
      <c r="B447" s="522" t="s">
        <v>2247</v>
      </c>
      <c r="C447" s="31">
        <v>11.15</v>
      </c>
      <c r="D447" s="713" t="s">
        <v>2</v>
      </c>
      <c r="E447" s="1755">
        <v>334.5</v>
      </c>
      <c r="F447" s="1864">
        <f t="shared" si="20"/>
        <v>3729.68</v>
      </c>
      <c r="G447" s="44"/>
    </row>
    <row r="448" spans="1:12" ht="25.5">
      <c r="A448" s="1865">
        <v>2.2000000000000002</v>
      </c>
      <c r="B448" s="1766" t="s">
        <v>1957</v>
      </c>
      <c r="C448" s="1794">
        <v>3.38</v>
      </c>
      <c r="D448" s="713" t="s">
        <v>2</v>
      </c>
      <c r="E448" s="1755">
        <v>90</v>
      </c>
      <c r="F448" s="1864">
        <f t="shared" si="20"/>
        <v>304.2</v>
      </c>
      <c r="G448" s="44"/>
    </row>
    <row r="449" spans="1:8" ht="25.5">
      <c r="A449" s="1860">
        <v>2.2999999999999998</v>
      </c>
      <c r="B449" s="1766" t="s">
        <v>1579</v>
      </c>
      <c r="C449" s="31">
        <v>9.32</v>
      </c>
      <c r="D449" s="713" t="s">
        <v>2</v>
      </c>
      <c r="E449" s="1755">
        <v>210</v>
      </c>
      <c r="F449" s="1864">
        <f t="shared" si="20"/>
        <v>1957.2</v>
      </c>
      <c r="G449" s="44"/>
    </row>
    <row r="450" spans="1:8" ht="6" customHeight="1">
      <c r="A450" s="1860"/>
      <c r="B450" s="522"/>
      <c r="C450" s="31"/>
      <c r="D450" s="713"/>
      <c r="E450" s="1755"/>
      <c r="F450" s="1864">
        <f t="shared" si="20"/>
        <v>0</v>
      </c>
      <c r="G450" s="44"/>
    </row>
    <row r="451" spans="1:8" ht="12.75" customHeight="1">
      <c r="A451" s="1860">
        <v>3</v>
      </c>
      <c r="B451" s="808" t="s">
        <v>2248</v>
      </c>
      <c r="C451" s="31"/>
      <c r="D451" s="713"/>
      <c r="E451" s="1755"/>
      <c r="F451" s="1864">
        <f t="shared" si="20"/>
        <v>0</v>
      </c>
      <c r="G451" s="44"/>
    </row>
    <row r="452" spans="1:8" ht="12.75" customHeight="1">
      <c r="A452" s="1860">
        <v>3.1</v>
      </c>
      <c r="B452" s="1053" t="s">
        <v>1842</v>
      </c>
      <c r="C452" s="31">
        <v>3.17</v>
      </c>
      <c r="D452" s="713" t="s">
        <v>2</v>
      </c>
      <c r="E452" s="1755">
        <v>9717.9500000000007</v>
      </c>
      <c r="F452" s="1864">
        <f t="shared" si="20"/>
        <v>30805.9</v>
      </c>
      <c r="G452" s="44"/>
    </row>
    <row r="453" spans="1:8" ht="12.75" customHeight="1">
      <c r="A453" s="1860">
        <v>3.2</v>
      </c>
      <c r="B453" s="1053" t="s">
        <v>1843</v>
      </c>
      <c r="C453" s="31">
        <v>0.48</v>
      </c>
      <c r="D453" s="713" t="s">
        <v>2</v>
      </c>
      <c r="E453" s="1755">
        <v>28883.22</v>
      </c>
      <c r="F453" s="1864">
        <f t="shared" si="20"/>
        <v>13863.95</v>
      </c>
      <c r="G453" s="44"/>
    </row>
    <row r="454" spans="1:8" ht="12.75" customHeight="1">
      <c r="A454" s="1860">
        <v>3.3</v>
      </c>
      <c r="B454" s="1053" t="s">
        <v>1844</v>
      </c>
      <c r="C454" s="31">
        <v>0.42</v>
      </c>
      <c r="D454" s="713" t="s">
        <v>2</v>
      </c>
      <c r="E454" s="1755">
        <v>39917.5</v>
      </c>
      <c r="F454" s="1864">
        <f t="shared" si="20"/>
        <v>16765.349999999999</v>
      </c>
      <c r="G454" s="44"/>
    </row>
    <row r="455" spans="1:8" ht="12.75" customHeight="1">
      <c r="A455" s="1860">
        <v>3.4</v>
      </c>
      <c r="B455" s="1053" t="s">
        <v>1845</v>
      </c>
      <c r="C455" s="31">
        <v>7.0000000000000007E-2</v>
      </c>
      <c r="D455" s="713" t="s">
        <v>2</v>
      </c>
      <c r="E455" s="1755">
        <v>22065.01</v>
      </c>
      <c r="F455" s="1864">
        <f t="shared" si="20"/>
        <v>1544.55</v>
      </c>
      <c r="G455" s="44"/>
    </row>
    <row r="456" spans="1:8" ht="12.75" customHeight="1">
      <c r="A456" s="1860">
        <v>3.5</v>
      </c>
      <c r="B456" s="1053" t="s">
        <v>1846</v>
      </c>
      <c r="C456" s="31">
        <v>3.59</v>
      </c>
      <c r="D456" s="713" t="s">
        <v>2</v>
      </c>
      <c r="E456" s="1755">
        <v>11927.53</v>
      </c>
      <c r="F456" s="1864">
        <f t="shared" si="20"/>
        <v>42819.83</v>
      </c>
      <c r="G456" s="44"/>
    </row>
    <row r="457" spans="1:8" ht="12.75" customHeight="1">
      <c r="A457" s="1868">
        <v>3.6</v>
      </c>
      <c r="B457" s="1818" t="s">
        <v>1847</v>
      </c>
      <c r="C457" s="1813">
        <v>2.96</v>
      </c>
      <c r="D457" s="1821" t="s">
        <v>2</v>
      </c>
      <c r="E457" s="1820">
        <v>9251.8700000000008</v>
      </c>
      <c r="F457" s="1879">
        <f t="shared" si="20"/>
        <v>27385.54</v>
      </c>
      <c r="G457" s="44"/>
    </row>
    <row r="458" spans="1:8" ht="6" customHeight="1">
      <c r="A458" s="1860"/>
      <c r="B458" s="522"/>
      <c r="C458" s="31"/>
      <c r="D458" s="713"/>
      <c r="E458" s="1755"/>
      <c r="F458" s="1864"/>
      <c r="G458" s="44"/>
    </row>
    <row r="459" spans="1:8" ht="12.75" customHeight="1">
      <c r="A459" s="1860">
        <v>4</v>
      </c>
      <c r="B459" s="808" t="s">
        <v>1848</v>
      </c>
      <c r="C459" s="31"/>
      <c r="D459" s="713"/>
      <c r="E459" s="1755"/>
      <c r="F459" s="1864">
        <f t="shared" ref="F459:F478" si="21">ROUND(E459*C459,2)</f>
        <v>0</v>
      </c>
      <c r="G459" s="44"/>
    </row>
    <row r="460" spans="1:8" ht="12.75" customHeight="1">
      <c r="A460" s="1860">
        <v>4.0999999999999996</v>
      </c>
      <c r="B460" s="522" t="s">
        <v>1849</v>
      </c>
      <c r="C460" s="31">
        <v>11.2</v>
      </c>
      <c r="D460" s="713" t="s">
        <v>11</v>
      </c>
      <c r="E460" s="1755">
        <v>920.17</v>
      </c>
      <c r="F460" s="1864">
        <f t="shared" si="21"/>
        <v>10305.9</v>
      </c>
      <c r="G460" s="44"/>
    </row>
    <row r="461" spans="1:8" ht="12.75" customHeight="1">
      <c r="A461" s="1860">
        <v>4.2</v>
      </c>
      <c r="B461" s="522" t="s">
        <v>1850</v>
      </c>
      <c r="C461" s="31">
        <v>61.2</v>
      </c>
      <c r="D461" s="713" t="s">
        <v>11</v>
      </c>
      <c r="E461" s="1755">
        <v>935.33</v>
      </c>
      <c r="F461" s="1864">
        <f t="shared" si="21"/>
        <v>57242.2</v>
      </c>
      <c r="G461" s="44"/>
    </row>
    <row r="462" spans="1:8" ht="12.75" customHeight="1">
      <c r="A462" s="1860">
        <v>4.3</v>
      </c>
      <c r="B462" s="522" t="s">
        <v>1851</v>
      </c>
      <c r="C462" s="31">
        <v>4.82</v>
      </c>
      <c r="D462" s="713" t="s">
        <v>11</v>
      </c>
      <c r="E462" s="1755">
        <v>1096.42</v>
      </c>
      <c r="F462" s="1864">
        <f t="shared" si="21"/>
        <v>5284.74</v>
      </c>
      <c r="G462" s="44"/>
    </row>
    <row r="463" spans="1:8" s="1546" customFormat="1">
      <c r="A463" s="1860"/>
      <c r="B463" s="534"/>
      <c r="C463" s="31"/>
      <c r="D463" s="713"/>
      <c r="E463" s="1755"/>
      <c r="F463" s="1864">
        <f t="shared" si="21"/>
        <v>0</v>
      </c>
      <c r="G463" s="44"/>
      <c r="H463" s="44"/>
    </row>
    <row r="464" spans="1:8" s="1546" customFormat="1" ht="12.75" customHeight="1">
      <c r="A464" s="1861">
        <v>5</v>
      </c>
      <c r="B464" s="819" t="s">
        <v>586</v>
      </c>
      <c r="C464" s="31"/>
      <c r="D464" s="713"/>
      <c r="E464" s="1755"/>
      <c r="F464" s="1864">
        <f t="shared" si="21"/>
        <v>0</v>
      </c>
      <c r="G464" s="44"/>
      <c r="H464" s="44"/>
    </row>
    <row r="465" spans="1:11" s="1546" customFormat="1" ht="12.75" customHeight="1">
      <c r="A465" s="1860">
        <v>5.0999999999999996</v>
      </c>
      <c r="B465" s="534" t="s">
        <v>377</v>
      </c>
      <c r="C465" s="31">
        <v>80.37</v>
      </c>
      <c r="D465" s="713" t="s">
        <v>11</v>
      </c>
      <c r="E465" s="1755">
        <v>312.7</v>
      </c>
      <c r="F465" s="1864">
        <f t="shared" si="21"/>
        <v>25131.7</v>
      </c>
      <c r="G465" s="44"/>
      <c r="H465" s="44"/>
    </row>
    <row r="466" spans="1:11" s="1546" customFormat="1" ht="12.75" customHeight="1">
      <c r="A466" s="1860">
        <v>5.2</v>
      </c>
      <c r="B466" s="534" t="s">
        <v>152</v>
      </c>
      <c r="C466" s="31">
        <v>49.06</v>
      </c>
      <c r="D466" s="713" t="s">
        <v>11</v>
      </c>
      <c r="E466" s="1755">
        <v>331.47</v>
      </c>
      <c r="F466" s="1864">
        <f t="shared" si="21"/>
        <v>16261.92</v>
      </c>
      <c r="G466" s="44"/>
      <c r="H466" s="44"/>
    </row>
    <row r="467" spans="1:11" s="1546" customFormat="1" ht="12.75" customHeight="1">
      <c r="A467" s="1860">
        <v>5.3</v>
      </c>
      <c r="B467" s="534" t="s">
        <v>174</v>
      </c>
      <c r="C467" s="31">
        <v>27.63</v>
      </c>
      <c r="D467" s="713" t="s">
        <v>11</v>
      </c>
      <c r="E467" s="1755">
        <v>501.75</v>
      </c>
      <c r="F467" s="1864">
        <f t="shared" si="21"/>
        <v>13863.35</v>
      </c>
      <c r="G467" s="44"/>
      <c r="H467" s="44"/>
    </row>
    <row r="468" spans="1:11" s="1546" customFormat="1" ht="12.75" customHeight="1">
      <c r="A468" s="1860">
        <v>5.4</v>
      </c>
      <c r="B468" s="534" t="s">
        <v>1852</v>
      </c>
      <c r="C468" s="31">
        <v>111.17</v>
      </c>
      <c r="D468" s="713" t="s">
        <v>11</v>
      </c>
      <c r="E468" s="1755">
        <v>144</v>
      </c>
      <c r="F468" s="1864">
        <f t="shared" si="21"/>
        <v>16008.48</v>
      </c>
      <c r="G468" s="44"/>
      <c r="H468" s="44"/>
    </row>
    <row r="469" spans="1:11" s="1546" customFormat="1" ht="12.75" customHeight="1">
      <c r="A469" s="1860">
        <v>5.5</v>
      </c>
      <c r="B469" s="534" t="s">
        <v>1853</v>
      </c>
      <c r="C469" s="31">
        <v>17.39</v>
      </c>
      <c r="D469" s="713" t="s">
        <v>11</v>
      </c>
      <c r="E469" s="1755">
        <v>620.09</v>
      </c>
      <c r="F469" s="1864">
        <f t="shared" si="21"/>
        <v>10783.37</v>
      </c>
      <c r="G469" s="44"/>
      <c r="H469" s="44"/>
    </row>
    <row r="470" spans="1:11" s="1546" customFormat="1" ht="12.75" customHeight="1">
      <c r="A470" s="1860">
        <v>5.6</v>
      </c>
      <c r="B470" s="534" t="s">
        <v>765</v>
      </c>
      <c r="C470" s="31">
        <v>129.43</v>
      </c>
      <c r="D470" s="713" t="s">
        <v>1</v>
      </c>
      <c r="E470" s="1755">
        <v>82.21</v>
      </c>
      <c r="F470" s="1864">
        <f t="shared" si="21"/>
        <v>10640.44</v>
      </c>
      <c r="G470" s="44"/>
      <c r="H470" s="44"/>
    </row>
    <row r="471" spans="1:11" s="1546" customFormat="1" ht="8.25" customHeight="1">
      <c r="A471" s="1860"/>
      <c r="B471" s="534"/>
      <c r="C471" s="31"/>
      <c r="D471" s="713"/>
      <c r="E471" s="1755"/>
      <c r="F471" s="1864">
        <f t="shared" si="21"/>
        <v>0</v>
      </c>
      <c r="G471" s="44"/>
      <c r="H471" s="44"/>
    </row>
    <row r="472" spans="1:11" s="1546" customFormat="1" ht="12.75" customHeight="1">
      <c r="A472" s="1861">
        <v>6</v>
      </c>
      <c r="B472" s="819" t="s">
        <v>909</v>
      </c>
      <c r="C472" s="31"/>
      <c r="D472" s="713"/>
      <c r="E472" s="1755"/>
      <c r="F472" s="1864">
        <f t="shared" si="21"/>
        <v>0</v>
      </c>
      <c r="G472" s="44"/>
      <c r="H472" s="44"/>
    </row>
    <row r="473" spans="1:11" s="1546" customFormat="1" ht="12.75" customHeight="1">
      <c r="A473" s="1860">
        <v>6.1</v>
      </c>
      <c r="B473" s="534" t="s">
        <v>1854</v>
      </c>
      <c r="C473" s="31">
        <v>4.2</v>
      </c>
      <c r="D473" s="713" t="s">
        <v>11</v>
      </c>
      <c r="E473" s="1755">
        <v>5525.2</v>
      </c>
      <c r="F473" s="1864">
        <f t="shared" si="21"/>
        <v>23205.84</v>
      </c>
      <c r="G473" s="44"/>
      <c r="H473" s="44"/>
      <c r="J473" s="44"/>
    </row>
    <row r="474" spans="1:11" s="1546" customFormat="1" ht="6.75" customHeight="1">
      <c r="A474" s="1860"/>
      <c r="B474" s="534"/>
      <c r="C474" s="31"/>
      <c r="D474" s="713"/>
      <c r="E474" s="1755"/>
      <c r="F474" s="1864">
        <f t="shared" si="21"/>
        <v>0</v>
      </c>
      <c r="G474" s="44"/>
      <c r="H474" s="44"/>
    </row>
    <row r="475" spans="1:11" s="1546" customFormat="1" ht="12.75" customHeight="1">
      <c r="A475" s="1861">
        <v>7</v>
      </c>
      <c r="B475" s="819" t="s">
        <v>904</v>
      </c>
      <c r="C475" s="31"/>
      <c r="D475" s="713"/>
      <c r="E475" s="1755"/>
      <c r="F475" s="1864">
        <f t="shared" si="21"/>
        <v>0</v>
      </c>
      <c r="G475" s="44"/>
      <c r="H475" s="44"/>
    </row>
    <row r="476" spans="1:11" s="1546" customFormat="1" ht="12.75" customHeight="1">
      <c r="A476" s="1860">
        <v>7.1</v>
      </c>
      <c r="B476" s="534" t="s">
        <v>823</v>
      </c>
      <c r="C476" s="31">
        <v>1</v>
      </c>
      <c r="D476" s="713" t="s">
        <v>42</v>
      </c>
      <c r="E476" s="1755">
        <v>5000</v>
      </c>
      <c r="F476" s="1864">
        <f t="shared" si="21"/>
        <v>5000</v>
      </c>
      <c r="G476" s="44"/>
      <c r="H476" s="44"/>
      <c r="I476" s="44"/>
      <c r="J476" s="44"/>
      <c r="K476" s="44"/>
    </row>
    <row r="477" spans="1:11" s="1546" customFormat="1" ht="12.75" customHeight="1">
      <c r="A477" s="1860">
        <v>7.2</v>
      </c>
      <c r="B477" s="534" t="s">
        <v>1855</v>
      </c>
      <c r="C477" s="31">
        <v>6</v>
      </c>
      <c r="D477" s="713" t="s">
        <v>3</v>
      </c>
      <c r="E477" s="1755">
        <v>850</v>
      </c>
      <c r="F477" s="1864">
        <f t="shared" si="21"/>
        <v>5100</v>
      </c>
      <c r="G477" s="44"/>
      <c r="H477" s="44"/>
    </row>
    <row r="478" spans="1:11" s="1546" customFormat="1" ht="12.75" customHeight="1">
      <c r="A478" s="1860">
        <v>7.3</v>
      </c>
      <c r="B478" s="534" t="s">
        <v>876</v>
      </c>
      <c r="C478" s="31">
        <v>1</v>
      </c>
      <c r="D478" s="713" t="s">
        <v>3</v>
      </c>
      <c r="E478" s="1755">
        <v>5000</v>
      </c>
      <c r="F478" s="1864">
        <f t="shared" si="21"/>
        <v>5000</v>
      </c>
      <c r="G478" s="44"/>
      <c r="H478" s="44"/>
    </row>
    <row r="479" spans="1:11" s="1546" customFormat="1" ht="12.75" customHeight="1">
      <c r="A479" s="1860"/>
      <c r="B479" s="534"/>
      <c r="C479" s="31"/>
      <c r="D479" s="713"/>
      <c r="E479" s="1755"/>
      <c r="F479" s="1864"/>
      <c r="G479" s="44"/>
      <c r="H479" s="44"/>
    </row>
    <row r="480" spans="1:11" s="1539" customFormat="1" ht="16.5" customHeight="1">
      <c r="A480" s="1873"/>
      <c r="B480" s="1827" t="s">
        <v>2121</v>
      </c>
      <c r="C480" s="1827"/>
      <c r="D480" s="1827"/>
      <c r="E480" s="1828"/>
      <c r="F480" s="1874">
        <f>SUM(F444:F478)</f>
        <v>344504.14</v>
      </c>
      <c r="G480" s="1741"/>
    </row>
    <row r="481" spans="1:12" s="44" customFormat="1" ht="12.75" customHeight="1">
      <c r="A481" s="1860"/>
      <c r="B481" s="1767"/>
      <c r="C481" s="31">
        <v>0</v>
      </c>
      <c r="D481" s="713"/>
      <c r="E481" s="1755"/>
      <c r="F481" s="1864">
        <f>+ROUND((E481*C481),2)</f>
        <v>0</v>
      </c>
      <c r="G481" s="841"/>
      <c r="H481" s="841"/>
      <c r="I481" s="841"/>
      <c r="J481" s="841"/>
    </row>
    <row r="482" spans="1:12" s="44" customFormat="1" ht="12.75" customHeight="1">
      <c r="A482" s="1857" t="s">
        <v>912</v>
      </c>
      <c r="B482" s="819" t="s">
        <v>1668</v>
      </c>
      <c r="C482" s="31"/>
      <c r="D482" s="713"/>
      <c r="E482" s="1755"/>
      <c r="F482" s="1864">
        <f>+ROUND((E482*C482),2)</f>
        <v>0</v>
      </c>
    </row>
    <row r="483" spans="1:12">
      <c r="A483" s="1860"/>
      <c r="B483" s="522"/>
      <c r="C483" s="31"/>
      <c r="D483" s="713"/>
      <c r="E483" s="1755"/>
      <c r="F483" s="1864"/>
      <c r="G483" s="44"/>
    </row>
    <row r="484" spans="1:12">
      <c r="A484" s="1860">
        <v>1</v>
      </c>
      <c r="B484" s="522" t="s">
        <v>37</v>
      </c>
      <c r="C484" s="31">
        <v>1</v>
      </c>
      <c r="D484" s="713" t="s">
        <v>42</v>
      </c>
      <c r="E484" s="1755">
        <v>2500</v>
      </c>
      <c r="F484" s="1864">
        <f>ROUND(C484*E484,2)</f>
        <v>2500</v>
      </c>
      <c r="G484" s="44"/>
    </row>
    <row r="485" spans="1:12">
      <c r="A485" s="1860"/>
      <c r="B485" s="522"/>
      <c r="C485" s="31"/>
      <c r="D485" s="1794"/>
      <c r="E485" s="1755"/>
      <c r="F485" s="1864"/>
      <c r="G485" s="44"/>
    </row>
    <row r="486" spans="1:12">
      <c r="A486" s="1861">
        <v>2</v>
      </c>
      <c r="B486" s="819" t="s">
        <v>38</v>
      </c>
      <c r="C486" s="31"/>
      <c r="D486" s="1794"/>
      <c r="E486" s="1755"/>
      <c r="F486" s="1864"/>
      <c r="G486" s="44"/>
    </row>
    <row r="487" spans="1:12">
      <c r="A487" s="1860">
        <v>2.1</v>
      </c>
      <c r="B487" s="522" t="s">
        <v>879</v>
      </c>
      <c r="C487" s="31">
        <v>16.09</v>
      </c>
      <c r="D487" s="713" t="s">
        <v>2</v>
      </c>
      <c r="E487" s="1755">
        <v>334.5</v>
      </c>
      <c r="F487" s="1864">
        <f>ROUND(C487*E487,2)</f>
        <v>5382.11</v>
      </c>
      <c r="G487" s="44"/>
    </row>
    <row r="488" spans="1:12" s="1739" customFormat="1" ht="25.5">
      <c r="A488" s="1860">
        <v>2.2000000000000002</v>
      </c>
      <c r="B488" s="717" t="s">
        <v>1957</v>
      </c>
      <c r="C488" s="31">
        <v>6.93</v>
      </c>
      <c r="D488" s="713" t="s">
        <v>2</v>
      </c>
      <c r="E488" s="1755">
        <v>90</v>
      </c>
      <c r="F488" s="1864">
        <f>ROUND(C488*E488,2)</f>
        <v>623.70000000000005</v>
      </c>
      <c r="G488" s="842"/>
      <c r="H488" s="842"/>
      <c r="I488" s="842"/>
      <c r="J488" s="842"/>
      <c r="K488" s="842"/>
      <c r="L488" s="842"/>
    </row>
    <row r="489" spans="1:12" ht="25.5">
      <c r="A489" s="1860">
        <v>2.2999999999999998</v>
      </c>
      <c r="B489" s="717" t="s">
        <v>1579</v>
      </c>
      <c r="C489" s="31">
        <v>10.99</v>
      </c>
      <c r="D489" s="713" t="s">
        <v>2</v>
      </c>
      <c r="E489" s="1755">
        <v>210</v>
      </c>
      <c r="F489" s="1864">
        <f>ROUND(C489*E489,2)</f>
        <v>2307.9</v>
      </c>
      <c r="G489" s="44"/>
    </row>
    <row r="490" spans="1:12">
      <c r="A490" s="1860"/>
      <c r="B490" s="522"/>
      <c r="C490" s="31"/>
      <c r="D490" s="713"/>
      <c r="E490" s="1755"/>
      <c r="F490" s="1864"/>
      <c r="G490" s="44"/>
    </row>
    <row r="491" spans="1:12">
      <c r="A491" s="1861">
        <v>3</v>
      </c>
      <c r="B491" s="819" t="s">
        <v>2249</v>
      </c>
      <c r="C491" s="31"/>
      <c r="D491" s="713"/>
      <c r="E491" s="1755"/>
      <c r="F491" s="1864"/>
      <c r="G491" s="44"/>
    </row>
    <row r="492" spans="1:12">
      <c r="A492" s="1860">
        <v>3.1</v>
      </c>
      <c r="B492" s="522" t="s">
        <v>1669</v>
      </c>
      <c r="C492" s="31">
        <v>7.68</v>
      </c>
      <c r="D492" s="713" t="s">
        <v>2</v>
      </c>
      <c r="E492" s="1755">
        <v>8873.18</v>
      </c>
      <c r="F492" s="1864">
        <f>ROUND(C492*E492,2)</f>
        <v>68146.02</v>
      </c>
      <c r="G492" s="44"/>
    </row>
    <row r="493" spans="1:12">
      <c r="A493" s="1860">
        <v>3.2</v>
      </c>
      <c r="B493" s="522" t="s">
        <v>1670</v>
      </c>
      <c r="C493" s="31">
        <v>0.11</v>
      </c>
      <c r="D493" s="713" t="s">
        <v>2</v>
      </c>
      <c r="E493" s="1755">
        <v>25929.37</v>
      </c>
      <c r="F493" s="1864">
        <f>ROUND(C493*E493,2)</f>
        <v>2852.23</v>
      </c>
      <c r="G493" s="44"/>
    </row>
    <row r="494" spans="1:12">
      <c r="A494" s="1860">
        <v>3.3</v>
      </c>
      <c r="B494" s="522" t="s">
        <v>1671</v>
      </c>
      <c r="C494" s="31">
        <v>0.67</v>
      </c>
      <c r="D494" s="713" t="s">
        <v>2</v>
      </c>
      <c r="E494" s="1755">
        <v>21355.46</v>
      </c>
      <c r="F494" s="1864">
        <f>ROUND(C494*E494,2)</f>
        <v>14308.16</v>
      </c>
      <c r="G494" s="44"/>
    </row>
    <row r="495" spans="1:12">
      <c r="A495" s="1860">
        <v>3.4</v>
      </c>
      <c r="B495" s="522" t="s">
        <v>1672</v>
      </c>
      <c r="C495" s="31">
        <v>8.67</v>
      </c>
      <c r="D495" s="713" t="s">
        <v>2</v>
      </c>
      <c r="E495" s="1755">
        <v>14389.49</v>
      </c>
      <c r="F495" s="1864">
        <f>ROUND(C495*E495,2)</f>
        <v>124756.88</v>
      </c>
      <c r="G495" s="44"/>
    </row>
    <row r="496" spans="1:12">
      <c r="A496" s="1860">
        <v>3.5</v>
      </c>
      <c r="B496" s="522" t="s">
        <v>1673</v>
      </c>
      <c r="C496" s="31">
        <v>2</v>
      </c>
      <c r="D496" s="713" t="s">
        <v>3</v>
      </c>
      <c r="E496" s="1755">
        <v>16035.47</v>
      </c>
      <c r="F496" s="1864">
        <f>ROUND(C496*E496,2)</f>
        <v>32070.94</v>
      </c>
      <c r="G496" s="44"/>
    </row>
    <row r="497" spans="1:8">
      <c r="A497" s="1860"/>
      <c r="B497" s="522"/>
      <c r="C497" s="31"/>
      <c r="D497" s="713"/>
      <c r="E497" s="1755"/>
      <c r="F497" s="1864"/>
      <c r="G497" s="44"/>
    </row>
    <row r="498" spans="1:8">
      <c r="A498" s="1861">
        <v>4</v>
      </c>
      <c r="B498" s="819" t="s">
        <v>884</v>
      </c>
      <c r="C498" s="31"/>
      <c r="D498" s="713"/>
      <c r="E498" s="1755"/>
      <c r="F498" s="1864"/>
      <c r="G498" s="44"/>
      <c r="H498" s="510"/>
    </row>
    <row r="499" spans="1:8">
      <c r="A499" s="1860">
        <v>4.0999999999999996</v>
      </c>
      <c r="B499" s="522" t="s">
        <v>885</v>
      </c>
      <c r="C499" s="31">
        <v>124.08</v>
      </c>
      <c r="D499" s="713" t="s">
        <v>11</v>
      </c>
      <c r="E499" s="1755">
        <v>920.17</v>
      </c>
      <c r="F499" s="1864">
        <f t="shared" ref="F499:F511" si="22">ROUND(C499*E499,2)</f>
        <v>114174.69</v>
      </c>
      <c r="G499" s="44"/>
    </row>
    <row r="500" spans="1:8">
      <c r="A500" s="1860">
        <v>4.2</v>
      </c>
      <c r="B500" s="522" t="s">
        <v>1674</v>
      </c>
      <c r="C500" s="31">
        <v>4.51</v>
      </c>
      <c r="D500" s="713" t="s">
        <v>11</v>
      </c>
      <c r="E500" s="1755">
        <v>833.75</v>
      </c>
      <c r="F500" s="1864">
        <f t="shared" si="22"/>
        <v>3760.21</v>
      </c>
      <c r="G500" s="44"/>
    </row>
    <row r="501" spans="1:8">
      <c r="A501" s="1860"/>
      <c r="B501" s="522"/>
      <c r="C501" s="31"/>
      <c r="D501" s="713"/>
      <c r="E501" s="1755"/>
      <c r="F501" s="1864"/>
      <c r="G501" s="44"/>
    </row>
    <row r="502" spans="1:8">
      <c r="A502" s="1861">
        <v>5</v>
      </c>
      <c r="B502" s="819" t="s">
        <v>886</v>
      </c>
      <c r="C502" s="31"/>
      <c r="D502" s="713"/>
      <c r="E502" s="1755"/>
      <c r="F502" s="1864"/>
      <c r="G502" s="44"/>
    </row>
    <row r="503" spans="1:8">
      <c r="A503" s="1860">
        <v>5.0999999999999996</v>
      </c>
      <c r="B503" s="522" t="s">
        <v>1153</v>
      </c>
      <c r="C503" s="31">
        <v>334.81</v>
      </c>
      <c r="D503" s="713" t="s">
        <v>11</v>
      </c>
      <c r="E503" s="1755">
        <v>331.47</v>
      </c>
      <c r="F503" s="1864">
        <f t="shared" si="22"/>
        <v>110979.47</v>
      </c>
      <c r="G503" s="44"/>
    </row>
    <row r="504" spans="1:8">
      <c r="A504" s="1868">
        <v>5.5</v>
      </c>
      <c r="B504" s="1795" t="s">
        <v>618</v>
      </c>
      <c r="C504" s="1813">
        <v>201.45</v>
      </c>
      <c r="D504" s="1821" t="s">
        <v>11</v>
      </c>
      <c r="E504" s="1820">
        <v>82.21</v>
      </c>
      <c r="F504" s="1879">
        <f t="shared" si="22"/>
        <v>16561.2</v>
      </c>
      <c r="G504" s="44"/>
    </row>
    <row r="505" spans="1:8">
      <c r="A505" s="1860">
        <v>5.6</v>
      </c>
      <c r="B505" s="522" t="s">
        <v>1675</v>
      </c>
      <c r="C505" s="31">
        <v>61.58</v>
      </c>
      <c r="D505" s="713" t="s">
        <v>11</v>
      </c>
      <c r="E505" s="1755">
        <v>620.09</v>
      </c>
      <c r="F505" s="1864">
        <f t="shared" si="22"/>
        <v>38185.14</v>
      </c>
      <c r="G505" s="44"/>
    </row>
    <row r="506" spans="1:8">
      <c r="A506" s="1860">
        <v>5.6</v>
      </c>
      <c r="B506" s="522" t="s">
        <v>1676</v>
      </c>
      <c r="C506" s="31">
        <v>46.2</v>
      </c>
      <c r="D506" s="713" t="s">
        <v>11</v>
      </c>
      <c r="E506" s="1755">
        <v>863.74</v>
      </c>
      <c r="F506" s="1864">
        <f t="shared" si="22"/>
        <v>39904.79</v>
      </c>
      <c r="G506" s="44"/>
    </row>
    <row r="507" spans="1:8">
      <c r="A507" s="1860">
        <v>5.7</v>
      </c>
      <c r="B507" s="522" t="s">
        <v>889</v>
      </c>
      <c r="C507" s="31">
        <v>86.58</v>
      </c>
      <c r="D507" s="713" t="s">
        <v>11</v>
      </c>
      <c r="E507" s="1755">
        <v>501.75</v>
      </c>
      <c r="F507" s="1864">
        <f t="shared" si="22"/>
        <v>43441.52</v>
      </c>
      <c r="G507" s="44"/>
    </row>
    <row r="508" spans="1:8">
      <c r="A508" s="1860">
        <v>5.8</v>
      </c>
      <c r="B508" s="522" t="s">
        <v>890</v>
      </c>
      <c r="C508" s="31">
        <v>54.95</v>
      </c>
      <c r="D508" s="713" t="s">
        <v>1</v>
      </c>
      <c r="E508" s="1755">
        <v>237.97</v>
      </c>
      <c r="F508" s="1864">
        <f t="shared" si="22"/>
        <v>13076.45</v>
      </c>
      <c r="G508" s="44"/>
    </row>
    <row r="509" spans="1:8">
      <c r="A509" s="1860">
        <v>5.9</v>
      </c>
      <c r="B509" s="522" t="s">
        <v>1677</v>
      </c>
      <c r="C509" s="31">
        <v>28.56</v>
      </c>
      <c r="D509" s="713" t="s">
        <v>11</v>
      </c>
      <c r="E509" s="1755">
        <v>777.08</v>
      </c>
      <c r="F509" s="1864">
        <f t="shared" si="22"/>
        <v>22193.4</v>
      </c>
      <c r="G509" s="44"/>
    </row>
    <row r="510" spans="1:8">
      <c r="A510" s="1860">
        <v>5.0999999999999996</v>
      </c>
      <c r="B510" s="522" t="s">
        <v>202</v>
      </c>
      <c r="C510" s="31">
        <v>334.81</v>
      </c>
      <c r="D510" s="713" t="s">
        <v>11</v>
      </c>
      <c r="E510" s="1755">
        <v>144</v>
      </c>
      <c r="F510" s="1864">
        <f t="shared" si="22"/>
        <v>48212.639999999999</v>
      </c>
      <c r="G510" s="44"/>
    </row>
    <row r="511" spans="1:8">
      <c r="A511" s="1860">
        <v>5.1100000000000003</v>
      </c>
      <c r="B511" s="522" t="s">
        <v>862</v>
      </c>
      <c r="C511" s="31">
        <v>38.5</v>
      </c>
      <c r="D511" s="713" t="s">
        <v>1</v>
      </c>
      <c r="E511" s="1755">
        <v>530.77</v>
      </c>
      <c r="F511" s="1864">
        <f t="shared" si="22"/>
        <v>20434.650000000001</v>
      </c>
      <c r="G511" s="44"/>
    </row>
    <row r="512" spans="1:8" ht="5.25" customHeight="1">
      <c r="A512" s="1860"/>
      <c r="B512" s="522"/>
      <c r="C512" s="31"/>
      <c r="D512" s="713"/>
      <c r="E512" s="1755"/>
      <c r="F512" s="1864"/>
      <c r="G512" s="44"/>
    </row>
    <row r="513" spans="1:7">
      <c r="A513" s="1861">
        <v>6</v>
      </c>
      <c r="B513" s="819" t="s">
        <v>892</v>
      </c>
      <c r="C513" s="31"/>
      <c r="D513" s="713"/>
      <c r="E513" s="1755"/>
      <c r="F513" s="1864"/>
      <c r="G513" s="44"/>
    </row>
    <row r="514" spans="1:7">
      <c r="A514" s="1860">
        <v>6.1</v>
      </c>
      <c r="B514" s="522" t="s">
        <v>893</v>
      </c>
      <c r="C514" s="31">
        <v>1</v>
      </c>
      <c r="D514" s="713" t="s">
        <v>3</v>
      </c>
      <c r="E514" s="1755">
        <v>3500</v>
      </c>
      <c r="F514" s="1864">
        <f t="shared" ref="F514:F526" si="23">ROUND(C514*E514,2)</f>
        <v>3500</v>
      </c>
      <c r="G514" s="44"/>
    </row>
    <row r="515" spans="1:7">
      <c r="A515" s="1860">
        <v>6.2</v>
      </c>
      <c r="B515" s="522" t="s">
        <v>894</v>
      </c>
      <c r="C515" s="31">
        <v>1</v>
      </c>
      <c r="D515" s="713" t="s">
        <v>3</v>
      </c>
      <c r="E515" s="1755">
        <v>5681.82</v>
      </c>
      <c r="F515" s="1864">
        <f t="shared" si="23"/>
        <v>5681.82</v>
      </c>
      <c r="G515" s="44"/>
    </row>
    <row r="516" spans="1:7">
      <c r="A516" s="1860">
        <v>6.3</v>
      </c>
      <c r="B516" s="522" t="s">
        <v>811</v>
      </c>
      <c r="C516" s="31">
        <v>1</v>
      </c>
      <c r="D516" s="713" t="s">
        <v>3</v>
      </c>
      <c r="E516" s="1755">
        <v>5384.47</v>
      </c>
      <c r="F516" s="1864">
        <f t="shared" si="23"/>
        <v>5384.47</v>
      </c>
      <c r="G516" s="44"/>
    </row>
    <row r="517" spans="1:7">
      <c r="A517" s="1860">
        <v>6.4</v>
      </c>
      <c r="B517" s="522" t="s">
        <v>895</v>
      </c>
      <c r="C517" s="31">
        <v>1</v>
      </c>
      <c r="D517" s="713" t="s">
        <v>3</v>
      </c>
      <c r="E517" s="1755">
        <v>297.88</v>
      </c>
      <c r="F517" s="1864">
        <f t="shared" si="23"/>
        <v>297.88</v>
      </c>
      <c r="G517" s="44"/>
    </row>
    <row r="518" spans="1:7">
      <c r="A518" s="1860">
        <v>6.5</v>
      </c>
      <c r="B518" s="522" t="s">
        <v>896</v>
      </c>
      <c r="C518" s="31">
        <v>1</v>
      </c>
      <c r="D518" s="713" t="s">
        <v>3</v>
      </c>
      <c r="E518" s="1755">
        <v>401.21</v>
      </c>
      <c r="F518" s="1864">
        <f t="shared" si="23"/>
        <v>401.21</v>
      </c>
      <c r="G518" s="44"/>
    </row>
    <row r="519" spans="1:7">
      <c r="A519" s="1860">
        <v>6.6</v>
      </c>
      <c r="B519" s="522" t="s">
        <v>897</v>
      </c>
      <c r="C519" s="31">
        <v>1</v>
      </c>
      <c r="D519" s="713" t="s">
        <v>3</v>
      </c>
      <c r="E519" s="1755">
        <v>531</v>
      </c>
      <c r="F519" s="1864">
        <f t="shared" si="23"/>
        <v>531</v>
      </c>
      <c r="G519" s="44"/>
    </row>
    <row r="520" spans="1:7">
      <c r="A520" s="1860">
        <v>6.7</v>
      </c>
      <c r="B520" s="522" t="s">
        <v>898</v>
      </c>
      <c r="C520" s="31">
        <v>1</v>
      </c>
      <c r="D520" s="713" t="s">
        <v>3</v>
      </c>
      <c r="E520" s="1755">
        <v>3652.1</v>
      </c>
      <c r="F520" s="1864">
        <f t="shared" si="23"/>
        <v>3652.1</v>
      </c>
      <c r="G520" s="44"/>
    </row>
    <row r="521" spans="1:7">
      <c r="A521" s="1860">
        <v>6.8</v>
      </c>
      <c r="B521" s="522" t="s">
        <v>899</v>
      </c>
      <c r="C521" s="31">
        <v>3</v>
      </c>
      <c r="D521" s="713" t="s">
        <v>3</v>
      </c>
      <c r="E521" s="1755">
        <v>4000</v>
      </c>
      <c r="F521" s="1864">
        <f t="shared" si="23"/>
        <v>12000</v>
      </c>
      <c r="G521" s="44"/>
    </row>
    <row r="522" spans="1:7">
      <c r="A522" s="1860">
        <v>6.9</v>
      </c>
      <c r="B522" s="522" t="s">
        <v>900</v>
      </c>
      <c r="C522" s="31">
        <v>1</v>
      </c>
      <c r="D522" s="713" t="s">
        <v>3</v>
      </c>
      <c r="E522" s="1755">
        <v>5495.35</v>
      </c>
      <c r="F522" s="1864">
        <f t="shared" si="23"/>
        <v>5495.35</v>
      </c>
      <c r="G522" s="44"/>
    </row>
    <row r="523" spans="1:7">
      <c r="A523" s="1860">
        <v>6.1</v>
      </c>
      <c r="B523" s="522" t="s">
        <v>901</v>
      </c>
      <c r="C523" s="31">
        <v>1</v>
      </c>
      <c r="D523" s="713" t="s">
        <v>3</v>
      </c>
      <c r="E523" s="1755">
        <v>350000</v>
      </c>
      <c r="F523" s="1864">
        <f t="shared" si="23"/>
        <v>350000</v>
      </c>
      <c r="G523" s="44"/>
    </row>
    <row r="524" spans="1:7">
      <c r="A524" s="1860">
        <v>6.11</v>
      </c>
      <c r="B524" s="522" t="s">
        <v>902</v>
      </c>
      <c r="C524" s="31">
        <v>1</v>
      </c>
      <c r="D524" s="713" t="s">
        <v>3</v>
      </c>
      <c r="E524" s="1755">
        <v>45000</v>
      </c>
      <c r="F524" s="1864">
        <f t="shared" si="23"/>
        <v>45000</v>
      </c>
      <c r="G524" s="44"/>
    </row>
    <row r="525" spans="1:7">
      <c r="A525" s="1860">
        <v>6.12</v>
      </c>
      <c r="B525" s="522" t="s">
        <v>903</v>
      </c>
      <c r="C525" s="1794">
        <v>1</v>
      </c>
      <c r="D525" s="1794" t="s">
        <v>42</v>
      </c>
      <c r="E525" s="1794">
        <v>5000</v>
      </c>
      <c r="F525" s="1856">
        <f t="shared" si="23"/>
        <v>5000</v>
      </c>
      <c r="G525" s="44"/>
    </row>
    <row r="526" spans="1:7">
      <c r="A526" s="1860">
        <v>6.13</v>
      </c>
      <c r="B526" s="522" t="s">
        <v>818</v>
      </c>
      <c r="C526" s="31">
        <v>1</v>
      </c>
      <c r="D526" s="713" t="s">
        <v>42</v>
      </c>
      <c r="E526" s="1755">
        <v>6000</v>
      </c>
      <c r="F526" s="1864">
        <f t="shared" si="23"/>
        <v>6000</v>
      </c>
      <c r="G526" s="44"/>
    </row>
    <row r="527" spans="1:7">
      <c r="A527" s="1860"/>
      <c r="B527" s="522"/>
      <c r="C527" s="31"/>
      <c r="D527" s="713"/>
      <c r="E527" s="1755"/>
      <c r="F527" s="1864"/>
      <c r="G527" s="44"/>
    </row>
    <row r="528" spans="1:7">
      <c r="A528" s="1861">
        <v>7</v>
      </c>
      <c r="B528" s="819" t="s">
        <v>904</v>
      </c>
      <c r="C528" s="31"/>
      <c r="D528" s="713"/>
      <c r="E528" s="1755"/>
      <c r="F528" s="1864"/>
      <c r="G528" s="44"/>
    </row>
    <row r="529" spans="1:8">
      <c r="A529" s="1860">
        <v>7.1</v>
      </c>
      <c r="B529" s="522" t="s">
        <v>905</v>
      </c>
      <c r="C529" s="31">
        <v>8</v>
      </c>
      <c r="D529" s="713" t="s">
        <v>3</v>
      </c>
      <c r="E529" s="1755">
        <v>1431.87</v>
      </c>
      <c r="F529" s="1864">
        <f t="shared" ref="F529:F542" si="24">ROUND(C529*E529,2)</f>
        <v>11454.96</v>
      </c>
      <c r="G529" s="44"/>
    </row>
    <row r="530" spans="1:8">
      <c r="A530" s="1860">
        <v>7.2</v>
      </c>
      <c r="B530" s="522" t="s">
        <v>906</v>
      </c>
      <c r="C530" s="31">
        <v>10</v>
      </c>
      <c r="D530" s="713" t="s">
        <v>3</v>
      </c>
      <c r="E530" s="1755">
        <v>940.15</v>
      </c>
      <c r="F530" s="1864">
        <f t="shared" si="24"/>
        <v>9401.5</v>
      </c>
      <c r="G530" s="44"/>
    </row>
    <row r="531" spans="1:8">
      <c r="A531" s="1860">
        <v>7.3</v>
      </c>
      <c r="B531" s="522" t="s">
        <v>907</v>
      </c>
      <c r="C531" s="31">
        <v>8</v>
      </c>
      <c r="D531" s="713" t="s">
        <v>3</v>
      </c>
      <c r="E531" s="1755">
        <v>745</v>
      </c>
      <c r="F531" s="1864">
        <f t="shared" si="24"/>
        <v>5960</v>
      </c>
      <c r="G531" s="44"/>
    </row>
    <row r="532" spans="1:8">
      <c r="A532" s="1860">
        <v>7.4</v>
      </c>
      <c r="B532" s="522" t="s">
        <v>908</v>
      </c>
      <c r="C532" s="31">
        <v>1</v>
      </c>
      <c r="D532" s="713" t="s">
        <v>3</v>
      </c>
      <c r="E532" s="1755">
        <v>2424</v>
      </c>
      <c r="F532" s="1864">
        <f t="shared" si="24"/>
        <v>2424</v>
      </c>
      <c r="G532" s="44"/>
    </row>
    <row r="533" spans="1:8">
      <c r="A533" s="1860">
        <v>7.5</v>
      </c>
      <c r="B533" s="522" t="s">
        <v>823</v>
      </c>
      <c r="C533" s="31">
        <v>1</v>
      </c>
      <c r="D533" s="713" t="s">
        <v>42</v>
      </c>
      <c r="E533" s="1755"/>
      <c r="F533" s="1864">
        <f t="shared" si="24"/>
        <v>0</v>
      </c>
      <c r="G533" s="44"/>
    </row>
    <row r="534" spans="1:8">
      <c r="A534" s="1860"/>
      <c r="B534" s="522"/>
      <c r="C534" s="31"/>
      <c r="D534" s="713"/>
      <c r="E534" s="1755"/>
      <c r="F534" s="1864"/>
      <c r="G534" s="44"/>
    </row>
    <row r="535" spans="1:8">
      <c r="A535" s="1861">
        <v>8</v>
      </c>
      <c r="B535" s="819" t="s">
        <v>909</v>
      </c>
      <c r="C535" s="31"/>
      <c r="D535" s="713"/>
      <c r="E535" s="1755"/>
      <c r="F535" s="1864"/>
      <c r="G535" s="44"/>
    </row>
    <row r="536" spans="1:8">
      <c r="A536" s="1860">
        <v>8.1</v>
      </c>
      <c r="B536" s="522" t="s">
        <v>1678</v>
      </c>
      <c r="C536" s="31">
        <v>3.78</v>
      </c>
      <c r="D536" s="713" t="s">
        <v>11</v>
      </c>
      <c r="E536" s="1755">
        <v>2804.23</v>
      </c>
      <c r="F536" s="1864">
        <f t="shared" si="24"/>
        <v>10599.99</v>
      </c>
      <c r="G536" s="44"/>
      <c r="H536" s="510"/>
    </row>
    <row r="537" spans="1:8">
      <c r="A537" s="1860">
        <v>8.1999999999999993</v>
      </c>
      <c r="B537" s="522" t="s">
        <v>1679</v>
      </c>
      <c r="C537" s="31">
        <v>7.04</v>
      </c>
      <c r="D537" s="713" t="s">
        <v>11</v>
      </c>
      <c r="E537" s="1755">
        <v>2000</v>
      </c>
      <c r="F537" s="1864">
        <f t="shared" si="24"/>
        <v>14080</v>
      </c>
      <c r="G537" s="44"/>
      <c r="H537" s="510"/>
    </row>
    <row r="538" spans="1:8">
      <c r="A538" s="1860"/>
      <c r="B538" s="522"/>
      <c r="C538" s="31"/>
      <c r="D538" s="713"/>
      <c r="E538" s="1755"/>
      <c r="F538" s="1864"/>
      <c r="G538" s="44"/>
    </row>
    <row r="539" spans="1:8">
      <c r="A539" s="1861">
        <v>9</v>
      </c>
      <c r="B539" s="819" t="s">
        <v>910</v>
      </c>
      <c r="C539" s="31"/>
      <c r="D539" s="713"/>
      <c r="E539" s="1755"/>
      <c r="F539" s="1864"/>
      <c r="G539" s="44"/>
    </row>
    <row r="540" spans="1:8">
      <c r="A540" s="1860">
        <v>9.1</v>
      </c>
      <c r="B540" s="522" t="s">
        <v>911</v>
      </c>
      <c r="C540" s="31">
        <v>80.48</v>
      </c>
      <c r="D540" s="713" t="s">
        <v>155</v>
      </c>
      <c r="E540" s="1755">
        <v>450</v>
      </c>
      <c r="F540" s="1864">
        <f t="shared" si="24"/>
        <v>36216</v>
      </c>
      <c r="G540" s="44"/>
    </row>
    <row r="541" spans="1:8">
      <c r="A541" s="1860"/>
      <c r="B541" s="522"/>
      <c r="C541" s="31"/>
      <c r="D541" s="713"/>
      <c r="E541" s="1755"/>
      <c r="F541" s="1864"/>
      <c r="G541" s="44"/>
    </row>
    <row r="542" spans="1:8">
      <c r="A542" s="1860">
        <v>10</v>
      </c>
      <c r="B542" s="522" t="s">
        <v>876</v>
      </c>
      <c r="C542" s="31">
        <v>1</v>
      </c>
      <c r="D542" s="713" t="s">
        <v>42</v>
      </c>
      <c r="E542" s="1755">
        <v>2000</v>
      </c>
      <c r="F542" s="1864">
        <f t="shared" si="24"/>
        <v>2000</v>
      </c>
      <c r="G542" s="44"/>
    </row>
    <row r="543" spans="1:8" s="1539" customFormat="1" ht="16.5" customHeight="1">
      <c r="A543" s="1873"/>
      <c r="B543" s="1827" t="s">
        <v>2122</v>
      </c>
      <c r="C543" s="1827"/>
      <c r="D543" s="1827"/>
      <c r="E543" s="1828"/>
      <c r="F543" s="1874">
        <f>SUM(F482:F542)</f>
        <v>1258952.3799999999</v>
      </c>
      <c r="G543" s="1741"/>
    </row>
    <row r="544" spans="1:8" s="1546" customFormat="1" ht="12.75" customHeight="1">
      <c r="A544" s="1860"/>
      <c r="B544" s="522"/>
      <c r="C544" s="31"/>
      <c r="D544" s="522"/>
      <c r="E544" s="522"/>
      <c r="F544" s="1864"/>
      <c r="G544" s="44"/>
      <c r="H544" s="44"/>
    </row>
    <row r="545" spans="1:7">
      <c r="A545" s="1857" t="s">
        <v>2120</v>
      </c>
      <c r="B545" s="819" t="s">
        <v>2164</v>
      </c>
      <c r="C545" s="522">
        <v>0</v>
      </c>
      <c r="D545" s="522"/>
      <c r="E545" s="522">
        <v>0</v>
      </c>
      <c r="F545" s="1864"/>
      <c r="G545" s="44"/>
    </row>
    <row r="546" spans="1:7">
      <c r="A546" s="1860"/>
      <c r="B546" s="522"/>
      <c r="C546" s="31">
        <v>0</v>
      </c>
      <c r="D546" s="522"/>
      <c r="E546" s="522">
        <v>0</v>
      </c>
      <c r="F546" s="1864"/>
      <c r="G546" s="44"/>
    </row>
    <row r="547" spans="1:7">
      <c r="A547" s="1857" t="s">
        <v>2273</v>
      </c>
      <c r="B547" s="819" t="s">
        <v>2261</v>
      </c>
      <c r="C547" s="31"/>
      <c r="D547" s="522"/>
      <c r="E547" s="522"/>
      <c r="F547" s="1864"/>
      <c r="G547" s="44"/>
    </row>
    <row r="548" spans="1:7">
      <c r="A548" s="1860"/>
      <c r="B548" s="522"/>
      <c r="C548" s="31"/>
      <c r="D548" s="1794"/>
      <c r="E548" s="1755"/>
      <c r="F548" s="1864"/>
      <c r="G548" s="44"/>
    </row>
    <row r="549" spans="1:7">
      <c r="A549" s="1897">
        <v>1</v>
      </c>
      <c r="B549" s="819" t="s">
        <v>2165</v>
      </c>
      <c r="C549" s="31"/>
      <c r="D549" s="713"/>
      <c r="E549" s="1755">
        <v>0</v>
      </c>
      <c r="F549" s="1864"/>
      <c r="G549" s="44"/>
    </row>
    <row r="550" spans="1:7">
      <c r="A550" s="1868">
        <f>+A549+0.1</f>
        <v>1.1000000000000001</v>
      </c>
      <c r="B550" s="1795" t="s">
        <v>2166</v>
      </c>
      <c r="C550" s="1813">
        <v>2</v>
      </c>
      <c r="D550" s="1821" t="s">
        <v>578</v>
      </c>
      <c r="E550" s="1820">
        <v>20500</v>
      </c>
      <c r="F550" s="1879">
        <f>ROUND(C550*E550,2)</f>
        <v>41000</v>
      </c>
      <c r="G550" s="44"/>
    </row>
    <row r="551" spans="1:7">
      <c r="A551" s="1860"/>
      <c r="B551" s="522"/>
      <c r="C551" s="31"/>
      <c r="D551" s="713"/>
      <c r="E551" s="1755"/>
      <c r="F551" s="1864"/>
      <c r="G551" s="44"/>
    </row>
    <row r="552" spans="1:7">
      <c r="A552" s="1897">
        <v>2</v>
      </c>
      <c r="B552" s="819" t="s">
        <v>38</v>
      </c>
      <c r="C552" s="31"/>
      <c r="D552" s="713"/>
      <c r="E552" s="1755"/>
      <c r="F552" s="1864"/>
      <c r="G552" s="44"/>
    </row>
    <row r="553" spans="1:7">
      <c r="A553" s="1860">
        <v>2.1</v>
      </c>
      <c r="B553" s="522" t="s">
        <v>2266</v>
      </c>
      <c r="C553" s="31">
        <v>275.52</v>
      </c>
      <c r="D553" s="713" t="s">
        <v>2</v>
      </c>
      <c r="E553" s="1755">
        <v>334.5</v>
      </c>
      <c r="F553" s="1864">
        <f>ROUND(C553*E553,2)</f>
        <v>92161.44</v>
      </c>
      <c r="G553" s="44"/>
    </row>
    <row r="554" spans="1:7">
      <c r="A554" s="1860">
        <v>2.2000000000000002</v>
      </c>
      <c r="B554" s="522" t="s">
        <v>2167</v>
      </c>
      <c r="C554" s="31">
        <v>79.61</v>
      </c>
      <c r="D554" s="713" t="s">
        <v>2</v>
      </c>
      <c r="E554" s="1755">
        <v>183.5</v>
      </c>
      <c r="F554" s="1864">
        <f>ROUND(C554*E554,2)</f>
        <v>14608.44</v>
      </c>
      <c r="G554" s="44"/>
    </row>
    <row r="555" spans="1:7">
      <c r="A555" s="1860">
        <v>2.2999999999999998</v>
      </c>
      <c r="B555" s="522" t="s">
        <v>2168</v>
      </c>
      <c r="C555" s="31">
        <v>244.88</v>
      </c>
      <c r="D555" s="713" t="s">
        <v>2</v>
      </c>
      <c r="E555" s="1755">
        <v>210</v>
      </c>
      <c r="F555" s="1864">
        <f>ROUND(C555*E555,2)</f>
        <v>51424.800000000003</v>
      </c>
      <c r="G555" s="44"/>
    </row>
    <row r="556" spans="1:7">
      <c r="A556" s="1860"/>
      <c r="B556" s="522"/>
      <c r="C556" s="31"/>
      <c r="D556" s="713"/>
      <c r="E556" s="1755"/>
      <c r="F556" s="1864"/>
      <c r="G556" s="44"/>
    </row>
    <row r="557" spans="1:7">
      <c r="A557" s="1897">
        <v>3</v>
      </c>
      <c r="B557" s="819" t="s">
        <v>2274</v>
      </c>
      <c r="C557" s="31"/>
      <c r="D557" s="713"/>
      <c r="E557" s="1755"/>
      <c r="F557" s="1864"/>
      <c r="G557" s="44"/>
    </row>
    <row r="558" spans="1:7">
      <c r="A558" s="1860">
        <v>3.1</v>
      </c>
      <c r="B558" s="522" t="s">
        <v>2262</v>
      </c>
      <c r="C558" s="31">
        <v>36.46</v>
      </c>
      <c r="D558" s="713" t="s">
        <v>2</v>
      </c>
      <c r="E558" s="1755">
        <v>20809.66</v>
      </c>
      <c r="F558" s="1864">
        <f>ROUND(C558*E558,2)</f>
        <v>758720.2</v>
      </c>
      <c r="G558" s="44"/>
    </row>
    <row r="559" spans="1:7">
      <c r="A559" s="1860">
        <v>3.2</v>
      </c>
      <c r="B559" s="522" t="s">
        <v>2310</v>
      </c>
      <c r="C559" s="31">
        <v>29.98</v>
      </c>
      <c r="D559" s="713" t="s">
        <v>2</v>
      </c>
      <c r="E559" s="1755">
        <v>13096.66</v>
      </c>
      <c r="F559" s="1864">
        <f>ROUND(C559*E559,2)</f>
        <v>392637.87</v>
      </c>
      <c r="G559" s="44"/>
    </row>
    <row r="560" spans="1:7">
      <c r="A560" s="1860">
        <v>3.3</v>
      </c>
      <c r="B560" s="522" t="s">
        <v>2263</v>
      </c>
      <c r="C560" s="31">
        <v>0.81</v>
      </c>
      <c r="D560" s="713" t="s">
        <v>2</v>
      </c>
      <c r="E560" s="1755">
        <v>13682.2</v>
      </c>
      <c r="F560" s="1864">
        <f>ROUND(C560*E560,2)</f>
        <v>11082.58</v>
      </c>
      <c r="G560" s="44"/>
    </row>
    <row r="561" spans="1:7">
      <c r="A561" s="1860"/>
      <c r="B561" s="522"/>
      <c r="C561" s="31"/>
      <c r="D561" s="713"/>
      <c r="E561" s="1755"/>
      <c r="F561" s="1864"/>
      <c r="G561" s="44"/>
    </row>
    <row r="562" spans="1:7">
      <c r="A562" s="1897">
        <v>4</v>
      </c>
      <c r="B562" s="819" t="s">
        <v>586</v>
      </c>
      <c r="C562" s="31"/>
      <c r="D562" s="713"/>
      <c r="E562" s="1755"/>
      <c r="F562" s="1864"/>
      <c r="G562" s="44"/>
    </row>
    <row r="563" spans="1:7">
      <c r="A563" s="1860">
        <v>4.0999999999999996</v>
      </c>
      <c r="B563" s="522" t="s">
        <v>377</v>
      </c>
      <c r="C563" s="31">
        <v>161.94999999999999</v>
      </c>
      <c r="D563" s="713" t="s">
        <v>11</v>
      </c>
      <c r="E563" s="1755">
        <v>312.7</v>
      </c>
      <c r="F563" s="1864">
        <f>ROUND(C563*E563,2)</f>
        <v>50641.77</v>
      </c>
      <c r="G563" s="44"/>
    </row>
    <row r="564" spans="1:7">
      <c r="A564" s="1860">
        <v>4.2</v>
      </c>
      <c r="B564" s="522" t="s">
        <v>1788</v>
      </c>
      <c r="C564" s="31">
        <v>41.3</v>
      </c>
      <c r="D564" s="713" t="s">
        <v>11</v>
      </c>
      <c r="E564" s="1755">
        <v>331.47</v>
      </c>
      <c r="F564" s="1864">
        <f>ROUND(C564*E564,2)</f>
        <v>13689.71</v>
      </c>
      <c r="G564" s="44"/>
    </row>
    <row r="565" spans="1:7">
      <c r="A565" s="1860">
        <v>4.3</v>
      </c>
      <c r="B565" s="522" t="s">
        <v>170</v>
      </c>
      <c r="C565" s="31">
        <v>65.760000000000005</v>
      </c>
      <c r="D565" s="713" t="s">
        <v>11</v>
      </c>
      <c r="E565" s="1755">
        <v>518.98</v>
      </c>
      <c r="F565" s="1864">
        <f>ROUND(C565*E565,2)</f>
        <v>34128.120000000003</v>
      </c>
      <c r="G565" s="44"/>
    </row>
    <row r="566" spans="1:7">
      <c r="A566" s="1860">
        <v>4.4000000000000004</v>
      </c>
      <c r="B566" s="522" t="s">
        <v>2264</v>
      </c>
      <c r="C566" s="31">
        <v>98.97</v>
      </c>
      <c r="D566" s="713" t="s">
        <v>1</v>
      </c>
      <c r="E566" s="1755">
        <v>82.21</v>
      </c>
      <c r="F566" s="1864">
        <f>ROUND(C566*E566,2)</f>
        <v>8136.32</v>
      </c>
      <c r="G566" s="44"/>
    </row>
    <row r="567" spans="1:7">
      <c r="A567" s="1860"/>
      <c r="B567" s="522"/>
      <c r="C567" s="31"/>
      <c r="D567" s="713"/>
      <c r="E567" s="1755"/>
      <c r="F567" s="1864"/>
      <c r="G567" s="44"/>
    </row>
    <row r="568" spans="1:7">
      <c r="A568" s="1897">
        <v>5</v>
      </c>
      <c r="B568" s="819" t="s">
        <v>2265</v>
      </c>
      <c r="C568" s="31"/>
      <c r="D568" s="713"/>
      <c r="E568" s="1755"/>
      <c r="F568" s="1864"/>
      <c r="G568" s="44"/>
    </row>
    <row r="569" spans="1:7">
      <c r="A569" s="1860">
        <v>5.0999999999999996</v>
      </c>
      <c r="B569" s="522" t="s">
        <v>2275</v>
      </c>
      <c r="C569" s="1834">
        <v>2</v>
      </c>
      <c r="D569" s="713" t="s">
        <v>3</v>
      </c>
      <c r="E569" s="1755">
        <v>42500</v>
      </c>
      <c r="F569" s="1856">
        <f>ROUND(C569*E569,2)</f>
        <v>85000</v>
      </c>
      <c r="G569" s="44"/>
    </row>
    <row r="570" spans="1:7">
      <c r="A570" s="1860"/>
      <c r="B570" s="522"/>
      <c r="C570" s="31"/>
      <c r="D570" s="713"/>
      <c r="E570" s="1755"/>
      <c r="F570" s="1864"/>
      <c r="G570" s="44"/>
    </row>
    <row r="571" spans="1:7">
      <c r="A571" s="1860">
        <v>6</v>
      </c>
      <c r="B571" s="522" t="s">
        <v>2276</v>
      </c>
      <c r="C571" s="31">
        <v>1</v>
      </c>
      <c r="D571" s="713" t="s">
        <v>3</v>
      </c>
      <c r="E571" s="1755">
        <v>35500</v>
      </c>
      <c r="F571" s="1864">
        <f>ROUND(C571*E571,2)</f>
        <v>35500</v>
      </c>
      <c r="G571" s="44"/>
    </row>
    <row r="572" spans="1:7">
      <c r="A572" s="1860"/>
      <c r="B572" s="522"/>
      <c r="C572" s="31"/>
      <c r="D572" s="713"/>
      <c r="E572" s="1755"/>
      <c r="F572" s="1864"/>
      <c r="G572" s="44"/>
    </row>
    <row r="573" spans="1:7">
      <c r="A573" s="1897" t="s">
        <v>2277</v>
      </c>
      <c r="B573" s="819" t="s">
        <v>2278</v>
      </c>
      <c r="C573" s="31"/>
      <c r="D573" s="713"/>
      <c r="E573" s="1755"/>
      <c r="F573" s="1864"/>
      <c r="G573" s="44"/>
    </row>
    <row r="574" spans="1:7">
      <c r="A574" s="1860"/>
      <c r="B574" s="522"/>
      <c r="C574" s="31"/>
      <c r="D574" s="713"/>
      <c r="E574" s="1755"/>
      <c r="F574" s="1864"/>
      <c r="G574" s="44"/>
    </row>
    <row r="575" spans="1:7">
      <c r="A575" s="1897">
        <v>1</v>
      </c>
      <c r="B575" s="819" t="s">
        <v>2165</v>
      </c>
      <c r="C575" s="31"/>
      <c r="D575" s="713"/>
      <c r="E575" s="1755">
        <v>0</v>
      </c>
      <c r="F575" s="1864"/>
      <c r="G575" s="44"/>
    </row>
    <row r="576" spans="1:7">
      <c r="A576" s="1860">
        <f>+A575+0.1</f>
        <v>1.1000000000000001</v>
      </c>
      <c r="B576" s="522" t="s">
        <v>2166</v>
      </c>
      <c r="C576" s="31">
        <v>2</v>
      </c>
      <c r="D576" s="713" t="s">
        <v>578</v>
      </c>
      <c r="E576" s="1755">
        <v>20500</v>
      </c>
      <c r="F576" s="1864">
        <f>ROUND(C576*E576,2)</f>
        <v>41000</v>
      </c>
      <c r="G576" s="44"/>
    </row>
    <row r="577" spans="1:7">
      <c r="A577" s="1860"/>
      <c r="B577" s="522"/>
      <c r="C577" s="31"/>
      <c r="D577" s="713"/>
      <c r="E577" s="1755"/>
      <c r="F577" s="1864"/>
      <c r="G577" s="44"/>
    </row>
    <row r="578" spans="1:7">
      <c r="A578" s="1897">
        <v>2</v>
      </c>
      <c r="B578" s="819" t="s">
        <v>38</v>
      </c>
      <c r="C578" s="31"/>
      <c r="D578" s="713"/>
      <c r="E578" s="1755"/>
      <c r="F578" s="1864"/>
      <c r="G578" s="44"/>
    </row>
    <row r="579" spans="1:7">
      <c r="A579" s="1860">
        <v>2.1</v>
      </c>
      <c r="B579" s="522" t="s">
        <v>2266</v>
      </c>
      <c r="C579" s="31">
        <v>317.42</v>
      </c>
      <c r="D579" s="713" t="s">
        <v>2</v>
      </c>
      <c r="E579" s="1755">
        <v>334.5</v>
      </c>
      <c r="F579" s="1864">
        <f>ROUND(C579*E579,2)</f>
        <v>106176.99</v>
      </c>
      <c r="G579" s="44"/>
    </row>
    <row r="580" spans="1:7">
      <c r="A580" s="1860">
        <v>2.2000000000000002</v>
      </c>
      <c r="B580" s="522" t="s">
        <v>2167</v>
      </c>
      <c r="C580" s="31">
        <v>120.63</v>
      </c>
      <c r="D580" s="713" t="s">
        <v>2</v>
      </c>
      <c r="E580" s="1755">
        <v>183.5</v>
      </c>
      <c r="F580" s="1864">
        <f>ROUND(C580*E580,2)</f>
        <v>22135.61</v>
      </c>
      <c r="G580" s="44"/>
    </row>
    <row r="581" spans="1:7">
      <c r="A581" s="1860">
        <v>2.2999999999999998</v>
      </c>
      <c r="B581" s="522" t="s">
        <v>2168</v>
      </c>
      <c r="C581" s="31">
        <v>245.99</v>
      </c>
      <c r="D581" s="713" t="s">
        <v>2</v>
      </c>
      <c r="E581" s="1755">
        <v>210</v>
      </c>
      <c r="F581" s="1864">
        <f>ROUND(C581*E581,2)</f>
        <v>51657.9</v>
      </c>
      <c r="G581" s="44"/>
    </row>
    <row r="582" spans="1:7">
      <c r="A582" s="1860"/>
      <c r="B582" s="522"/>
      <c r="C582" s="31"/>
      <c r="D582" s="713"/>
      <c r="E582" s="1755"/>
      <c r="F582" s="1864"/>
      <c r="G582" s="44"/>
    </row>
    <row r="583" spans="1:7">
      <c r="A583" s="1897">
        <v>3</v>
      </c>
      <c r="B583" s="819" t="s">
        <v>2281</v>
      </c>
      <c r="C583" s="31"/>
      <c r="D583" s="713"/>
      <c r="E583" s="1755"/>
      <c r="F583" s="1864"/>
      <c r="G583" s="44"/>
    </row>
    <row r="584" spans="1:7">
      <c r="A584" s="1860">
        <v>3.1</v>
      </c>
      <c r="B584" s="522" t="s">
        <v>2262</v>
      </c>
      <c r="C584" s="31">
        <v>30.3</v>
      </c>
      <c r="D584" s="713" t="s">
        <v>2</v>
      </c>
      <c r="E584" s="1755">
        <v>20809.66</v>
      </c>
      <c r="F584" s="1864">
        <f>ROUND(C584*E584,2)</f>
        <v>630532.69999999995</v>
      </c>
      <c r="G584" s="44"/>
    </row>
    <row r="585" spans="1:7">
      <c r="A585" s="1860">
        <v>3.2</v>
      </c>
      <c r="B585" s="522" t="s">
        <v>2312</v>
      </c>
      <c r="C585" s="31">
        <v>23.57</v>
      </c>
      <c r="D585" s="713" t="s">
        <v>2</v>
      </c>
      <c r="E585" s="1755">
        <v>13679.26</v>
      </c>
      <c r="F585" s="1864">
        <f>ROUND(C585*E585,2)</f>
        <v>322420.15999999997</v>
      </c>
      <c r="G585" s="44"/>
    </row>
    <row r="586" spans="1:7">
      <c r="A586" s="1860">
        <v>3.3</v>
      </c>
      <c r="B586" s="522" t="s">
        <v>2263</v>
      </c>
      <c r="C586" s="31">
        <v>0.97</v>
      </c>
      <c r="D586" s="713" t="s">
        <v>2</v>
      </c>
      <c r="E586" s="1755">
        <v>13682.2</v>
      </c>
      <c r="F586" s="1864">
        <f>ROUND(C586*E586,2)</f>
        <v>13271.73</v>
      </c>
      <c r="G586" s="44"/>
    </row>
    <row r="587" spans="1:7">
      <c r="A587" s="1860"/>
      <c r="B587" s="522"/>
      <c r="C587" s="31"/>
      <c r="D587" s="713"/>
      <c r="E587" s="1755"/>
      <c r="F587" s="1864"/>
      <c r="G587" s="44"/>
    </row>
    <row r="588" spans="1:7">
      <c r="A588" s="1897">
        <v>4</v>
      </c>
      <c r="B588" s="819" t="s">
        <v>586</v>
      </c>
      <c r="C588" s="31"/>
      <c r="D588" s="713"/>
      <c r="E588" s="1755"/>
      <c r="F588" s="1864"/>
      <c r="G588" s="44"/>
    </row>
    <row r="589" spans="1:7">
      <c r="A589" s="1860">
        <v>4.0999999999999996</v>
      </c>
      <c r="B589" s="522" t="s">
        <v>377</v>
      </c>
      <c r="C589" s="31">
        <v>253.18</v>
      </c>
      <c r="D589" s="713" t="s">
        <v>11</v>
      </c>
      <c r="E589" s="1755">
        <v>312.7</v>
      </c>
      <c r="F589" s="1864">
        <f>ROUND(C589*E589,2)</f>
        <v>79169.39</v>
      </c>
      <c r="G589" s="44"/>
    </row>
    <row r="590" spans="1:7">
      <c r="A590" s="1860">
        <v>4.2</v>
      </c>
      <c r="B590" s="522" t="s">
        <v>1788</v>
      </c>
      <c r="C590" s="31">
        <v>23.2</v>
      </c>
      <c r="D590" s="713" t="s">
        <v>11</v>
      </c>
      <c r="E590" s="1755">
        <v>331.47</v>
      </c>
      <c r="F590" s="1864">
        <f>ROUND(C590*E590,2)</f>
        <v>7690.1</v>
      </c>
      <c r="G590" s="44"/>
    </row>
    <row r="591" spans="1:7">
      <c r="A591" s="1860">
        <v>4.3</v>
      </c>
      <c r="B591" s="522" t="s">
        <v>170</v>
      </c>
      <c r="C591" s="31">
        <v>99.92</v>
      </c>
      <c r="D591" s="713" t="s">
        <v>11</v>
      </c>
      <c r="E591" s="1755">
        <v>518.98</v>
      </c>
      <c r="F591" s="1864">
        <f>ROUND(C591*E591,2)</f>
        <v>51856.480000000003</v>
      </c>
      <c r="G591" s="44"/>
    </row>
    <row r="592" spans="1:7">
      <c r="A592" s="1860">
        <v>4.4000000000000004</v>
      </c>
      <c r="B592" s="522" t="s">
        <v>2264</v>
      </c>
      <c r="C592" s="31">
        <v>111.82</v>
      </c>
      <c r="D592" s="713" t="s">
        <v>1</v>
      </c>
      <c r="E592" s="1755">
        <v>82.21</v>
      </c>
      <c r="F592" s="1864">
        <f>ROUND(C592*E592,2)</f>
        <v>9192.7199999999993</v>
      </c>
      <c r="G592" s="44"/>
    </row>
    <row r="593" spans="1:7">
      <c r="A593" s="1860"/>
      <c r="B593" s="522"/>
      <c r="C593" s="31"/>
      <c r="D593" s="713"/>
      <c r="E593" s="1755"/>
      <c r="F593" s="1864"/>
      <c r="G593" s="44"/>
    </row>
    <row r="594" spans="1:7">
      <c r="A594" s="1897">
        <v>5</v>
      </c>
      <c r="B594" s="819" t="s">
        <v>2265</v>
      </c>
      <c r="C594" s="31"/>
      <c r="D594" s="713"/>
      <c r="E594" s="1755"/>
      <c r="F594" s="1864"/>
      <c r="G594" s="44"/>
    </row>
    <row r="595" spans="1:7" ht="25.5">
      <c r="A595" s="1860">
        <v>5.0999999999999996</v>
      </c>
      <c r="B595" s="745" t="s">
        <v>2279</v>
      </c>
      <c r="C595" s="31">
        <v>2</v>
      </c>
      <c r="D595" s="713" t="s">
        <v>3</v>
      </c>
      <c r="E595" s="1755">
        <v>46696.74</v>
      </c>
      <c r="F595" s="1864">
        <f>ROUND(C595*E595,2)</f>
        <v>93393.48</v>
      </c>
      <c r="G595" s="44"/>
    </row>
    <row r="596" spans="1:7">
      <c r="A596" s="1868">
        <v>5.0999999999999996</v>
      </c>
      <c r="B596" s="1795" t="s">
        <v>2282</v>
      </c>
      <c r="C596" s="1813">
        <v>2</v>
      </c>
      <c r="D596" s="1821" t="s">
        <v>3</v>
      </c>
      <c r="E596" s="1820">
        <v>3500</v>
      </c>
      <c r="F596" s="1879">
        <f>ROUND(C596*E596,2)</f>
        <v>7000</v>
      </c>
      <c r="G596" s="44"/>
    </row>
    <row r="597" spans="1:7">
      <c r="A597" s="1860"/>
      <c r="B597" s="522"/>
      <c r="C597" s="31"/>
      <c r="D597" s="713"/>
      <c r="E597" s="1755"/>
      <c r="F597" s="1864"/>
      <c r="G597" s="44"/>
    </row>
    <row r="598" spans="1:7">
      <c r="A598" s="1860">
        <v>6</v>
      </c>
      <c r="B598" s="522" t="s">
        <v>2276</v>
      </c>
      <c r="C598" s="31">
        <v>2</v>
      </c>
      <c r="D598" s="713" t="s">
        <v>3</v>
      </c>
      <c r="E598" s="1755">
        <v>35500</v>
      </c>
      <c r="F598" s="1864">
        <f>ROUND(C598*E598,2)</f>
        <v>71000</v>
      </c>
      <c r="G598" s="44"/>
    </row>
    <row r="599" spans="1:7">
      <c r="A599" s="1860"/>
      <c r="B599" s="522"/>
      <c r="C599" s="31"/>
      <c r="D599" s="713"/>
      <c r="E599" s="1755"/>
      <c r="F599" s="1864"/>
      <c r="G599" s="44"/>
    </row>
    <row r="600" spans="1:7">
      <c r="A600" s="1897">
        <v>7</v>
      </c>
      <c r="B600" s="819" t="s">
        <v>25</v>
      </c>
      <c r="C600" s="31">
        <v>0</v>
      </c>
      <c r="D600" s="713"/>
      <c r="E600" s="1755">
        <v>0</v>
      </c>
      <c r="F600" s="1864">
        <v>0</v>
      </c>
      <c r="G600" s="44"/>
    </row>
    <row r="601" spans="1:7">
      <c r="A601" s="1860">
        <f>+A600+0.1</f>
        <v>7.1</v>
      </c>
      <c r="B601" s="522" t="s">
        <v>2169</v>
      </c>
      <c r="C601" s="31">
        <v>128.1</v>
      </c>
      <c r="D601" s="713" t="s">
        <v>1</v>
      </c>
      <c r="E601" s="1755">
        <v>8701.7199999999993</v>
      </c>
      <c r="F601" s="1864">
        <f>ROUND(C601*E601,2)</f>
        <v>1114690.33</v>
      </c>
      <c r="G601" s="44"/>
    </row>
    <row r="602" spans="1:7">
      <c r="A602" s="1860">
        <f>+A601+0.1</f>
        <v>7.2</v>
      </c>
      <c r="B602" s="522" t="s">
        <v>2170</v>
      </c>
      <c r="C602" s="31">
        <v>25.82</v>
      </c>
      <c r="D602" s="713" t="s">
        <v>1</v>
      </c>
      <c r="E602" s="1755">
        <v>7846.35</v>
      </c>
      <c r="F602" s="1864">
        <f>ROUND(C602*E602,2)</f>
        <v>202592.76</v>
      </c>
      <c r="G602" s="44"/>
    </row>
    <row r="603" spans="1:7">
      <c r="A603" s="1860">
        <f>+A602+0.1</f>
        <v>7.3</v>
      </c>
      <c r="B603" s="522" t="s">
        <v>2171</v>
      </c>
      <c r="C603" s="31">
        <v>33.35</v>
      </c>
      <c r="D603" s="713" t="s">
        <v>1</v>
      </c>
      <c r="E603" s="1755">
        <v>13130</v>
      </c>
      <c r="F603" s="1864">
        <f>ROUND(C603*E603,2)</f>
        <v>437885.5</v>
      </c>
      <c r="G603" s="44"/>
    </row>
    <row r="604" spans="1:7">
      <c r="A604" s="1860"/>
      <c r="B604" s="522"/>
      <c r="C604" s="31"/>
      <c r="D604" s="713"/>
      <c r="E604" s="1755">
        <v>0</v>
      </c>
      <c r="F604" s="1864">
        <v>0</v>
      </c>
      <c r="G604" s="44"/>
    </row>
    <row r="605" spans="1:7">
      <c r="A605" s="1897">
        <v>8</v>
      </c>
      <c r="B605" s="819" t="s">
        <v>2172</v>
      </c>
      <c r="C605" s="31"/>
      <c r="D605" s="713"/>
      <c r="E605" s="1755">
        <v>0</v>
      </c>
      <c r="F605" s="1864">
        <v>0</v>
      </c>
      <c r="G605" s="44"/>
    </row>
    <row r="606" spans="1:7">
      <c r="A606" s="1860">
        <f>+A605+0.1</f>
        <v>8.1</v>
      </c>
      <c r="B606" s="522" t="s">
        <v>2169</v>
      </c>
      <c r="C606" s="31">
        <v>94</v>
      </c>
      <c r="D606" s="713" t="s">
        <v>3</v>
      </c>
      <c r="E606" s="1755">
        <v>314.88</v>
      </c>
      <c r="F606" s="1864">
        <f>ROUND(C606*E606,2)</f>
        <v>29598.720000000001</v>
      </c>
      <c r="G606" s="44"/>
    </row>
    <row r="607" spans="1:7">
      <c r="A607" s="1860">
        <f>+A606+0.1</f>
        <v>8.1999999999999993</v>
      </c>
      <c r="B607" s="522" t="s">
        <v>2173</v>
      </c>
      <c r="C607" s="31">
        <v>26</v>
      </c>
      <c r="D607" s="713" t="s">
        <v>3</v>
      </c>
      <c r="E607" s="1755">
        <v>124.38</v>
      </c>
      <c r="F607" s="1864">
        <f>ROUND(C607*E607,2)</f>
        <v>3233.88</v>
      </c>
      <c r="G607" s="44"/>
    </row>
    <row r="608" spans="1:7">
      <c r="A608" s="1860">
        <f>+A607+0.1</f>
        <v>8.3000000000000007</v>
      </c>
      <c r="B608" s="522" t="s">
        <v>2171</v>
      </c>
      <c r="C608" s="31">
        <v>34</v>
      </c>
      <c r="D608" s="713" t="s">
        <v>3</v>
      </c>
      <c r="E608" s="1755">
        <v>839.32</v>
      </c>
      <c r="F608" s="1864">
        <f>ROUND(C608*E608,2)</f>
        <v>28536.880000000001</v>
      </c>
      <c r="G608" s="44"/>
    </row>
    <row r="609" spans="1:49">
      <c r="A609" s="1860"/>
      <c r="B609" s="522"/>
      <c r="C609" s="31"/>
      <c r="D609" s="713"/>
      <c r="E609" s="1755"/>
      <c r="F609" s="1864"/>
      <c r="G609" s="44"/>
    </row>
    <row r="610" spans="1:49" s="1539" customFormat="1" ht="16.5" customHeight="1">
      <c r="A610" s="1873"/>
      <c r="B610" s="1827" t="s">
        <v>2123</v>
      </c>
      <c r="C610" s="1827">
        <v>0</v>
      </c>
      <c r="D610" s="1827"/>
      <c r="E610" s="1828">
        <v>0</v>
      </c>
      <c r="F610" s="1874">
        <f>SUM(F550:F608)</f>
        <v>4911766.58</v>
      </c>
      <c r="G610" s="1741"/>
    </row>
    <row r="611" spans="1:49" s="44" customFormat="1" ht="12.75" customHeight="1">
      <c r="A611" s="1860"/>
      <c r="B611" s="1768"/>
      <c r="C611" s="31"/>
      <c r="D611" s="713"/>
      <c r="E611" s="522"/>
      <c r="F611" s="1864"/>
    </row>
    <row r="612" spans="1:49" s="1771" customFormat="1" ht="12.75" customHeight="1">
      <c r="A612" s="1857" t="s">
        <v>2323</v>
      </c>
      <c r="B612" s="819" t="s">
        <v>1581</v>
      </c>
      <c r="C612" s="31"/>
      <c r="D612" s="713"/>
      <c r="E612" s="522"/>
      <c r="F612" s="1864"/>
      <c r="G612" s="1769"/>
      <c r="H612" s="1770"/>
    </row>
    <row r="613" spans="1:49" s="1773" customFormat="1" ht="6" customHeight="1">
      <c r="A613" s="1861"/>
      <c r="B613" s="1794"/>
      <c r="C613" s="31"/>
      <c r="D613" s="713"/>
      <c r="E613" s="522"/>
      <c r="F613" s="1864"/>
      <c r="G613" s="1772"/>
      <c r="H613" s="44"/>
      <c r="I613" s="1744"/>
      <c r="J613" s="1740"/>
      <c r="K613" s="1756"/>
      <c r="L613" s="1756"/>
      <c r="M613" s="1756"/>
      <c r="N613" s="1756"/>
      <c r="O613" s="1756"/>
      <c r="P613" s="1756"/>
      <c r="Q613" s="1756"/>
      <c r="R613" s="1756"/>
      <c r="S613" s="1756"/>
      <c r="T613" s="1756"/>
      <c r="U613" s="1756"/>
    </row>
    <row r="614" spans="1:49" s="1773" customFormat="1" ht="12.75" customHeight="1">
      <c r="A614" s="1861">
        <v>1</v>
      </c>
      <c r="B614" s="819" t="s">
        <v>1582</v>
      </c>
      <c r="C614" s="31"/>
      <c r="D614" s="713"/>
      <c r="E614" s="522"/>
      <c r="F614" s="1864">
        <f>+C614*E614</f>
        <v>0</v>
      </c>
      <c r="G614" s="1772"/>
      <c r="H614" s="44"/>
      <c r="I614" s="1744"/>
      <c r="J614" s="1740"/>
      <c r="K614" s="1756"/>
      <c r="L614" s="1756"/>
      <c r="M614" s="1756"/>
      <c r="N614" s="1756"/>
      <c r="O614" s="1756"/>
      <c r="P614" s="1756"/>
      <c r="Q614" s="1756"/>
      <c r="R614" s="1756"/>
      <c r="S614" s="1756"/>
      <c r="T614" s="1756"/>
      <c r="U614" s="1756"/>
    </row>
    <row r="615" spans="1:49" s="1773" customFormat="1" ht="25.5">
      <c r="A615" s="1860">
        <v>1.1000000000000001</v>
      </c>
      <c r="B615" s="747" t="s">
        <v>1583</v>
      </c>
      <c r="C615" s="31">
        <v>12</v>
      </c>
      <c r="D615" s="713" t="s">
        <v>3</v>
      </c>
      <c r="E615" s="713">
        <v>5690.06</v>
      </c>
      <c r="F615" s="1864">
        <f>+C615*E615</f>
        <v>68280.72</v>
      </c>
      <c r="G615" s="1772"/>
      <c r="H615" s="44"/>
      <c r="I615" s="1744"/>
      <c r="J615" s="1740"/>
      <c r="K615" s="1756"/>
      <c r="L615" s="1756"/>
      <c r="M615" s="1756"/>
      <c r="N615" s="1756"/>
      <c r="O615" s="1756"/>
      <c r="P615" s="1756"/>
      <c r="Q615" s="1756"/>
      <c r="R615" s="1756"/>
      <c r="S615" s="1756"/>
      <c r="T615" s="1756"/>
      <c r="U615" s="1756"/>
    </row>
    <row r="616" spans="1:49" s="1773" customFormat="1">
      <c r="A616" s="1860">
        <v>1.2</v>
      </c>
      <c r="B616" s="522" t="s">
        <v>1584</v>
      </c>
      <c r="C616" s="31">
        <v>8</v>
      </c>
      <c r="D616" s="713" t="s">
        <v>3</v>
      </c>
      <c r="E616" s="713">
        <v>14200</v>
      </c>
      <c r="F616" s="1864">
        <f>+C616*E616</f>
        <v>113600</v>
      </c>
      <c r="G616" s="1772"/>
      <c r="H616" s="44"/>
      <c r="I616" s="1744"/>
      <c r="J616" s="1740"/>
      <c r="K616" s="1756"/>
      <c r="L616" s="1756"/>
      <c r="M616" s="1756"/>
      <c r="N616" s="1756"/>
      <c r="O616" s="1756"/>
      <c r="P616" s="1756"/>
      <c r="Q616" s="1756"/>
      <c r="R616" s="1756"/>
      <c r="S616" s="1756"/>
      <c r="T616" s="1756"/>
      <c r="U616" s="1756"/>
    </row>
    <row r="617" spans="1:49" s="1773" customFormat="1" ht="25.5">
      <c r="A617" s="1860">
        <v>1.3</v>
      </c>
      <c r="B617" s="747" t="s">
        <v>1585</v>
      </c>
      <c r="C617" s="31">
        <v>800</v>
      </c>
      <c r="D617" s="713" t="s">
        <v>1</v>
      </c>
      <c r="E617" s="713">
        <v>197.58</v>
      </c>
      <c r="F617" s="1864">
        <f>ROUND(C617*E617,2)</f>
        <v>158064</v>
      </c>
      <c r="G617" s="1772"/>
      <c r="H617" s="44"/>
      <c r="I617" s="1744"/>
      <c r="J617" s="1740"/>
      <c r="K617" s="1756"/>
      <c r="L617" s="1756"/>
      <c r="M617" s="1756"/>
      <c r="N617" s="1756"/>
      <c r="O617" s="1756"/>
      <c r="P617" s="1756"/>
      <c r="Q617" s="1756"/>
      <c r="R617" s="1756"/>
      <c r="S617" s="1756"/>
      <c r="T617" s="1756"/>
      <c r="U617" s="1756"/>
    </row>
    <row r="618" spans="1:49" s="1773" customFormat="1">
      <c r="A618" s="1860">
        <v>1.4</v>
      </c>
      <c r="B618" s="522" t="s">
        <v>924</v>
      </c>
      <c r="C618" s="31">
        <v>8</v>
      </c>
      <c r="D618" s="713" t="s">
        <v>3</v>
      </c>
      <c r="E618" s="713">
        <v>1200</v>
      </c>
      <c r="F618" s="1864">
        <f>+C618*E618</f>
        <v>9600</v>
      </c>
      <c r="G618" s="1772"/>
      <c r="H618" s="44"/>
      <c r="I618" s="1744"/>
      <c r="J618" s="1740"/>
      <c r="K618" s="1756"/>
      <c r="L618" s="1756"/>
      <c r="M618" s="1756"/>
      <c r="N618" s="1756"/>
      <c r="O618" s="1756"/>
      <c r="P618" s="1756"/>
      <c r="Q618" s="1756"/>
      <c r="R618" s="1756"/>
      <c r="S618" s="1756"/>
      <c r="T618" s="1756"/>
      <c r="U618" s="1756"/>
    </row>
    <row r="619" spans="1:49" s="1773" customFormat="1">
      <c r="A619" s="1860">
        <v>1.5</v>
      </c>
      <c r="B619" s="522" t="s">
        <v>926</v>
      </c>
      <c r="C619" s="31">
        <v>8</v>
      </c>
      <c r="D619" s="713" t="s">
        <v>3</v>
      </c>
      <c r="E619" s="713">
        <v>1800</v>
      </c>
      <c r="F619" s="1864">
        <f>+C619*E619</f>
        <v>14400</v>
      </c>
      <c r="G619" s="1772"/>
      <c r="H619" s="44"/>
      <c r="I619" s="1744"/>
      <c r="J619" s="1740"/>
      <c r="K619" s="1756"/>
      <c r="L619" s="1756"/>
      <c r="M619" s="1756"/>
      <c r="N619" s="1756"/>
      <c r="O619" s="1756"/>
      <c r="P619" s="1756"/>
      <c r="Q619" s="1756"/>
      <c r="R619" s="1756"/>
      <c r="S619" s="1756"/>
      <c r="T619" s="1756"/>
      <c r="U619" s="1756"/>
    </row>
    <row r="620" spans="1:49">
      <c r="A620" s="1860">
        <v>1.6</v>
      </c>
      <c r="B620" s="522" t="s">
        <v>2131</v>
      </c>
      <c r="C620" s="31">
        <v>15</v>
      </c>
      <c r="D620" s="713" t="s">
        <v>976</v>
      </c>
      <c r="E620" s="713">
        <v>4171.1099999999997</v>
      </c>
      <c r="F620" s="1864">
        <f>ROUND((C620*E620),2)</f>
        <v>62566.65</v>
      </c>
      <c r="G620" s="44"/>
      <c r="J620" s="1396"/>
      <c r="K620" s="1396"/>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row>
    <row r="621" spans="1:49" s="1773" customFormat="1" ht="5.25" customHeight="1">
      <c r="A621" s="1860"/>
      <c r="B621" s="1774"/>
      <c r="C621" s="31"/>
      <c r="D621" s="713"/>
      <c r="E621" s="713"/>
      <c r="F621" s="1864"/>
      <c r="G621" s="1772"/>
      <c r="H621" s="1775"/>
      <c r="I621" s="1744"/>
      <c r="J621" s="1740"/>
      <c r="K621" s="1756"/>
      <c r="L621" s="1756"/>
      <c r="M621" s="1756"/>
      <c r="N621" s="1756"/>
      <c r="O621" s="1756"/>
      <c r="P621" s="1756"/>
      <c r="Q621" s="1756"/>
      <c r="R621" s="1756"/>
      <c r="S621" s="1756"/>
      <c r="T621" s="1756"/>
      <c r="U621" s="1756"/>
    </row>
    <row r="622" spans="1:49" s="1773" customFormat="1" ht="11.25" customHeight="1">
      <c r="A622" s="1861">
        <v>2</v>
      </c>
      <c r="B622" s="819" t="s">
        <v>914</v>
      </c>
      <c r="C622" s="31"/>
      <c r="D622" s="713"/>
      <c r="E622" s="713"/>
      <c r="F622" s="1864">
        <f t="shared" ref="F622:F627" si="25">C622*E622</f>
        <v>0</v>
      </c>
      <c r="G622" s="1772"/>
      <c r="H622" s="44"/>
      <c r="I622" s="1744"/>
      <c r="J622" s="1740"/>
      <c r="K622" s="1756"/>
      <c r="L622" s="1756"/>
      <c r="M622" s="1756"/>
      <c r="N622" s="1756"/>
      <c r="O622" s="1756"/>
      <c r="P622" s="1756"/>
      <c r="Q622" s="1756"/>
      <c r="R622" s="1756"/>
      <c r="S622" s="1756"/>
      <c r="T622" s="1756"/>
      <c r="U622" s="1756"/>
    </row>
    <row r="623" spans="1:49" s="1773" customFormat="1" ht="11.25" customHeight="1">
      <c r="A623" s="1860">
        <v>2.2000000000000002</v>
      </c>
      <c r="B623" s="522" t="s">
        <v>1586</v>
      </c>
      <c r="C623" s="31">
        <v>2</v>
      </c>
      <c r="D623" s="713" t="s">
        <v>976</v>
      </c>
      <c r="E623" s="713">
        <v>18880</v>
      </c>
      <c r="F623" s="1864">
        <f t="shared" si="25"/>
        <v>37760</v>
      </c>
      <c r="G623" s="1772"/>
      <c r="H623" s="44"/>
      <c r="I623" s="1744"/>
      <c r="J623" s="1740"/>
      <c r="K623" s="1756"/>
      <c r="L623" s="1756"/>
      <c r="M623" s="1756"/>
      <c r="N623" s="1756"/>
      <c r="O623" s="1756"/>
      <c r="P623" s="1756"/>
      <c r="Q623" s="1756"/>
      <c r="R623" s="1756"/>
      <c r="S623" s="1756"/>
      <c r="T623" s="1756"/>
      <c r="U623" s="1756"/>
    </row>
    <row r="624" spans="1:49" s="1773" customFormat="1" ht="11.25" customHeight="1">
      <c r="A624" s="1860">
        <v>2.2999999999999998</v>
      </c>
      <c r="B624" s="522" t="s">
        <v>1587</v>
      </c>
      <c r="C624" s="31">
        <v>150</v>
      </c>
      <c r="D624" s="713" t="s">
        <v>800</v>
      </c>
      <c r="E624" s="713">
        <v>19.84</v>
      </c>
      <c r="F624" s="1864">
        <f t="shared" si="25"/>
        <v>2976</v>
      </c>
      <c r="G624" s="1772"/>
      <c r="H624" s="44"/>
      <c r="I624" s="1744"/>
      <c r="J624" s="1740"/>
      <c r="K624" s="1756"/>
      <c r="L624" s="1756"/>
      <c r="M624" s="1756"/>
      <c r="N624" s="1756"/>
      <c r="O624" s="1756"/>
      <c r="P624" s="1756"/>
      <c r="Q624" s="1756"/>
      <c r="R624" s="1756"/>
      <c r="S624" s="1756"/>
      <c r="T624" s="1756"/>
      <c r="U624" s="1756"/>
    </row>
    <row r="625" spans="1:21" s="1773" customFormat="1" ht="11.25" customHeight="1">
      <c r="A625" s="1860">
        <v>2.4</v>
      </c>
      <c r="B625" s="522" t="s">
        <v>1314</v>
      </c>
      <c r="C625" s="31">
        <v>3</v>
      </c>
      <c r="D625" s="713" t="s">
        <v>976</v>
      </c>
      <c r="E625" s="713">
        <v>4143.0600000000004</v>
      </c>
      <c r="F625" s="1864">
        <f t="shared" si="25"/>
        <v>12429.18</v>
      </c>
      <c r="G625" s="1772"/>
      <c r="H625" s="44"/>
      <c r="I625" s="1744"/>
      <c r="J625" s="1740"/>
      <c r="K625" s="1756"/>
      <c r="L625" s="1756"/>
      <c r="M625" s="1756"/>
      <c r="N625" s="1756"/>
      <c r="O625" s="1756"/>
      <c r="P625" s="1756"/>
      <c r="Q625" s="1756"/>
      <c r="R625" s="1756"/>
      <c r="S625" s="1756"/>
      <c r="T625" s="1756"/>
      <c r="U625" s="1756"/>
    </row>
    <row r="626" spans="1:21" s="1773" customFormat="1" ht="11.25" customHeight="1">
      <c r="A626" s="1860">
        <v>2.5</v>
      </c>
      <c r="B626" s="522" t="s">
        <v>1588</v>
      </c>
      <c r="C626" s="31">
        <v>2</v>
      </c>
      <c r="D626" s="713" t="s">
        <v>976</v>
      </c>
      <c r="E626" s="713">
        <v>4595.1000000000004</v>
      </c>
      <c r="F626" s="1864">
        <f t="shared" si="25"/>
        <v>9190.2000000000007</v>
      </c>
      <c r="G626" s="1772"/>
      <c r="H626" s="44"/>
      <c r="I626" s="1744"/>
      <c r="J626" s="1740"/>
      <c r="K626" s="1756"/>
      <c r="L626" s="1756"/>
      <c r="M626" s="1756"/>
      <c r="N626" s="1756"/>
      <c r="O626" s="1756"/>
      <c r="P626" s="1756"/>
      <c r="Q626" s="1756"/>
      <c r="R626" s="1756"/>
      <c r="S626" s="1756"/>
      <c r="T626" s="1756"/>
      <c r="U626" s="1756"/>
    </row>
    <row r="627" spans="1:21" s="1773" customFormat="1" ht="11.25" customHeight="1">
      <c r="A627" s="1860">
        <v>2.6</v>
      </c>
      <c r="B627" s="829" t="s">
        <v>1315</v>
      </c>
      <c r="C627" s="31">
        <v>1</v>
      </c>
      <c r="D627" s="713" t="s">
        <v>976</v>
      </c>
      <c r="E627" s="713">
        <v>4351.63</v>
      </c>
      <c r="F627" s="1864">
        <f t="shared" si="25"/>
        <v>4351.63</v>
      </c>
      <c r="G627" s="1772"/>
      <c r="H627" s="44"/>
      <c r="I627" s="1744"/>
      <c r="J627" s="1740"/>
      <c r="K627" s="1756"/>
      <c r="L627" s="1756"/>
      <c r="M627" s="1756"/>
      <c r="N627" s="1756"/>
      <c r="O627" s="1756"/>
      <c r="P627" s="1756"/>
      <c r="Q627" s="1756"/>
      <c r="R627" s="1756"/>
      <c r="S627" s="1756"/>
      <c r="T627" s="1756"/>
      <c r="U627" s="1756"/>
    </row>
    <row r="628" spans="1:21" s="1773" customFormat="1" ht="23.25" customHeight="1">
      <c r="A628" s="1860">
        <v>2.8</v>
      </c>
      <c r="B628" s="747" t="s">
        <v>1589</v>
      </c>
      <c r="C628" s="31">
        <v>1</v>
      </c>
      <c r="D628" s="713" t="s">
        <v>3</v>
      </c>
      <c r="E628" s="713">
        <v>39854.36</v>
      </c>
      <c r="F628" s="1864">
        <f t="shared" ref="F628:F634" si="26">ROUND(C628*E628,2)</f>
        <v>39854.36</v>
      </c>
      <c r="G628" s="1772"/>
      <c r="H628" s="44"/>
      <c r="I628" s="1744"/>
      <c r="J628" s="1740"/>
      <c r="K628" s="1756"/>
      <c r="L628" s="1756"/>
      <c r="M628" s="1756"/>
      <c r="N628" s="1756"/>
      <c r="O628" s="1756"/>
      <c r="P628" s="1756"/>
      <c r="Q628" s="1756"/>
      <c r="R628" s="1756"/>
      <c r="S628" s="1756"/>
      <c r="T628" s="1756"/>
      <c r="U628" s="1756"/>
    </row>
    <row r="629" spans="1:21" s="1773" customFormat="1" ht="12.75" customHeight="1">
      <c r="A629" s="1860">
        <v>2.9</v>
      </c>
      <c r="B629" s="522" t="s">
        <v>920</v>
      </c>
      <c r="C629" s="31">
        <v>1</v>
      </c>
      <c r="D629" s="713" t="s">
        <v>3</v>
      </c>
      <c r="E629" s="713">
        <v>6592.2</v>
      </c>
      <c r="F629" s="1864">
        <f t="shared" si="26"/>
        <v>6592.2</v>
      </c>
      <c r="G629" s="1772"/>
      <c r="H629" s="44"/>
      <c r="I629" s="1744"/>
      <c r="J629" s="1740"/>
      <c r="K629" s="1756"/>
      <c r="L629" s="1756"/>
      <c r="M629" s="1756"/>
      <c r="N629" s="1756"/>
      <c r="O629" s="1756"/>
      <c r="P629" s="1756"/>
      <c r="Q629" s="1756"/>
      <c r="R629" s="1756"/>
      <c r="S629" s="1756"/>
      <c r="T629" s="1756"/>
      <c r="U629" s="1756"/>
    </row>
    <row r="630" spans="1:21" s="1773" customFormat="1" ht="12.75" customHeight="1">
      <c r="A630" s="1860">
        <v>2.1</v>
      </c>
      <c r="B630" s="522" t="s">
        <v>921</v>
      </c>
      <c r="C630" s="31">
        <v>1</v>
      </c>
      <c r="D630" s="713" t="s">
        <v>3</v>
      </c>
      <c r="E630" s="713">
        <v>1475</v>
      </c>
      <c r="F630" s="1864">
        <f t="shared" si="26"/>
        <v>1475</v>
      </c>
      <c r="G630" s="1772"/>
      <c r="H630" s="44"/>
      <c r="I630" s="1744"/>
      <c r="J630" s="1740"/>
      <c r="K630" s="1756"/>
      <c r="L630" s="1756"/>
      <c r="M630" s="1756"/>
      <c r="N630" s="1756"/>
      <c r="O630" s="1756"/>
      <c r="P630" s="1756"/>
      <c r="Q630" s="1756"/>
      <c r="R630" s="1756"/>
      <c r="S630" s="1756"/>
      <c r="T630" s="1756"/>
      <c r="U630" s="1756"/>
    </row>
    <row r="631" spans="1:21" s="1773" customFormat="1" ht="12.75" customHeight="1">
      <c r="A631" s="1860">
        <v>2.11</v>
      </c>
      <c r="B631" s="522" t="s">
        <v>926</v>
      </c>
      <c r="C631" s="31">
        <v>2</v>
      </c>
      <c r="D631" s="713" t="s">
        <v>976</v>
      </c>
      <c r="E631" s="713">
        <v>2500</v>
      </c>
      <c r="F631" s="1864">
        <f>ROUND(C631*E631,2)</f>
        <v>5000</v>
      </c>
      <c r="G631" s="1772"/>
      <c r="H631" s="44"/>
      <c r="I631" s="1744"/>
      <c r="J631" s="1740"/>
      <c r="K631" s="1756"/>
      <c r="L631" s="1756"/>
      <c r="M631" s="1756"/>
      <c r="N631" s="1756"/>
      <c r="O631" s="1756"/>
      <c r="P631" s="1756"/>
      <c r="Q631" s="1756"/>
      <c r="R631" s="1756"/>
      <c r="S631" s="1756"/>
      <c r="T631" s="1756"/>
      <c r="U631" s="1756"/>
    </row>
    <row r="632" spans="1:21" s="1773" customFormat="1" ht="12.75" customHeight="1">
      <c r="A632" s="1860">
        <v>2.12</v>
      </c>
      <c r="B632" s="522" t="s">
        <v>924</v>
      </c>
      <c r="C632" s="31">
        <v>2</v>
      </c>
      <c r="D632" s="713" t="s">
        <v>976</v>
      </c>
      <c r="E632" s="713">
        <v>1200</v>
      </c>
      <c r="F632" s="1864">
        <f>C632*E632</f>
        <v>2400</v>
      </c>
      <c r="G632" s="1772"/>
      <c r="H632" s="44"/>
      <c r="I632" s="1744"/>
      <c r="J632" s="1740"/>
      <c r="K632" s="1756"/>
      <c r="L632" s="1756"/>
      <c r="M632" s="1756"/>
      <c r="N632" s="1756"/>
      <c r="O632" s="1756"/>
      <c r="P632" s="1756"/>
      <c r="Q632" s="1756"/>
      <c r="R632" s="1756"/>
      <c r="S632" s="1756"/>
      <c r="T632" s="1756"/>
      <c r="U632" s="1756"/>
    </row>
    <row r="633" spans="1:21" s="1773" customFormat="1" ht="12.75" customHeight="1">
      <c r="A633" s="1860">
        <v>2.13</v>
      </c>
      <c r="B633" s="829" t="s">
        <v>925</v>
      </c>
      <c r="C633" s="31">
        <v>2</v>
      </c>
      <c r="D633" s="713" t="s">
        <v>976</v>
      </c>
      <c r="E633" s="713">
        <v>1000</v>
      </c>
      <c r="F633" s="1864">
        <f>C633*E633</f>
        <v>2000</v>
      </c>
      <c r="G633" s="1772"/>
      <c r="H633" s="44"/>
      <c r="I633" s="1744"/>
      <c r="J633" s="1740"/>
      <c r="K633" s="1756"/>
      <c r="L633" s="1756"/>
      <c r="M633" s="1756"/>
      <c r="N633" s="1756"/>
      <c r="O633" s="1756"/>
      <c r="P633" s="1756"/>
      <c r="Q633" s="1756"/>
      <c r="R633" s="1756"/>
      <c r="S633" s="1756"/>
      <c r="T633" s="1756"/>
      <c r="U633" s="1756"/>
    </row>
    <row r="634" spans="1:21" s="1773" customFormat="1" ht="12.75" customHeight="1">
      <c r="A634" s="1868">
        <v>2.14</v>
      </c>
      <c r="B634" s="1842" t="s">
        <v>1590</v>
      </c>
      <c r="C634" s="1813">
        <v>1</v>
      </c>
      <c r="D634" s="1821" t="s">
        <v>976</v>
      </c>
      <c r="E634" s="1821">
        <v>15400</v>
      </c>
      <c r="F634" s="1879">
        <f t="shared" si="26"/>
        <v>15400</v>
      </c>
      <c r="G634" s="1772"/>
      <c r="H634" s="44"/>
      <c r="I634" s="1744"/>
      <c r="J634" s="1740"/>
      <c r="K634" s="1756"/>
      <c r="L634" s="1756"/>
      <c r="M634" s="1756"/>
      <c r="N634" s="1756"/>
      <c r="O634" s="1756"/>
      <c r="P634" s="1756"/>
      <c r="Q634" s="1756"/>
      <c r="R634" s="1756"/>
      <c r="S634" s="1756"/>
      <c r="T634" s="1756"/>
      <c r="U634" s="1756"/>
    </row>
    <row r="635" spans="1:21" s="1773" customFormat="1">
      <c r="A635" s="1860"/>
      <c r="B635" s="1774"/>
      <c r="C635" s="31"/>
      <c r="D635" s="713"/>
      <c r="E635" s="713"/>
      <c r="F635" s="1864"/>
      <c r="G635" s="1772"/>
      <c r="H635" s="1775"/>
      <c r="I635" s="1744"/>
      <c r="J635" s="1740"/>
      <c r="K635" s="1756"/>
      <c r="L635" s="1756"/>
      <c r="M635" s="1756"/>
      <c r="N635" s="1756"/>
      <c r="O635" s="1756"/>
      <c r="P635" s="1756"/>
      <c r="Q635" s="1756"/>
      <c r="R635" s="1756"/>
      <c r="S635" s="1756"/>
      <c r="T635" s="1756"/>
      <c r="U635" s="1756"/>
    </row>
    <row r="636" spans="1:21" s="1773" customFormat="1">
      <c r="A636" s="1861">
        <v>3</v>
      </c>
      <c r="B636" s="819" t="s">
        <v>1591</v>
      </c>
      <c r="C636" s="31"/>
      <c r="D636" s="713"/>
      <c r="E636" s="713"/>
      <c r="F636" s="1864">
        <f>C636*E636</f>
        <v>0</v>
      </c>
      <c r="G636" s="1772"/>
      <c r="H636" s="44"/>
      <c r="I636" s="1744"/>
      <c r="J636" s="1740"/>
      <c r="K636" s="1756"/>
      <c r="L636" s="1756"/>
      <c r="M636" s="1756"/>
      <c r="N636" s="1756"/>
      <c r="O636" s="1756"/>
      <c r="P636" s="1756"/>
      <c r="Q636" s="1756"/>
      <c r="R636" s="1756"/>
      <c r="S636" s="1756"/>
      <c r="T636" s="1756"/>
      <c r="U636" s="1756"/>
    </row>
    <row r="637" spans="1:21" s="1773" customFormat="1" ht="51">
      <c r="A637" s="1896" t="s">
        <v>554</v>
      </c>
      <c r="B637" s="1201" t="s">
        <v>1592</v>
      </c>
      <c r="C637" s="31">
        <v>14</v>
      </c>
      <c r="D637" s="713" t="s">
        <v>1</v>
      </c>
      <c r="E637" s="713">
        <v>1532.03</v>
      </c>
      <c r="F637" s="1864">
        <f t="shared" ref="F637:F652" si="27">ROUND(C637*E637,2)</f>
        <v>21448.42</v>
      </c>
      <c r="G637" s="1772"/>
      <c r="H637" s="44"/>
      <c r="I637" s="1744"/>
      <c r="J637" s="1740"/>
      <c r="K637" s="1756"/>
      <c r="L637" s="1756"/>
      <c r="M637" s="1756"/>
      <c r="N637" s="1756"/>
      <c r="O637" s="1756"/>
      <c r="P637" s="1756"/>
      <c r="Q637" s="1756"/>
      <c r="R637" s="1756"/>
      <c r="S637" s="1756"/>
      <c r="T637" s="1756"/>
      <c r="U637" s="1756"/>
    </row>
    <row r="638" spans="1:21" s="1773" customFormat="1" ht="51">
      <c r="A638" s="1896" t="s">
        <v>1593</v>
      </c>
      <c r="B638" s="1201" t="s">
        <v>1594</v>
      </c>
      <c r="C638" s="31">
        <v>4</v>
      </c>
      <c r="D638" s="713" t="s">
        <v>1</v>
      </c>
      <c r="E638" s="713">
        <v>1155.4100000000001</v>
      </c>
      <c r="F638" s="1864">
        <f t="shared" si="27"/>
        <v>4621.6400000000003</v>
      </c>
      <c r="G638" s="1772"/>
      <c r="H638" s="44"/>
      <c r="I638" s="1744"/>
      <c r="J638" s="1740"/>
      <c r="K638" s="1756"/>
      <c r="L638" s="1756"/>
      <c r="M638" s="1756"/>
      <c r="N638" s="1756"/>
      <c r="O638" s="1756"/>
      <c r="P638" s="1756"/>
      <c r="Q638" s="1756"/>
      <c r="R638" s="1756"/>
      <c r="S638" s="1756"/>
      <c r="T638" s="1756"/>
      <c r="U638" s="1756"/>
    </row>
    <row r="639" spans="1:21" s="1773" customFormat="1" ht="51">
      <c r="A639" s="1896" t="s">
        <v>1595</v>
      </c>
      <c r="B639" s="1201" t="s">
        <v>1596</v>
      </c>
      <c r="C639" s="31">
        <v>4</v>
      </c>
      <c r="D639" s="713" t="s">
        <v>1</v>
      </c>
      <c r="E639" s="713">
        <v>1155.4100000000001</v>
      </c>
      <c r="F639" s="1864">
        <f t="shared" si="27"/>
        <v>4621.6400000000003</v>
      </c>
      <c r="G639" s="1772"/>
      <c r="H639" s="44"/>
      <c r="I639" s="1744"/>
      <c r="J639" s="1740"/>
      <c r="K639" s="1756"/>
      <c r="L639" s="1756"/>
      <c r="M639" s="1756"/>
      <c r="N639" s="1756"/>
      <c r="O639" s="1756"/>
      <c r="P639" s="1756"/>
      <c r="Q639" s="1756"/>
      <c r="R639" s="1756"/>
      <c r="S639" s="1756"/>
      <c r="T639" s="1756"/>
      <c r="U639" s="1756"/>
    </row>
    <row r="640" spans="1:21" s="1773" customFormat="1" ht="51">
      <c r="A640" s="1896" t="s">
        <v>1597</v>
      </c>
      <c r="B640" s="1201" t="s">
        <v>1598</v>
      </c>
      <c r="C640" s="1794">
        <v>4</v>
      </c>
      <c r="D640" s="1794" t="s">
        <v>1</v>
      </c>
      <c r="E640" s="1794">
        <v>363.44</v>
      </c>
      <c r="F640" s="1856">
        <f t="shared" si="27"/>
        <v>1453.76</v>
      </c>
      <c r="G640" s="1772"/>
      <c r="H640" s="44"/>
      <c r="I640" s="1744"/>
      <c r="J640" s="1740"/>
      <c r="K640" s="1756"/>
      <c r="L640" s="1756"/>
      <c r="M640" s="1756"/>
      <c r="N640" s="1756"/>
      <c r="O640" s="1756"/>
      <c r="P640" s="1756"/>
      <c r="Q640" s="1756"/>
      <c r="R640" s="1756"/>
      <c r="S640" s="1756"/>
      <c r="T640" s="1756"/>
      <c r="U640" s="1756"/>
    </row>
    <row r="641" spans="1:21" s="1773" customFormat="1" ht="51">
      <c r="A641" s="1896" t="s">
        <v>1599</v>
      </c>
      <c r="B641" s="1201" t="s">
        <v>1600</v>
      </c>
      <c r="C641" s="31">
        <v>8</v>
      </c>
      <c r="D641" s="713" t="s">
        <v>1</v>
      </c>
      <c r="E641" s="713">
        <v>373.92</v>
      </c>
      <c r="F641" s="1864">
        <f t="shared" si="27"/>
        <v>2991.36</v>
      </c>
      <c r="G641" s="1772"/>
      <c r="H641" s="44"/>
      <c r="I641" s="1744"/>
      <c r="J641" s="1740"/>
      <c r="K641" s="1756"/>
      <c r="L641" s="1756"/>
      <c r="M641" s="1756"/>
      <c r="N641" s="1756"/>
      <c r="O641" s="1756"/>
      <c r="P641" s="1756"/>
      <c r="Q641" s="1756"/>
      <c r="R641" s="1756"/>
      <c r="S641" s="1756"/>
      <c r="T641" s="1756"/>
      <c r="U641" s="1756"/>
    </row>
    <row r="642" spans="1:21" s="1773" customFormat="1" ht="51">
      <c r="A642" s="1896" t="s">
        <v>1601</v>
      </c>
      <c r="B642" s="1201" t="s">
        <v>1602</v>
      </c>
      <c r="C642" s="31">
        <v>4</v>
      </c>
      <c r="D642" s="713" t="s">
        <v>1</v>
      </c>
      <c r="E642" s="713">
        <v>363.44</v>
      </c>
      <c r="F642" s="1864">
        <f t="shared" si="27"/>
        <v>1453.76</v>
      </c>
      <c r="G642" s="1772"/>
      <c r="H642" s="44"/>
      <c r="I642" s="1744"/>
      <c r="J642" s="1740"/>
      <c r="K642" s="1756"/>
      <c r="L642" s="1756"/>
      <c r="M642" s="1756"/>
      <c r="N642" s="1756"/>
      <c r="O642" s="1756"/>
      <c r="P642" s="1756"/>
      <c r="Q642" s="1756"/>
      <c r="R642" s="1756"/>
      <c r="S642" s="1756"/>
      <c r="T642" s="1756"/>
      <c r="U642" s="1756"/>
    </row>
    <row r="643" spans="1:21" s="1773" customFormat="1" ht="51">
      <c r="A643" s="1896" t="s">
        <v>1603</v>
      </c>
      <c r="B643" s="1201" t="s">
        <v>1604</v>
      </c>
      <c r="C643" s="31">
        <v>12</v>
      </c>
      <c r="D643" s="713" t="s">
        <v>1</v>
      </c>
      <c r="E643" s="713">
        <v>373.92</v>
      </c>
      <c r="F643" s="1864">
        <f t="shared" si="27"/>
        <v>4487.04</v>
      </c>
      <c r="G643" s="1772"/>
      <c r="H643" s="44"/>
      <c r="I643" s="1744"/>
      <c r="J643" s="1740"/>
      <c r="K643" s="1756"/>
      <c r="L643" s="1756"/>
      <c r="M643" s="1756"/>
      <c r="N643" s="1756"/>
      <c r="O643" s="1756"/>
      <c r="P643" s="1756"/>
      <c r="Q643" s="1756"/>
      <c r="R643" s="1756"/>
      <c r="S643" s="1756"/>
      <c r="T643" s="1756"/>
      <c r="U643" s="1756"/>
    </row>
    <row r="644" spans="1:21" s="1773" customFormat="1" ht="51">
      <c r="A644" s="1896" t="s">
        <v>1605</v>
      </c>
      <c r="B644" s="1201" t="s">
        <v>1606</v>
      </c>
      <c r="C644" s="31">
        <v>20</v>
      </c>
      <c r="D644" s="713" t="s">
        <v>1</v>
      </c>
      <c r="E644" s="713">
        <v>363.44</v>
      </c>
      <c r="F644" s="1864">
        <f t="shared" si="27"/>
        <v>7268.8</v>
      </c>
      <c r="G644" s="1772"/>
      <c r="H644" s="44"/>
      <c r="I644" s="1744"/>
      <c r="J644" s="1740"/>
      <c r="K644" s="1756"/>
      <c r="L644" s="1756"/>
      <c r="M644" s="1756"/>
      <c r="N644" s="1756"/>
      <c r="O644" s="1756"/>
      <c r="P644" s="1756"/>
      <c r="Q644" s="1756"/>
      <c r="R644" s="1756"/>
      <c r="S644" s="1756"/>
      <c r="T644" s="1756"/>
      <c r="U644" s="1756"/>
    </row>
    <row r="645" spans="1:21" s="1773" customFormat="1" ht="51">
      <c r="A645" s="1896" t="s">
        <v>1607</v>
      </c>
      <c r="B645" s="1201" t="s">
        <v>1608</v>
      </c>
      <c r="C645" s="31">
        <v>20</v>
      </c>
      <c r="D645" s="713" t="s">
        <v>1</v>
      </c>
      <c r="E645" s="713">
        <v>246.18</v>
      </c>
      <c r="F645" s="1864">
        <f t="shared" si="27"/>
        <v>4923.6000000000004</v>
      </c>
      <c r="G645" s="1772"/>
      <c r="H645" s="44"/>
      <c r="I645" s="1744"/>
      <c r="J645" s="1740"/>
      <c r="K645" s="1756"/>
      <c r="L645" s="1756"/>
      <c r="M645" s="1756"/>
      <c r="N645" s="1756"/>
      <c r="O645" s="1756"/>
      <c r="P645" s="1756"/>
      <c r="Q645" s="1756"/>
      <c r="R645" s="1756"/>
      <c r="S645" s="1756"/>
      <c r="T645" s="1756"/>
      <c r="U645" s="1756"/>
    </row>
    <row r="646" spans="1:21" s="1773" customFormat="1" ht="51">
      <c r="A646" s="1898" t="s">
        <v>1609</v>
      </c>
      <c r="B646" s="1822" t="s">
        <v>1610</v>
      </c>
      <c r="C646" s="1813">
        <v>30</v>
      </c>
      <c r="D646" s="1821" t="s">
        <v>1</v>
      </c>
      <c r="E646" s="1821">
        <v>246.18</v>
      </c>
      <c r="F646" s="1879">
        <f t="shared" si="27"/>
        <v>7385.4</v>
      </c>
      <c r="G646" s="1772"/>
      <c r="H646" s="44"/>
      <c r="I646" s="1744"/>
      <c r="J646" s="1740"/>
      <c r="K646" s="1756"/>
      <c r="L646" s="1756"/>
      <c r="M646" s="1756"/>
      <c r="N646" s="1756"/>
      <c r="O646" s="1756"/>
      <c r="P646" s="1756"/>
      <c r="Q646" s="1756"/>
      <c r="R646" s="1756"/>
      <c r="S646" s="1756"/>
      <c r="T646" s="1756"/>
      <c r="U646" s="1756"/>
    </row>
    <row r="647" spans="1:21" s="1773" customFormat="1" ht="51">
      <c r="A647" s="1896" t="s">
        <v>1611</v>
      </c>
      <c r="B647" s="1201" t="s">
        <v>1612</v>
      </c>
      <c r="C647" s="31">
        <v>4</v>
      </c>
      <c r="D647" s="713" t="s">
        <v>1</v>
      </c>
      <c r="E647" s="713">
        <v>363.44</v>
      </c>
      <c r="F647" s="1864">
        <f t="shared" si="27"/>
        <v>1453.76</v>
      </c>
      <c r="G647" s="1772"/>
      <c r="H647" s="44"/>
      <c r="I647" s="1744"/>
      <c r="J647" s="1740"/>
      <c r="K647" s="1756"/>
      <c r="L647" s="1756"/>
      <c r="M647" s="1756"/>
      <c r="N647" s="1756"/>
      <c r="O647" s="1756"/>
      <c r="P647" s="1756"/>
      <c r="Q647" s="1756"/>
      <c r="R647" s="1756"/>
      <c r="S647" s="1756"/>
      <c r="T647" s="1756"/>
      <c r="U647" s="1756"/>
    </row>
    <row r="648" spans="1:21" s="1773" customFormat="1" ht="38.25">
      <c r="A648" s="1896" t="s">
        <v>1613</v>
      </c>
      <c r="B648" s="1201" t="s">
        <v>1614</v>
      </c>
      <c r="C648" s="31">
        <v>10</v>
      </c>
      <c r="D648" s="713" t="s">
        <v>1</v>
      </c>
      <c r="E648" s="713">
        <v>276.14999999999998</v>
      </c>
      <c r="F648" s="1864">
        <f t="shared" si="27"/>
        <v>2761.5</v>
      </c>
      <c r="G648" s="1772"/>
      <c r="H648" s="44"/>
      <c r="I648" s="1744"/>
      <c r="J648" s="1740"/>
      <c r="K648" s="1756"/>
      <c r="L648" s="1756"/>
      <c r="M648" s="1756"/>
      <c r="N648" s="1756"/>
      <c r="O648" s="1756"/>
      <c r="P648" s="1756"/>
      <c r="Q648" s="1756"/>
      <c r="R648" s="1756"/>
      <c r="S648" s="1756"/>
      <c r="T648" s="1756"/>
      <c r="U648" s="1756"/>
    </row>
    <row r="649" spans="1:21" s="1773" customFormat="1" ht="38.25">
      <c r="A649" s="1896" t="s">
        <v>1615</v>
      </c>
      <c r="B649" s="1201" t="s">
        <v>1616</v>
      </c>
      <c r="C649" s="31">
        <v>16</v>
      </c>
      <c r="D649" s="713" t="s">
        <v>1</v>
      </c>
      <c r="E649" s="713">
        <v>276.14999999999998</v>
      </c>
      <c r="F649" s="1864">
        <f t="shared" si="27"/>
        <v>4418.3999999999996</v>
      </c>
      <c r="G649" s="1772"/>
      <c r="H649" s="44"/>
      <c r="I649" s="1744"/>
      <c r="J649" s="1740"/>
      <c r="K649" s="1756"/>
      <c r="L649" s="1756"/>
      <c r="M649" s="1756"/>
      <c r="N649" s="1756"/>
      <c r="O649" s="1756"/>
      <c r="P649" s="1756"/>
      <c r="Q649" s="1756"/>
      <c r="R649" s="1756"/>
      <c r="S649" s="1756"/>
      <c r="T649" s="1756"/>
      <c r="U649" s="1756"/>
    </row>
    <row r="650" spans="1:21" s="1773" customFormat="1" ht="51">
      <c r="A650" s="1896" t="s">
        <v>1617</v>
      </c>
      <c r="B650" s="1201" t="s">
        <v>1618</v>
      </c>
      <c r="C650" s="31">
        <v>20</v>
      </c>
      <c r="D650" s="713" t="s">
        <v>1</v>
      </c>
      <c r="E650" s="713">
        <v>171.86</v>
      </c>
      <c r="F650" s="1864">
        <f t="shared" si="27"/>
        <v>3437.2</v>
      </c>
      <c r="G650" s="1772"/>
      <c r="H650" s="44"/>
      <c r="I650" s="1744"/>
      <c r="J650" s="1740"/>
      <c r="K650" s="1756"/>
      <c r="L650" s="1756"/>
      <c r="M650" s="1756"/>
      <c r="N650" s="1756"/>
      <c r="O650" s="1756"/>
      <c r="P650" s="1756"/>
      <c r="Q650" s="1756"/>
      <c r="R650" s="1756"/>
      <c r="S650" s="1756"/>
      <c r="T650" s="1756"/>
      <c r="U650" s="1756"/>
    </row>
    <row r="651" spans="1:21" s="1773" customFormat="1" ht="51">
      <c r="A651" s="1896" t="s">
        <v>1619</v>
      </c>
      <c r="B651" s="1201" t="s">
        <v>1620</v>
      </c>
      <c r="C651" s="31">
        <v>10</v>
      </c>
      <c r="D651" s="713" t="s">
        <v>1</v>
      </c>
      <c r="E651" s="713">
        <v>171.86</v>
      </c>
      <c r="F651" s="1864">
        <f t="shared" si="27"/>
        <v>1718.6</v>
      </c>
      <c r="G651" s="1772"/>
      <c r="H651" s="44"/>
      <c r="I651" s="1744"/>
      <c r="J651" s="1740"/>
      <c r="K651" s="1756"/>
      <c r="L651" s="1756"/>
      <c r="M651" s="1756"/>
      <c r="N651" s="1756"/>
      <c r="O651" s="1756"/>
      <c r="P651" s="1756"/>
      <c r="Q651" s="1756"/>
      <c r="R651" s="1756"/>
      <c r="S651" s="1756"/>
      <c r="T651" s="1756"/>
      <c r="U651" s="1756"/>
    </row>
    <row r="652" spans="1:21" s="1773" customFormat="1" ht="53.25" customHeight="1">
      <c r="A652" s="1896" t="s">
        <v>1621</v>
      </c>
      <c r="B652" s="1201" t="s">
        <v>1622</v>
      </c>
      <c r="C652" s="31">
        <v>16</v>
      </c>
      <c r="D652" s="713" t="s">
        <v>1</v>
      </c>
      <c r="E652" s="713">
        <v>299.60000000000002</v>
      </c>
      <c r="F652" s="1864">
        <f t="shared" si="27"/>
        <v>4793.6000000000004</v>
      </c>
      <c r="G652" s="1772"/>
      <c r="H652" s="44"/>
      <c r="I652" s="1744"/>
      <c r="J652" s="1740"/>
      <c r="K652" s="1756"/>
      <c r="L652" s="1756"/>
      <c r="M652" s="1756"/>
      <c r="N652" s="1756"/>
      <c r="O652" s="1756"/>
      <c r="P652" s="1756"/>
      <c r="Q652" s="1756"/>
      <c r="R652" s="1756"/>
      <c r="S652" s="1756"/>
      <c r="T652" s="1756"/>
      <c r="U652" s="1756"/>
    </row>
    <row r="653" spans="1:21" s="1773" customFormat="1">
      <c r="A653" s="1896" t="s">
        <v>1623</v>
      </c>
      <c r="B653" s="510" t="s">
        <v>1624</v>
      </c>
      <c r="C653" s="510">
        <v>1</v>
      </c>
      <c r="D653" s="510" t="s">
        <v>976</v>
      </c>
      <c r="E653" s="510">
        <v>3816.5</v>
      </c>
      <c r="F653" s="1899">
        <f t="shared" ref="F653:F660" si="28">C653*E653</f>
        <v>3816.5</v>
      </c>
      <c r="G653" s="1772"/>
      <c r="H653" s="44"/>
      <c r="I653" s="1744"/>
      <c r="J653" s="1740"/>
      <c r="K653" s="1756"/>
      <c r="L653" s="1756"/>
      <c r="M653" s="1756"/>
      <c r="N653" s="1756"/>
      <c r="O653" s="1756"/>
      <c r="P653" s="1756"/>
      <c r="Q653" s="1756"/>
      <c r="R653" s="1756"/>
      <c r="S653" s="1756"/>
      <c r="T653" s="1756"/>
      <c r="U653" s="1756"/>
    </row>
    <row r="654" spans="1:21" s="1773" customFormat="1" ht="38.25">
      <c r="A654" s="1896" t="s">
        <v>1625</v>
      </c>
      <c r="B654" s="853" t="s">
        <v>1626</v>
      </c>
      <c r="C654" s="31">
        <v>1</v>
      </c>
      <c r="D654" s="713" t="s">
        <v>976</v>
      </c>
      <c r="E654" s="713">
        <v>16000</v>
      </c>
      <c r="F654" s="1864">
        <f t="shared" si="28"/>
        <v>16000</v>
      </c>
      <c r="G654" s="1772"/>
      <c r="H654" s="44"/>
      <c r="I654" s="1744"/>
      <c r="J654" s="1740"/>
      <c r="K654" s="1756"/>
      <c r="L654" s="1756"/>
      <c r="M654" s="1756"/>
      <c r="N654" s="1756"/>
      <c r="O654" s="1756"/>
      <c r="P654" s="1756"/>
      <c r="Q654" s="1756"/>
      <c r="R654" s="1756"/>
      <c r="S654" s="1756"/>
      <c r="T654" s="1756"/>
      <c r="U654" s="1756"/>
    </row>
    <row r="655" spans="1:21" s="1773" customFormat="1" ht="27" customHeight="1">
      <c r="A655" s="1896" t="s">
        <v>1627</v>
      </c>
      <c r="B655" s="853" t="s">
        <v>1628</v>
      </c>
      <c r="C655" s="31">
        <v>1</v>
      </c>
      <c r="D655" s="713" t="s">
        <v>976</v>
      </c>
      <c r="E655" s="713">
        <v>18455.2</v>
      </c>
      <c r="F655" s="1864">
        <f>C655*E655</f>
        <v>18455.2</v>
      </c>
      <c r="G655" s="1772"/>
      <c r="H655" s="44"/>
      <c r="I655" s="1744"/>
      <c r="J655" s="1740"/>
      <c r="K655" s="1756"/>
      <c r="L655" s="1756"/>
      <c r="M655" s="1756"/>
      <c r="N655" s="1756"/>
      <c r="O655" s="1756"/>
      <c r="P655" s="1756"/>
      <c r="Q655" s="1756"/>
      <c r="R655" s="1756"/>
      <c r="S655" s="1756"/>
      <c r="T655" s="1756"/>
      <c r="U655" s="1756"/>
    </row>
    <row r="656" spans="1:21" s="1773" customFormat="1">
      <c r="A656" s="1896" t="s">
        <v>1629</v>
      </c>
      <c r="B656" s="853" t="s">
        <v>1630</v>
      </c>
      <c r="C656" s="31">
        <v>1</v>
      </c>
      <c r="D656" s="713" t="s">
        <v>976</v>
      </c>
      <c r="E656" s="713">
        <v>4758.3900000000003</v>
      </c>
      <c r="F656" s="1864">
        <f t="shared" si="28"/>
        <v>4758.3900000000003</v>
      </c>
      <c r="G656" s="1772"/>
      <c r="H656" s="44"/>
      <c r="I656" s="1744"/>
      <c r="J656" s="1740"/>
      <c r="K656" s="1756"/>
      <c r="L656" s="1756"/>
      <c r="M656" s="1756"/>
      <c r="N656" s="1756"/>
      <c r="O656" s="1756"/>
      <c r="P656" s="1756"/>
      <c r="Q656" s="1756"/>
      <c r="R656" s="1756"/>
      <c r="S656" s="1756"/>
      <c r="T656" s="1756"/>
      <c r="U656" s="1756"/>
    </row>
    <row r="657" spans="1:21" s="1773" customFormat="1" ht="25.5">
      <c r="A657" s="1896" t="s">
        <v>1631</v>
      </c>
      <c r="B657" s="853" t="s">
        <v>1632</v>
      </c>
      <c r="C657" s="31">
        <v>7</v>
      </c>
      <c r="D657" s="713" t="s">
        <v>976</v>
      </c>
      <c r="E657" s="713">
        <v>3800</v>
      </c>
      <c r="F657" s="1864">
        <f>ROUND(C657*E657,2)</f>
        <v>26600</v>
      </c>
      <c r="G657" s="1772"/>
      <c r="H657" s="44"/>
      <c r="I657" s="1744"/>
      <c r="J657" s="1740"/>
      <c r="K657" s="1756"/>
      <c r="L657" s="1756"/>
      <c r="M657" s="1756"/>
      <c r="N657" s="1756"/>
      <c r="O657" s="1756"/>
      <c r="P657" s="1756"/>
      <c r="Q657" s="1756"/>
      <c r="R657" s="1756"/>
      <c r="S657" s="1756"/>
      <c r="T657" s="1756"/>
      <c r="U657" s="1756"/>
    </row>
    <row r="658" spans="1:21" s="1773" customFormat="1">
      <c r="A658" s="1896" t="s">
        <v>1633</v>
      </c>
      <c r="B658" s="853" t="s">
        <v>1634</v>
      </c>
      <c r="C658" s="31">
        <v>1</v>
      </c>
      <c r="D658" s="713" t="s">
        <v>976</v>
      </c>
      <c r="E658" s="713">
        <v>285.04000000000002</v>
      </c>
      <c r="F658" s="1864">
        <f t="shared" si="28"/>
        <v>285.04000000000002</v>
      </c>
      <c r="G658" s="1772"/>
      <c r="H658" s="44"/>
      <c r="I658" s="1744"/>
      <c r="J658" s="1740"/>
      <c r="K658" s="1756"/>
      <c r="L658" s="1756"/>
      <c r="M658" s="1756"/>
      <c r="N658" s="1756"/>
      <c r="O658" s="1756"/>
      <c r="P658" s="1756"/>
      <c r="Q658" s="1756"/>
      <c r="R658" s="1756"/>
      <c r="S658" s="1756"/>
      <c r="T658" s="1756"/>
      <c r="U658" s="1756"/>
    </row>
    <row r="659" spans="1:21" s="1773" customFormat="1">
      <c r="A659" s="1896" t="s">
        <v>1635</v>
      </c>
      <c r="B659" s="853" t="s">
        <v>1636</v>
      </c>
      <c r="C659" s="31">
        <v>1</v>
      </c>
      <c r="D659" s="713" t="s">
        <v>976</v>
      </c>
      <c r="E659" s="713">
        <v>821.24</v>
      </c>
      <c r="F659" s="1864">
        <f t="shared" si="28"/>
        <v>821.24</v>
      </c>
      <c r="G659" s="1772"/>
      <c r="H659" s="44"/>
      <c r="I659" s="1744"/>
      <c r="J659" s="1740"/>
      <c r="K659" s="1756"/>
      <c r="L659" s="1756"/>
      <c r="M659" s="1756"/>
      <c r="N659" s="1756"/>
      <c r="O659" s="1756"/>
      <c r="P659" s="1756"/>
      <c r="Q659" s="1756"/>
      <c r="R659" s="1756"/>
      <c r="S659" s="1756"/>
      <c r="T659" s="1756"/>
      <c r="U659" s="1756"/>
    </row>
    <row r="660" spans="1:21" s="1773" customFormat="1">
      <c r="A660" s="1896" t="s">
        <v>1637</v>
      </c>
      <c r="B660" s="853" t="s">
        <v>1638</v>
      </c>
      <c r="C660" s="31">
        <v>1</v>
      </c>
      <c r="D660" s="713" t="s">
        <v>976</v>
      </c>
      <c r="E660" s="713">
        <v>20000</v>
      </c>
      <c r="F660" s="1864">
        <f t="shared" si="28"/>
        <v>20000</v>
      </c>
      <c r="G660" s="1772"/>
      <c r="H660" s="44"/>
      <c r="I660" s="1744"/>
      <c r="J660" s="1740"/>
      <c r="K660" s="1756"/>
      <c r="L660" s="1756"/>
      <c r="M660" s="1756"/>
      <c r="N660" s="1756"/>
      <c r="O660" s="1756"/>
      <c r="P660" s="1756"/>
      <c r="Q660" s="1756"/>
      <c r="R660" s="1756"/>
      <c r="S660" s="1756"/>
      <c r="T660" s="1756"/>
      <c r="U660" s="1756"/>
    </row>
    <row r="661" spans="1:21" s="1773" customFormat="1" ht="6.75" customHeight="1">
      <c r="A661" s="1860"/>
      <c r="B661" s="522"/>
      <c r="C661" s="31"/>
      <c r="D661" s="713"/>
      <c r="E661" s="713"/>
      <c r="F661" s="1864"/>
      <c r="G661" s="1772"/>
      <c r="H661" s="1775"/>
      <c r="I661" s="1744"/>
      <c r="J661" s="1740"/>
      <c r="K661" s="1756"/>
      <c r="L661" s="1756"/>
      <c r="M661" s="1756"/>
      <c r="N661" s="1756"/>
      <c r="O661" s="1756"/>
      <c r="P661" s="1756"/>
      <c r="Q661" s="1756"/>
      <c r="R661" s="1756"/>
      <c r="S661" s="1756"/>
      <c r="T661" s="1756"/>
      <c r="U661" s="1756"/>
    </row>
    <row r="662" spans="1:21" s="1773" customFormat="1" ht="12.75" customHeight="1">
      <c r="A662" s="1861">
        <v>4</v>
      </c>
      <c r="B662" s="819" t="s">
        <v>1639</v>
      </c>
      <c r="C662" s="31"/>
      <c r="D662" s="713"/>
      <c r="E662" s="713"/>
      <c r="F662" s="1864"/>
      <c r="G662" s="1772"/>
      <c r="H662" s="44"/>
      <c r="I662" s="1744"/>
      <c r="J662" s="1740"/>
      <c r="K662" s="1756"/>
      <c r="L662" s="1756"/>
      <c r="M662" s="1756"/>
      <c r="N662" s="1756"/>
      <c r="O662" s="1756"/>
      <c r="P662" s="1756"/>
      <c r="Q662" s="1756"/>
      <c r="R662" s="1756"/>
      <c r="S662" s="1756"/>
      <c r="T662" s="1756"/>
      <c r="U662" s="1756"/>
    </row>
    <row r="663" spans="1:21" s="1773" customFormat="1" ht="27" customHeight="1">
      <c r="A663" s="1900">
        <v>4.0999999999999996</v>
      </c>
      <c r="B663" s="853" t="s">
        <v>1640</v>
      </c>
      <c r="C663" s="31">
        <v>1</v>
      </c>
      <c r="D663" s="814" t="s">
        <v>3</v>
      </c>
      <c r="E663" s="713">
        <v>284510.3</v>
      </c>
      <c r="F663" s="1864">
        <f>ROUND(C663*E663,2)</f>
        <v>284510.3</v>
      </c>
      <c r="G663" s="1772"/>
      <c r="H663" s="44"/>
      <c r="I663" s="1744"/>
      <c r="J663" s="1740"/>
      <c r="K663" s="1756"/>
      <c r="L663" s="1756"/>
      <c r="M663" s="1756"/>
      <c r="N663" s="1756"/>
      <c r="O663" s="1756"/>
      <c r="P663" s="1756"/>
      <c r="Q663" s="1756"/>
      <c r="R663" s="1756"/>
      <c r="S663" s="1756"/>
      <c r="T663" s="1756"/>
      <c r="U663" s="1756"/>
    </row>
    <row r="664" spans="1:21" s="1773" customFormat="1" ht="12.75" customHeight="1">
      <c r="A664" s="1900">
        <v>4.2</v>
      </c>
      <c r="B664" s="1776" t="s">
        <v>1641</v>
      </c>
      <c r="C664" s="31">
        <v>1</v>
      </c>
      <c r="D664" s="713" t="s">
        <v>3</v>
      </c>
      <c r="E664" s="713">
        <v>40000</v>
      </c>
      <c r="F664" s="1864">
        <f>ROUND(C664*E664,2)</f>
        <v>40000</v>
      </c>
      <c r="G664" s="1772"/>
      <c r="H664" s="44"/>
      <c r="I664" s="1744"/>
      <c r="J664" s="1740"/>
      <c r="K664" s="1756"/>
      <c r="L664" s="1756"/>
      <c r="M664" s="1756"/>
      <c r="N664" s="1756"/>
      <c r="O664" s="1756"/>
      <c r="P664" s="1756"/>
      <c r="Q664" s="1756"/>
      <c r="R664" s="1756"/>
      <c r="S664" s="1756"/>
      <c r="T664" s="1756"/>
      <c r="U664" s="1756"/>
    </row>
    <row r="665" spans="1:21" s="1773" customFormat="1" ht="27" customHeight="1">
      <c r="A665" s="1900">
        <v>4.3</v>
      </c>
      <c r="B665" s="1776" t="s">
        <v>1642</v>
      </c>
      <c r="C665" s="31">
        <v>1</v>
      </c>
      <c r="D665" s="814" t="s">
        <v>3</v>
      </c>
      <c r="E665" s="713">
        <v>45300</v>
      </c>
      <c r="F665" s="1864">
        <f>ROUND(C665*E665,2)</f>
        <v>45300</v>
      </c>
      <c r="G665" s="1772"/>
      <c r="H665" s="44"/>
      <c r="I665" s="1744"/>
      <c r="J665" s="1740"/>
      <c r="K665" s="1756"/>
      <c r="L665" s="1756"/>
      <c r="M665" s="1756"/>
      <c r="N665" s="1756"/>
      <c r="O665" s="1756"/>
      <c r="P665" s="1756"/>
      <c r="Q665" s="1756"/>
      <c r="R665" s="1756"/>
      <c r="S665" s="1756"/>
      <c r="T665" s="1756"/>
      <c r="U665" s="1756"/>
    </row>
    <row r="666" spans="1:21" s="1773" customFormat="1" ht="12.75" customHeight="1">
      <c r="A666" s="1900">
        <v>4.4000000000000004</v>
      </c>
      <c r="B666" s="1776" t="s">
        <v>1643</v>
      </c>
      <c r="C666" s="31">
        <v>1</v>
      </c>
      <c r="D666" s="713" t="s">
        <v>3</v>
      </c>
      <c r="E666" s="713">
        <v>20000</v>
      </c>
      <c r="F666" s="1864">
        <f>ROUND(C666*E666,2)</f>
        <v>20000</v>
      </c>
      <c r="G666" s="1772"/>
      <c r="H666" s="44"/>
      <c r="I666" s="1744"/>
      <c r="J666" s="1740"/>
      <c r="K666" s="1756"/>
      <c r="L666" s="1756"/>
      <c r="M666" s="1756"/>
      <c r="N666" s="1756"/>
      <c r="O666" s="1756"/>
      <c r="P666" s="1756"/>
      <c r="Q666" s="1756"/>
      <c r="R666" s="1756"/>
      <c r="S666" s="1756"/>
      <c r="T666" s="1756"/>
      <c r="U666" s="1756"/>
    </row>
    <row r="667" spans="1:21" s="1773" customFormat="1" ht="12.75" customHeight="1">
      <c r="A667" s="1900">
        <v>4.5</v>
      </c>
      <c r="B667" s="1776" t="s">
        <v>1644</v>
      </c>
      <c r="C667" s="31">
        <v>1</v>
      </c>
      <c r="D667" s="814" t="s">
        <v>3</v>
      </c>
      <c r="E667" s="713">
        <v>14000</v>
      </c>
      <c r="F667" s="1864">
        <f>ROUND(C667*E667,2)</f>
        <v>14000</v>
      </c>
      <c r="G667" s="1772"/>
      <c r="H667" s="44"/>
      <c r="I667" s="1744"/>
      <c r="J667" s="1740"/>
      <c r="K667" s="1756"/>
      <c r="L667" s="1756"/>
      <c r="M667" s="1756"/>
      <c r="N667" s="1756"/>
      <c r="O667" s="1756"/>
      <c r="P667" s="1756"/>
      <c r="Q667" s="1756"/>
      <c r="R667" s="1756"/>
      <c r="S667" s="1756"/>
      <c r="T667" s="1756"/>
      <c r="U667" s="1756"/>
    </row>
    <row r="668" spans="1:21" s="1773" customFormat="1" ht="12.75" customHeight="1">
      <c r="A668" s="1900">
        <v>4.5999999999999996</v>
      </c>
      <c r="B668" s="853" t="s">
        <v>1645</v>
      </c>
      <c r="C668" s="31">
        <v>1</v>
      </c>
      <c r="D668" s="713" t="s">
        <v>976</v>
      </c>
      <c r="E668" s="713">
        <v>14680.15</v>
      </c>
      <c r="F668" s="1864">
        <f>C668*E668</f>
        <v>14680.15</v>
      </c>
      <c r="G668" s="1772"/>
      <c r="H668" s="44"/>
      <c r="I668" s="1744"/>
      <c r="J668" s="1740"/>
      <c r="K668" s="1756"/>
      <c r="L668" s="1756"/>
      <c r="M668" s="1756"/>
      <c r="N668" s="1756"/>
      <c r="O668" s="1756"/>
      <c r="P668" s="1756"/>
      <c r="Q668" s="1756"/>
      <c r="R668" s="1756"/>
      <c r="S668" s="1756"/>
      <c r="T668" s="1756"/>
      <c r="U668" s="1756"/>
    </row>
    <row r="669" spans="1:21" s="1773" customFormat="1" ht="12.75" customHeight="1">
      <c r="A669" s="1900">
        <v>4.7</v>
      </c>
      <c r="B669" s="1776" t="s">
        <v>1646</v>
      </c>
      <c r="C669" s="31">
        <v>1</v>
      </c>
      <c r="D669" s="713" t="s">
        <v>3</v>
      </c>
      <c r="E669" s="713">
        <v>4566.38</v>
      </c>
      <c r="F669" s="1864">
        <f>ROUND(C669*E669,2)</f>
        <v>4566.38</v>
      </c>
      <c r="G669" s="1772"/>
      <c r="H669" s="44"/>
      <c r="I669" s="1744"/>
      <c r="J669" s="1740"/>
      <c r="K669" s="1756"/>
      <c r="L669" s="1756"/>
      <c r="M669" s="1756"/>
      <c r="N669" s="1756"/>
      <c r="O669" s="1756"/>
      <c r="P669" s="1756"/>
      <c r="Q669" s="1756"/>
      <c r="R669" s="1756"/>
      <c r="S669" s="1756"/>
      <c r="T669" s="1756"/>
      <c r="U669" s="1756"/>
    </row>
    <row r="670" spans="1:21" s="1773" customFormat="1" ht="36.75" customHeight="1">
      <c r="A670" s="1881" t="s">
        <v>1647</v>
      </c>
      <c r="B670" s="1822" t="s">
        <v>1648</v>
      </c>
      <c r="C670" s="1813">
        <v>10</v>
      </c>
      <c r="D670" s="1821" t="s">
        <v>1</v>
      </c>
      <c r="E670" s="1821">
        <v>1036.0999999999999</v>
      </c>
      <c r="F670" s="1879">
        <f>ROUND(C670*E670,2)</f>
        <v>10361</v>
      </c>
      <c r="G670" s="1772"/>
      <c r="H670" s="44"/>
      <c r="I670" s="1744"/>
      <c r="J670" s="1740"/>
      <c r="K670" s="1756"/>
      <c r="L670" s="1756"/>
      <c r="M670" s="1756"/>
      <c r="N670" s="1756"/>
      <c r="O670" s="1756"/>
      <c r="P670" s="1756"/>
      <c r="Q670" s="1756"/>
      <c r="R670" s="1756"/>
      <c r="S670" s="1756"/>
      <c r="T670" s="1756"/>
      <c r="U670" s="1756"/>
    </row>
    <row r="671" spans="1:21" s="1773" customFormat="1" ht="12.75" customHeight="1">
      <c r="A671" s="1900">
        <v>4.9000000000000004</v>
      </c>
      <c r="B671" s="1776" t="s">
        <v>1649</v>
      </c>
      <c r="C671" s="31">
        <v>1</v>
      </c>
      <c r="D671" s="713" t="s">
        <v>3</v>
      </c>
      <c r="E671" s="713">
        <v>783.72</v>
      </c>
      <c r="F671" s="1864">
        <f>ROUND(C671*E671,2)</f>
        <v>783.72</v>
      </c>
      <c r="G671" s="1772"/>
      <c r="H671" s="44"/>
      <c r="I671" s="1744"/>
      <c r="J671" s="1740"/>
      <c r="K671" s="1778"/>
      <c r="L671" s="1779"/>
      <c r="M671" s="1780"/>
      <c r="N671" s="1781"/>
      <c r="O671" s="1782"/>
      <c r="P671" s="1780">
        <f>ROUND(M671*O671,2)</f>
        <v>0</v>
      </c>
      <c r="Q671" s="1756"/>
      <c r="R671" s="1756"/>
      <c r="S671" s="1756"/>
      <c r="T671" s="1756"/>
      <c r="U671" s="1756"/>
    </row>
    <row r="672" spans="1:21" s="1773" customFormat="1" ht="12.75" customHeight="1">
      <c r="A672" s="1860">
        <v>4.0999999999999996</v>
      </c>
      <c r="B672" s="1776" t="s">
        <v>1650</v>
      </c>
      <c r="C672" s="31">
        <v>1</v>
      </c>
      <c r="D672" s="713" t="s">
        <v>3</v>
      </c>
      <c r="E672" s="713">
        <v>293.85000000000002</v>
      </c>
      <c r="F672" s="1864">
        <f>ROUND(C672*E672,2)</f>
        <v>293.85000000000002</v>
      </c>
      <c r="G672" s="1772"/>
      <c r="H672" s="44"/>
      <c r="I672" s="1744"/>
      <c r="J672" s="1740"/>
      <c r="K672" s="1778"/>
      <c r="L672" s="1779"/>
      <c r="M672" s="7"/>
      <c r="N672" s="1740"/>
      <c r="O672" s="7"/>
      <c r="P672" s="7">
        <f>ROUND(M672*O672,2)</f>
        <v>0</v>
      </c>
      <c r="Q672" s="1756"/>
      <c r="R672" s="1756"/>
      <c r="S672" s="1756"/>
      <c r="T672" s="1756"/>
      <c r="U672" s="1756"/>
    </row>
    <row r="673" spans="1:21" s="1773" customFormat="1" ht="12.75" customHeight="1">
      <c r="A673" s="1900">
        <v>4.1100000000000003</v>
      </c>
      <c r="B673" s="1776" t="s">
        <v>1651</v>
      </c>
      <c r="C673" s="31">
        <v>1</v>
      </c>
      <c r="D673" s="713" t="s">
        <v>61</v>
      </c>
      <c r="E673" s="713">
        <v>6000</v>
      </c>
      <c r="F673" s="1864">
        <f>ROUND(C673*E673,2)</f>
        <v>6000</v>
      </c>
      <c r="G673" s="1772"/>
      <c r="H673" s="44"/>
      <c r="I673" s="1744"/>
      <c r="J673" s="1740"/>
      <c r="K673" s="1778"/>
      <c r="L673" s="1779"/>
      <c r="M673" s="1780"/>
      <c r="N673" s="1781"/>
      <c r="O673" s="1782"/>
      <c r="P673" s="1780">
        <f>ROUND(M673*O673,2)</f>
        <v>0</v>
      </c>
      <c r="Q673" s="1756"/>
      <c r="R673" s="1756"/>
      <c r="S673" s="1756"/>
      <c r="T673" s="1756"/>
      <c r="U673" s="1756"/>
    </row>
    <row r="674" spans="1:21" s="1773" customFormat="1" ht="6" customHeight="1">
      <c r="A674" s="1860"/>
      <c r="B674" s="1774"/>
      <c r="C674" s="31"/>
      <c r="D674" s="713"/>
      <c r="E674" s="713"/>
      <c r="F674" s="1864"/>
      <c r="G674" s="1772"/>
      <c r="H674" s="1775"/>
      <c r="I674" s="1744"/>
      <c r="J674" s="1740"/>
      <c r="K674" s="1783"/>
      <c r="L674" s="1784"/>
      <c r="M674" s="1785"/>
      <c r="N674" s="1781"/>
      <c r="O674" s="1786"/>
      <c r="P674" s="1787">
        <f>M674*O674</f>
        <v>0</v>
      </c>
      <c r="Q674" s="1756"/>
      <c r="R674" s="1756"/>
      <c r="S674" s="1756"/>
      <c r="T674" s="1756"/>
      <c r="U674" s="1756"/>
    </row>
    <row r="675" spans="1:21" s="1773" customFormat="1" ht="12.75" customHeight="1">
      <c r="A675" s="1861">
        <v>5</v>
      </c>
      <c r="B675" s="819" t="s">
        <v>1652</v>
      </c>
      <c r="C675" s="31"/>
      <c r="D675" s="713"/>
      <c r="E675" s="713"/>
      <c r="F675" s="1864"/>
      <c r="G675" s="1772"/>
      <c r="H675" s="44"/>
      <c r="I675" s="1744"/>
      <c r="J675" s="1740"/>
      <c r="K675" s="44"/>
      <c r="L675" s="1779"/>
      <c r="M675" s="7"/>
      <c r="N675" s="7"/>
      <c r="O675" s="7"/>
      <c r="P675" s="7">
        <f t="shared" ref="P675:P681" si="29">ROUND(M675*O675,2)</f>
        <v>0</v>
      </c>
      <c r="Q675" s="1756"/>
      <c r="R675" s="1756"/>
      <c r="S675" s="1756"/>
      <c r="T675" s="1756"/>
      <c r="U675" s="1756"/>
    </row>
    <row r="676" spans="1:21" s="1773" customFormat="1" ht="38.25">
      <c r="A676" s="1860">
        <v>5.0999999999999996</v>
      </c>
      <c r="B676" s="1201" t="s">
        <v>1653</v>
      </c>
      <c r="C676" s="31">
        <v>2</v>
      </c>
      <c r="D676" s="713" t="s">
        <v>3</v>
      </c>
      <c r="E676" s="713">
        <v>136500</v>
      </c>
      <c r="F676" s="1864">
        <f>C676*E676</f>
        <v>273000</v>
      </c>
      <c r="G676" s="1772"/>
      <c r="H676" s="1788"/>
      <c r="I676" s="1744"/>
      <c r="J676" s="1740"/>
      <c r="K676" s="1778"/>
      <c r="L676" s="1779"/>
      <c r="M676" s="1780"/>
      <c r="N676" s="1781"/>
      <c r="O676" s="1786"/>
      <c r="P676" s="1780">
        <f t="shared" si="29"/>
        <v>0</v>
      </c>
      <c r="Q676" s="1756"/>
      <c r="R676" s="1756"/>
      <c r="S676" s="1756"/>
      <c r="T676" s="1756"/>
      <c r="U676" s="1756"/>
    </row>
    <row r="677" spans="1:21" s="1773" customFormat="1">
      <c r="A677" s="1860">
        <v>5.2</v>
      </c>
      <c r="B677" s="522" t="s">
        <v>1654</v>
      </c>
      <c r="C677" s="31">
        <v>2</v>
      </c>
      <c r="D677" s="713" t="s">
        <v>3</v>
      </c>
      <c r="E677" s="713">
        <v>30000</v>
      </c>
      <c r="F677" s="1864">
        <f t="shared" ref="F677:F686" si="30">C677*E677</f>
        <v>60000</v>
      </c>
      <c r="G677" s="1772"/>
      <c r="H677" s="1788"/>
      <c r="I677" s="1744"/>
      <c r="J677" s="1740"/>
      <c r="K677" s="1789"/>
      <c r="L677" s="1779"/>
      <c r="M677" s="1780"/>
      <c r="N677" s="1781"/>
      <c r="O677" s="1782"/>
      <c r="P677" s="1780">
        <f t="shared" si="29"/>
        <v>0</v>
      </c>
      <c r="Q677" s="1756"/>
      <c r="R677" s="1756"/>
      <c r="S677" s="1756"/>
      <c r="T677" s="1756"/>
      <c r="U677" s="1756"/>
    </row>
    <row r="678" spans="1:21" s="1773" customFormat="1">
      <c r="A678" s="1860">
        <v>5.3</v>
      </c>
      <c r="B678" s="522" t="s">
        <v>1655</v>
      </c>
      <c r="C678" s="31">
        <v>6</v>
      </c>
      <c r="D678" s="713" t="s">
        <v>3</v>
      </c>
      <c r="E678" s="713">
        <v>4352.04</v>
      </c>
      <c r="F678" s="1864">
        <f>C678*E678</f>
        <v>26112.240000000002</v>
      </c>
      <c r="G678" s="1772"/>
      <c r="H678" s="1788"/>
      <c r="I678" s="1744"/>
      <c r="J678" s="1740"/>
      <c r="K678" s="1789"/>
      <c r="L678" s="1779"/>
      <c r="M678" s="1780"/>
      <c r="N678" s="1781"/>
      <c r="O678" s="1782"/>
      <c r="P678" s="1780"/>
      <c r="Q678" s="1756"/>
      <c r="R678" s="1756"/>
      <c r="S678" s="1756"/>
      <c r="T678" s="1756"/>
      <c r="U678" s="1756"/>
    </row>
    <row r="679" spans="1:21" s="1773" customFormat="1">
      <c r="A679" s="1860">
        <v>5.4</v>
      </c>
      <c r="B679" s="522" t="s">
        <v>1656</v>
      </c>
      <c r="C679" s="31">
        <v>3</v>
      </c>
      <c r="D679" s="713" t="s">
        <v>3</v>
      </c>
      <c r="E679" s="713">
        <v>6280.9</v>
      </c>
      <c r="F679" s="1864">
        <f t="shared" si="30"/>
        <v>18842.7</v>
      </c>
      <c r="G679" s="1772"/>
      <c r="H679" s="1788"/>
      <c r="I679" s="1744"/>
      <c r="J679" s="1740"/>
      <c r="K679" s="1778"/>
      <c r="L679" s="1779"/>
      <c r="M679" s="1780"/>
      <c r="N679" s="1781"/>
      <c r="O679" s="1782"/>
      <c r="P679" s="1780">
        <f t="shared" si="29"/>
        <v>0</v>
      </c>
      <c r="Q679" s="1756"/>
      <c r="R679" s="1756"/>
      <c r="S679" s="1756"/>
      <c r="T679" s="1756"/>
      <c r="U679" s="1756"/>
    </row>
    <row r="680" spans="1:21" s="1773" customFormat="1">
      <c r="A680" s="1860">
        <v>5.5</v>
      </c>
      <c r="B680" s="522" t="s">
        <v>1657</v>
      </c>
      <c r="C680" s="31">
        <v>6</v>
      </c>
      <c r="D680" s="713" t="s">
        <v>3</v>
      </c>
      <c r="E680" s="713">
        <v>2390.48</v>
      </c>
      <c r="F680" s="1864">
        <f t="shared" si="30"/>
        <v>14342.88</v>
      </c>
      <c r="G680" s="1772"/>
      <c r="H680" s="1788"/>
      <c r="I680" s="1744"/>
      <c r="J680" s="1740"/>
      <c r="K680" s="1789"/>
      <c r="L680" s="1779"/>
      <c r="M680" s="1780"/>
      <c r="N680" s="1781"/>
      <c r="O680" s="1782"/>
      <c r="P680" s="1780">
        <f t="shared" si="29"/>
        <v>0</v>
      </c>
      <c r="Q680" s="1756"/>
      <c r="R680" s="1756"/>
      <c r="S680" s="1756"/>
      <c r="T680" s="1756"/>
      <c r="U680" s="1756"/>
    </row>
    <row r="681" spans="1:21" s="1773" customFormat="1" ht="25.5">
      <c r="A681" s="1860">
        <v>5.6</v>
      </c>
      <c r="B681" s="1201" t="s">
        <v>1658</v>
      </c>
      <c r="C681" s="31">
        <v>3</v>
      </c>
      <c r="D681" s="713" t="s">
        <v>3</v>
      </c>
      <c r="E681" s="713">
        <v>34889.18</v>
      </c>
      <c r="F681" s="1864">
        <f t="shared" si="30"/>
        <v>104667.54</v>
      </c>
      <c r="G681" s="1772"/>
      <c r="H681" s="1788"/>
      <c r="I681" s="1744"/>
      <c r="J681" s="1740"/>
      <c r="K681" s="1778"/>
      <c r="L681" s="1779"/>
      <c r="M681" s="1780"/>
      <c r="N681" s="1781"/>
      <c r="O681" s="1782"/>
      <c r="P681" s="1780">
        <f t="shared" si="29"/>
        <v>0</v>
      </c>
      <c r="Q681" s="1756"/>
      <c r="R681" s="1756"/>
      <c r="S681" s="1756"/>
      <c r="T681" s="1756"/>
      <c r="U681" s="1756"/>
    </row>
    <row r="682" spans="1:21" s="1773" customFormat="1" ht="25.5">
      <c r="A682" s="1860">
        <v>5.7</v>
      </c>
      <c r="B682" s="1201" t="s">
        <v>1659</v>
      </c>
      <c r="C682" s="31">
        <v>3</v>
      </c>
      <c r="D682" s="713" t="s">
        <v>3</v>
      </c>
      <c r="E682" s="713">
        <v>19700</v>
      </c>
      <c r="F682" s="1864">
        <f t="shared" si="30"/>
        <v>59100</v>
      </c>
      <c r="G682" s="1772"/>
      <c r="H682" s="1788"/>
      <c r="I682" s="1744"/>
      <c r="J682" s="1740"/>
      <c r="K682" s="1756"/>
      <c r="L682" s="1756"/>
      <c r="M682" s="1756"/>
      <c r="N682" s="1756"/>
      <c r="O682" s="1756"/>
      <c r="P682" s="1756"/>
      <c r="Q682" s="1756"/>
      <c r="R682" s="1756"/>
      <c r="S682" s="1756"/>
      <c r="T682" s="1756"/>
      <c r="U682" s="1756"/>
    </row>
    <row r="683" spans="1:21" s="1773" customFormat="1" ht="25.5">
      <c r="A683" s="1860">
        <v>5.8</v>
      </c>
      <c r="B683" s="1201" t="s">
        <v>1660</v>
      </c>
      <c r="C683" s="31">
        <v>1</v>
      </c>
      <c r="D683" s="713" t="s">
        <v>3</v>
      </c>
      <c r="E683" s="713">
        <v>59722.59</v>
      </c>
      <c r="F683" s="1864">
        <f t="shared" si="30"/>
        <v>59722.59</v>
      </c>
      <c r="G683" s="1772"/>
      <c r="H683" s="1788"/>
      <c r="I683" s="1744"/>
      <c r="J683" s="1740"/>
      <c r="K683" s="1756"/>
      <c r="L683" s="1756"/>
      <c r="M683" s="1756"/>
      <c r="N683" s="1756"/>
      <c r="O683" s="1756"/>
      <c r="P683" s="1756"/>
      <c r="Q683" s="1756"/>
      <c r="R683" s="1756"/>
      <c r="S683" s="1756"/>
      <c r="T683" s="1756"/>
      <c r="U683" s="1756"/>
    </row>
    <row r="684" spans="1:21" s="1773" customFormat="1">
      <c r="A684" s="1860">
        <v>5.9</v>
      </c>
      <c r="B684" s="522" t="s">
        <v>1661</v>
      </c>
      <c r="C684" s="31">
        <v>1</v>
      </c>
      <c r="D684" s="713" t="s">
        <v>3</v>
      </c>
      <c r="E684" s="713">
        <v>122261.5</v>
      </c>
      <c r="F684" s="1864">
        <f>C684*E684</f>
        <v>122261.5</v>
      </c>
      <c r="G684" s="1772"/>
      <c r="H684" s="1788"/>
      <c r="I684" s="1744"/>
      <c r="J684" s="1740"/>
      <c r="K684" s="1756"/>
      <c r="L684" s="1756"/>
      <c r="M684" s="1756"/>
      <c r="N684" s="1756"/>
      <c r="O684" s="1756"/>
      <c r="P684" s="1756"/>
      <c r="Q684" s="1756"/>
      <c r="R684" s="1756"/>
      <c r="S684" s="1756"/>
      <c r="T684" s="1756"/>
      <c r="U684" s="1756"/>
    </row>
    <row r="685" spans="1:21" s="1773" customFormat="1">
      <c r="A685" s="1860">
        <v>5.0999999999999996</v>
      </c>
      <c r="B685" s="522" t="s">
        <v>1662</v>
      </c>
      <c r="C685" s="31">
        <v>6</v>
      </c>
      <c r="D685" s="713" t="s">
        <v>3</v>
      </c>
      <c r="E685" s="713">
        <v>6229.73</v>
      </c>
      <c r="F685" s="1864">
        <f>C685*E685</f>
        <v>37378.379999999997</v>
      </c>
      <c r="G685" s="1772"/>
      <c r="H685" s="1788"/>
      <c r="I685" s="1744"/>
      <c r="J685" s="1740"/>
      <c r="K685" s="1756"/>
      <c r="L685" s="1756"/>
      <c r="M685" s="1756"/>
      <c r="N685" s="1756"/>
      <c r="O685" s="1756"/>
      <c r="P685" s="1756"/>
      <c r="Q685" s="1756"/>
      <c r="R685" s="1756"/>
      <c r="S685" s="1756"/>
      <c r="T685" s="1756"/>
      <c r="U685" s="1756"/>
    </row>
    <row r="686" spans="1:21" s="1773" customFormat="1" ht="12.75" customHeight="1">
      <c r="A686" s="1860">
        <v>5.1100000000000003</v>
      </c>
      <c r="B686" s="522" t="s">
        <v>1663</v>
      </c>
      <c r="C686" s="31">
        <v>2</v>
      </c>
      <c r="D686" s="713" t="s">
        <v>3</v>
      </c>
      <c r="E686" s="713">
        <v>2000</v>
      </c>
      <c r="F686" s="1864">
        <f t="shared" si="30"/>
        <v>4000</v>
      </c>
      <c r="G686" s="1772"/>
      <c r="H686" s="1788"/>
      <c r="I686" s="1744"/>
      <c r="J686" s="1740"/>
      <c r="K686" s="1756"/>
      <c r="L686" s="1756"/>
      <c r="M686" s="1756"/>
      <c r="N686" s="1756"/>
      <c r="O686" s="1756"/>
      <c r="P686" s="1756"/>
      <c r="Q686" s="1756"/>
      <c r="R686" s="1756"/>
      <c r="S686" s="1756"/>
      <c r="T686" s="1756"/>
      <c r="U686" s="1756"/>
    </row>
    <row r="687" spans="1:21" s="1773" customFormat="1">
      <c r="A687" s="1860">
        <v>5.12</v>
      </c>
      <c r="B687" s="522" t="s">
        <v>1664</v>
      </c>
      <c r="C687" s="31">
        <v>3</v>
      </c>
      <c r="D687" s="713" t="s">
        <v>3</v>
      </c>
      <c r="E687" s="713">
        <v>2300</v>
      </c>
      <c r="F687" s="1864">
        <f>C687*E687</f>
        <v>6900</v>
      </c>
      <c r="G687" s="1772"/>
      <c r="H687" s="1788"/>
      <c r="I687" s="1744"/>
      <c r="J687" s="1740"/>
      <c r="K687" s="1756"/>
      <c r="L687" s="1756"/>
      <c r="M687" s="1756"/>
      <c r="N687" s="1756"/>
      <c r="O687" s="1756"/>
      <c r="P687" s="1756"/>
      <c r="Q687" s="1756"/>
      <c r="R687" s="1756"/>
      <c r="S687" s="1756"/>
      <c r="T687" s="1756"/>
      <c r="U687" s="1756"/>
    </row>
    <row r="688" spans="1:21" s="1773" customFormat="1" ht="25.5">
      <c r="A688" s="1860">
        <v>5.13</v>
      </c>
      <c r="B688" s="1201" t="s">
        <v>1274</v>
      </c>
      <c r="C688" s="31">
        <v>40</v>
      </c>
      <c r="D688" s="713" t="s">
        <v>1665</v>
      </c>
      <c r="E688" s="713">
        <v>650</v>
      </c>
      <c r="F688" s="1864">
        <f>C688*E688</f>
        <v>26000</v>
      </c>
      <c r="G688" s="1772"/>
      <c r="H688" s="1788"/>
      <c r="I688" s="1744"/>
      <c r="J688" s="1740"/>
      <c r="K688" s="1756"/>
      <c r="L688" s="1756"/>
      <c r="M688" s="1756"/>
      <c r="N688" s="1756"/>
      <c r="O688" s="1756"/>
      <c r="P688" s="1756"/>
      <c r="Q688" s="1756"/>
      <c r="R688" s="1756"/>
      <c r="S688" s="1756"/>
      <c r="T688" s="1756"/>
      <c r="U688" s="1756"/>
    </row>
    <row r="689" spans="1:21" s="1773" customFormat="1" ht="12.75" customHeight="1">
      <c r="A689" s="1860"/>
      <c r="B689" s="522"/>
      <c r="C689" s="31"/>
      <c r="D689" s="713"/>
      <c r="E689" s="713"/>
      <c r="F689" s="1864"/>
      <c r="G689" s="1772"/>
      <c r="H689" s="1788"/>
      <c r="I689" s="1744"/>
      <c r="J689" s="1740"/>
      <c r="K689" s="1756"/>
      <c r="L689" s="1756"/>
      <c r="M689" s="1756"/>
      <c r="N689" s="1756"/>
      <c r="O689" s="1756"/>
      <c r="P689" s="1756"/>
      <c r="Q689" s="1756"/>
      <c r="R689" s="1756"/>
      <c r="S689" s="1756"/>
      <c r="T689" s="1756"/>
      <c r="U689" s="1756"/>
    </row>
    <row r="690" spans="1:21" s="1539" customFormat="1" ht="16.5" customHeight="1">
      <c r="A690" s="1873"/>
      <c r="B690" s="1827" t="s">
        <v>2324</v>
      </c>
      <c r="C690" s="1827"/>
      <c r="D690" s="1827"/>
      <c r="E690" s="1828"/>
      <c r="F690" s="1874">
        <f>+SUM(F614:F688)</f>
        <v>1988738.02</v>
      </c>
      <c r="G690" s="1741"/>
    </row>
    <row r="691" spans="1:21" s="1773" customFormat="1" ht="12.75" customHeight="1">
      <c r="A691" s="1861"/>
      <c r="B691" s="819"/>
      <c r="C691" s="31"/>
      <c r="D691" s="819"/>
      <c r="E691" s="819"/>
      <c r="F691" s="1864"/>
      <c r="G691" s="1772"/>
      <c r="H691" s="44"/>
      <c r="I691" s="1744"/>
      <c r="J691" s="1740"/>
      <c r="K691" s="1756"/>
      <c r="L691" s="1756"/>
      <c r="M691" s="1756"/>
      <c r="N691" s="1756"/>
      <c r="O691" s="1756"/>
      <c r="P691" s="1756"/>
      <c r="Q691" s="1756"/>
      <c r="R691" s="1756"/>
      <c r="S691" s="1756"/>
      <c r="T691" s="1756"/>
      <c r="U691" s="1756"/>
    </row>
    <row r="692" spans="1:21" s="1539" customFormat="1" ht="16.5" customHeight="1">
      <c r="A692" s="1873"/>
      <c r="B692" s="1827" t="s">
        <v>2259</v>
      </c>
      <c r="C692" s="1827"/>
      <c r="D692" s="1827"/>
      <c r="E692" s="1828"/>
      <c r="F692" s="1874">
        <f>+F690+F610+F543+F480+F440+F362+F214</f>
        <v>60589354.350000001</v>
      </c>
      <c r="G692" s="1741"/>
    </row>
    <row r="693" spans="1:21" s="44" customFormat="1" ht="6.75" customHeight="1">
      <c r="A693" s="1860"/>
      <c r="B693" s="1768"/>
      <c r="C693" s="31"/>
      <c r="D693" s="522"/>
      <c r="E693" s="522"/>
      <c r="F693" s="1864"/>
    </row>
    <row r="694" spans="1:21" s="842" customFormat="1" ht="27" customHeight="1">
      <c r="A694" t="s">
        <v>10</v>
      </c>
      <c r="B694" s="851" t="s">
        <v>2240</v>
      </c>
      <c r="C694" s="31"/>
      <c r="D694" s="1790"/>
      <c r="E694" s="1751"/>
      <c r="F694" s="1864"/>
      <c r="G694" s="1036"/>
      <c r="H694" s="1036"/>
      <c r="I694" s="1036"/>
      <c r="J694" s="1036"/>
    </row>
    <row r="695" spans="1:21" s="44" customFormat="1">
      <c r="A695" t="s">
        <v>548</v>
      </c>
      <c r="B695" s="745" t="s">
        <v>37</v>
      </c>
      <c r="C695" s="31">
        <v>999</v>
      </c>
      <c r="D695" s="814" t="s">
        <v>1</v>
      </c>
      <c r="E695" s="1751">
        <v>15</v>
      </c>
      <c r="F695" s="1864">
        <f>+ROUND((E695*C695),2)</f>
        <v>14985</v>
      </c>
      <c r="G695" s="812"/>
      <c r="H695" s="812"/>
      <c r="I695" s="812"/>
      <c r="J695" s="812"/>
    </row>
    <row r="696" spans="1:21" s="44" customFormat="1" ht="6.75" customHeight="1">
      <c r="A696"/>
      <c r="B696" s="816"/>
      <c r="C696" s="31"/>
      <c r="D696" s="1790"/>
      <c r="E696" s="1751"/>
      <c r="F696" s="1864">
        <f>+ROUND((E696*C696),2)</f>
        <v>0</v>
      </c>
      <c r="G696" s="812"/>
      <c r="H696" s="812"/>
      <c r="I696" s="812"/>
      <c r="J696" s="812"/>
    </row>
    <row r="697" spans="1:21" s="44" customFormat="1">
      <c r="A697" s="1897" t="s">
        <v>549</v>
      </c>
      <c r="B697" s="818" t="s">
        <v>38</v>
      </c>
      <c r="C697" s="31"/>
      <c r="D697" s="1790"/>
      <c r="E697" s="1751"/>
      <c r="F697" s="1864">
        <f>+ROUND((E697*C697),2)</f>
        <v>0</v>
      </c>
      <c r="G697" s="812"/>
      <c r="H697" s="812"/>
      <c r="I697" s="812"/>
      <c r="J697" s="812"/>
    </row>
    <row r="698" spans="1:21" s="1539" customFormat="1">
      <c r="A698" s="1863" t="s">
        <v>1182</v>
      </c>
      <c r="B698" s="1201" t="s">
        <v>2325</v>
      </c>
      <c r="C698" s="31">
        <v>615.38</v>
      </c>
      <c r="D698" s="713" t="s">
        <v>2</v>
      </c>
      <c r="E698" s="714">
        <v>154.53</v>
      </c>
      <c r="F698" s="1864">
        <f>+ROUND(C698*E698,2)</f>
        <v>95094.67</v>
      </c>
      <c r="G698" s="1741"/>
      <c r="H698" s="1742"/>
      <c r="I698" s="1743"/>
    </row>
    <row r="699" spans="1:21" s="1539" customFormat="1" ht="25.5">
      <c r="A699" s="1863" t="s">
        <v>1183</v>
      </c>
      <c r="B699" s="1201" t="s">
        <v>2315</v>
      </c>
      <c r="C699" s="31">
        <v>263.74</v>
      </c>
      <c r="D699" s="713" t="s">
        <v>2</v>
      </c>
      <c r="E699" s="714">
        <v>1125.8</v>
      </c>
      <c r="F699" s="1864">
        <f>+ROUND(C699*E699,2)</f>
        <v>296918.49</v>
      </c>
      <c r="G699" s="1741"/>
      <c r="H699" s="1742"/>
      <c r="I699" s="1743"/>
    </row>
    <row r="700" spans="1:21" s="1539" customFormat="1" ht="7.5" customHeight="1">
      <c r="A700" s="1863"/>
      <c r="B700" s="1201"/>
      <c r="C700" s="31"/>
      <c r="D700" s="713"/>
      <c r="E700" s="714"/>
      <c r="F700" s="1864"/>
      <c r="G700" s="1741"/>
      <c r="H700" s="1742"/>
      <c r="I700" s="1743"/>
    </row>
    <row r="701" spans="1:21" s="1539" customFormat="1">
      <c r="A701" s="1863">
        <v>2.2000000000000002</v>
      </c>
      <c r="B701" s="1201" t="s">
        <v>1181</v>
      </c>
      <c r="C701" s="31">
        <v>599.4</v>
      </c>
      <c r="D701" s="713" t="s">
        <v>11</v>
      </c>
      <c r="E701" s="714">
        <v>28.5</v>
      </c>
      <c r="F701" s="1864">
        <f>+ROUND(C701*E701,2)</f>
        <v>17082.900000000001</v>
      </c>
      <c r="G701" s="1741"/>
      <c r="H701" s="1742"/>
      <c r="I701" s="1743"/>
    </row>
    <row r="702" spans="1:21" s="1539" customFormat="1">
      <c r="A702" s="1855">
        <v>2.2999999999999998</v>
      </c>
      <c r="B702" s="716" t="s">
        <v>4</v>
      </c>
      <c r="C702" s="31">
        <v>87.91</v>
      </c>
      <c r="D702" s="713" t="s">
        <v>2</v>
      </c>
      <c r="E702" s="714">
        <v>1108.8900000000001</v>
      </c>
      <c r="F702" s="1864">
        <f>+ROUND(C702*E702,2)</f>
        <v>97482.52</v>
      </c>
      <c r="G702" s="1741"/>
    </row>
    <row r="703" spans="1:21" s="1539" customFormat="1" ht="27.75" customHeight="1">
      <c r="A703" s="1855">
        <v>2.4</v>
      </c>
      <c r="B703" s="747" t="s">
        <v>2326</v>
      </c>
      <c r="C703" s="31">
        <v>329.67</v>
      </c>
      <c r="D703" s="713" t="s">
        <v>2</v>
      </c>
      <c r="E703" s="714">
        <v>668.95</v>
      </c>
      <c r="F703" s="1864">
        <f>+ROUND(C703*E703,2)</f>
        <v>220532.75</v>
      </c>
      <c r="G703" s="1741"/>
    </row>
    <row r="704" spans="1:21" s="1539" customFormat="1" ht="25.5">
      <c r="A704" s="1863">
        <v>2.5</v>
      </c>
      <c r="B704" s="1201" t="s">
        <v>1184</v>
      </c>
      <c r="C704" s="31">
        <v>743.96</v>
      </c>
      <c r="D704" s="713" t="s">
        <v>2</v>
      </c>
      <c r="E704" s="714">
        <v>183.5</v>
      </c>
      <c r="F704" s="1864">
        <f>+ROUND(C704*E704,2)</f>
        <v>136516.66</v>
      </c>
      <c r="G704" s="1741"/>
    </row>
    <row r="705" spans="1:10" s="1539" customFormat="1" ht="25.5">
      <c r="A705">
        <v>2.6</v>
      </c>
      <c r="B705" s="1843" t="s">
        <v>1579</v>
      </c>
      <c r="C705" s="1813">
        <v>648.07000000000005</v>
      </c>
      <c r="D705" s="1821" t="s">
        <v>2</v>
      </c>
      <c r="E705" s="1825">
        <v>210</v>
      </c>
      <c r="F705" s="1879">
        <f>+ROUND(C705*E705,2)</f>
        <v>136094.70000000001</v>
      </c>
      <c r="G705" s="1741"/>
    </row>
    <row r="706" spans="1:10" s="44" customFormat="1" ht="8.25" customHeight="1">
      <c r="A706"/>
      <c r="B706" s="522"/>
      <c r="C706" s="31"/>
      <c r="D706" s="814"/>
      <c r="E706" s="1751"/>
      <c r="F706" s="1864">
        <f t="shared" ref="F706:F712" si="31">+ROUND((E706*C706),2)</f>
        <v>0</v>
      </c>
      <c r="G706" s="812"/>
      <c r="H706" s="812"/>
      <c r="I706" s="812"/>
      <c r="J706" s="812"/>
    </row>
    <row r="707" spans="1:10" s="44" customFormat="1">
      <c r="A707" s="1897" t="s">
        <v>552</v>
      </c>
      <c r="B707" s="818" t="s">
        <v>553</v>
      </c>
      <c r="C707" s="31"/>
      <c r="D707" s="1790"/>
      <c r="E707" s="1751"/>
      <c r="F707" s="1864">
        <f t="shared" si="31"/>
        <v>0</v>
      </c>
      <c r="G707" s="812"/>
      <c r="H707" s="812"/>
      <c r="I707" s="812"/>
      <c r="J707" s="812"/>
    </row>
    <row r="708" spans="1:10" s="842" customFormat="1" ht="30.75" customHeight="1">
      <c r="A708" t="s">
        <v>554</v>
      </c>
      <c r="B708" s="1028" t="s">
        <v>2241</v>
      </c>
      <c r="C708" s="31">
        <v>1018.98</v>
      </c>
      <c r="D708" s="814" t="s">
        <v>1</v>
      </c>
      <c r="E708" s="1751">
        <v>321.10000000000002</v>
      </c>
      <c r="F708" s="1864">
        <f t="shared" si="31"/>
        <v>327194.48</v>
      </c>
      <c r="G708" s="1741"/>
      <c r="H708" s="1036"/>
      <c r="I708" s="1036"/>
      <c r="J708" s="1036"/>
    </row>
    <row r="709" spans="1:10" s="44" customFormat="1" ht="7.5" customHeight="1">
      <c r="A709"/>
      <c r="B709" s="816"/>
      <c r="C709" s="31"/>
      <c r="D709" s="1790"/>
      <c r="E709" s="1751"/>
      <c r="F709" s="1864">
        <f t="shared" si="31"/>
        <v>0</v>
      </c>
      <c r="G709" s="812"/>
      <c r="H709" s="812"/>
      <c r="I709" s="812"/>
      <c r="J709" s="812"/>
    </row>
    <row r="710" spans="1:10" s="44" customFormat="1">
      <c r="A710" s="1897" t="s">
        <v>555</v>
      </c>
      <c r="B710" s="818" t="s">
        <v>556</v>
      </c>
      <c r="C710" s="31"/>
      <c r="D710" s="1790"/>
      <c r="E710" s="1751"/>
      <c r="F710" s="1864">
        <f t="shared" si="31"/>
        <v>0</v>
      </c>
      <c r="G710" s="812"/>
      <c r="H710" s="812"/>
      <c r="I710" s="812"/>
      <c r="J710" s="812"/>
    </row>
    <row r="711" spans="1:10" s="44" customFormat="1" ht="18.75" customHeight="1">
      <c r="A711" t="s">
        <v>557</v>
      </c>
      <c r="B711" s="1028" t="s">
        <v>2327</v>
      </c>
      <c r="C711" s="31">
        <v>999</v>
      </c>
      <c r="D711" s="814" t="s">
        <v>1</v>
      </c>
      <c r="E711" s="1751">
        <v>27.98</v>
      </c>
      <c r="F711" s="1864">
        <f t="shared" si="31"/>
        <v>27952.02</v>
      </c>
      <c r="G711" s="1741"/>
      <c r="H711" s="812"/>
      <c r="I711" s="812"/>
      <c r="J711" s="812"/>
    </row>
    <row r="712" spans="1:10" s="44" customFormat="1" ht="6" customHeight="1">
      <c r="A712"/>
      <c r="B712" s="816"/>
      <c r="C712" s="31"/>
      <c r="D712" s="1790"/>
      <c r="E712" s="1751"/>
      <c r="F712" s="1864">
        <f t="shared" si="31"/>
        <v>0</v>
      </c>
      <c r="G712" s="812"/>
      <c r="H712" s="812"/>
      <c r="I712" s="812"/>
      <c r="J712" s="812"/>
    </row>
    <row r="713" spans="1:10" s="44" customFormat="1">
      <c r="A713" s="1897" t="s">
        <v>558</v>
      </c>
      <c r="B713" s="818" t="s">
        <v>559</v>
      </c>
      <c r="C713" s="31"/>
      <c r="D713" s="1790"/>
      <c r="E713" s="1751"/>
      <c r="F713" s="1864"/>
      <c r="G713" s="812"/>
      <c r="H713" s="812"/>
      <c r="I713" s="812"/>
      <c r="J713" s="812"/>
    </row>
    <row r="714" spans="1:10" s="44" customFormat="1" ht="25.5">
      <c r="A714" t="s">
        <v>560</v>
      </c>
      <c r="B714" s="1746" t="s">
        <v>1509</v>
      </c>
      <c r="C714" s="31">
        <v>6</v>
      </c>
      <c r="D714" s="1790" t="s">
        <v>3</v>
      </c>
      <c r="E714" s="1751">
        <v>2119.35</v>
      </c>
      <c r="F714" s="1864">
        <f t="shared" ref="F714:F719" si="32">+ROUND((E714*C714),2)</f>
        <v>12716.1</v>
      </c>
      <c r="G714" s="1741"/>
      <c r="H714" s="812"/>
      <c r="I714" s="812"/>
      <c r="J714" s="812"/>
    </row>
    <row r="715" spans="1:10" s="44" customFormat="1" ht="25.5">
      <c r="A715" t="s">
        <v>561</v>
      </c>
      <c r="B715" s="1746" t="s">
        <v>2243</v>
      </c>
      <c r="C715" s="31">
        <v>4</v>
      </c>
      <c r="D715" s="1790" t="s">
        <v>3</v>
      </c>
      <c r="E715" s="1751">
        <v>2443.85</v>
      </c>
      <c r="F715" s="1864">
        <f t="shared" si="32"/>
        <v>9775.4</v>
      </c>
      <c r="G715" s="1741"/>
      <c r="H715" s="812"/>
      <c r="I715" s="812"/>
      <c r="J715" s="812"/>
    </row>
    <row r="716" spans="1:10" s="44" customFormat="1">
      <c r="A716" t="s">
        <v>562</v>
      </c>
      <c r="B716" s="816" t="s">
        <v>1512</v>
      </c>
      <c r="C716" s="31">
        <v>20</v>
      </c>
      <c r="D716" s="522" t="s">
        <v>3</v>
      </c>
      <c r="E716" s="1751">
        <v>1566.25</v>
      </c>
      <c r="F716" s="1864">
        <f t="shared" si="32"/>
        <v>31325</v>
      </c>
      <c r="G716" s="1741"/>
      <c r="H716" s="812"/>
      <c r="I716" s="812"/>
      <c r="J716" s="812"/>
    </row>
    <row r="717" spans="1:10" s="44" customFormat="1">
      <c r="A717" t="s">
        <v>2124</v>
      </c>
      <c r="B717" s="816" t="s">
        <v>2245</v>
      </c>
      <c r="C717" s="31">
        <v>10</v>
      </c>
      <c r="D717" s="522" t="s">
        <v>3</v>
      </c>
      <c r="E717" s="1751">
        <v>3903.59</v>
      </c>
      <c r="F717" s="1864">
        <f t="shared" si="32"/>
        <v>39035.9</v>
      </c>
      <c r="G717" s="1741"/>
      <c r="H717" s="812"/>
      <c r="I717" s="812"/>
      <c r="J717" s="812"/>
    </row>
    <row r="718" spans="1:10" s="44" customFormat="1" ht="5.25" customHeight="1">
      <c r="A718"/>
      <c r="B718" s="816"/>
      <c r="C718" s="31"/>
      <c r="D718" s="522"/>
      <c r="E718" s="1751"/>
      <c r="F718" s="1864">
        <f t="shared" si="32"/>
        <v>0</v>
      </c>
      <c r="G718" s="1741"/>
      <c r="H718" s="812"/>
      <c r="I718" s="812"/>
      <c r="J718" s="812"/>
    </row>
    <row r="719" spans="1:10" s="44" customFormat="1">
      <c r="A719" s="1897" t="s">
        <v>565</v>
      </c>
      <c r="B719" s="818" t="s">
        <v>566</v>
      </c>
      <c r="C719" s="31"/>
      <c r="D719" s="1790"/>
      <c r="E719" s="1751"/>
      <c r="F719" s="1864">
        <f t="shared" si="32"/>
        <v>0</v>
      </c>
      <c r="G719" s="812"/>
      <c r="H719" s="812"/>
      <c r="I719" s="812"/>
      <c r="J719" s="812"/>
    </row>
    <row r="720" spans="1:10" s="1539" customFormat="1">
      <c r="A720" s="1855">
        <v>6.1</v>
      </c>
      <c r="B720" s="1746" t="s">
        <v>2258</v>
      </c>
      <c r="C720" s="31">
        <v>4</v>
      </c>
      <c r="D720" s="713" t="s">
        <v>3</v>
      </c>
      <c r="E720" s="712">
        <v>14250.5</v>
      </c>
      <c r="F720" s="1864">
        <f>+ROUND(C720*E720,2)</f>
        <v>57002</v>
      </c>
      <c r="G720" s="1741"/>
    </row>
    <row r="721" spans="1:10" s="1539" customFormat="1">
      <c r="A721" s="1855">
        <v>6.2</v>
      </c>
      <c r="B721" s="1746" t="s">
        <v>2257</v>
      </c>
      <c r="C721" s="31">
        <v>3</v>
      </c>
      <c r="D721" s="713" t="s">
        <v>3</v>
      </c>
      <c r="E721" s="714">
        <v>43500.9</v>
      </c>
      <c r="F721" s="1864">
        <f>+ROUND(C721*E721,2)</f>
        <v>130502.7</v>
      </c>
      <c r="G721" s="1741"/>
    </row>
    <row r="722" spans="1:10" s="1539" customFormat="1" ht="14.25" customHeight="1">
      <c r="A722" s="1855">
        <v>6.3</v>
      </c>
      <c r="B722" s="18" t="s">
        <v>414</v>
      </c>
      <c r="C722" s="31">
        <v>3</v>
      </c>
      <c r="D722" s="713" t="s">
        <v>3</v>
      </c>
      <c r="E722" s="714">
        <v>3500</v>
      </c>
      <c r="F722" s="1864">
        <f>+ROUND(C722*E722,2)</f>
        <v>10500</v>
      </c>
      <c r="G722" s="1741"/>
    </row>
    <row r="723" spans="1:10" s="1539" customFormat="1" ht="14.25" customHeight="1">
      <c r="A723" s="1855">
        <v>6.4</v>
      </c>
      <c r="B723" s="1794" t="s">
        <v>2242</v>
      </c>
      <c r="C723" s="1794">
        <v>4</v>
      </c>
      <c r="D723" s="1794" t="s">
        <v>3</v>
      </c>
      <c r="E723" s="1794">
        <v>22500</v>
      </c>
      <c r="F723" s="1899">
        <f>+ROUND(C723*E723,2)</f>
        <v>90000</v>
      </c>
      <c r="G723" s="1741"/>
    </row>
    <row r="724" spans="1:10" s="1539" customFormat="1" ht="6.75" customHeight="1">
      <c r="A724" s="1855"/>
      <c r="B724" s="18"/>
      <c r="C724" s="31"/>
      <c r="D724" s="713"/>
      <c r="E724" s="714"/>
      <c r="F724"/>
      <c r="G724" s="1741"/>
    </row>
    <row r="725" spans="1:10" s="44" customFormat="1">
      <c r="A725" s="1897">
        <v>7</v>
      </c>
      <c r="B725" s="818" t="s">
        <v>59</v>
      </c>
      <c r="C725" s="31"/>
      <c r="D725" s="1790"/>
      <c r="E725" s="1751"/>
      <c r="F725">
        <f>+ROUND(C725*E725,2)</f>
        <v>0</v>
      </c>
      <c r="G725" s="812"/>
      <c r="H725" s="812"/>
      <c r="I725" s="812"/>
      <c r="J725" s="812"/>
    </row>
    <row r="726" spans="1:10" s="1745" customFormat="1">
      <c r="A726" s="1855">
        <v>7.1</v>
      </c>
      <c r="B726" s="853" t="s">
        <v>2244</v>
      </c>
      <c r="C726" s="31">
        <v>999</v>
      </c>
      <c r="D726" s="713" t="s">
        <v>1</v>
      </c>
      <c r="E726" s="1747">
        <v>10.01</v>
      </c>
      <c r="F726">
        <f>+ROUND(C726*E726,2)</f>
        <v>9999.99</v>
      </c>
      <c r="G726" s="1741"/>
    </row>
    <row r="727" spans="1:10" s="1745" customFormat="1" ht="11.25" customHeight="1">
      <c r="A727" s="1855"/>
      <c r="B727" s="1052"/>
      <c r="C727" s="31"/>
      <c r="D727" s="713"/>
      <c r="E727" s="1747"/>
      <c r="F727" s="1864">
        <f>+ROUND(C727*E727,2)</f>
        <v>0</v>
      </c>
      <c r="G727" s="1741"/>
    </row>
    <row r="728" spans="1:10" s="1745" customFormat="1" ht="38.25">
      <c r="A728" s="1883">
        <v>8</v>
      </c>
      <c r="B728" s="1053" t="s">
        <v>520</v>
      </c>
      <c r="C728" s="31">
        <v>999</v>
      </c>
      <c r="D728" s="814" t="s">
        <v>1</v>
      </c>
      <c r="E728" s="32">
        <v>23.11</v>
      </c>
      <c r="F728" s="1864">
        <f>ROUND(C728*E728,2)</f>
        <v>23086.89</v>
      </c>
      <c r="G728" s="1741"/>
      <c r="J728" s="1748"/>
    </row>
    <row r="729" spans="1:10" s="1745" customFormat="1" ht="12.75" customHeight="1">
      <c r="A729" s="1855"/>
      <c r="B729" s="1052"/>
      <c r="C729" s="31"/>
      <c r="D729" s="814"/>
      <c r="E729" s="1777"/>
      <c r="F729" s="1864"/>
      <c r="G729" s="1741"/>
    </row>
    <row r="730" spans="1:10" s="1745" customFormat="1" ht="12.75" customHeight="1">
      <c r="A730" s="1855">
        <v>9</v>
      </c>
      <c r="B730" s="1052" t="s">
        <v>462</v>
      </c>
      <c r="C730" s="31">
        <v>999</v>
      </c>
      <c r="D730" s="814" t="s">
        <v>1</v>
      </c>
      <c r="E730" s="1777">
        <v>15</v>
      </c>
      <c r="F730" s="1864">
        <f>ROUND(C730*E730,2)</f>
        <v>14985</v>
      </c>
      <c r="G730" s="1741"/>
      <c r="J730" s="1748"/>
    </row>
    <row r="731" spans="1:10" s="1539" customFormat="1" ht="16.5" customHeight="1">
      <c r="A731" s="1873"/>
      <c r="B731" s="1827" t="s">
        <v>972</v>
      </c>
      <c r="C731" s="1827"/>
      <c r="D731" s="1827"/>
      <c r="E731" s="1828"/>
      <c r="F731" s="1874">
        <f>SUM(F695:F730)</f>
        <v>1798783.17</v>
      </c>
      <c r="G731" s="1741"/>
    </row>
    <row r="732" spans="1:10" s="44" customFormat="1">
      <c r="A732"/>
      <c r="B732" s="816"/>
      <c r="C732" s="31"/>
      <c r="D732" s="1790"/>
      <c r="E732" s="1751"/>
      <c r="F732" s="1864"/>
      <c r="G732" s="812"/>
      <c r="H732" s="812"/>
      <c r="I732" s="812"/>
      <c r="J732" s="812"/>
    </row>
    <row r="733" spans="1:10" s="842" customFormat="1" ht="17.25" customHeight="1">
      <c r="A733" t="s">
        <v>975</v>
      </c>
      <c r="B733" s="851" t="s">
        <v>1212</v>
      </c>
      <c r="C733" s="31"/>
      <c r="D733" s="1790"/>
      <c r="E733" s="1751"/>
      <c r="F733" s="1864"/>
      <c r="G733" s="1036"/>
      <c r="H733" s="1036"/>
      <c r="I733" s="1036"/>
      <c r="J733" s="1036"/>
    </row>
    <row r="734" spans="1:10" s="842" customFormat="1">
      <c r="A734"/>
      <c r="B734" s="1794"/>
      <c r="C734" s="31"/>
      <c r="D734" s="522"/>
      <c r="E734" s="522"/>
      <c r="F734" s="1864"/>
      <c r="G734" s="1266"/>
      <c r="H734" s="44"/>
      <c r="I734" s="44"/>
    </row>
    <row r="735" spans="1:10" s="1539" customFormat="1">
      <c r="A735" s="1861">
        <v>1</v>
      </c>
      <c r="B735" s="819" t="s">
        <v>1251</v>
      </c>
      <c r="C735" s="31"/>
      <c r="D735" s="1793"/>
      <c r="E735" s="1791"/>
      <c r="F735" s="1864"/>
      <c r="G735" s="1547"/>
      <c r="H735" s="1742"/>
      <c r="I735" s="1743"/>
    </row>
    <row r="736" spans="1:10" s="842" customFormat="1">
      <c r="A736" s="1889">
        <v>1.1000000000000001</v>
      </c>
      <c r="B736" s="522" t="s">
        <v>37</v>
      </c>
      <c r="C736" s="31">
        <v>1</v>
      </c>
      <c r="D736" s="1750" t="s">
        <v>1100</v>
      </c>
      <c r="E736" s="1749">
        <v>3500</v>
      </c>
      <c r="F736" s="1864">
        <f t="shared" ref="F736:F764" si="33">ROUND((C736*E736),2)</f>
        <v>3500</v>
      </c>
      <c r="G736" s="1547"/>
      <c r="H736" s="44"/>
      <c r="I736" s="44"/>
    </row>
    <row r="737" spans="1:9" s="842" customFormat="1">
      <c r="A737" s="1860"/>
      <c r="B737" s="522"/>
      <c r="C737" s="31"/>
      <c r="D737" s="1750"/>
      <c r="E737" s="1749"/>
      <c r="F737" s="1864"/>
      <c r="G737" s="1547"/>
      <c r="H737" s="44"/>
      <c r="I737" s="44"/>
    </row>
    <row r="738" spans="1:9" s="842" customFormat="1">
      <c r="A738" s="1861">
        <v>2</v>
      </c>
      <c r="B738" s="819" t="s">
        <v>38</v>
      </c>
      <c r="C738" s="31"/>
      <c r="D738" s="1750"/>
      <c r="E738" s="1749"/>
      <c r="F738" s="1864"/>
      <c r="G738" s="1547"/>
      <c r="H738" s="44"/>
      <c r="I738" s="44"/>
    </row>
    <row r="739" spans="1:9" s="842" customFormat="1">
      <c r="A739" s="1889">
        <v>2.1</v>
      </c>
      <c r="B739" s="745" t="s">
        <v>1252</v>
      </c>
      <c r="C739" s="31">
        <v>167.91</v>
      </c>
      <c r="D739" s="1750" t="s">
        <v>2</v>
      </c>
      <c r="E739" s="1749">
        <v>154.5</v>
      </c>
      <c r="F739" s="1864">
        <f t="shared" si="33"/>
        <v>25942.1</v>
      </c>
      <c r="G739" s="1547"/>
      <c r="H739" s="44"/>
      <c r="I739" s="44"/>
    </row>
    <row r="740" spans="1:9" s="842" customFormat="1" ht="25.5">
      <c r="A740" s="1889">
        <v>2.2000000000000002</v>
      </c>
      <c r="B740" s="745" t="s">
        <v>1253</v>
      </c>
      <c r="C740" s="31">
        <v>24.77</v>
      </c>
      <c r="D740" s="1750" t="s">
        <v>2</v>
      </c>
      <c r="E740" s="1749">
        <v>183.68</v>
      </c>
      <c r="F740" s="1864">
        <f t="shared" si="33"/>
        <v>4549.75</v>
      </c>
      <c r="G740" s="1847"/>
      <c r="H740" s="328"/>
      <c r="I740" s="44"/>
    </row>
    <row r="741" spans="1:9" s="842" customFormat="1" ht="25.5">
      <c r="A741" s="1889">
        <v>2.2999999999999998</v>
      </c>
      <c r="B741" s="717" t="s">
        <v>2250</v>
      </c>
      <c r="C741" s="31">
        <v>178.92</v>
      </c>
      <c r="D741" s="1750" t="s">
        <v>2</v>
      </c>
      <c r="E741" s="1749">
        <v>210</v>
      </c>
      <c r="F741" s="1864">
        <f t="shared" si="33"/>
        <v>37573.199999999997</v>
      </c>
      <c r="G741" s="1547"/>
      <c r="H741" s="328"/>
      <c r="I741" s="328"/>
    </row>
    <row r="742" spans="1:9" s="842" customFormat="1" ht="6.75" customHeight="1">
      <c r="A742" s="1860"/>
      <c r="B742" s="1752"/>
      <c r="C742" s="31">
        <v>0</v>
      </c>
      <c r="D742" s="1750"/>
      <c r="E742" s="1749"/>
      <c r="F742" s="1864">
        <f t="shared" si="33"/>
        <v>0</v>
      </c>
      <c r="G742" s="1547"/>
      <c r="H742" s="328"/>
      <c r="I742" s="44"/>
    </row>
    <row r="743" spans="1:9" s="1539" customFormat="1" ht="25.5">
      <c r="A743" s="1861">
        <v>3</v>
      </c>
      <c r="B743" s="744" t="s">
        <v>2251</v>
      </c>
      <c r="C743" s="31">
        <v>0</v>
      </c>
      <c r="D743" s="1793"/>
      <c r="E743" s="1791"/>
      <c r="F743" s="1864">
        <f t="shared" si="33"/>
        <v>0</v>
      </c>
      <c r="G743" s="1547"/>
      <c r="H743" s="1742"/>
      <c r="I743" s="1743"/>
    </row>
    <row r="744" spans="1:9" s="842" customFormat="1">
      <c r="A744" s="1889">
        <v>3.1</v>
      </c>
      <c r="B744" s="745" t="s">
        <v>1256</v>
      </c>
      <c r="C744" s="31">
        <v>6.53</v>
      </c>
      <c r="D744" s="1750" t="s">
        <v>2</v>
      </c>
      <c r="E744" s="1749">
        <v>11436.25</v>
      </c>
      <c r="F744" s="1864">
        <f t="shared" si="33"/>
        <v>74678.710000000006</v>
      </c>
      <c r="G744" s="1848"/>
      <c r="H744" s="328"/>
      <c r="I744" s="44"/>
    </row>
    <row r="745" spans="1:9" s="842" customFormat="1" ht="14.25" customHeight="1">
      <c r="A745" s="1889">
        <v>3.2</v>
      </c>
      <c r="B745" s="1792" t="s">
        <v>1257</v>
      </c>
      <c r="C745" s="31">
        <v>0.64</v>
      </c>
      <c r="D745" s="1750" t="s">
        <v>2</v>
      </c>
      <c r="E745" s="1749">
        <v>13999.69</v>
      </c>
      <c r="F745" s="1864">
        <f t="shared" si="33"/>
        <v>8959.7999999999993</v>
      </c>
      <c r="G745" s="1848"/>
      <c r="H745" s="328"/>
      <c r="I745" s="44"/>
    </row>
    <row r="746" spans="1:9" s="842" customFormat="1">
      <c r="A746">
        <v>3.3</v>
      </c>
      <c r="B746" s="1795" t="s">
        <v>1258</v>
      </c>
      <c r="C746" s="1813">
        <v>4.9400000000000004</v>
      </c>
      <c r="D746" s="1819" t="s">
        <v>2</v>
      </c>
      <c r="E746" s="1816">
        <v>12834.49</v>
      </c>
      <c r="F746" s="1879">
        <f t="shared" si="33"/>
        <v>63402.38</v>
      </c>
      <c r="G746" s="1848"/>
      <c r="H746" s="328"/>
      <c r="I746" s="44"/>
    </row>
    <row r="747" spans="1:9" s="842" customFormat="1">
      <c r="A747" s="1889">
        <v>3.4</v>
      </c>
      <c r="B747" s="522" t="s">
        <v>1259</v>
      </c>
      <c r="C747" s="31">
        <v>14.38</v>
      </c>
      <c r="D747" s="1750" t="s">
        <v>2</v>
      </c>
      <c r="E747" s="1749">
        <v>19906.63</v>
      </c>
      <c r="F747" s="1864">
        <f t="shared" si="33"/>
        <v>286257.34000000003</v>
      </c>
      <c r="G747" s="1848"/>
      <c r="H747" s="328"/>
      <c r="I747" s="44"/>
    </row>
    <row r="748" spans="1:9" s="842" customFormat="1">
      <c r="A748" s="1889">
        <v>3.5</v>
      </c>
      <c r="B748" s="522" t="s">
        <v>1260</v>
      </c>
      <c r="C748" s="31">
        <v>1.1299999999999999</v>
      </c>
      <c r="D748" s="1750" t="s">
        <v>2</v>
      </c>
      <c r="E748" s="1749">
        <v>24410.73</v>
      </c>
      <c r="F748" s="1864">
        <f t="shared" si="33"/>
        <v>27584.12</v>
      </c>
      <c r="G748" s="1848"/>
      <c r="H748" s="328"/>
      <c r="I748" s="44"/>
    </row>
    <row r="749" spans="1:9" s="842" customFormat="1">
      <c r="A749" s="1889">
        <v>3.6</v>
      </c>
      <c r="B749" s="522" t="s">
        <v>1261</v>
      </c>
      <c r="C749" s="31">
        <v>0.81</v>
      </c>
      <c r="D749" s="1750" t="s">
        <v>2</v>
      </c>
      <c r="E749" s="1749">
        <v>25647.16</v>
      </c>
      <c r="F749" s="1864">
        <f t="shared" si="33"/>
        <v>20774.2</v>
      </c>
      <c r="G749" s="1848"/>
      <c r="H749" s="328"/>
      <c r="I749" s="44"/>
    </row>
    <row r="750" spans="1:9" s="842" customFormat="1">
      <c r="A750" s="1889">
        <v>3.7</v>
      </c>
      <c r="B750" s="522" t="s">
        <v>1262</v>
      </c>
      <c r="C750" s="31">
        <v>5.86</v>
      </c>
      <c r="D750" s="1750" t="s">
        <v>2</v>
      </c>
      <c r="E750" s="1749">
        <v>14526.97</v>
      </c>
      <c r="F750" s="1864">
        <f t="shared" si="33"/>
        <v>85128.04</v>
      </c>
      <c r="G750" s="1848"/>
      <c r="H750" s="44"/>
      <c r="I750" s="44"/>
    </row>
    <row r="751" spans="1:9" s="842" customFormat="1">
      <c r="A751" s="1889">
        <v>3.8</v>
      </c>
      <c r="B751" s="522" t="s">
        <v>1263</v>
      </c>
      <c r="C751" s="31">
        <v>3.82</v>
      </c>
      <c r="D751" s="1750" t="s">
        <v>2</v>
      </c>
      <c r="E751" s="1749">
        <v>5068.3</v>
      </c>
      <c r="F751" s="1864">
        <f t="shared" si="33"/>
        <v>19360.91</v>
      </c>
      <c r="G751" s="1848"/>
      <c r="H751" s="44"/>
      <c r="I751" s="44"/>
    </row>
    <row r="752" spans="1:9" s="842" customFormat="1">
      <c r="A752" s="1860"/>
      <c r="B752" s="1752"/>
      <c r="C752" s="31"/>
      <c r="D752" s="1750"/>
      <c r="E752" s="1749"/>
      <c r="F752" s="1864"/>
      <c r="G752" s="1547"/>
      <c r="H752" s="328"/>
      <c r="I752" s="328"/>
    </row>
    <row r="753" spans="1:9" s="1539" customFormat="1">
      <c r="A753" s="1861">
        <v>4</v>
      </c>
      <c r="B753" s="819" t="s">
        <v>787</v>
      </c>
      <c r="C753" s="31"/>
      <c r="D753" s="1793"/>
      <c r="E753" s="1791"/>
      <c r="F753" s="1864"/>
      <c r="G753" s="1547"/>
      <c r="H753" s="1742"/>
      <c r="I753" s="1743"/>
    </row>
    <row r="754" spans="1:9" s="842" customFormat="1">
      <c r="A754" s="1889">
        <v>4.0999999999999996</v>
      </c>
      <c r="B754" s="522" t="s">
        <v>165</v>
      </c>
      <c r="C754" s="31">
        <v>61.1</v>
      </c>
      <c r="D754" s="1750" t="s">
        <v>11</v>
      </c>
      <c r="E754" s="1749">
        <v>279.61</v>
      </c>
      <c r="F754" s="1864">
        <f t="shared" si="33"/>
        <v>17084.169999999998</v>
      </c>
      <c r="G754" s="1848"/>
      <c r="H754" s="44"/>
      <c r="I754" s="44"/>
    </row>
    <row r="755" spans="1:9" s="842" customFormat="1">
      <c r="A755" s="1889">
        <v>4.2</v>
      </c>
      <c r="B755" s="522" t="s">
        <v>152</v>
      </c>
      <c r="C755" s="31">
        <v>66.89</v>
      </c>
      <c r="D755" s="1750" t="s">
        <v>11</v>
      </c>
      <c r="E755" s="1749">
        <v>294.77999999999997</v>
      </c>
      <c r="F755" s="1864">
        <f t="shared" si="33"/>
        <v>19717.830000000002</v>
      </c>
      <c r="G755" s="1848"/>
      <c r="H755" s="44"/>
      <c r="I755" s="44"/>
    </row>
    <row r="756" spans="1:9" s="842" customFormat="1">
      <c r="A756" s="1889">
        <v>4.3</v>
      </c>
      <c r="B756" s="522" t="s">
        <v>889</v>
      </c>
      <c r="C756" s="31">
        <v>39.82</v>
      </c>
      <c r="D756" s="1750" t="s">
        <v>11</v>
      </c>
      <c r="E756" s="1749">
        <v>475.66</v>
      </c>
      <c r="F756" s="1864">
        <f t="shared" si="33"/>
        <v>18940.78</v>
      </c>
      <c r="G756" s="1848"/>
      <c r="H756" s="44"/>
      <c r="I756" s="44"/>
    </row>
    <row r="757" spans="1:9" s="842" customFormat="1">
      <c r="A757" s="1889">
        <v>4.4000000000000004</v>
      </c>
      <c r="B757" s="522" t="s">
        <v>1264</v>
      </c>
      <c r="C757" s="31">
        <v>33.76</v>
      </c>
      <c r="D757" s="1750" t="s">
        <v>11</v>
      </c>
      <c r="E757" s="1749">
        <v>488.98</v>
      </c>
      <c r="F757">
        <f t="shared" si="33"/>
        <v>16507.96</v>
      </c>
      <c r="G757" s="1848"/>
      <c r="I757" s="44"/>
    </row>
    <row r="758" spans="1:9" s="842" customFormat="1">
      <c r="A758" s="1889">
        <v>4.5</v>
      </c>
      <c r="B758" s="522" t="s">
        <v>177</v>
      </c>
      <c r="C758" s="31">
        <v>42.24</v>
      </c>
      <c r="D758" s="1750" t="s">
        <v>1</v>
      </c>
      <c r="E758" s="1749">
        <v>78.489999999999995</v>
      </c>
      <c r="F758">
        <f t="shared" si="33"/>
        <v>3315.42</v>
      </c>
      <c r="G758" s="1848"/>
      <c r="I758" s="44"/>
    </row>
    <row r="759" spans="1:9" s="842" customFormat="1">
      <c r="A759" s="1889">
        <v>4.5999999999999996</v>
      </c>
      <c r="B759" s="522" t="s">
        <v>1265</v>
      </c>
      <c r="C759" s="31">
        <v>106.71</v>
      </c>
      <c r="D759" s="1750" t="s">
        <v>11</v>
      </c>
      <c r="E759" s="1749">
        <v>45.5</v>
      </c>
      <c r="F759">
        <f t="shared" si="33"/>
        <v>4855.3100000000004</v>
      </c>
      <c r="G759" s="1848"/>
      <c r="I759" s="44"/>
    </row>
    <row r="760" spans="1:9" s="842" customFormat="1">
      <c r="A760" s="1883">
        <v>4.7</v>
      </c>
      <c r="B760" s="522" t="s">
        <v>1266</v>
      </c>
      <c r="C760" s="1794">
        <v>106.71</v>
      </c>
      <c r="D760" s="1794" t="s">
        <v>11</v>
      </c>
      <c r="E760" s="1794">
        <v>126.35</v>
      </c>
      <c r="F760" s="1899">
        <f t="shared" si="33"/>
        <v>13482.81</v>
      </c>
      <c r="G760" s="1848"/>
      <c r="H760" s="44"/>
      <c r="I760" s="44"/>
    </row>
    <row r="761" spans="1:9" s="842" customFormat="1">
      <c r="A761" s="1860"/>
      <c r="B761" s="522"/>
      <c r="C761" s="31"/>
      <c r="D761" s="1750"/>
      <c r="E761" s="1749"/>
      <c r="F761">
        <f t="shared" si="33"/>
        <v>0</v>
      </c>
      <c r="G761" s="1547"/>
      <c r="H761" s="44"/>
      <c r="I761" s="44"/>
    </row>
    <row r="762" spans="1:9" s="1539" customFormat="1">
      <c r="A762" s="1861">
        <v>5</v>
      </c>
      <c r="B762" s="819" t="s">
        <v>1267</v>
      </c>
      <c r="C762" s="31"/>
      <c r="D762" s="1793"/>
      <c r="E762" s="1791"/>
      <c r="F762">
        <f t="shared" si="33"/>
        <v>0</v>
      </c>
      <c r="G762" s="1547"/>
      <c r="H762" s="1742"/>
      <c r="I762" s="1743"/>
    </row>
    <row r="763" spans="1:9" s="842" customFormat="1">
      <c r="A763" s="1889">
        <v>5.0999999999999996</v>
      </c>
      <c r="B763" s="522" t="s">
        <v>1268</v>
      </c>
      <c r="C763" s="31">
        <v>20</v>
      </c>
      <c r="D763" s="1750" t="s">
        <v>118</v>
      </c>
      <c r="E763" s="1749">
        <v>250</v>
      </c>
      <c r="F763">
        <f t="shared" si="33"/>
        <v>5000</v>
      </c>
      <c r="G763" s="1547"/>
      <c r="H763" s="44"/>
      <c r="I763" s="44"/>
    </row>
    <row r="764" spans="1:9" s="842" customFormat="1">
      <c r="A764" s="1889">
        <v>5.2</v>
      </c>
      <c r="B764" s="522" t="s">
        <v>1269</v>
      </c>
      <c r="C764" s="31">
        <v>10</v>
      </c>
      <c r="D764" s="1750" t="s">
        <v>118</v>
      </c>
      <c r="E764" s="1749">
        <v>250</v>
      </c>
      <c r="F764">
        <f t="shared" si="33"/>
        <v>2500</v>
      </c>
      <c r="G764" s="1547"/>
      <c r="H764" s="44"/>
      <c r="I764" s="44"/>
    </row>
    <row r="765" spans="1:9" s="842" customFormat="1">
      <c r="A765" s="1889"/>
      <c r="B765" s="522"/>
      <c r="C765" s="31"/>
      <c r="D765" s="1750"/>
      <c r="E765" s="1749"/>
      <c r="F765" s="1864"/>
      <c r="G765" s="1547"/>
      <c r="H765" s="44"/>
      <c r="I765" s="44"/>
    </row>
    <row r="766" spans="1:9" s="842" customFormat="1" ht="25.5">
      <c r="A766" s="1865">
        <v>6</v>
      </c>
      <c r="B766" s="1792" t="s">
        <v>1271</v>
      </c>
      <c r="C766" s="31">
        <v>98</v>
      </c>
      <c r="D766" s="1750" t="s">
        <v>1</v>
      </c>
      <c r="E766" s="1749">
        <v>714.5</v>
      </c>
      <c r="F766" s="1864">
        <f>ROUND((C766*E766),2)</f>
        <v>70021</v>
      </c>
      <c r="G766" s="1547"/>
      <c r="H766" s="44"/>
      <c r="I766" s="44"/>
    </row>
    <row r="767" spans="1:9" s="842" customFormat="1">
      <c r="A767" s="1860"/>
      <c r="B767" s="522"/>
      <c r="C767" s="31"/>
      <c r="D767" s="1750"/>
      <c r="E767" s="1749"/>
      <c r="F767" s="1864">
        <f>ROUND((C767*E767),2)</f>
        <v>0</v>
      </c>
      <c r="G767" s="1547"/>
      <c r="H767" s="44"/>
      <c r="I767" s="44"/>
    </row>
    <row r="768" spans="1:9" s="1539" customFormat="1">
      <c r="A768" s="1861">
        <v>7</v>
      </c>
      <c r="B768" s="819" t="s">
        <v>1272</v>
      </c>
      <c r="C768" s="31"/>
      <c r="D768" s="1793"/>
      <c r="E768" s="1791"/>
      <c r="F768" s="1864">
        <f>ROUND((C768*E768),2)</f>
        <v>0</v>
      </c>
      <c r="G768" s="1547"/>
      <c r="H768" s="1742"/>
      <c r="I768" s="1743"/>
    </row>
    <row r="769" spans="1:9" s="842" customFormat="1" ht="25.5">
      <c r="A769" s="1876">
        <v>7.1</v>
      </c>
      <c r="B769" s="1792" t="s">
        <v>1273</v>
      </c>
      <c r="C769" s="31">
        <v>6.1</v>
      </c>
      <c r="D769" s="1750" t="s">
        <v>1</v>
      </c>
      <c r="E769" s="1749">
        <v>4565.1099999999997</v>
      </c>
      <c r="F769" s="1864">
        <f>C769*E769</f>
        <v>27847.17</v>
      </c>
      <c r="G769" s="1547"/>
      <c r="H769" s="44"/>
      <c r="I769" s="44"/>
    </row>
    <row r="770" spans="1:9" s="842" customFormat="1" ht="25.5">
      <c r="A770" s="1876">
        <v>7.2</v>
      </c>
      <c r="B770" s="1792" t="s">
        <v>1274</v>
      </c>
      <c r="C770" s="31">
        <v>6.1</v>
      </c>
      <c r="D770" s="1750" t="s">
        <v>1</v>
      </c>
      <c r="E770" s="1749">
        <v>3016.23</v>
      </c>
      <c r="F770" s="1864">
        <f>C770*E770</f>
        <v>18399</v>
      </c>
      <c r="G770" s="1547"/>
      <c r="H770" s="44"/>
      <c r="I770" s="44"/>
    </row>
    <row r="771" spans="1:9" s="842" customFormat="1" ht="25.5">
      <c r="A771" s="1876">
        <v>7.3</v>
      </c>
      <c r="B771" s="745" t="s">
        <v>1275</v>
      </c>
      <c r="C771" s="31">
        <v>1</v>
      </c>
      <c r="D771" s="1750" t="s">
        <v>3</v>
      </c>
      <c r="E771" s="1749">
        <v>4108.6000000000004</v>
      </c>
      <c r="F771" s="1864">
        <f t="shared" ref="F771:F788" si="34">ROUND((C771*E771),2)</f>
        <v>4108.6000000000004</v>
      </c>
      <c r="G771" s="1547"/>
      <c r="H771" s="44"/>
      <c r="I771" s="44"/>
    </row>
    <row r="772" spans="1:9" s="842" customFormat="1" ht="25.5">
      <c r="A772" s="1876">
        <v>7.4</v>
      </c>
      <c r="B772" s="745" t="s">
        <v>1276</v>
      </c>
      <c r="C772" s="31">
        <v>1</v>
      </c>
      <c r="D772" s="1750" t="s">
        <v>3</v>
      </c>
      <c r="E772" s="1749">
        <v>2714.61</v>
      </c>
      <c r="F772" s="1864">
        <f t="shared" si="34"/>
        <v>2714.61</v>
      </c>
      <c r="G772" s="1547"/>
      <c r="H772" s="44"/>
      <c r="I772" s="328"/>
    </row>
    <row r="773" spans="1:9" s="842" customFormat="1">
      <c r="A773" s="1876">
        <v>7.5</v>
      </c>
      <c r="B773" s="522" t="s">
        <v>1277</v>
      </c>
      <c r="C773" s="31">
        <v>3</v>
      </c>
      <c r="D773" s="1750" t="s">
        <v>3</v>
      </c>
      <c r="E773" s="1749">
        <v>2948.22</v>
      </c>
      <c r="F773" s="1864">
        <f t="shared" si="34"/>
        <v>8844.66</v>
      </c>
      <c r="G773" s="1848"/>
      <c r="H773" s="44"/>
      <c r="I773" s="44"/>
    </row>
    <row r="774" spans="1:9" s="842" customFormat="1">
      <c r="A774" s="1876">
        <v>7.6</v>
      </c>
      <c r="B774" s="522" t="s">
        <v>1278</v>
      </c>
      <c r="C774" s="31">
        <v>3</v>
      </c>
      <c r="D774" s="1750" t="s">
        <v>3</v>
      </c>
      <c r="E774" s="1749">
        <v>2390.48</v>
      </c>
      <c r="F774" s="1864">
        <f t="shared" si="34"/>
        <v>7171.44</v>
      </c>
      <c r="G774" s="1848"/>
      <c r="H774" s="44"/>
      <c r="I774" s="44"/>
    </row>
    <row r="775" spans="1:9" s="842" customFormat="1">
      <c r="A775" s="1876">
        <v>7.7</v>
      </c>
      <c r="B775" s="522" t="s">
        <v>1279</v>
      </c>
      <c r="C775" s="31">
        <v>1</v>
      </c>
      <c r="D775" s="1750" t="s">
        <v>3</v>
      </c>
      <c r="E775" s="1749">
        <v>5500</v>
      </c>
      <c r="F775" s="1864">
        <f t="shared" si="34"/>
        <v>5500</v>
      </c>
      <c r="G775" s="1849"/>
      <c r="H775" s="44"/>
      <c r="I775" s="44"/>
    </row>
    <row r="776" spans="1:9" s="842" customFormat="1">
      <c r="A776" s="1876">
        <v>7.8</v>
      </c>
      <c r="B776" s="425" t="s">
        <v>1280</v>
      </c>
      <c r="C776" s="31">
        <v>1</v>
      </c>
      <c r="D776" s="1750" t="s">
        <v>3</v>
      </c>
      <c r="E776" s="1749">
        <v>6000</v>
      </c>
      <c r="F776" s="1864">
        <f t="shared" si="34"/>
        <v>6000</v>
      </c>
      <c r="G776" s="1547"/>
      <c r="H776" s="44"/>
      <c r="I776" s="44"/>
    </row>
    <row r="777" spans="1:9" s="842" customFormat="1">
      <c r="A777" s="1876">
        <v>7.9</v>
      </c>
      <c r="B777" s="522" t="s">
        <v>1281</v>
      </c>
      <c r="C777" s="31">
        <v>1</v>
      </c>
      <c r="D777" s="1750" t="s">
        <v>3</v>
      </c>
      <c r="E777" s="1749">
        <v>6658.74</v>
      </c>
      <c r="F777" s="1864">
        <f t="shared" si="34"/>
        <v>6658.74</v>
      </c>
      <c r="G777" s="1547"/>
      <c r="H777" s="44"/>
      <c r="I777" s="44"/>
    </row>
    <row r="778" spans="1:9" s="842" customFormat="1" ht="51">
      <c r="A778">
        <v>7.1</v>
      </c>
      <c r="B778" s="1746" t="s">
        <v>2307</v>
      </c>
      <c r="C778" s="31">
        <v>4</v>
      </c>
      <c r="D778" s="713" t="s">
        <v>3</v>
      </c>
      <c r="E778" s="714">
        <v>66115.7</v>
      </c>
      <c r="F778" s="1864">
        <f>+ROUND(C778*E778,2)</f>
        <v>264462.8</v>
      </c>
      <c r="G778" s="1547"/>
      <c r="H778" s="44"/>
      <c r="I778" s="44"/>
    </row>
    <row r="779" spans="1:9" s="842" customFormat="1">
      <c r="A779" s="1876">
        <v>7.11</v>
      </c>
      <c r="B779" s="18" t="s">
        <v>2308</v>
      </c>
      <c r="C779" s="31">
        <v>4</v>
      </c>
      <c r="D779" s="713" t="s">
        <v>3</v>
      </c>
      <c r="E779" s="714">
        <v>22500</v>
      </c>
      <c r="F779" s="1864">
        <f>+ROUND(C779*E779,2)</f>
        <v>90000</v>
      </c>
      <c r="G779" s="1547"/>
      <c r="H779" s="44"/>
      <c r="I779" s="44"/>
    </row>
    <row r="780" spans="1:9" s="842" customFormat="1">
      <c r="A780" s="1876">
        <v>7.12</v>
      </c>
      <c r="B780" s="522" t="s">
        <v>1282</v>
      </c>
      <c r="C780" s="31">
        <v>1</v>
      </c>
      <c r="D780" s="1750" t="s">
        <v>3</v>
      </c>
      <c r="E780" s="1749">
        <v>7500</v>
      </c>
      <c r="F780" s="1864">
        <f t="shared" si="34"/>
        <v>7500</v>
      </c>
      <c r="G780" s="1547"/>
      <c r="H780" s="44"/>
      <c r="I780" s="44"/>
    </row>
    <row r="781" spans="1:9" s="842" customFormat="1">
      <c r="A781" s="1860"/>
      <c r="B781" s="522"/>
      <c r="C781" s="31"/>
      <c r="D781" s="1750"/>
      <c r="E781" s="1749"/>
      <c r="F781" s="1864">
        <f t="shared" si="34"/>
        <v>0</v>
      </c>
      <c r="G781" s="1547"/>
      <c r="H781" s="44"/>
      <c r="I781" s="44"/>
    </row>
    <row r="782" spans="1:9" s="1539" customFormat="1">
      <c r="A782" s="1861">
        <v>8</v>
      </c>
      <c r="B782" s="819" t="s">
        <v>1283</v>
      </c>
      <c r="C782" s="31"/>
      <c r="D782" s="1793"/>
      <c r="E782" s="1791"/>
      <c r="F782" s="1864">
        <f t="shared" si="34"/>
        <v>0</v>
      </c>
      <c r="G782" s="1547"/>
      <c r="H782" s="1742"/>
      <c r="I782" s="1743"/>
    </row>
    <row r="783" spans="1:9" s="842" customFormat="1">
      <c r="A783">
        <v>8.1</v>
      </c>
      <c r="B783" s="1795" t="s">
        <v>1285</v>
      </c>
      <c r="C783" s="1813">
        <v>9.76</v>
      </c>
      <c r="D783" s="1819" t="s">
        <v>2</v>
      </c>
      <c r="E783" s="1816">
        <v>334.5</v>
      </c>
      <c r="F783" s="1879">
        <f t="shared" si="34"/>
        <v>3264.72</v>
      </c>
      <c r="G783" s="1849"/>
      <c r="H783" s="44"/>
      <c r="I783" s="44"/>
    </row>
    <row r="784" spans="1:9" s="842" customFormat="1" ht="25.5">
      <c r="A784" s="1889">
        <v>8.1999999999999993</v>
      </c>
      <c r="B784" s="745" t="s">
        <v>1287</v>
      </c>
      <c r="C784" s="31">
        <v>9.06</v>
      </c>
      <c r="D784" s="1750" t="s">
        <v>2</v>
      </c>
      <c r="E784" s="1749">
        <v>183.68</v>
      </c>
      <c r="F784" s="1864">
        <f t="shared" si="34"/>
        <v>1664.14</v>
      </c>
      <c r="G784" s="1849"/>
      <c r="H784" s="44"/>
      <c r="I784" s="44"/>
    </row>
    <row r="785" spans="1:12" s="842" customFormat="1" ht="25.5">
      <c r="A785" s="1889">
        <v>8.3000000000000007</v>
      </c>
      <c r="B785" s="18" t="s">
        <v>2252</v>
      </c>
      <c r="C785" s="31">
        <v>0.83</v>
      </c>
      <c r="D785" s="1750" t="s">
        <v>2</v>
      </c>
      <c r="E785" s="1749">
        <v>210</v>
      </c>
      <c r="F785" s="1864">
        <f t="shared" si="34"/>
        <v>174.3</v>
      </c>
      <c r="G785" s="1849"/>
      <c r="H785" s="44"/>
      <c r="I785" s="44"/>
    </row>
    <row r="786" spans="1:12" s="842" customFormat="1">
      <c r="A786" s="1860"/>
      <c r="B786" s="522"/>
      <c r="C786" s="31"/>
      <c r="D786" s="1750"/>
      <c r="E786" s="1749"/>
      <c r="F786" s="1864">
        <f t="shared" si="34"/>
        <v>0</v>
      </c>
      <c r="G786" s="1547"/>
      <c r="H786" s="44"/>
      <c r="I786" s="44"/>
    </row>
    <row r="787" spans="1:12" customFormat="1">
      <c r="A787" s="1860">
        <v>9</v>
      </c>
      <c r="B787" s="522" t="s">
        <v>766</v>
      </c>
      <c r="C787" s="31">
        <v>24</v>
      </c>
      <c r="D787" s="1750" t="s">
        <v>11</v>
      </c>
      <c r="E787" s="1749">
        <v>777.08</v>
      </c>
      <c r="F787" s="1864">
        <f t="shared" si="34"/>
        <v>18649.919999999998</v>
      </c>
      <c r="G787" s="1850"/>
      <c r="H787" s="510"/>
      <c r="I787" s="510"/>
      <c r="J787" s="510"/>
      <c r="K787" s="510"/>
      <c r="L787" s="510"/>
    </row>
    <row r="788" spans="1:12" customFormat="1">
      <c r="A788" s="1860"/>
      <c r="B788" s="522"/>
      <c r="C788" s="31"/>
      <c r="D788" s="1750"/>
      <c r="E788" s="1749"/>
      <c r="F788" s="1864">
        <f t="shared" si="34"/>
        <v>0</v>
      </c>
      <c r="G788" s="1547"/>
      <c r="H788" s="510"/>
      <c r="I788" s="510"/>
      <c r="J788" s="510"/>
      <c r="K788" s="510"/>
      <c r="L788" s="510"/>
    </row>
    <row r="789" spans="1:12" s="1539" customFormat="1">
      <c r="A789" s="1861">
        <v>10</v>
      </c>
      <c r="B789" s="819" t="s">
        <v>1290</v>
      </c>
      <c r="C789" s="31"/>
      <c r="D789" s="1793"/>
      <c r="E789" s="1791"/>
      <c r="F789" s="1864"/>
      <c r="G789" s="1547"/>
      <c r="H789" s="1742"/>
      <c r="I789" s="1743"/>
    </row>
    <row r="790" spans="1:12" s="842" customFormat="1" ht="25.5">
      <c r="A790" s="1889">
        <v>10.1</v>
      </c>
      <c r="B790" s="1053" t="s">
        <v>1291</v>
      </c>
      <c r="C790" s="31">
        <v>1</v>
      </c>
      <c r="D790" s="1750" t="s">
        <v>3</v>
      </c>
      <c r="E790" s="1749">
        <v>7500</v>
      </c>
      <c r="F790" s="1864">
        <f>ROUND((C790*E790),2)</f>
        <v>7500</v>
      </c>
      <c r="G790" s="1547"/>
      <c r="H790" s="44"/>
      <c r="I790" s="44"/>
    </row>
    <row r="791" spans="1:12" s="842" customFormat="1">
      <c r="A791" s="1860"/>
      <c r="B791" s="522"/>
      <c r="C791" s="31"/>
      <c r="D791" s="1750"/>
      <c r="E791" s="1749"/>
      <c r="F791" s="1864"/>
      <c r="G791" s="1547"/>
      <c r="H791" s="44"/>
      <c r="I791" s="44"/>
    </row>
    <row r="792" spans="1:12" s="842" customFormat="1">
      <c r="A792" s="1860">
        <v>11</v>
      </c>
      <c r="B792" s="522" t="s">
        <v>1292</v>
      </c>
      <c r="C792" s="1794">
        <v>1</v>
      </c>
      <c r="D792" s="1794" t="s">
        <v>3</v>
      </c>
      <c r="E792" s="1794">
        <v>5100</v>
      </c>
      <c r="F792" s="1856">
        <f>ROUND((C792*E792),2)</f>
        <v>5100</v>
      </c>
      <c r="G792" s="1547"/>
      <c r="H792" s="44"/>
      <c r="I792" s="44"/>
    </row>
    <row r="793" spans="1:12" s="842" customFormat="1">
      <c r="A793" s="1860"/>
      <c r="B793" s="522"/>
      <c r="C793" s="31"/>
      <c r="D793" s="1750"/>
      <c r="E793" s="1749"/>
      <c r="F793" s="1864"/>
      <c r="G793" s="1547"/>
      <c r="H793" s="44"/>
      <c r="I793" s="44"/>
    </row>
    <row r="794" spans="1:12" s="1539" customFormat="1">
      <c r="A794" t="s">
        <v>774</v>
      </c>
      <c r="B794" s="819" t="s">
        <v>1293</v>
      </c>
      <c r="C794" s="31"/>
      <c r="D794" s="1793"/>
      <c r="E794" s="1791"/>
      <c r="F794" s="1864"/>
      <c r="G794" s="1547"/>
      <c r="H794" s="1742"/>
      <c r="I794" s="1743"/>
    </row>
    <row r="795" spans="1:12" s="842" customFormat="1">
      <c r="A795" s="1860"/>
      <c r="B795" s="522"/>
      <c r="C795" s="31"/>
      <c r="D795" s="1750"/>
      <c r="E795" s="1749"/>
      <c r="F795" s="1864"/>
      <c r="G795" s="1547"/>
      <c r="H795" s="44"/>
      <c r="I795" s="44"/>
    </row>
    <row r="796" spans="1:12" customFormat="1" ht="12.75" customHeight="1">
      <c r="A796" s="1861">
        <v>1</v>
      </c>
      <c r="B796" s="819" t="s">
        <v>1251</v>
      </c>
      <c r="C796" s="31"/>
      <c r="D796" s="1793"/>
      <c r="E796" s="1791"/>
      <c r="F796" s="1864"/>
      <c r="G796" s="1547"/>
      <c r="H796" s="510"/>
      <c r="I796" s="510"/>
      <c r="J796" s="510"/>
      <c r="K796" s="510"/>
      <c r="L796" s="510"/>
    </row>
    <row r="797" spans="1:12" customFormat="1">
      <c r="A797" s="1889">
        <v>1.1000000000000001</v>
      </c>
      <c r="B797" s="522" t="s">
        <v>37</v>
      </c>
      <c r="C797" s="31">
        <v>1</v>
      </c>
      <c r="D797" s="1750" t="s">
        <v>1100</v>
      </c>
      <c r="E797" s="1749">
        <v>1500</v>
      </c>
      <c r="F797" s="1864">
        <f>ROUND((C797*E797),2)</f>
        <v>1500</v>
      </c>
      <c r="G797" s="1547"/>
      <c r="H797" s="510"/>
      <c r="I797" s="510"/>
      <c r="J797" s="510"/>
      <c r="K797" s="510"/>
      <c r="L797" s="510"/>
    </row>
    <row r="798" spans="1:12" customFormat="1">
      <c r="A798" s="1860"/>
      <c r="B798" s="522"/>
      <c r="C798" s="31"/>
      <c r="D798" s="1750"/>
      <c r="E798" s="1749"/>
      <c r="F798" s="1864"/>
      <c r="G798" s="1547"/>
      <c r="H798" s="510"/>
      <c r="I798" s="510"/>
      <c r="J798" s="510"/>
      <c r="K798" s="510"/>
      <c r="L798" s="510"/>
    </row>
    <row r="799" spans="1:12" customFormat="1">
      <c r="A799" s="1861">
        <v>2</v>
      </c>
      <c r="B799" s="654" t="s">
        <v>1294</v>
      </c>
      <c r="C799" s="31"/>
      <c r="D799" s="522"/>
      <c r="E799" s="522"/>
      <c r="F799" s="1864">
        <f>ROUND((C799*E799),2)</f>
        <v>0</v>
      </c>
      <c r="G799" s="1547"/>
      <c r="H799" s="510"/>
      <c r="I799" s="510"/>
      <c r="J799" s="510"/>
      <c r="K799" s="510"/>
      <c r="L799" s="510"/>
    </row>
    <row r="800" spans="1:12" customFormat="1">
      <c r="A800" s="1889">
        <v>2.1</v>
      </c>
      <c r="B800" s="522" t="s">
        <v>1295</v>
      </c>
      <c r="C800" s="31">
        <v>26.46</v>
      </c>
      <c r="D800" s="1750" t="s">
        <v>1296</v>
      </c>
      <c r="E800" s="1749">
        <v>920.17</v>
      </c>
      <c r="F800" s="1864">
        <f>ROUND((C800*E800),2)</f>
        <v>24347.7</v>
      </c>
      <c r="G800" s="1851"/>
      <c r="H800" s="510"/>
      <c r="I800" s="510"/>
      <c r="J800" s="510"/>
      <c r="K800" s="510"/>
      <c r="L800" s="510"/>
    </row>
    <row r="801" spans="1:12" customFormat="1">
      <c r="A801" s="1860"/>
      <c r="B801" s="522"/>
      <c r="C801" s="31"/>
      <c r="D801" s="1750"/>
      <c r="E801" s="1749"/>
      <c r="F801" s="1864"/>
      <c r="G801" s="1547"/>
      <c r="H801" s="510"/>
      <c r="I801" s="510"/>
      <c r="J801" s="510"/>
      <c r="K801" s="510"/>
      <c r="L801" s="510"/>
    </row>
    <row r="802" spans="1:12" customFormat="1" ht="26.25" customHeight="1">
      <c r="A802" s="1867">
        <v>3</v>
      </c>
      <c r="B802" s="1807" t="s">
        <v>2251</v>
      </c>
      <c r="C802" s="31">
        <v>0</v>
      </c>
      <c r="D802" s="1750"/>
      <c r="E802" s="1749"/>
      <c r="F802" s="1864">
        <f>ROUND((C802*E802),2)</f>
        <v>0</v>
      </c>
      <c r="G802" s="1547"/>
      <c r="H802" s="510"/>
      <c r="I802" s="510"/>
      <c r="J802" s="510"/>
      <c r="K802" s="510"/>
      <c r="L802" s="510"/>
    </row>
    <row r="803" spans="1:12" customFormat="1">
      <c r="A803" s="1889">
        <v>3.1</v>
      </c>
      <c r="B803" s="522" t="s">
        <v>1297</v>
      </c>
      <c r="C803" s="31">
        <v>0.33</v>
      </c>
      <c r="D803" s="1750" t="s">
        <v>2</v>
      </c>
      <c r="E803" s="1794">
        <v>31918.880000000001</v>
      </c>
      <c r="F803" s="1864">
        <f>ROUND((C803*E803),2)</f>
        <v>10533.23</v>
      </c>
      <c r="G803" s="1848"/>
      <c r="H803" s="510"/>
      <c r="I803" s="510"/>
      <c r="J803" s="510"/>
      <c r="K803" s="510"/>
      <c r="L803" s="510"/>
    </row>
    <row r="804" spans="1:12" customFormat="1">
      <c r="A804" s="1889">
        <v>3.2</v>
      </c>
      <c r="B804" s="522" t="s">
        <v>1667</v>
      </c>
      <c r="C804" s="31">
        <v>1.97</v>
      </c>
      <c r="D804" s="1750" t="s">
        <v>2</v>
      </c>
      <c r="E804" s="1749">
        <v>15692.17</v>
      </c>
      <c r="F804" s="1864">
        <f>ROUND((C804*E804),2)</f>
        <v>30913.57</v>
      </c>
      <c r="G804" s="1848"/>
      <c r="H804" s="510"/>
      <c r="I804" s="510"/>
      <c r="J804" s="510"/>
      <c r="K804" s="510"/>
      <c r="L804" s="510"/>
    </row>
    <row r="805" spans="1:12" customFormat="1">
      <c r="A805" s="1860"/>
      <c r="B805" s="522"/>
      <c r="C805" s="31"/>
      <c r="D805" s="1750"/>
      <c r="E805" s="1749"/>
      <c r="F805" s="1864"/>
      <c r="G805" s="1547"/>
      <c r="H805" s="510"/>
      <c r="I805" s="510"/>
      <c r="J805" s="510"/>
      <c r="K805" s="510"/>
      <c r="L805" s="510"/>
    </row>
    <row r="806" spans="1:12" customFormat="1">
      <c r="A806" s="1861">
        <v>4</v>
      </c>
      <c r="B806" s="819" t="s">
        <v>787</v>
      </c>
      <c r="C806" s="31"/>
      <c r="D806" s="1750"/>
      <c r="E806" s="1749"/>
      <c r="F806" s="1864">
        <f t="shared" ref="F806:F812" si="35">ROUND((C806*E806),2)</f>
        <v>0</v>
      </c>
      <c r="G806" s="1547"/>
      <c r="H806" s="510"/>
      <c r="I806" s="510"/>
      <c r="J806" s="510"/>
      <c r="K806" s="510"/>
      <c r="L806" s="510"/>
    </row>
    <row r="807" spans="1:12" customFormat="1">
      <c r="A807" s="1889">
        <v>4.0999999999999996</v>
      </c>
      <c r="B807" s="522" t="s">
        <v>165</v>
      </c>
      <c r="C807" s="31">
        <v>27.7</v>
      </c>
      <c r="D807" s="1750" t="s">
        <v>11</v>
      </c>
      <c r="E807" s="1749">
        <v>279.61</v>
      </c>
      <c r="F807" s="1864">
        <f t="shared" si="35"/>
        <v>7745.2</v>
      </c>
      <c r="G807" s="1547"/>
      <c r="H807" s="510"/>
      <c r="I807" s="510"/>
      <c r="J807" s="510"/>
      <c r="K807" s="510"/>
      <c r="L807" s="510"/>
    </row>
    <row r="808" spans="1:12" customFormat="1">
      <c r="A808" s="1889">
        <v>4.2</v>
      </c>
      <c r="B808" s="522" t="s">
        <v>152</v>
      </c>
      <c r="C808" s="31">
        <v>38.299999999999997</v>
      </c>
      <c r="D808" s="1750" t="s">
        <v>11</v>
      </c>
      <c r="E808" s="1749">
        <v>294.77999999999997</v>
      </c>
      <c r="F808" s="1864">
        <f t="shared" si="35"/>
        <v>11290.07</v>
      </c>
      <c r="G808" s="1547"/>
      <c r="H808" s="510"/>
      <c r="I808" s="510"/>
      <c r="J808" s="510"/>
      <c r="K808" s="510"/>
      <c r="L808" s="510"/>
    </row>
    <row r="809" spans="1:12" customFormat="1" ht="14.25" customHeight="1">
      <c r="A809" s="1889">
        <v>4.3</v>
      </c>
      <c r="B809" s="522" t="s">
        <v>889</v>
      </c>
      <c r="C809" s="31">
        <v>8.58</v>
      </c>
      <c r="D809" s="1750" t="s">
        <v>11</v>
      </c>
      <c r="E809" s="1749">
        <v>475.66</v>
      </c>
      <c r="F809" s="1864">
        <f t="shared" si="35"/>
        <v>4081.16</v>
      </c>
      <c r="G809" s="1547"/>
      <c r="H809" s="510"/>
      <c r="I809" s="510"/>
      <c r="J809" s="510"/>
      <c r="K809" s="510"/>
      <c r="L809" s="510"/>
    </row>
    <row r="810" spans="1:12" customFormat="1">
      <c r="A810" s="1889">
        <v>4.4000000000000004</v>
      </c>
      <c r="B810" s="522" t="s">
        <v>177</v>
      </c>
      <c r="C810" s="31">
        <v>54.24</v>
      </c>
      <c r="D810" s="1750" t="s">
        <v>1</v>
      </c>
      <c r="E810" s="1749">
        <v>78.489999999999995</v>
      </c>
      <c r="F810" s="1864">
        <f t="shared" si="35"/>
        <v>4257.3</v>
      </c>
      <c r="G810" s="1547"/>
      <c r="H810" s="510"/>
      <c r="I810" s="510"/>
      <c r="J810" s="510"/>
      <c r="K810" s="510"/>
      <c r="L810" s="510"/>
    </row>
    <row r="811" spans="1:12" customFormat="1">
      <c r="A811" s="1889">
        <v>4.5</v>
      </c>
      <c r="B811" s="522" t="s">
        <v>1265</v>
      </c>
      <c r="C811" s="31">
        <v>67.55</v>
      </c>
      <c r="D811" s="1750" t="s">
        <v>11</v>
      </c>
      <c r="E811" s="1749">
        <v>45.5</v>
      </c>
      <c r="F811" s="1864">
        <f t="shared" si="35"/>
        <v>3073.53</v>
      </c>
      <c r="G811" s="1547"/>
      <c r="H811" s="510"/>
      <c r="I811" s="510"/>
      <c r="J811" s="510"/>
      <c r="K811" s="510"/>
      <c r="L811" s="510"/>
    </row>
    <row r="812" spans="1:12">
      <c r="A812" s="1889">
        <v>4.5999999999999996</v>
      </c>
      <c r="B812" s="522" t="s">
        <v>1266</v>
      </c>
      <c r="C812" s="31">
        <v>67.55</v>
      </c>
      <c r="D812" s="1750" t="s">
        <v>11</v>
      </c>
      <c r="E812" s="1749">
        <v>126.35</v>
      </c>
      <c r="F812" s="1864">
        <f t="shared" si="35"/>
        <v>8534.94</v>
      </c>
      <c r="G812" s="1547"/>
    </row>
    <row r="813" spans="1:12">
      <c r="A813" s="1860"/>
      <c r="B813" s="522"/>
      <c r="C813" s="31"/>
      <c r="D813" s="1750"/>
      <c r="E813" s="1749"/>
      <c r="F813" s="1864"/>
      <c r="G813" s="1547"/>
    </row>
    <row r="814" spans="1:12">
      <c r="A814" s="1861">
        <v>5</v>
      </c>
      <c r="B814" s="819" t="s">
        <v>1267</v>
      </c>
      <c r="C814" s="31">
        <v>0</v>
      </c>
      <c r="D814" s="1750"/>
      <c r="E814" s="1749"/>
      <c r="F814" s="1864">
        <f>ROUND((C814*E814),2)</f>
        <v>0</v>
      </c>
      <c r="G814" s="1547"/>
    </row>
    <row r="815" spans="1:12">
      <c r="A815" s="1889">
        <v>5.0999999999999996</v>
      </c>
      <c r="B815" s="522" t="s">
        <v>1299</v>
      </c>
      <c r="C815" s="31">
        <v>2</v>
      </c>
      <c r="D815" s="713" t="s">
        <v>118</v>
      </c>
      <c r="E815" s="1755">
        <v>250</v>
      </c>
      <c r="F815" s="1864">
        <f>ROUND((C815*E815),2)</f>
        <v>500</v>
      </c>
      <c r="G815" s="1547"/>
    </row>
    <row r="816" spans="1:12">
      <c r="A816" s="1860"/>
      <c r="B816" s="522"/>
      <c r="C816" s="31"/>
      <c r="D816" s="713"/>
      <c r="E816" s="1755"/>
      <c r="F816" s="1864"/>
      <c r="G816" s="1547"/>
    </row>
    <row r="817" spans="1:12" s="1539" customFormat="1">
      <c r="A817" t="s">
        <v>851</v>
      </c>
      <c r="B817" s="819" t="s">
        <v>1300</v>
      </c>
      <c r="C817" s="31"/>
      <c r="D817" s="1793"/>
      <c r="E817" s="1791"/>
      <c r="F817" s="1864"/>
      <c r="G817" s="1547"/>
      <c r="H817" s="1742"/>
      <c r="I817" s="1743"/>
    </row>
    <row r="818" spans="1:12">
      <c r="A818" s="1860"/>
      <c r="B818" s="522"/>
      <c r="C818" s="31"/>
      <c r="D818" s="713"/>
      <c r="E818" s="1755"/>
      <c r="F818" s="1864"/>
      <c r="G818" s="1547"/>
    </row>
    <row r="819" spans="1:12">
      <c r="A819" s="1860">
        <v>1</v>
      </c>
      <c r="B819" s="522" t="s">
        <v>1301</v>
      </c>
      <c r="C819" s="31">
        <v>76.8</v>
      </c>
      <c r="D819" s="713" t="s">
        <v>11</v>
      </c>
      <c r="E819" s="1755">
        <v>110</v>
      </c>
      <c r="F819" s="1864">
        <f>ROUND((C819*E819),2)</f>
        <v>8448</v>
      </c>
      <c r="G819" s="1547"/>
    </row>
    <row r="820" spans="1:12">
      <c r="A820" s="1860"/>
      <c r="B820" s="522"/>
      <c r="C820" s="31"/>
      <c r="D820" s="713"/>
      <c r="E820" s="1755"/>
      <c r="F820" s="1864"/>
      <c r="G820" s="1547"/>
    </row>
    <row r="821" spans="1:12">
      <c r="A821" s="1861">
        <v>2</v>
      </c>
      <c r="B821" s="819" t="s">
        <v>1302</v>
      </c>
      <c r="C821" s="31"/>
      <c r="D821" s="713"/>
      <c r="E821" s="1794"/>
      <c r="F821" s="1864">
        <f>ROUND((C821*E821),2)</f>
        <v>0</v>
      </c>
      <c r="G821" s="1547"/>
      <c r="H821" s="328"/>
      <c r="I821" s="328"/>
      <c r="J821" s="328"/>
    </row>
    <row r="822" spans="1:12" ht="25.5">
      <c r="A822" s="1889">
        <v>2.1</v>
      </c>
      <c r="B822" s="745" t="s">
        <v>1303</v>
      </c>
      <c r="C822" s="31">
        <v>42.4</v>
      </c>
      <c r="D822" s="713" t="s">
        <v>1</v>
      </c>
      <c r="E822" s="1755">
        <v>3800.32</v>
      </c>
      <c r="F822" s="1864">
        <f>ROUND((C822*E822),2)</f>
        <v>161133.57</v>
      </c>
      <c r="G822" s="1849"/>
    </row>
    <row r="823" spans="1:12">
      <c r="A823" s="1889">
        <v>2.2000000000000002</v>
      </c>
      <c r="B823" s="522" t="s">
        <v>1304</v>
      </c>
      <c r="C823" s="31">
        <v>1</v>
      </c>
      <c r="D823" s="713" t="s">
        <v>3</v>
      </c>
      <c r="E823" s="1755">
        <v>26500</v>
      </c>
      <c r="F823" s="1864">
        <f>ROUND((C823*E823),2)</f>
        <v>26500</v>
      </c>
      <c r="G823" s="1849"/>
    </row>
    <row r="824" spans="1:12">
      <c r="A824" s="1889">
        <v>2.2999999999999998</v>
      </c>
      <c r="B824" s="522" t="s">
        <v>1305</v>
      </c>
      <c r="C824" s="31">
        <v>11</v>
      </c>
      <c r="D824" s="713" t="s">
        <v>3</v>
      </c>
      <c r="E824" s="1755">
        <v>7390.64</v>
      </c>
      <c r="F824" s="1864">
        <f>ROUND((C824*E824),2)</f>
        <v>81297.039999999994</v>
      </c>
      <c r="G824" s="1849"/>
    </row>
    <row r="825" spans="1:12">
      <c r="A825">
        <v>2.4</v>
      </c>
      <c r="B825" s="1795" t="s">
        <v>1306</v>
      </c>
      <c r="C825" s="1813">
        <v>5</v>
      </c>
      <c r="D825" s="1821" t="s">
        <v>3</v>
      </c>
      <c r="E825" s="1820">
        <v>522.26</v>
      </c>
      <c r="F825" s="1879">
        <f>ROUND((C825*E825),2)</f>
        <v>2611.3000000000002</v>
      </c>
      <c r="G825" s="1849"/>
    </row>
    <row r="826" spans="1:12">
      <c r="A826" s="1860"/>
      <c r="B826" s="522"/>
      <c r="C826" s="31"/>
      <c r="D826" s="713"/>
      <c r="E826" s="1755"/>
      <c r="F826" s="1864"/>
      <c r="G826" s="1547"/>
    </row>
    <row r="827" spans="1:12">
      <c r="A827" s="1860">
        <v>3</v>
      </c>
      <c r="B827" s="522" t="s">
        <v>1307</v>
      </c>
      <c r="C827" s="31">
        <v>1</v>
      </c>
      <c r="D827" s="713" t="s">
        <v>3</v>
      </c>
      <c r="E827" s="1755">
        <v>15000</v>
      </c>
      <c r="F827" s="1864">
        <f>ROUND((C827*E827),2)</f>
        <v>15000</v>
      </c>
      <c r="G827" s="1547"/>
    </row>
    <row r="828" spans="1:12" customFormat="1">
      <c r="A828" s="1860">
        <v>4</v>
      </c>
      <c r="B828" s="522" t="s">
        <v>979</v>
      </c>
      <c r="C828" s="31">
        <v>1</v>
      </c>
      <c r="D828" s="713" t="s">
        <v>3</v>
      </c>
      <c r="E828" s="1755">
        <v>8000</v>
      </c>
      <c r="F828" s="1864">
        <f>ROUND((C828*E828),2)</f>
        <v>8000</v>
      </c>
      <c r="G828" s="1547"/>
      <c r="H828" s="1742"/>
      <c r="I828" s="1743"/>
      <c r="J828" s="510"/>
      <c r="K828" s="510"/>
      <c r="L828" s="510"/>
    </row>
    <row r="829" spans="1:12" customFormat="1">
      <c r="A829" s="1860">
        <v>5</v>
      </c>
      <c r="B829" s="522" t="s">
        <v>876</v>
      </c>
      <c r="C829" s="31">
        <v>1</v>
      </c>
      <c r="D829" s="713" t="s">
        <v>3</v>
      </c>
      <c r="E829" s="1755">
        <v>3500</v>
      </c>
      <c r="F829" s="1864">
        <f>ROUND((C829*E829),2)</f>
        <v>3500</v>
      </c>
      <c r="G829" s="1547"/>
      <c r="H829" s="1742"/>
      <c r="I829" s="1743"/>
      <c r="J829" s="510"/>
      <c r="K829" s="510"/>
      <c r="L829" s="510"/>
    </row>
    <row r="830" spans="1:12" s="1539" customFormat="1" ht="16.5" customHeight="1">
      <c r="A830" s="1873"/>
      <c r="B830" s="1827" t="s">
        <v>1176</v>
      </c>
      <c r="C830" s="1827"/>
      <c r="D830" s="1827"/>
      <c r="E830" s="1828"/>
      <c r="F830" s="1874">
        <f>SUM(F736:F829)</f>
        <v>1727962.54</v>
      </c>
      <c r="G830" s="1741"/>
    </row>
    <row r="831" spans="1:12">
      <c r="A831" s="1860"/>
      <c r="B831" s="522"/>
      <c r="C831" s="31"/>
      <c r="D831" s="713"/>
      <c r="E831" s="1749"/>
      <c r="F831" s="1864"/>
      <c r="G831" s="1741"/>
      <c r="H831" s="510"/>
      <c r="I831" s="510"/>
    </row>
    <row r="832" spans="1:12" ht="25.5">
      <c r="A832" s="1857" t="s">
        <v>540</v>
      </c>
      <c r="B832" s="744" t="s">
        <v>1308</v>
      </c>
      <c r="C832" s="31"/>
      <c r="D832" s="713"/>
      <c r="E832" s="1791"/>
      <c r="F832" s="1864"/>
      <c r="G832" s="1547"/>
      <c r="H832" s="510"/>
      <c r="I832" s="510"/>
    </row>
    <row r="833" spans="1:256">
      <c r="A833" s="1860"/>
      <c r="B833" s="522"/>
      <c r="C833" s="31"/>
      <c r="D833" s="713"/>
      <c r="E833" s="1791"/>
      <c r="F833" s="1864"/>
      <c r="G833" s="1547"/>
      <c r="H833" s="510"/>
      <c r="I833" s="510"/>
    </row>
    <row r="834" spans="1:256">
      <c r="A834" s="1867">
        <v>1</v>
      </c>
      <c r="B834" s="1804" t="s">
        <v>1309</v>
      </c>
      <c r="C834" s="31"/>
      <c r="D834" s="713"/>
      <c r="E834" s="1794"/>
      <c r="F834" s="1864"/>
      <c r="G834" s="1547"/>
      <c r="H834" s="510"/>
      <c r="I834" s="510"/>
    </row>
    <row r="835" spans="1:256">
      <c r="A835" s="1883">
        <v>1.1000000000000001</v>
      </c>
      <c r="B835" s="1794" t="s">
        <v>1310</v>
      </c>
      <c r="C835" s="31">
        <v>1</v>
      </c>
      <c r="D835" s="713" t="s">
        <v>3</v>
      </c>
      <c r="E835" s="1755">
        <v>23600</v>
      </c>
      <c r="F835" s="1864">
        <f t="shared" ref="F835:F844" si="36">ROUND((C835*E835),2)</f>
        <v>23600</v>
      </c>
      <c r="G835" s="1547"/>
      <c r="H835" s="510"/>
      <c r="I835" s="510"/>
      <c r="J835" s="275"/>
    </row>
    <row r="836" spans="1:256">
      <c r="A836" s="1883">
        <v>1.2</v>
      </c>
      <c r="B836" s="1794" t="s">
        <v>1311</v>
      </c>
      <c r="C836" s="31">
        <v>1</v>
      </c>
      <c r="D836" s="713" t="s">
        <v>3</v>
      </c>
      <c r="E836" s="1755">
        <v>14600</v>
      </c>
      <c r="F836" s="1864">
        <f t="shared" si="36"/>
        <v>14600</v>
      </c>
      <c r="G836" s="1547"/>
      <c r="H836" s="510"/>
      <c r="I836" s="510"/>
    </row>
    <row r="837" spans="1:256">
      <c r="A837" s="1883">
        <v>1.3</v>
      </c>
      <c r="B837" s="1053" t="s">
        <v>1312</v>
      </c>
      <c r="C837" s="31">
        <v>50</v>
      </c>
      <c r="D837" s="713" t="s">
        <v>800</v>
      </c>
      <c r="E837" s="1755">
        <v>17.12</v>
      </c>
      <c r="F837" s="1864">
        <f t="shared" si="36"/>
        <v>856</v>
      </c>
      <c r="G837" s="1547"/>
      <c r="H837" s="510"/>
      <c r="I837" s="510"/>
    </row>
    <row r="838" spans="1:256" ht="38.25">
      <c r="A838">
        <v>1.4</v>
      </c>
      <c r="B838" s="853" t="s">
        <v>1313</v>
      </c>
      <c r="C838" s="31">
        <v>1</v>
      </c>
      <c r="D838" s="713" t="s">
        <v>3</v>
      </c>
      <c r="E838" s="1755">
        <v>42440</v>
      </c>
      <c r="F838" s="1864">
        <f t="shared" si="36"/>
        <v>42440</v>
      </c>
      <c r="G838" s="1547"/>
      <c r="H838" s="510"/>
      <c r="I838" s="510"/>
    </row>
    <row r="839" spans="1:256">
      <c r="A839" s="1883">
        <v>1.5</v>
      </c>
      <c r="B839" s="1794" t="s">
        <v>1314</v>
      </c>
      <c r="C839" s="31">
        <v>1</v>
      </c>
      <c r="D839" s="713" t="s">
        <v>3</v>
      </c>
      <c r="E839" s="1755">
        <v>4143.0600000000004</v>
      </c>
      <c r="F839" s="1864">
        <f t="shared" si="36"/>
        <v>4143.0600000000004</v>
      </c>
      <c r="G839" s="1547"/>
      <c r="H839" s="510"/>
      <c r="I839" s="510"/>
    </row>
    <row r="840" spans="1:256">
      <c r="A840" s="1883">
        <v>1.6</v>
      </c>
      <c r="B840" s="1794" t="s">
        <v>1315</v>
      </c>
      <c r="C840" s="31">
        <v>1</v>
      </c>
      <c r="D840" s="713" t="s">
        <v>3</v>
      </c>
      <c r="E840" s="1755">
        <v>3402.66</v>
      </c>
      <c r="F840" s="1864">
        <f t="shared" si="36"/>
        <v>3402.66</v>
      </c>
      <c r="G840" s="1547"/>
      <c r="H840" s="510"/>
    </row>
    <row r="841" spans="1:256">
      <c r="A841" s="1883">
        <v>1.7</v>
      </c>
      <c r="B841" s="1794" t="s">
        <v>1316</v>
      </c>
      <c r="C841" s="31">
        <v>2</v>
      </c>
      <c r="D841" s="713" t="s">
        <v>3</v>
      </c>
      <c r="E841" s="1755">
        <v>1302.1500000000001</v>
      </c>
      <c r="F841" s="1864">
        <f t="shared" si="36"/>
        <v>2604.3000000000002</v>
      </c>
      <c r="G841" s="1547"/>
      <c r="H841" s="510"/>
    </row>
    <row r="842" spans="1:256">
      <c r="A842" s="1883">
        <v>1.8</v>
      </c>
      <c r="B842" s="1794" t="s">
        <v>1317</v>
      </c>
      <c r="C842" s="31">
        <v>1</v>
      </c>
      <c r="D842" s="713" t="s">
        <v>3</v>
      </c>
      <c r="E842" s="1755">
        <v>8245</v>
      </c>
      <c r="F842" s="1864">
        <f t="shared" si="36"/>
        <v>8245</v>
      </c>
      <c r="G842" s="1547"/>
      <c r="H842" s="510"/>
      <c r="I842" s="510"/>
    </row>
    <row r="843" spans="1:256">
      <c r="A843" s="1883">
        <v>1.9</v>
      </c>
      <c r="B843" s="1794" t="s">
        <v>1318</v>
      </c>
      <c r="C843" s="31">
        <v>2</v>
      </c>
      <c r="D843" s="713" t="s">
        <v>3</v>
      </c>
      <c r="E843" s="1755">
        <v>1200</v>
      </c>
      <c r="F843" s="1864">
        <f t="shared" si="36"/>
        <v>2400</v>
      </c>
      <c r="G843" s="1547"/>
      <c r="H843" s="510"/>
      <c r="I843" s="510"/>
    </row>
    <row r="844" spans="1:256">
      <c r="A844" s="1883">
        <v>1.1000000000000001</v>
      </c>
      <c r="B844" s="1794" t="s">
        <v>1319</v>
      </c>
      <c r="C844" s="31">
        <v>1</v>
      </c>
      <c r="D844" s="713" t="s">
        <v>3</v>
      </c>
      <c r="E844" s="1755">
        <v>16000</v>
      </c>
      <c r="F844" s="1864">
        <f t="shared" si="36"/>
        <v>16000</v>
      </c>
      <c r="G844" s="1848"/>
      <c r="H844" s="510"/>
      <c r="I844" s="510"/>
    </row>
    <row r="845" spans="1:256">
      <c r="A845" s="1883"/>
      <c r="B845" s="1794"/>
      <c r="C845" s="31"/>
      <c r="D845" s="713"/>
      <c r="E845" s="1755"/>
      <c r="F845" s="1864"/>
      <c r="G845" s="1848"/>
    </row>
    <row r="846" spans="1:256">
      <c r="A846" s="1867">
        <v>2</v>
      </c>
      <c r="B846" s="1804" t="s">
        <v>1320</v>
      </c>
      <c r="C846" s="808"/>
      <c r="D846" s="1804"/>
      <c r="E846" s="1755"/>
      <c r="F846"/>
      <c r="G846" s="1754"/>
      <c r="H846" s="1846"/>
      <c r="I846" s="1754"/>
      <c r="J846" s="1846"/>
      <c r="K846" s="1754"/>
      <c r="L846" s="1846"/>
      <c r="M846" s="1803"/>
      <c r="N846" s="1737"/>
      <c r="O846" s="808"/>
      <c r="P846" s="1737"/>
      <c r="Q846" s="808"/>
      <c r="R846" s="1737"/>
      <c r="S846" s="808"/>
      <c r="T846" s="1737"/>
      <c r="U846" s="808"/>
      <c r="V846" s="1737"/>
      <c r="W846" s="808"/>
      <c r="X846" s="1737"/>
      <c r="Y846" s="808"/>
      <c r="Z846" s="1737"/>
      <c r="AA846" s="808"/>
      <c r="AB846" s="1737"/>
      <c r="AC846" s="808"/>
      <c r="AD846" s="1737"/>
      <c r="AE846" s="808"/>
      <c r="AF846" s="1737"/>
      <c r="AG846" s="808"/>
      <c r="AH846" s="1737"/>
      <c r="AI846" s="808"/>
      <c r="AJ846" s="1737"/>
      <c r="AK846" s="808"/>
      <c r="AL846" s="1737"/>
      <c r="AM846" s="808"/>
      <c r="AN846" s="1737"/>
      <c r="AO846" s="808"/>
      <c r="AP846" s="1737"/>
      <c r="AQ846" s="808"/>
      <c r="AR846" s="1737"/>
      <c r="AS846" s="808"/>
      <c r="AT846" s="1737"/>
      <c r="AU846" s="808"/>
      <c r="AV846" s="1737"/>
      <c r="AW846" s="808"/>
      <c r="AX846" s="1737"/>
      <c r="AY846" s="808"/>
      <c r="AZ846" s="1737"/>
      <c r="BA846" s="808"/>
      <c r="BB846" s="1737"/>
      <c r="BC846" s="808"/>
      <c r="BD846" s="1737"/>
      <c r="BE846" s="808"/>
      <c r="BF846" s="1737"/>
      <c r="BG846" s="808"/>
      <c r="BH846" s="1737"/>
      <c r="BI846" s="808"/>
      <c r="BJ846" s="1737"/>
      <c r="BK846" s="808"/>
      <c r="BL846" s="1737"/>
      <c r="BM846" s="808"/>
      <c r="BN846" s="1737"/>
      <c r="BO846" s="808"/>
      <c r="BP846" s="1737"/>
      <c r="BQ846" s="808"/>
      <c r="BR846" s="1737"/>
      <c r="BS846" s="808"/>
      <c r="BT846" s="1737"/>
      <c r="BU846" s="808"/>
      <c r="BV846" s="1737"/>
      <c r="BW846" s="808"/>
      <c r="BX846" s="1737"/>
      <c r="BY846" s="808"/>
      <c r="BZ846" s="1737"/>
      <c r="CA846" s="808"/>
      <c r="CB846" s="1737"/>
      <c r="CC846" s="808"/>
      <c r="CD846" s="1737"/>
      <c r="CE846" s="808"/>
      <c r="CF846" s="1737"/>
      <c r="CG846" s="808"/>
      <c r="CH846" s="1737"/>
      <c r="CI846" s="808"/>
      <c r="CJ846" s="1737"/>
      <c r="CK846" s="808"/>
      <c r="CL846" s="1737"/>
      <c r="CM846" s="808"/>
      <c r="CN846" s="1737"/>
      <c r="CO846" s="808"/>
      <c r="CP846" s="1737"/>
      <c r="CQ846" s="808"/>
      <c r="CR846" s="1737"/>
      <c r="CS846" s="808"/>
      <c r="CT846" s="1737"/>
      <c r="CU846" s="808"/>
      <c r="CV846" s="1737"/>
      <c r="CW846" s="808"/>
      <c r="CX846" s="1737"/>
      <c r="CY846" s="808"/>
      <c r="CZ846" s="1737"/>
      <c r="DA846" s="808"/>
      <c r="DB846" s="1737"/>
      <c r="DC846" s="808"/>
      <c r="DD846" s="1737"/>
      <c r="DE846" s="808"/>
      <c r="DF846" s="1737"/>
      <c r="DG846" s="808"/>
      <c r="DH846" s="1737"/>
      <c r="DI846" s="808"/>
      <c r="DJ846" s="1737"/>
      <c r="DK846" s="808"/>
      <c r="DL846" s="1737"/>
      <c r="DM846" s="808"/>
      <c r="DN846" s="1737"/>
      <c r="DO846" s="808"/>
      <c r="DP846" s="1737"/>
      <c r="DQ846" s="808"/>
      <c r="DR846" s="1737"/>
      <c r="DS846" s="808"/>
      <c r="DT846" s="1737"/>
      <c r="DU846" s="808"/>
      <c r="DV846" s="1737"/>
      <c r="DW846" s="808"/>
      <c r="DX846" s="1737"/>
      <c r="DY846" s="808"/>
      <c r="DZ846" s="1737"/>
      <c r="EA846" s="808"/>
      <c r="EB846" s="1737"/>
      <c r="EC846" s="808"/>
      <c r="ED846" s="1737"/>
      <c r="EE846" s="808"/>
      <c r="EF846" s="1737"/>
      <c r="EG846" s="808"/>
      <c r="EH846" s="1737"/>
      <c r="EI846" s="808"/>
      <c r="EJ846" s="1737"/>
      <c r="EK846" s="808"/>
      <c r="EL846" s="1737"/>
      <c r="EM846" s="808"/>
      <c r="EN846" s="1737"/>
      <c r="EO846" s="808"/>
      <c r="EP846" s="1737"/>
      <c r="EQ846" s="808"/>
      <c r="ER846" s="1737"/>
      <c r="ES846" s="808"/>
      <c r="ET846" s="1737"/>
      <c r="EU846" s="808"/>
      <c r="EV846" s="1737"/>
      <c r="EW846" s="808"/>
      <c r="EX846" s="1737"/>
      <c r="EY846" s="808"/>
      <c r="EZ846" s="1737"/>
      <c r="FA846" s="808"/>
      <c r="FB846" s="1737"/>
      <c r="FC846" s="808"/>
      <c r="FD846" s="1737"/>
      <c r="FE846" s="808"/>
      <c r="FF846" s="1737"/>
      <c r="FG846" s="808"/>
      <c r="FH846" s="1737"/>
      <c r="FI846" s="808"/>
      <c r="FJ846" s="1737"/>
      <c r="FK846" s="808"/>
      <c r="FL846" s="1737"/>
      <c r="FM846" s="808"/>
      <c r="FN846" s="1737"/>
      <c r="FO846" s="808"/>
      <c r="FP846" s="1737"/>
      <c r="FQ846" s="808"/>
      <c r="FR846" s="1737"/>
      <c r="FS846" s="808"/>
      <c r="FT846" s="1737"/>
      <c r="FU846" s="808"/>
      <c r="FV846" s="1737"/>
      <c r="FW846" s="808"/>
      <c r="FX846" s="1737"/>
      <c r="FY846" s="808"/>
      <c r="FZ846" s="1737"/>
      <c r="GA846" s="808"/>
      <c r="GB846" s="1737"/>
      <c r="GC846" s="808"/>
      <c r="GD846" s="1737"/>
      <c r="GE846" s="808"/>
      <c r="GF846" s="1737"/>
      <c r="GG846" s="808"/>
      <c r="GH846" s="1737"/>
      <c r="GI846" s="808"/>
      <c r="GJ846" s="1737"/>
      <c r="GK846" s="808"/>
      <c r="GL846" s="1737"/>
      <c r="GM846" s="808"/>
      <c r="GN846" s="1737"/>
      <c r="GO846" s="808"/>
      <c r="GP846" s="1737"/>
      <c r="GQ846" s="808"/>
      <c r="GR846" s="1737"/>
      <c r="GS846" s="808"/>
      <c r="GT846" s="1737"/>
      <c r="GU846" s="808"/>
      <c r="GV846" s="1737"/>
      <c r="GW846" s="808"/>
      <c r="GX846" s="1737"/>
      <c r="GY846" s="808"/>
      <c r="GZ846" s="1737"/>
      <c r="HA846" s="808"/>
      <c r="HB846" s="1737"/>
      <c r="HC846" s="808"/>
      <c r="HD846" s="1737"/>
      <c r="HE846" s="808"/>
      <c r="HF846" s="1737"/>
      <c r="HG846" s="808"/>
      <c r="HH846" s="1737"/>
      <c r="HI846" s="808"/>
      <c r="HJ846" s="1737"/>
      <c r="HK846" s="808"/>
      <c r="HL846" s="1737"/>
      <c r="HM846" s="808"/>
      <c r="HN846" s="1737"/>
      <c r="HO846" s="808"/>
      <c r="HP846" s="1737"/>
      <c r="HQ846" s="808"/>
      <c r="HR846" s="1737"/>
      <c r="HS846" s="808"/>
      <c r="HT846" s="1737"/>
      <c r="HU846" s="808"/>
      <c r="HV846" s="1737"/>
      <c r="HW846" s="808"/>
      <c r="HX846" s="1737"/>
      <c r="HY846" s="808"/>
      <c r="HZ846" s="1737"/>
      <c r="IA846" s="808"/>
      <c r="IB846" s="1737"/>
      <c r="IC846" s="808"/>
      <c r="ID846" s="1737"/>
      <c r="IE846" s="808"/>
      <c r="IF846" s="1737"/>
      <c r="IG846" s="808"/>
      <c r="IH846" s="1737"/>
      <c r="II846" s="808"/>
      <c r="IJ846" s="1737"/>
      <c r="IK846" s="808"/>
      <c r="IL846" s="1737"/>
      <c r="IM846" s="808"/>
      <c r="IN846" s="1737"/>
      <c r="IO846" s="808"/>
      <c r="IP846" s="1737"/>
      <c r="IQ846" s="808"/>
      <c r="IR846" s="1737"/>
      <c r="IS846" s="808"/>
      <c r="IT846" s="1737"/>
      <c r="IU846" s="808"/>
      <c r="IV846" s="1737"/>
    </row>
    <row r="847" spans="1:256" ht="25.5">
      <c r="A847" s="1865">
        <v>2.1</v>
      </c>
      <c r="B847" s="853" t="s">
        <v>1321</v>
      </c>
      <c r="C847" s="31">
        <v>1</v>
      </c>
      <c r="D847" s="713" t="s">
        <v>3</v>
      </c>
      <c r="E847" s="1755">
        <v>3256.45</v>
      </c>
      <c r="F847" s="1864">
        <f t="shared" ref="F847:F858" si="37">ROUND((C847*E847),2)</f>
        <v>3256.45</v>
      </c>
      <c r="G847" s="1547"/>
    </row>
    <row r="848" spans="1:256" ht="25.5">
      <c r="A848" s="1865">
        <v>2.2000000000000002</v>
      </c>
      <c r="B848" s="853" t="s">
        <v>1322</v>
      </c>
      <c r="C848" s="31">
        <v>2</v>
      </c>
      <c r="D848" s="713" t="s">
        <v>3</v>
      </c>
      <c r="E848" s="1755">
        <v>5283.24</v>
      </c>
      <c r="F848" s="1864">
        <f t="shared" si="37"/>
        <v>10566.48</v>
      </c>
      <c r="G848" s="1547"/>
    </row>
    <row r="849" spans="1:256">
      <c r="A849" s="1865">
        <v>2.2999999999999998</v>
      </c>
      <c r="B849" s="510" t="s">
        <v>1323</v>
      </c>
      <c r="C849" s="31">
        <v>1</v>
      </c>
      <c r="D849" s="713" t="s">
        <v>3</v>
      </c>
      <c r="E849" s="1755">
        <v>846.2</v>
      </c>
      <c r="F849" s="1864">
        <f t="shared" si="37"/>
        <v>846.2</v>
      </c>
      <c r="G849" s="1547"/>
    </row>
    <row r="850" spans="1:256" ht="25.5">
      <c r="A850" s="1865">
        <v>2.4</v>
      </c>
      <c r="B850" s="853" t="s">
        <v>1324</v>
      </c>
      <c r="C850" s="31">
        <v>2</v>
      </c>
      <c r="D850" s="713" t="s">
        <v>3</v>
      </c>
      <c r="E850" s="1755">
        <v>4560.8500000000004</v>
      </c>
      <c r="F850" s="1864">
        <f t="shared" si="37"/>
        <v>9121.7000000000007</v>
      </c>
      <c r="G850" s="1547"/>
    </row>
    <row r="851" spans="1:256">
      <c r="A851" s="1865">
        <v>2.5</v>
      </c>
      <c r="B851" s="510" t="s">
        <v>1325</v>
      </c>
      <c r="C851" s="31">
        <v>1</v>
      </c>
      <c r="D851" s="713" t="s">
        <v>3</v>
      </c>
      <c r="E851" s="1755">
        <v>268.27999999999997</v>
      </c>
      <c r="F851" s="1864">
        <f t="shared" si="37"/>
        <v>268.27999999999997</v>
      </c>
      <c r="G851" s="1547"/>
    </row>
    <row r="852" spans="1:256">
      <c r="A852" s="1865">
        <v>2.6</v>
      </c>
      <c r="B852" s="510" t="s">
        <v>41</v>
      </c>
      <c r="C852" s="31">
        <v>1</v>
      </c>
      <c r="D852" s="713" t="s">
        <v>3</v>
      </c>
      <c r="E852" s="1755">
        <v>8000</v>
      </c>
      <c r="F852" s="1864">
        <f t="shared" si="37"/>
        <v>8000</v>
      </c>
      <c r="G852" s="1547"/>
    </row>
    <row r="853" spans="1:256" ht="76.5">
      <c r="A853" s="1888">
        <v>2.8</v>
      </c>
      <c r="B853" s="1823" t="s">
        <v>1326</v>
      </c>
      <c r="C853" s="1813">
        <v>4</v>
      </c>
      <c r="D853" s="1821" t="s">
        <v>1</v>
      </c>
      <c r="E853" s="1820">
        <v>1254</v>
      </c>
      <c r="F853" s="1879">
        <f t="shared" si="37"/>
        <v>5016</v>
      </c>
      <c r="G853" s="1547"/>
    </row>
    <row r="854" spans="1:256" ht="63.75">
      <c r="A854" s="1865">
        <v>2.9</v>
      </c>
      <c r="B854" s="853" t="s">
        <v>1327</v>
      </c>
      <c r="C854" s="31">
        <v>3</v>
      </c>
      <c r="D854" s="713" t="s">
        <v>1</v>
      </c>
      <c r="E854" s="1755">
        <v>1254</v>
      </c>
      <c r="F854" s="1864">
        <f t="shared" si="37"/>
        <v>3762</v>
      </c>
      <c r="G854" s="1547"/>
    </row>
    <row r="855" spans="1:256" ht="63.75">
      <c r="A855" s="1883">
        <v>2.1</v>
      </c>
      <c r="B855" s="853" t="s">
        <v>1328</v>
      </c>
      <c r="C855" s="1809">
        <v>10</v>
      </c>
      <c r="D855" s="1809" t="s">
        <v>1</v>
      </c>
      <c r="E855" s="1809">
        <v>702</v>
      </c>
      <c r="F855" s="1886">
        <f t="shared" si="37"/>
        <v>7020</v>
      </c>
      <c r="G855" s="1547"/>
      <c r="H855" s="510"/>
    </row>
    <row r="856" spans="1:256" ht="63.75">
      <c r="A856" s="1865">
        <v>2.11</v>
      </c>
      <c r="B856" s="853" t="s">
        <v>1329</v>
      </c>
      <c r="C856" s="31">
        <v>6</v>
      </c>
      <c r="D856" s="713" t="s">
        <v>1</v>
      </c>
      <c r="E856" s="1755">
        <v>1350</v>
      </c>
      <c r="F856" s="1864">
        <f t="shared" si="37"/>
        <v>8100</v>
      </c>
      <c r="G856" s="1547"/>
    </row>
    <row r="857" spans="1:256" ht="63.75">
      <c r="A857" s="1865">
        <v>2.12</v>
      </c>
      <c r="B857" s="853" t="s">
        <v>1330</v>
      </c>
      <c r="C857" s="31">
        <v>8</v>
      </c>
      <c r="D857" s="713" t="s">
        <v>1</v>
      </c>
      <c r="E857" s="1755">
        <v>615</v>
      </c>
      <c r="F857" s="1864">
        <f t="shared" si="37"/>
        <v>4920</v>
      </c>
      <c r="G857" s="1547"/>
      <c r="H857" s="1539"/>
      <c r="I857" s="1539"/>
      <c r="J857" s="1539"/>
    </row>
    <row r="858" spans="1:256" ht="51">
      <c r="A858" s="1865">
        <v>2.13</v>
      </c>
      <c r="B858" s="853" t="s">
        <v>1331</v>
      </c>
      <c r="C858" s="31">
        <v>2</v>
      </c>
      <c r="D858" s="713" t="s">
        <v>1</v>
      </c>
      <c r="E858" s="1755">
        <v>450</v>
      </c>
      <c r="F858" s="1864">
        <f t="shared" si="37"/>
        <v>900</v>
      </c>
      <c r="G858" s="1547"/>
      <c r="H858" s="510"/>
      <c r="I858" s="275"/>
      <c r="J858" s="275"/>
    </row>
    <row r="859" spans="1:256" ht="51">
      <c r="A859" s="1865">
        <v>2.14</v>
      </c>
      <c r="B859" s="853" t="s">
        <v>1332</v>
      </c>
      <c r="C859" s="31">
        <v>50</v>
      </c>
      <c r="D859" s="713" t="s">
        <v>1</v>
      </c>
      <c r="E859" s="1755">
        <v>350</v>
      </c>
      <c r="F859" s="1864">
        <f>ROUND((C859*E859),2)</f>
        <v>17500</v>
      </c>
      <c r="G859" s="1547"/>
      <c r="H859" s="510"/>
    </row>
    <row r="860" spans="1:256">
      <c r="A860" s="1860"/>
      <c r="B860" s="1794"/>
      <c r="C860" s="31"/>
      <c r="D860" s="713"/>
      <c r="E860" s="1755"/>
      <c r="F860" s="1864"/>
      <c r="G860" s="1547"/>
      <c r="H860" s="510"/>
    </row>
    <row r="861" spans="1:256">
      <c r="A861" s="1867">
        <v>3</v>
      </c>
      <c r="B861" s="1804" t="s">
        <v>1333</v>
      </c>
      <c r="C861" s="808"/>
      <c r="D861" s="1804"/>
      <c r="E861" s="1755"/>
      <c r="F861"/>
      <c r="G861" s="1754"/>
      <c r="H861" s="1846"/>
      <c r="I861" s="1754"/>
      <c r="J861" s="1846"/>
      <c r="K861" s="1754"/>
      <c r="L861" s="1846"/>
      <c r="M861" s="1803"/>
      <c r="N861" s="1737"/>
      <c r="O861" s="808"/>
      <c r="P861" s="1737"/>
      <c r="Q861" s="808"/>
      <c r="R861" s="1737"/>
      <c r="S861" s="808"/>
      <c r="T861" s="1737"/>
      <c r="U861" s="808"/>
      <c r="V861" s="1737"/>
      <c r="W861" s="808"/>
      <c r="X861" s="1737"/>
      <c r="Y861" s="808"/>
      <c r="Z861" s="1737"/>
      <c r="AA861" s="808"/>
      <c r="AB861" s="1737"/>
      <c r="AC861" s="808"/>
      <c r="AD861" s="1737"/>
      <c r="AE861" s="808"/>
      <c r="AF861" s="1737"/>
      <c r="AG861" s="808"/>
      <c r="AH861" s="1737"/>
      <c r="AI861" s="808"/>
      <c r="AJ861" s="1737"/>
      <c r="AK861" s="808"/>
      <c r="AL861" s="1737"/>
      <c r="AM861" s="808"/>
      <c r="AN861" s="1737"/>
      <c r="AO861" s="808"/>
      <c r="AP861" s="1737"/>
      <c r="AQ861" s="808"/>
      <c r="AR861" s="1737"/>
      <c r="AS861" s="808"/>
      <c r="AT861" s="1737"/>
      <c r="AU861" s="808"/>
      <c r="AV861" s="1737"/>
      <c r="AW861" s="808"/>
      <c r="AX861" s="1737"/>
      <c r="AY861" s="808"/>
      <c r="AZ861" s="1737"/>
      <c r="BA861" s="808"/>
      <c r="BB861" s="1737"/>
      <c r="BC861" s="808"/>
      <c r="BD861" s="1737"/>
      <c r="BE861" s="808"/>
      <c r="BF861" s="1737"/>
      <c r="BG861" s="808"/>
      <c r="BH861" s="1737"/>
      <c r="BI861" s="808"/>
      <c r="BJ861" s="1737"/>
      <c r="BK861" s="808"/>
      <c r="BL861" s="1737"/>
      <c r="BM861" s="808"/>
      <c r="BN861" s="1737"/>
      <c r="BO861" s="808"/>
      <c r="BP861" s="1737"/>
      <c r="BQ861" s="808"/>
      <c r="BR861" s="1737"/>
      <c r="BS861" s="808"/>
      <c r="BT861" s="1737"/>
      <c r="BU861" s="808"/>
      <c r="BV861" s="1737"/>
      <c r="BW861" s="808"/>
      <c r="BX861" s="1737"/>
      <c r="BY861" s="808"/>
      <c r="BZ861" s="1737"/>
      <c r="CA861" s="808"/>
      <c r="CB861" s="1737"/>
      <c r="CC861" s="808"/>
      <c r="CD861" s="1737"/>
      <c r="CE861" s="808"/>
      <c r="CF861" s="1737"/>
      <c r="CG861" s="808"/>
      <c r="CH861" s="1737"/>
      <c r="CI861" s="808"/>
      <c r="CJ861" s="1737"/>
      <c r="CK861" s="808"/>
      <c r="CL861" s="1737"/>
      <c r="CM861" s="808"/>
      <c r="CN861" s="1737"/>
      <c r="CO861" s="808"/>
      <c r="CP861" s="1737"/>
      <c r="CQ861" s="808"/>
      <c r="CR861" s="1737"/>
      <c r="CS861" s="808"/>
      <c r="CT861" s="1737"/>
      <c r="CU861" s="808"/>
      <c r="CV861" s="1737"/>
      <c r="CW861" s="808"/>
      <c r="CX861" s="1737"/>
      <c r="CY861" s="808"/>
      <c r="CZ861" s="1737"/>
      <c r="DA861" s="808"/>
      <c r="DB861" s="1737"/>
      <c r="DC861" s="808"/>
      <c r="DD861" s="1737"/>
      <c r="DE861" s="808"/>
      <c r="DF861" s="1737"/>
      <c r="DG861" s="808"/>
      <c r="DH861" s="1737"/>
      <c r="DI861" s="808"/>
      <c r="DJ861" s="1737"/>
      <c r="DK861" s="808"/>
      <c r="DL861" s="1737"/>
      <c r="DM861" s="808"/>
      <c r="DN861" s="1737"/>
      <c r="DO861" s="808"/>
      <c r="DP861" s="1737"/>
      <c r="DQ861" s="808"/>
      <c r="DR861" s="1737"/>
      <c r="DS861" s="808"/>
      <c r="DT861" s="1737"/>
      <c r="DU861" s="808"/>
      <c r="DV861" s="1737"/>
      <c r="DW861" s="808"/>
      <c r="DX861" s="1737"/>
      <c r="DY861" s="808"/>
      <c r="DZ861" s="1737"/>
      <c r="EA861" s="808"/>
      <c r="EB861" s="1737"/>
      <c r="EC861" s="808"/>
      <c r="ED861" s="1737"/>
      <c r="EE861" s="808"/>
      <c r="EF861" s="1737"/>
      <c r="EG861" s="808"/>
      <c r="EH861" s="1737"/>
      <c r="EI861" s="808"/>
      <c r="EJ861" s="1737"/>
      <c r="EK861" s="808"/>
      <c r="EL861" s="1737"/>
      <c r="EM861" s="808"/>
      <c r="EN861" s="1737"/>
      <c r="EO861" s="808"/>
      <c r="EP861" s="1737"/>
      <c r="EQ861" s="808"/>
      <c r="ER861" s="1737"/>
      <c r="ES861" s="808"/>
      <c r="ET861" s="1737"/>
      <c r="EU861" s="808"/>
      <c r="EV861" s="1737"/>
      <c r="EW861" s="808"/>
      <c r="EX861" s="1737"/>
      <c r="EY861" s="808"/>
      <c r="EZ861" s="1737"/>
      <c r="FA861" s="808"/>
      <c r="FB861" s="1737"/>
      <c r="FC861" s="808"/>
      <c r="FD861" s="1737"/>
      <c r="FE861" s="808"/>
      <c r="FF861" s="1737"/>
      <c r="FG861" s="808"/>
      <c r="FH861" s="1737"/>
      <c r="FI861" s="808"/>
      <c r="FJ861" s="1737"/>
      <c r="FK861" s="808"/>
      <c r="FL861" s="1737"/>
      <c r="FM861" s="808"/>
      <c r="FN861" s="1737"/>
      <c r="FO861" s="808"/>
      <c r="FP861" s="1737"/>
      <c r="FQ861" s="808"/>
      <c r="FR861" s="1737"/>
      <c r="FS861" s="808"/>
      <c r="FT861" s="1737"/>
      <c r="FU861" s="808"/>
      <c r="FV861" s="1737"/>
      <c r="FW861" s="808"/>
      <c r="FX861" s="1737"/>
      <c r="FY861" s="808"/>
      <c r="FZ861" s="1737"/>
      <c r="GA861" s="808"/>
      <c r="GB861" s="1737"/>
      <c r="GC861" s="808"/>
      <c r="GD861" s="1737"/>
      <c r="GE861" s="808"/>
      <c r="GF861" s="1737"/>
      <c r="GG861" s="808"/>
      <c r="GH861" s="1737"/>
      <c r="GI861" s="808"/>
      <c r="GJ861" s="1737"/>
      <c r="GK861" s="808"/>
      <c r="GL861" s="1737"/>
      <c r="GM861" s="808"/>
      <c r="GN861" s="1737"/>
      <c r="GO861" s="808"/>
      <c r="GP861" s="1737"/>
      <c r="GQ861" s="808"/>
      <c r="GR861" s="1737"/>
      <c r="GS861" s="808"/>
      <c r="GT861" s="1737"/>
      <c r="GU861" s="808"/>
      <c r="GV861" s="1737"/>
      <c r="GW861" s="808"/>
      <c r="GX861" s="1737"/>
      <c r="GY861" s="808"/>
      <c r="GZ861" s="1737"/>
      <c r="HA861" s="808"/>
      <c r="HB861" s="1737"/>
      <c r="HC861" s="808"/>
      <c r="HD861" s="1737"/>
      <c r="HE861" s="808"/>
      <c r="HF861" s="1737"/>
      <c r="HG861" s="808"/>
      <c r="HH861" s="1737"/>
      <c r="HI861" s="808"/>
      <c r="HJ861" s="1737"/>
      <c r="HK861" s="808"/>
      <c r="HL861" s="1737"/>
      <c r="HM861" s="808"/>
      <c r="HN861" s="1737"/>
      <c r="HO861" s="808"/>
      <c r="HP861" s="1737"/>
      <c r="HQ861" s="808"/>
      <c r="HR861" s="1737"/>
      <c r="HS861" s="808"/>
      <c r="HT861" s="1737"/>
      <c r="HU861" s="808"/>
      <c r="HV861" s="1737"/>
      <c r="HW861" s="808"/>
      <c r="HX861" s="1737"/>
      <c r="HY861" s="808"/>
      <c r="HZ861" s="1737"/>
      <c r="IA861" s="808"/>
      <c r="IB861" s="1737"/>
      <c r="IC861" s="808"/>
      <c r="ID861" s="1737"/>
      <c r="IE861" s="808"/>
      <c r="IF861" s="1737"/>
      <c r="IG861" s="808"/>
      <c r="IH861" s="1737"/>
      <c r="II861" s="808"/>
      <c r="IJ861" s="1737"/>
      <c r="IK861" s="808"/>
      <c r="IL861" s="1737"/>
      <c r="IM861" s="808"/>
      <c r="IN861" s="1737"/>
      <c r="IO861" s="808"/>
      <c r="IP861" s="1737"/>
      <c r="IQ861" s="808"/>
      <c r="IR861" s="1737"/>
      <c r="IS861" s="808"/>
      <c r="IT861" s="1737"/>
      <c r="IU861" s="808"/>
      <c r="IV861" s="1737"/>
    </row>
    <row r="862" spans="1:256" ht="38.25">
      <c r="A862" s="1860">
        <v>3.1</v>
      </c>
      <c r="B862" s="853" t="s">
        <v>1334</v>
      </c>
      <c r="C862" s="31">
        <v>2</v>
      </c>
      <c r="D862" s="713" t="s">
        <v>3</v>
      </c>
      <c r="E862" s="1755">
        <v>37425.15</v>
      </c>
      <c r="F862" s="1864">
        <f t="shared" ref="F862:F876" si="38">ROUND(C862*E862,2)</f>
        <v>74850.3</v>
      </c>
      <c r="G862" s="1547"/>
      <c r="H862" s="510"/>
    </row>
    <row r="863" spans="1:256">
      <c r="A863" s="1860">
        <v>3.2</v>
      </c>
      <c r="B863" s="853" t="s">
        <v>1335</v>
      </c>
      <c r="C863" s="31">
        <v>2</v>
      </c>
      <c r="D863" s="713" t="s">
        <v>3</v>
      </c>
      <c r="E863" s="1755">
        <v>6500</v>
      </c>
      <c r="F863" s="1864">
        <f t="shared" si="38"/>
        <v>13000</v>
      </c>
      <c r="G863" s="1547"/>
      <c r="H863" s="510"/>
    </row>
    <row r="864" spans="1:256">
      <c r="A864" s="1860">
        <v>3.3</v>
      </c>
      <c r="B864" s="1776" t="s">
        <v>1336</v>
      </c>
      <c r="C864" s="31">
        <v>1</v>
      </c>
      <c r="D864" s="713" t="s">
        <v>3</v>
      </c>
      <c r="E864" s="1755">
        <v>1405.45</v>
      </c>
      <c r="F864" s="1864">
        <f t="shared" si="38"/>
        <v>1405.45</v>
      </c>
      <c r="G864" s="1547"/>
      <c r="H864" s="510"/>
    </row>
    <row r="865" spans="1:256">
      <c r="A865" s="1860">
        <v>3.4</v>
      </c>
      <c r="B865" s="1776" t="s">
        <v>1337</v>
      </c>
      <c r="C865" s="31">
        <v>2</v>
      </c>
      <c r="D865" s="713" t="s">
        <v>3</v>
      </c>
      <c r="E865" s="1755">
        <v>1104.24</v>
      </c>
      <c r="F865" s="1864">
        <f t="shared" si="38"/>
        <v>2208.48</v>
      </c>
      <c r="G865" s="1547"/>
      <c r="H865" s="510"/>
      <c r="I865" s="275"/>
      <c r="J865" s="275"/>
    </row>
    <row r="866" spans="1:256">
      <c r="A866" s="1860">
        <v>3.5</v>
      </c>
      <c r="B866" s="1776" t="s">
        <v>1338</v>
      </c>
      <c r="C866" s="31">
        <v>8</v>
      </c>
      <c r="D866" s="713" t="s">
        <v>3</v>
      </c>
      <c r="E866" s="1755">
        <v>1104.24</v>
      </c>
      <c r="F866" s="1864">
        <f t="shared" si="38"/>
        <v>8833.92</v>
      </c>
      <c r="G866" s="1547"/>
      <c r="H866" s="510"/>
      <c r="I866" s="275"/>
      <c r="J866" s="275"/>
    </row>
    <row r="867" spans="1:256">
      <c r="A867" s="1860">
        <v>3.6</v>
      </c>
      <c r="B867" s="1776" t="s">
        <v>1339</v>
      </c>
      <c r="C867" s="31">
        <v>2</v>
      </c>
      <c r="D867" s="713" t="s">
        <v>3</v>
      </c>
      <c r="E867" s="1755">
        <v>1104.24</v>
      </c>
      <c r="F867" s="1864">
        <f t="shared" si="38"/>
        <v>2208.48</v>
      </c>
      <c r="G867" s="1547"/>
      <c r="H867" s="510"/>
    </row>
    <row r="868" spans="1:256" ht="25.5">
      <c r="A868" s="1860">
        <v>3.7</v>
      </c>
      <c r="B868" s="853" t="s">
        <v>1340</v>
      </c>
      <c r="C868" s="31">
        <v>4</v>
      </c>
      <c r="D868" s="713" t="s">
        <v>3</v>
      </c>
      <c r="E868" s="1755">
        <v>23180.77</v>
      </c>
      <c r="F868" s="1864">
        <f t="shared" si="38"/>
        <v>92723.08</v>
      </c>
      <c r="G868" s="1547"/>
      <c r="H868" s="510"/>
    </row>
    <row r="869" spans="1:256">
      <c r="A869" s="1860">
        <v>3.8</v>
      </c>
      <c r="B869" s="1776" t="s">
        <v>1341</v>
      </c>
      <c r="C869" s="31">
        <v>2</v>
      </c>
      <c r="D869" s="713" t="s">
        <v>3</v>
      </c>
      <c r="E869" s="1755">
        <v>17593.939999999999</v>
      </c>
      <c r="F869" s="1864">
        <f t="shared" si="38"/>
        <v>35187.879999999997</v>
      </c>
      <c r="G869" s="1547"/>
      <c r="H869" s="510"/>
    </row>
    <row r="870" spans="1:256">
      <c r="A870" s="1860">
        <v>3.9</v>
      </c>
      <c r="B870" s="1776" t="s">
        <v>1342</v>
      </c>
      <c r="C870" s="31">
        <v>2</v>
      </c>
      <c r="D870" s="713" t="s">
        <v>3</v>
      </c>
      <c r="E870" s="1755">
        <v>17593.939999999999</v>
      </c>
      <c r="F870" s="1864">
        <f t="shared" si="38"/>
        <v>35187.879999999997</v>
      </c>
      <c r="G870" s="1547"/>
      <c r="H870" s="510"/>
    </row>
    <row r="871" spans="1:256">
      <c r="A871" s="1860">
        <v>3.1</v>
      </c>
      <c r="B871" s="1794" t="s">
        <v>1343</v>
      </c>
      <c r="C871" s="31">
        <v>2</v>
      </c>
      <c r="D871" s="713" t="s">
        <v>3</v>
      </c>
      <c r="E871" s="1755">
        <v>13483.62</v>
      </c>
      <c r="F871" s="1864">
        <f t="shared" si="38"/>
        <v>26967.24</v>
      </c>
      <c r="G871" s="1547"/>
      <c r="H871" s="510"/>
    </row>
    <row r="872" spans="1:256" ht="25.5">
      <c r="A872" s="1860">
        <v>3.11</v>
      </c>
      <c r="B872" s="853" t="s">
        <v>1344</v>
      </c>
      <c r="C872" s="31">
        <v>2</v>
      </c>
      <c r="D872" s="713" t="s">
        <v>3</v>
      </c>
      <c r="E872" s="1755">
        <v>2850.2</v>
      </c>
      <c r="F872" s="1864">
        <f t="shared" si="38"/>
        <v>5700.4</v>
      </c>
      <c r="G872" s="1547"/>
      <c r="H872" s="510"/>
    </row>
    <row r="873" spans="1:256">
      <c r="A873" s="1860">
        <v>3.12</v>
      </c>
      <c r="B873" s="1794" t="s">
        <v>1345</v>
      </c>
      <c r="C873" s="31">
        <v>2</v>
      </c>
      <c r="D873" s="713" t="s">
        <v>3</v>
      </c>
      <c r="E873" s="1755">
        <v>2360.64</v>
      </c>
      <c r="F873" s="1864">
        <f t="shared" si="38"/>
        <v>4721.28</v>
      </c>
      <c r="G873" s="1547"/>
      <c r="H873" s="510"/>
    </row>
    <row r="874" spans="1:256">
      <c r="A874" s="1868">
        <v>3.13</v>
      </c>
      <c r="B874" s="1837" t="s">
        <v>1346</v>
      </c>
      <c r="C874" s="1813">
        <v>3</v>
      </c>
      <c r="D874" s="1821" t="s">
        <v>3</v>
      </c>
      <c r="E874" s="1820">
        <v>649.94000000000005</v>
      </c>
      <c r="F874" s="1879">
        <f t="shared" si="38"/>
        <v>1949.82</v>
      </c>
      <c r="G874" s="1547"/>
      <c r="H874" s="510"/>
    </row>
    <row r="875" spans="1:256">
      <c r="A875" s="1860">
        <v>3.14</v>
      </c>
      <c r="B875" s="1794" t="s">
        <v>1347</v>
      </c>
      <c r="C875" s="31">
        <v>1</v>
      </c>
      <c r="D875" s="713" t="s">
        <v>3</v>
      </c>
      <c r="E875" s="1755">
        <v>7391.23</v>
      </c>
      <c r="F875" s="1864">
        <f t="shared" si="38"/>
        <v>7391.23</v>
      </c>
      <c r="G875" s="1547"/>
      <c r="H875" s="510"/>
    </row>
    <row r="876" spans="1:256">
      <c r="A876" s="1860">
        <v>3.15</v>
      </c>
      <c r="B876" s="1776" t="s">
        <v>1348</v>
      </c>
      <c r="C876" s="31">
        <v>2</v>
      </c>
      <c r="D876" s="713" t="s">
        <v>3</v>
      </c>
      <c r="E876" s="1755">
        <v>4957.25</v>
      </c>
      <c r="F876" s="1864">
        <f t="shared" si="38"/>
        <v>9914.5</v>
      </c>
      <c r="G876" s="1547"/>
      <c r="H876" s="510"/>
    </row>
    <row r="877" spans="1:256">
      <c r="A877" s="1860"/>
      <c r="B877" s="1776"/>
      <c r="C877" s="31"/>
      <c r="D877" s="713"/>
      <c r="E877" s="1755"/>
      <c r="F877" s="1864"/>
      <c r="G877" s="1547"/>
      <c r="H877" s="510"/>
    </row>
    <row r="878" spans="1:256">
      <c r="A878" s="1867">
        <v>4</v>
      </c>
      <c r="B878" s="1804" t="s">
        <v>1349</v>
      </c>
      <c r="C878" s="808"/>
      <c r="D878" s="1804"/>
      <c r="E878" s="1755"/>
      <c r="F878"/>
      <c r="G878" s="1754"/>
      <c r="H878" s="1846"/>
      <c r="I878" s="1754"/>
      <c r="J878" s="1846"/>
      <c r="K878" s="1754"/>
      <c r="L878" s="1846"/>
      <c r="M878" s="1803"/>
      <c r="N878" s="1737"/>
      <c r="O878" s="808"/>
      <c r="P878" s="1737"/>
      <c r="Q878" s="808"/>
      <c r="R878" s="1737"/>
      <c r="S878" s="808"/>
      <c r="T878" s="1737"/>
      <c r="U878" s="808"/>
      <c r="V878" s="1737"/>
      <c r="W878" s="808"/>
      <c r="X878" s="1737"/>
      <c r="Y878" s="808"/>
      <c r="Z878" s="1737"/>
      <c r="AA878" s="808"/>
      <c r="AB878" s="1737"/>
      <c r="AC878" s="808"/>
      <c r="AD878" s="1737"/>
      <c r="AE878" s="808"/>
      <c r="AF878" s="1737"/>
      <c r="AG878" s="808"/>
      <c r="AH878" s="1737"/>
      <c r="AI878" s="808"/>
      <c r="AJ878" s="1737"/>
      <c r="AK878" s="808"/>
      <c r="AL878" s="1737"/>
      <c r="AM878" s="808"/>
      <c r="AN878" s="1737"/>
      <c r="AO878" s="808"/>
      <c r="AP878" s="1737"/>
      <c r="AQ878" s="808"/>
      <c r="AR878" s="1737"/>
      <c r="AS878" s="808"/>
      <c r="AT878" s="1737"/>
      <c r="AU878" s="808"/>
      <c r="AV878" s="1737"/>
      <c r="AW878" s="808"/>
      <c r="AX878" s="1737"/>
      <c r="AY878" s="808"/>
      <c r="AZ878" s="1737"/>
      <c r="BA878" s="808"/>
      <c r="BB878" s="1737"/>
      <c r="BC878" s="808"/>
      <c r="BD878" s="1737"/>
      <c r="BE878" s="808"/>
      <c r="BF878" s="1737"/>
      <c r="BG878" s="808"/>
      <c r="BH878" s="1737"/>
      <c r="BI878" s="808"/>
      <c r="BJ878" s="1737"/>
      <c r="BK878" s="808"/>
      <c r="BL878" s="1737"/>
      <c r="BM878" s="808"/>
      <c r="BN878" s="1737"/>
      <c r="BO878" s="808"/>
      <c r="BP878" s="1737"/>
      <c r="BQ878" s="808"/>
      <c r="BR878" s="1737"/>
      <c r="BS878" s="808"/>
      <c r="BT878" s="1737"/>
      <c r="BU878" s="808"/>
      <c r="BV878" s="1737"/>
      <c r="BW878" s="808"/>
      <c r="BX878" s="1737"/>
      <c r="BY878" s="808"/>
      <c r="BZ878" s="1737"/>
      <c r="CA878" s="808"/>
      <c r="CB878" s="1737"/>
      <c r="CC878" s="808"/>
      <c r="CD878" s="1737"/>
      <c r="CE878" s="808"/>
      <c r="CF878" s="1737"/>
      <c r="CG878" s="808"/>
      <c r="CH878" s="1737"/>
      <c r="CI878" s="808"/>
      <c r="CJ878" s="1737"/>
      <c r="CK878" s="808"/>
      <c r="CL878" s="1737"/>
      <c r="CM878" s="808"/>
      <c r="CN878" s="1737"/>
      <c r="CO878" s="808"/>
      <c r="CP878" s="1737"/>
      <c r="CQ878" s="808"/>
      <c r="CR878" s="1737"/>
      <c r="CS878" s="808"/>
      <c r="CT878" s="1737"/>
      <c r="CU878" s="808"/>
      <c r="CV878" s="1737"/>
      <c r="CW878" s="808"/>
      <c r="CX878" s="1737"/>
      <c r="CY878" s="808"/>
      <c r="CZ878" s="1737"/>
      <c r="DA878" s="808"/>
      <c r="DB878" s="1737"/>
      <c r="DC878" s="808"/>
      <c r="DD878" s="1737"/>
      <c r="DE878" s="808"/>
      <c r="DF878" s="1737"/>
      <c r="DG878" s="808"/>
      <c r="DH878" s="1737"/>
      <c r="DI878" s="808"/>
      <c r="DJ878" s="1737"/>
      <c r="DK878" s="808"/>
      <c r="DL878" s="1737"/>
      <c r="DM878" s="808"/>
      <c r="DN878" s="1737"/>
      <c r="DO878" s="808"/>
      <c r="DP878" s="1737"/>
      <c r="DQ878" s="808"/>
      <c r="DR878" s="1737"/>
      <c r="DS878" s="808"/>
      <c r="DT878" s="1737"/>
      <c r="DU878" s="808"/>
      <c r="DV878" s="1737"/>
      <c r="DW878" s="808"/>
      <c r="DX878" s="1737"/>
      <c r="DY878" s="808"/>
      <c r="DZ878" s="1737"/>
      <c r="EA878" s="808"/>
      <c r="EB878" s="1737"/>
      <c r="EC878" s="808"/>
      <c r="ED878" s="1737"/>
      <c r="EE878" s="808"/>
      <c r="EF878" s="1737"/>
      <c r="EG878" s="808"/>
      <c r="EH878" s="1737"/>
      <c r="EI878" s="808"/>
      <c r="EJ878" s="1737"/>
      <c r="EK878" s="808"/>
      <c r="EL878" s="1737"/>
      <c r="EM878" s="808"/>
      <c r="EN878" s="1737"/>
      <c r="EO878" s="808"/>
      <c r="EP878" s="1737"/>
      <c r="EQ878" s="808"/>
      <c r="ER878" s="1737"/>
      <c r="ES878" s="808"/>
      <c r="ET878" s="1737"/>
      <c r="EU878" s="808"/>
      <c r="EV878" s="1737"/>
      <c r="EW878" s="808"/>
      <c r="EX878" s="1737"/>
      <c r="EY878" s="808"/>
      <c r="EZ878" s="1737"/>
      <c r="FA878" s="808"/>
      <c r="FB878" s="1737"/>
      <c r="FC878" s="808"/>
      <c r="FD878" s="1737"/>
      <c r="FE878" s="808"/>
      <c r="FF878" s="1737"/>
      <c r="FG878" s="808"/>
      <c r="FH878" s="1737"/>
      <c r="FI878" s="808"/>
      <c r="FJ878" s="1737"/>
      <c r="FK878" s="808"/>
      <c r="FL878" s="1737"/>
      <c r="FM878" s="808"/>
      <c r="FN878" s="1737"/>
      <c r="FO878" s="808"/>
      <c r="FP878" s="1737"/>
      <c r="FQ878" s="808"/>
      <c r="FR878" s="1737"/>
      <c r="FS878" s="808"/>
      <c r="FT878" s="1737"/>
      <c r="FU878" s="808"/>
      <c r="FV878" s="1737"/>
      <c r="FW878" s="808"/>
      <c r="FX878" s="1737"/>
      <c r="FY878" s="808"/>
      <c r="FZ878" s="1737"/>
      <c r="GA878" s="808"/>
      <c r="GB878" s="1737"/>
      <c r="GC878" s="808"/>
      <c r="GD878" s="1737"/>
      <c r="GE878" s="808"/>
      <c r="GF878" s="1737"/>
      <c r="GG878" s="808"/>
      <c r="GH878" s="1737"/>
      <c r="GI878" s="808"/>
      <c r="GJ878" s="1737"/>
      <c r="GK878" s="808"/>
      <c r="GL878" s="1737"/>
      <c r="GM878" s="808"/>
      <c r="GN878" s="1737"/>
      <c r="GO878" s="808"/>
      <c r="GP878" s="1737"/>
      <c r="GQ878" s="808"/>
      <c r="GR878" s="1737"/>
      <c r="GS878" s="808"/>
      <c r="GT878" s="1737"/>
      <c r="GU878" s="808"/>
      <c r="GV878" s="1737"/>
      <c r="GW878" s="808"/>
      <c r="GX878" s="1737"/>
      <c r="GY878" s="808"/>
      <c r="GZ878" s="1737"/>
      <c r="HA878" s="808"/>
      <c r="HB878" s="1737"/>
      <c r="HC878" s="808"/>
      <c r="HD878" s="1737"/>
      <c r="HE878" s="808"/>
      <c r="HF878" s="1737"/>
      <c r="HG878" s="808"/>
      <c r="HH878" s="1737"/>
      <c r="HI878" s="808"/>
      <c r="HJ878" s="1737"/>
      <c r="HK878" s="808"/>
      <c r="HL878" s="1737"/>
      <c r="HM878" s="808"/>
      <c r="HN878" s="1737"/>
      <c r="HO878" s="808"/>
      <c r="HP878" s="1737"/>
      <c r="HQ878" s="808"/>
      <c r="HR878" s="1737"/>
      <c r="HS878" s="808"/>
      <c r="HT878" s="1737"/>
      <c r="HU878" s="808"/>
      <c r="HV878" s="1737"/>
      <c r="HW878" s="808"/>
      <c r="HX878" s="1737"/>
      <c r="HY878" s="808"/>
      <c r="HZ878" s="1737"/>
      <c r="IA878" s="808"/>
      <c r="IB878" s="1737"/>
      <c r="IC878" s="808"/>
      <c r="ID878" s="1737"/>
      <c r="IE878" s="808"/>
      <c r="IF878" s="1737"/>
      <c r="IG878" s="808"/>
      <c r="IH878" s="1737"/>
      <c r="II878" s="808"/>
      <c r="IJ878" s="1737"/>
      <c r="IK878" s="808"/>
      <c r="IL878" s="1737"/>
      <c r="IM878" s="808"/>
      <c r="IN878" s="1737"/>
      <c r="IO878" s="808"/>
      <c r="IP878" s="1737"/>
      <c r="IQ878" s="808"/>
      <c r="IR878" s="1737"/>
      <c r="IS878" s="808"/>
      <c r="IT878" s="1737"/>
      <c r="IU878" s="808"/>
      <c r="IV878" s="1737"/>
    </row>
    <row r="879" spans="1:256">
      <c r="A879" s="1860">
        <v>4.0999999999999996</v>
      </c>
      <c r="B879" s="1794" t="s">
        <v>1350</v>
      </c>
      <c r="C879" s="31">
        <v>2</v>
      </c>
      <c r="D879" s="713" t="s">
        <v>3</v>
      </c>
      <c r="E879" s="1755">
        <v>1128.6400000000001</v>
      </c>
      <c r="F879" s="1864">
        <f>ROUND((C879*E879),2)</f>
        <v>2257.2800000000002</v>
      </c>
      <c r="G879" s="1547"/>
      <c r="H879" s="660"/>
      <c r="I879" s="510"/>
      <c r="J879" s="660"/>
    </row>
    <row r="880" spans="1:256">
      <c r="A880" s="1860">
        <v>4.2</v>
      </c>
      <c r="B880" s="1794" t="s">
        <v>1351</v>
      </c>
      <c r="C880" s="31">
        <v>1</v>
      </c>
      <c r="D880" s="713" t="s">
        <v>3</v>
      </c>
      <c r="E880" s="1755">
        <v>1494.35</v>
      </c>
      <c r="F880" s="1864">
        <f>ROUND((C880*E880),2)</f>
        <v>1494.35</v>
      </c>
      <c r="G880" s="1547"/>
      <c r="H880" s="660"/>
      <c r="I880" s="510"/>
      <c r="J880" s="660"/>
    </row>
    <row r="881" spans="1:256">
      <c r="A881" s="1860">
        <v>4.3</v>
      </c>
      <c r="B881" s="1794" t="s">
        <v>1352</v>
      </c>
      <c r="C881" s="31">
        <v>2</v>
      </c>
      <c r="D881" s="713" t="s">
        <v>3</v>
      </c>
      <c r="E881" s="1755">
        <v>1166.98</v>
      </c>
      <c r="F881" s="1864">
        <f>ROUND((C881*E881),2)</f>
        <v>2333.96</v>
      </c>
      <c r="G881" s="1547"/>
      <c r="H881" s="660"/>
      <c r="I881" s="510"/>
      <c r="J881" s="660"/>
    </row>
    <row r="882" spans="1:256" s="1539" customFormat="1" ht="16.5" customHeight="1">
      <c r="A882" s="1873"/>
      <c r="B882" s="1827" t="s">
        <v>1666</v>
      </c>
      <c r="C882" s="1827"/>
      <c r="D882" s="1827"/>
      <c r="E882" s="1828"/>
      <c r="F882" s="1874">
        <f>SUM(F833:F881)</f>
        <v>525903.66</v>
      </c>
      <c r="G882" s="1741"/>
    </row>
    <row r="883" spans="1:256">
      <c r="A883" s="1865"/>
      <c r="B883" s="522"/>
      <c r="C883" s="31"/>
      <c r="D883" s="713"/>
      <c r="E883" s="1755"/>
      <c r="F883" s="1864"/>
      <c r="G883" s="1741"/>
      <c r="H883" s="660"/>
      <c r="I883" s="510"/>
      <c r="J883" s="660"/>
    </row>
    <row r="884" spans="1:256">
      <c r="A884" t="s">
        <v>997</v>
      </c>
      <c r="B884" s="1804" t="s">
        <v>2283</v>
      </c>
      <c r="C884" s="808"/>
      <c r="D884" s="1804"/>
      <c r="E884" s="1755"/>
      <c r="F884">
        <f>C884*E884</f>
        <v>0</v>
      </c>
      <c r="G884" s="1754"/>
      <c r="H884" s="1846"/>
      <c r="I884" s="1754"/>
      <c r="J884" s="1846"/>
      <c r="K884" s="1754"/>
      <c r="L884" s="1846"/>
      <c r="M884" s="1803"/>
      <c r="N884" s="1737"/>
      <c r="O884" s="808"/>
      <c r="P884" s="1737"/>
      <c r="Q884" s="808"/>
      <c r="R884" s="1737"/>
      <c r="S884" s="808"/>
      <c r="T884" s="1737"/>
      <c r="U884" s="808"/>
      <c r="V884" s="1737"/>
      <c r="W884" s="808"/>
      <c r="X884" s="1737"/>
      <c r="Y884" s="808"/>
      <c r="Z884" s="1737"/>
      <c r="AA884" s="808"/>
      <c r="AB884" s="1737"/>
      <c r="AC884" s="808"/>
      <c r="AD884" s="1737"/>
      <c r="AE884" s="808"/>
      <c r="AF884" s="1737"/>
      <c r="AG884" s="808"/>
      <c r="AH884" s="1737"/>
      <c r="AI884" s="808"/>
      <c r="AJ884" s="1737"/>
      <c r="AK884" s="808"/>
      <c r="AL884" s="1737"/>
      <c r="AM884" s="808"/>
      <c r="AN884" s="1737"/>
      <c r="AO884" s="808"/>
      <c r="AP884" s="1737"/>
      <c r="AQ884" s="808"/>
      <c r="AR884" s="1737"/>
      <c r="AS884" s="808"/>
      <c r="AT884" s="1737"/>
      <c r="AU884" s="808"/>
      <c r="AV884" s="1737"/>
      <c r="AW884" s="808"/>
      <c r="AX884" s="1737"/>
      <c r="AY884" s="808"/>
      <c r="AZ884" s="1737"/>
      <c r="BA884" s="808"/>
      <c r="BB884" s="1737"/>
      <c r="BC884" s="808"/>
      <c r="BD884" s="1737"/>
      <c r="BE884" s="808"/>
      <c r="BF884" s="1737"/>
      <c r="BG884" s="808"/>
      <c r="BH884" s="1737"/>
      <c r="BI884" s="808"/>
      <c r="BJ884" s="1737"/>
      <c r="BK884" s="808"/>
      <c r="BL884" s="1737"/>
      <c r="BM884" s="808"/>
      <c r="BN884" s="1737"/>
      <c r="BO884" s="808"/>
      <c r="BP884" s="1737"/>
      <c r="BQ884" s="808"/>
      <c r="BR884" s="1737"/>
      <c r="BS884" s="808"/>
      <c r="BT884" s="1737"/>
      <c r="BU884" s="808"/>
      <c r="BV884" s="1737"/>
      <c r="BW884" s="808"/>
      <c r="BX884" s="1737"/>
      <c r="BY884" s="808"/>
      <c r="BZ884" s="1737"/>
      <c r="CA884" s="808"/>
      <c r="CB884" s="1737"/>
      <c r="CC884" s="808"/>
      <c r="CD884" s="1737"/>
      <c r="CE884" s="808"/>
      <c r="CF884" s="1737"/>
      <c r="CG884" s="808"/>
      <c r="CH884" s="1737"/>
      <c r="CI884" s="808"/>
      <c r="CJ884" s="1737"/>
      <c r="CK884" s="808"/>
      <c r="CL884" s="1737"/>
      <c r="CM884" s="808"/>
      <c r="CN884" s="1737"/>
      <c r="CO884" s="808"/>
      <c r="CP884" s="1737"/>
      <c r="CQ884" s="808"/>
      <c r="CR884" s="1737"/>
      <c r="CS884" s="808"/>
      <c r="CT884" s="1737"/>
      <c r="CU884" s="808"/>
      <c r="CV884" s="1737"/>
      <c r="CW884" s="808"/>
      <c r="CX884" s="1737"/>
      <c r="CY884" s="808"/>
      <c r="CZ884" s="1737"/>
      <c r="DA884" s="808"/>
      <c r="DB884" s="1737"/>
      <c r="DC884" s="808"/>
      <c r="DD884" s="1737"/>
      <c r="DE884" s="808"/>
      <c r="DF884" s="1737"/>
      <c r="DG884" s="808"/>
      <c r="DH884" s="1737"/>
      <c r="DI884" s="808"/>
      <c r="DJ884" s="1737"/>
      <c r="DK884" s="808"/>
      <c r="DL884" s="1737"/>
      <c r="DM884" s="808"/>
      <c r="DN884" s="1737"/>
      <c r="DO884" s="808"/>
      <c r="DP884" s="1737"/>
      <c r="DQ884" s="808"/>
      <c r="DR884" s="1737"/>
      <c r="DS884" s="808"/>
      <c r="DT884" s="1737"/>
      <c r="DU884" s="808"/>
      <c r="DV884" s="1737"/>
      <c r="DW884" s="808"/>
      <c r="DX884" s="1737"/>
      <c r="DY884" s="808"/>
      <c r="DZ884" s="1737"/>
      <c r="EA884" s="808"/>
      <c r="EB884" s="1737"/>
      <c r="EC884" s="808"/>
      <c r="ED884" s="1737"/>
      <c r="EE884" s="808"/>
      <c r="EF884" s="1737"/>
      <c r="EG884" s="808"/>
      <c r="EH884" s="1737"/>
      <c r="EI884" s="808"/>
      <c r="EJ884" s="1737"/>
      <c r="EK884" s="808"/>
      <c r="EL884" s="1737"/>
      <c r="EM884" s="808"/>
      <c r="EN884" s="1737"/>
      <c r="EO884" s="808"/>
      <c r="EP884" s="1737"/>
      <c r="EQ884" s="808"/>
      <c r="ER884" s="1737"/>
      <c r="ES884" s="808"/>
      <c r="ET884" s="1737"/>
      <c r="EU884" s="808"/>
      <c r="EV884" s="1737"/>
      <c r="EW884" s="808"/>
      <c r="EX884" s="1737"/>
      <c r="EY884" s="808"/>
      <c r="EZ884" s="1737"/>
      <c r="FA884" s="808"/>
      <c r="FB884" s="1737"/>
      <c r="FC884" s="808"/>
      <c r="FD884" s="1737"/>
      <c r="FE884" s="808"/>
      <c r="FF884" s="1737"/>
      <c r="FG884" s="808"/>
      <c r="FH884" s="1737"/>
      <c r="FI884" s="808"/>
      <c r="FJ884" s="1737"/>
      <c r="FK884" s="808"/>
      <c r="FL884" s="1737"/>
      <c r="FM884" s="808"/>
      <c r="FN884" s="1737"/>
      <c r="FO884" s="808"/>
      <c r="FP884" s="1737"/>
      <c r="FQ884" s="808"/>
      <c r="FR884" s="1737"/>
      <c r="FS884" s="808"/>
      <c r="FT884" s="1737"/>
      <c r="FU884" s="808"/>
      <c r="FV884" s="1737"/>
      <c r="FW884" s="808"/>
      <c r="FX884" s="1737"/>
      <c r="FY884" s="808"/>
      <c r="FZ884" s="1737"/>
      <c r="GA884" s="808"/>
      <c r="GB884" s="1737"/>
      <c r="GC884" s="808"/>
      <c r="GD884" s="1737"/>
      <c r="GE884" s="808"/>
      <c r="GF884" s="1737"/>
      <c r="GG884" s="808"/>
      <c r="GH884" s="1737"/>
      <c r="GI884" s="808"/>
      <c r="GJ884" s="1737"/>
      <c r="GK884" s="808"/>
      <c r="GL884" s="1737"/>
      <c r="GM884" s="808"/>
      <c r="GN884" s="1737"/>
      <c r="GO884" s="808"/>
      <c r="GP884" s="1737"/>
      <c r="GQ884" s="808"/>
      <c r="GR884" s="1737"/>
      <c r="GS884" s="808"/>
      <c r="GT884" s="1737"/>
      <c r="GU884" s="808"/>
      <c r="GV884" s="1737"/>
      <c r="GW884" s="808"/>
      <c r="GX884" s="1737"/>
      <c r="GY884" s="808"/>
      <c r="GZ884" s="1737"/>
      <c r="HA884" s="808"/>
      <c r="HB884" s="1737"/>
      <c r="HC884" s="808"/>
      <c r="HD884" s="1737"/>
      <c r="HE884" s="808"/>
      <c r="HF884" s="1737"/>
      <c r="HG884" s="808"/>
      <c r="HH884" s="1737"/>
      <c r="HI884" s="808"/>
      <c r="HJ884" s="1737"/>
      <c r="HK884" s="808"/>
      <c r="HL884" s="1737"/>
      <c r="HM884" s="808"/>
      <c r="HN884" s="1737"/>
      <c r="HO884" s="808"/>
      <c r="HP884" s="1737"/>
      <c r="HQ884" s="808"/>
      <c r="HR884" s="1737"/>
      <c r="HS884" s="808"/>
      <c r="HT884" s="1737"/>
      <c r="HU884" s="808"/>
      <c r="HV884" s="1737"/>
      <c r="HW884" s="808"/>
      <c r="HX884" s="1737"/>
      <c r="HY884" s="808"/>
      <c r="HZ884" s="1737"/>
      <c r="IA884" s="808"/>
      <c r="IB884" s="1737"/>
      <c r="IC884" s="808"/>
      <c r="ID884" s="1737"/>
      <c r="IE884" s="808"/>
      <c r="IF884" s="1737"/>
      <c r="IG884" s="808"/>
      <c r="IH884" s="1737"/>
      <c r="II884" s="808"/>
      <c r="IJ884" s="1737"/>
      <c r="IK884" s="808"/>
      <c r="IL884" s="1737"/>
      <c r="IM884" s="808"/>
      <c r="IN884" s="1737"/>
      <c r="IO884" s="808"/>
      <c r="IP884" s="1737"/>
      <c r="IQ884" s="808"/>
      <c r="IR884" s="1737"/>
      <c r="IS884" s="808"/>
      <c r="IT884" s="1737"/>
      <c r="IU884" s="808"/>
      <c r="IV884" s="1737"/>
    </row>
    <row r="885" spans="1:256">
      <c r="A885" s="1876"/>
      <c r="B885" s="425"/>
      <c r="C885" s="31"/>
      <c r="D885" s="713"/>
      <c r="E885" s="1755"/>
      <c r="F885" s="1864"/>
      <c r="G885" s="1741"/>
      <c r="H885" s="510"/>
    </row>
    <row r="886" spans="1:256">
      <c r="A886" s="1867">
        <v>1</v>
      </c>
      <c r="B886" s="1804" t="s">
        <v>1203</v>
      </c>
      <c r="C886" s="808"/>
      <c r="D886" s="1804"/>
      <c r="E886" s="1755"/>
      <c r="F886">
        <f>C886*E886</f>
        <v>0</v>
      </c>
      <c r="G886" s="1754"/>
      <c r="H886" s="1846"/>
      <c r="I886" s="1754"/>
      <c r="J886" s="1846"/>
      <c r="K886" s="1754"/>
      <c r="L886" s="1846"/>
      <c r="M886" s="1803"/>
      <c r="N886" s="1737"/>
      <c r="O886" s="808"/>
      <c r="P886" s="1737"/>
      <c r="Q886" s="808"/>
      <c r="R886" s="1737"/>
      <c r="S886" s="808"/>
      <c r="T886" s="1737"/>
      <c r="U886" s="808"/>
      <c r="V886" s="1737"/>
      <c r="W886" s="808"/>
      <c r="X886" s="1737"/>
      <c r="Y886" s="808"/>
      <c r="Z886" s="1737"/>
      <c r="AA886" s="808"/>
      <c r="AB886" s="1737"/>
      <c r="AC886" s="808"/>
      <c r="AD886" s="1737"/>
      <c r="AE886" s="808"/>
      <c r="AF886" s="1737"/>
      <c r="AG886" s="808"/>
      <c r="AH886" s="1737"/>
      <c r="AI886" s="808"/>
      <c r="AJ886" s="1737"/>
      <c r="AK886" s="808"/>
      <c r="AL886" s="1737"/>
      <c r="AM886" s="808"/>
      <c r="AN886" s="1737"/>
      <c r="AO886" s="808"/>
      <c r="AP886" s="1737"/>
      <c r="AQ886" s="808"/>
      <c r="AR886" s="1737"/>
      <c r="AS886" s="808"/>
      <c r="AT886" s="1737"/>
      <c r="AU886" s="808"/>
      <c r="AV886" s="1737"/>
      <c r="AW886" s="808"/>
      <c r="AX886" s="1737"/>
      <c r="AY886" s="808"/>
      <c r="AZ886" s="1737"/>
      <c r="BA886" s="808"/>
      <c r="BB886" s="1737"/>
      <c r="BC886" s="808"/>
      <c r="BD886" s="1737"/>
      <c r="BE886" s="808"/>
      <c r="BF886" s="1737"/>
      <c r="BG886" s="808"/>
      <c r="BH886" s="1737"/>
      <c r="BI886" s="808"/>
      <c r="BJ886" s="1737"/>
      <c r="BK886" s="808"/>
      <c r="BL886" s="1737"/>
      <c r="BM886" s="808"/>
      <c r="BN886" s="1737"/>
      <c r="BO886" s="808"/>
      <c r="BP886" s="1737"/>
      <c r="BQ886" s="808"/>
      <c r="BR886" s="1737"/>
      <c r="BS886" s="808"/>
      <c r="BT886" s="1737"/>
      <c r="BU886" s="808"/>
      <c r="BV886" s="1737"/>
      <c r="BW886" s="808"/>
      <c r="BX886" s="1737"/>
      <c r="BY886" s="808"/>
      <c r="BZ886" s="1737"/>
      <c r="CA886" s="808"/>
      <c r="CB886" s="1737"/>
      <c r="CC886" s="808"/>
      <c r="CD886" s="1737"/>
      <c r="CE886" s="808"/>
      <c r="CF886" s="1737"/>
      <c r="CG886" s="808"/>
      <c r="CH886" s="1737"/>
      <c r="CI886" s="808"/>
      <c r="CJ886" s="1737"/>
      <c r="CK886" s="808"/>
      <c r="CL886" s="1737"/>
      <c r="CM886" s="808"/>
      <c r="CN886" s="1737"/>
      <c r="CO886" s="808"/>
      <c r="CP886" s="1737"/>
      <c r="CQ886" s="808"/>
      <c r="CR886" s="1737"/>
      <c r="CS886" s="808"/>
      <c r="CT886" s="1737"/>
      <c r="CU886" s="808"/>
      <c r="CV886" s="1737"/>
      <c r="CW886" s="808"/>
      <c r="CX886" s="1737"/>
      <c r="CY886" s="808"/>
      <c r="CZ886" s="1737"/>
      <c r="DA886" s="808"/>
      <c r="DB886" s="1737"/>
      <c r="DC886" s="808"/>
      <c r="DD886" s="1737"/>
      <c r="DE886" s="808"/>
      <c r="DF886" s="1737"/>
      <c r="DG886" s="808"/>
      <c r="DH886" s="1737"/>
      <c r="DI886" s="808"/>
      <c r="DJ886" s="1737"/>
      <c r="DK886" s="808"/>
      <c r="DL886" s="1737"/>
      <c r="DM886" s="808"/>
      <c r="DN886" s="1737"/>
      <c r="DO886" s="808"/>
      <c r="DP886" s="1737"/>
      <c r="DQ886" s="808"/>
      <c r="DR886" s="1737"/>
      <c r="DS886" s="808"/>
      <c r="DT886" s="1737"/>
      <c r="DU886" s="808"/>
      <c r="DV886" s="1737"/>
      <c r="DW886" s="808"/>
      <c r="DX886" s="1737"/>
      <c r="DY886" s="808"/>
      <c r="DZ886" s="1737"/>
      <c r="EA886" s="808"/>
      <c r="EB886" s="1737"/>
      <c r="EC886" s="808"/>
      <c r="ED886" s="1737"/>
      <c r="EE886" s="808"/>
      <c r="EF886" s="1737"/>
      <c r="EG886" s="808"/>
      <c r="EH886" s="1737"/>
      <c r="EI886" s="808"/>
      <c r="EJ886" s="1737"/>
      <c r="EK886" s="808"/>
      <c r="EL886" s="1737"/>
      <c r="EM886" s="808"/>
      <c r="EN886" s="1737"/>
      <c r="EO886" s="808"/>
      <c r="EP886" s="1737"/>
      <c r="EQ886" s="808"/>
      <c r="ER886" s="1737"/>
      <c r="ES886" s="808"/>
      <c r="ET886" s="1737"/>
      <c r="EU886" s="808"/>
      <c r="EV886" s="1737"/>
      <c r="EW886" s="808"/>
      <c r="EX886" s="1737"/>
      <c r="EY886" s="808"/>
      <c r="EZ886" s="1737"/>
      <c r="FA886" s="808"/>
      <c r="FB886" s="1737"/>
      <c r="FC886" s="808"/>
      <c r="FD886" s="1737"/>
      <c r="FE886" s="808"/>
      <c r="FF886" s="1737"/>
      <c r="FG886" s="808"/>
      <c r="FH886" s="1737"/>
      <c r="FI886" s="808"/>
      <c r="FJ886" s="1737"/>
      <c r="FK886" s="808"/>
      <c r="FL886" s="1737"/>
      <c r="FM886" s="808"/>
      <c r="FN886" s="1737"/>
      <c r="FO886" s="808"/>
      <c r="FP886" s="1737"/>
      <c r="FQ886" s="808"/>
      <c r="FR886" s="1737"/>
      <c r="FS886" s="808"/>
      <c r="FT886" s="1737"/>
      <c r="FU886" s="808"/>
      <c r="FV886" s="1737"/>
      <c r="FW886" s="808"/>
      <c r="FX886" s="1737"/>
      <c r="FY886" s="808"/>
      <c r="FZ886" s="1737"/>
      <c r="GA886" s="808"/>
      <c r="GB886" s="1737"/>
      <c r="GC886" s="808"/>
      <c r="GD886" s="1737"/>
      <c r="GE886" s="808"/>
      <c r="GF886" s="1737"/>
      <c r="GG886" s="808"/>
      <c r="GH886" s="1737"/>
      <c r="GI886" s="808"/>
      <c r="GJ886" s="1737"/>
      <c r="GK886" s="808"/>
      <c r="GL886" s="1737"/>
      <c r="GM886" s="808"/>
      <c r="GN886" s="1737"/>
      <c r="GO886" s="808"/>
      <c r="GP886" s="1737"/>
      <c r="GQ886" s="808"/>
      <c r="GR886" s="1737"/>
      <c r="GS886" s="808"/>
      <c r="GT886" s="1737"/>
      <c r="GU886" s="808"/>
      <c r="GV886" s="1737"/>
      <c r="GW886" s="808"/>
      <c r="GX886" s="1737"/>
      <c r="GY886" s="808"/>
      <c r="GZ886" s="1737"/>
      <c r="HA886" s="808"/>
      <c r="HB886" s="1737"/>
      <c r="HC886" s="808"/>
      <c r="HD886" s="1737"/>
      <c r="HE886" s="808"/>
      <c r="HF886" s="1737"/>
      <c r="HG886" s="808"/>
      <c r="HH886" s="1737"/>
      <c r="HI886" s="808"/>
      <c r="HJ886" s="1737"/>
      <c r="HK886" s="808"/>
      <c r="HL886" s="1737"/>
      <c r="HM886" s="808"/>
      <c r="HN886" s="1737"/>
      <c r="HO886" s="808"/>
      <c r="HP886" s="1737"/>
      <c r="HQ886" s="808"/>
      <c r="HR886" s="1737"/>
      <c r="HS886" s="808"/>
      <c r="HT886" s="1737"/>
      <c r="HU886" s="808"/>
      <c r="HV886" s="1737"/>
      <c r="HW886" s="808"/>
      <c r="HX886" s="1737"/>
      <c r="HY886" s="808"/>
      <c r="HZ886" s="1737"/>
      <c r="IA886" s="808"/>
      <c r="IB886" s="1737"/>
      <c r="IC886" s="808"/>
      <c r="ID886" s="1737"/>
      <c r="IE886" s="808"/>
      <c r="IF886" s="1737"/>
      <c r="IG886" s="808"/>
      <c r="IH886" s="1737"/>
      <c r="II886" s="808"/>
      <c r="IJ886" s="1737"/>
      <c r="IK886" s="808"/>
      <c r="IL886" s="1737"/>
      <c r="IM886" s="808"/>
      <c r="IN886" s="1737"/>
      <c r="IO886" s="808"/>
      <c r="IP886" s="1737"/>
      <c r="IQ886" s="808"/>
      <c r="IR886" s="1737"/>
      <c r="IS886" s="808"/>
      <c r="IT886" s="1737"/>
      <c r="IU886" s="808"/>
      <c r="IV886" s="1737"/>
    </row>
    <row r="887" spans="1:256">
      <c r="A887" s="1860">
        <v>1.1000000000000001</v>
      </c>
      <c r="B887" s="425" t="s">
        <v>1204</v>
      </c>
      <c r="C887" s="31">
        <v>24.42</v>
      </c>
      <c r="D887" s="713" t="s">
        <v>2</v>
      </c>
      <c r="E887" s="1755">
        <v>85</v>
      </c>
      <c r="F887" s="1864">
        <f>C887*E887</f>
        <v>2075.6999999999998</v>
      </c>
      <c r="G887" s="1741"/>
    </row>
    <row r="888" spans="1:256">
      <c r="A888" s="1860">
        <v>1.2</v>
      </c>
      <c r="B888" s="425" t="s">
        <v>4</v>
      </c>
      <c r="C888" s="31">
        <v>2.2000000000000002</v>
      </c>
      <c r="D888" s="713" t="s">
        <v>2</v>
      </c>
      <c r="E888" s="1755">
        <v>1108.8900000000001</v>
      </c>
      <c r="F888" s="1864">
        <f>C888*E888</f>
        <v>2439.56</v>
      </c>
      <c r="G888" s="1741"/>
    </row>
    <row r="889" spans="1:256">
      <c r="A889" s="1860">
        <v>1.3</v>
      </c>
      <c r="B889" s="425" t="s">
        <v>1205</v>
      </c>
      <c r="C889" s="31">
        <v>0</v>
      </c>
      <c r="D889" s="713" t="s">
        <v>2</v>
      </c>
      <c r="E889" s="1755">
        <v>37</v>
      </c>
      <c r="F889" s="1864">
        <f>C889*E889</f>
        <v>0</v>
      </c>
      <c r="G889" s="1741"/>
    </row>
    <row r="890" spans="1:256">
      <c r="A890" s="1860"/>
      <c r="B890" s="425"/>
      <c r="C890" s="31"/>
      <c r="D890" s="713"/>
      <c r="E890" s="1755"/>
      <c r="F890" s="1864"/>
      <c r="G890" s="1741"/>
    </row>
    <row r="891" spans="1:256">
      <c r="A891" s="1867">
        <v>2</v>
      </c>
      <c r="B891" s="1804" t="s">
        <v>748</v>
      </c>
      <c r="C891" s="808"/>
      <c r="D891" s="1804"/>
      <c r="E891" s="1755"/>
      <c r="F891"/>
      <c r="G891" s="1754"/>
      <c r="H891" s="1846"/>
      <c r="I891" s="1754"/>
      <c r="J891" s="1846"/>
      <c r="K891" s="1754"/>
      <c r="L891" s="1846"/>
      <c r="M891" s="1803"/>
      <c r="N891" s="1737"/>
      <c r="O891" s="808"/>
      <c r="P891" s="1737"/>
      <c r="Q891" s="808"/>
      <c r="R891" s="1737"/>
      <c r="S891" s="808"/>
      <c r="T891" s="1737"/>
      <c r="U891" s="808"/>
      <c r="V891" s="1737"/>
      <c r="W891" s="808"/>
      <c r="X891" s="1737"/>
      <c r="Y891" s="808"/>
      <c r="Z891" s="1737"/>
      <c r="AA891" s="808"/>
      <c r="AB891" s="1737"/>
      <c r="AC891" s="808"/>
      <c r="AD891" s="1737"/>
      <c r="AE891" s="808"/>
      <c r="AF891" s="1737"/>
      <c r="AG891" s="808"/>
      <c r="AH891" s="1737"/>
      <c r="AI891" s="808"/>
      <c r="AJ891" s="1737"/>
      <c r="AK891" s="808"/>
      <c r="AL891" s="1737"/>
      <c r="AM891" s="808"/>
      <c r="AN891" s="1737"/>
      <c r="AO891" s="808"/>
      <c r="AP891" s="1737"/>
      <c r="AQ891" s="808"/>
      <c r="AR891" s="1737"/>
      <c r="AS891" s="808"/>
      <c r="AT891" s="1737"/>
      <c r="AU891" s="808"/>
      <c r="AV891" s="1737"/>
      <c r="AW891" s="808"/>
      <c r="AX891" s="1737"/>
      <c r="AY891" s="808"/>
      <c r="AZ891" s="1737"/>
      <c r="BA891" s="808"/>
      <c r="BB891" s="1737"/>
      <c r="BC891" s="808"/>
      <c r="BD891" s="1737"/>
      <c r="BE891" s="808"/>
      <c r="BF891" s="1737"/>
      <c r="BG891" s="808"/>
      <c r="BH891" s="1737"/>
      <c r="BI891" s="808"/>
      <c r="BJ891" s="1737"/>
      <c r="BK891" s="808"/>
      <c r="BL891" s="1737"/>
      <c r="BM891" s="808"/>
      <c r="BN891" s="1737"/>
      <c r="BO891" s="808"/>
      <c r="BP891" s="1737"/>
      <c r="BQ891" s="808"/>
      <c r="BR891" s="1737"/>
      <c r="BS891" s="808"/>
      <c r="BT891" s="1737"/>
      <c r="BU891" s="808"/>
      <c r="BV891" s="1737"/>
      <c r="BW891" s="808"/>
      <c r="BX891" s="1737"/>
      <c r="BY891" s="808"/>
      <c r="BZ891" s="1737"/>
      <c r="CA891" s="808"/>
      <c r="CB891" s="1737"/>
      <c r="CC891" s="808"/>
      <c r="CD891" s="1737"/>
      <c r="CE891" s="808"/>
      <c r="CF891" s="1737"/>
      <c r="CG891" s="808"/>
      <c r="CH891" s="1737"/>
      <c r="CI891" s="808"/>
      <c r="CJ891" s="1737"/>
      <c r="CK891" s="808"/>
      <c r="CL891" s="1737"/>
      <c r="CM891" s="808"/>
      <c r="CN891" s="1737"/>
      <c r="CO891" s="808"/>
      <c r="CP891" s="1737"/>
      <c r="CQ891" s="808"/>
      <c r="CR891" s="1737"/>
      <c r="CS891" s="808"/>
      <c r="CT891" s="1737"/>
      <c r="CU891" s="808"/>
      <c r="CV891" s="1737"/>
      <c r="CW891" s="808"/>
      <c r="CX891" s="1737"/>
      <c r="CY891" s="808"/>
      <c r="CZ891" s="1737"/>
      <c r="DA891" s="808"/>
      <c r="DB891" s="1737"/>
      <c r="DC891" s="808"/>
      <c r="DD891" s="1737"/>
      <c r="DE891" s="808"/>
      <c r="DF891" s="1737"/>
      <c r="DG891" s="808"/>
      <c r="DH891" s="1737"/>
      <c r="DI891" s="808"/>
      <c r="DJ891" s="1737"/>
      <c r="DK891" s="808"/>
      <c r="DL891" s="1737"/>
      <c r="DM891" s="808"/>
      <c r="DN891" s="1737"/>
      <c r="DO891" s="808"/>
      <c r="DP891" s="1737"/>
      <c r="DQ891" s="808"/>
      <c r="DR891" s="1737"/>
      <c r="DS891" s="808"/>
      <c r="DT891" s="1737"/>
      <c r="DU891" s="808"/>
      <c r="DV891" s="1737"/>
      <c r="DW891" s="808"/>
      <c r="DX891" s="1737"/>
      <c r="DY891" s="808"/>
      <c r="DZ891" s="1737"/>
      <c r="EA891" s="808"/>
      <c r="EB891" s="1737"/>
      <c r="EC891" s="808"/>
      <c r="ED891" s="1737"/>
      <c r="EE891" s="808"/>
      <c r="EF891" s="1737"/>
      <c r="EG891" s="808"/>
      <c r="EH891" s="1737"/>
      <c r="EI891" s="808"/>
      <c r="EJ891" s="1737"/>
      <c r="EK891" s="808"/>
      <c r="EL891" s="1737"/>
      <c r="EM891" s="808"/>
      <c r="EN891" s="1737"/>
      <c r="EO891" s="808"/>
      <c r="EP891" s="1737"/>
      <c r="EQ891" s="808"/>
      <c r="ER891" s="1737"/>
      <c r="ES891" s="808"/>
      <c r="ET891" s="1737"/>
      <c r="EU891" s="808"/>
      <c r="EV891" s="1737"/>
      <c r="EW891" s="808"/>
      <c r="EX891" s="1737"/>
      <c r="EY891" s="808"/>
      <c r="EZ891" s="1737"/>
      <c r="FA891" s="808"/>
      <c r="FB891" s="1737"/>
      <c r="FC891" s="808"/>
      <c r="FD891" s="1737"/>
      <c r="FE891" s="808"/>
      <c r="FF891" s="1737"/>
      <c r="FG891" s="808"/>
      <c r="FH891" s="1737"/>
      <c r="FI891" s="808"/>
      <c r="FJ891" s="1737"/>
      <c r="FK891" s="808"/>
      <c r="FL891" s="1737"/>
      <c r="FM891" s="808"/>
      <c r="FN891" s="1737"/>
      <c r="FO891" s="808"/>
      <c r="FP891" s="1737"/>
      <c r="FQ891" s="808"/>
      <c r="FR891" s="1737"/>
      <c r="FS891" s="808"/>
      <c r="FT891" s="1737"/>
      <c r="FU891" s="808"/>
      <c r="FV891" s="1737"/>
      <c r="FW891" s="808"/>
      <c r="FX891" s="1737"/>
      <c r="FY891" s="808"/>
      <c r="FZ891" s="1737"/>
      <c r="GA891" s="808"/>
      <c r="GB891" s="1737"/>
      <c r="GC891" s="808"/>
      <c r="GD891" s="1737"/>
      <c r="GE891" s="808"/>
      <c r="GF891" s="1737"/>
      <c r="GG891" s="808"/>
      <c r="GH891" s="1737"/>
      <c r="GI891" s="808"/>
      <c r="GJ891" s="1737"/>
      <c r="GK891" s="808"/>
      <c r="GL891" s="1737"/>
      <c r="GM891" s="808"/>
      <c r="GN891" s="1737"/>
      <c r="GO891" s="808"/>
      <c r="GP891" s="1737"/>
      <c r="GQ891" s="808"/>
      <c r="GR891" s="1737"/>
      <c r="GS891" s="808"/>
      <c r="GT891" s="1737"/>
      <c r="GU891" s="808"/>
      <c r="GV891" s="1737"/>
      <c r="GW891" s="808"/>
      <c r="GX891" s="1737"/>
      <c r="GY891" s="808"/>
      <c r="GZ891" s="1737"/>
      <c r="HA891" s="808"/>
      <c r="HB891" s="1737"/>
      <c r="HC891" s="808"/>
      <c r="HD891" s="1737"/>
      <c r="HE891" s="808"/>
      <c r="HF891" s="1737"/>
      <c r="HG891" s="808"/>
      <c r="HH891" s="1737"/>
      <c r="HI891" s="808"/>
      <c r="HJ891" s="1737"/>
      <c r="HK891" s="808"/>
      <c r="HL891" s="1737"/>
      <c r="HM891" s="808"/>
      <c r="HN891" s="1737"/>
      <c r="HO891" s="808"/>
      <c r="HP891" s="1737"/>
      <c r="HQ891" s="808"/>
      <c r="HR891" s="1737"/>
      <c r="HS891" s="808"/>
      <c r="HT891" s="1737"/>
      <c r="HU891" s="808"/>
      <c r="HV891" s="1737"/>
      <c r="HW891" s="808"/>
      <c r="HX891" s="1737"/>
      <c r="HY891" s="808"/>
      <c r="HZ891" s="1737"/>
      <c r="IA891" s="808"/>
      <c r="IB891" s="1737"/>
      <c r="IC891" s="808"/>
      <c r="ID891" s="1737"/>
      <c r="IE891" s="808"/>
      <c r="IF891" s="1737"/>
      <c r="IG891" s="808"/>
      <c r="IH891" s="1737"/>
      <c r="II891" s="808"/>
      <c r="IJ891" s="1737"/>
      <c r="IK891" s="808"/>
      <c r="IL891" s="1737"/>
      <c r="IM891" s="808"/>
      <c r="IN891" s="1737"/>
      <c r="IO891" s="808"/>
      <c r="IP891" s="1737"/>
      <c r="IQ891" s="808"/>
      <c r="IR891" s="1737"/>
      <c r="IS891" s="808"/>
      <c r="IT891" s="1737"/>
      <c r="IU891" s="808"/>
      <c r="IV891" s="1737"/>
    </row>
    <row r="892" spans="1:256" s="1739" customFormat="1">
      <c r="A892" s="1860">
        <v>2.1</v>
      </c>
      <c r="B892" s="1794" t="s">
        <v>1017</v>
      </c>
      <c r="C892" s="31">
        <v>1</v>
      </c>
      <c r="D892" s="713" t="s">
        <v>3</v>
      </c>
      <c r="E892" s="1755">
        <v>9500</v>
      </c>
      <c r="F892" s="1864">
        <f>ROUND((C892*E892),2)</f>
        <v>9500</v>
      </c>
      <c r="G892" s="1741"/>
      <c r="H892" s="842"/>
      <c r="I892" s="842"/>
      <c r="J892" s="842"/>
      <c r="K892" s="842"/>
      <c r="L892" s="842"/>
    </row>
    <row r="893" spans="1:256">
      <c r="A893" s="1860">
        <v>2.2000000000000002</v>
      </c>
      <c r="B893" s="1794" t="s">
        <v>1018</v>
      </c>
      <c r="C893" s="31">
        <v>1</v>
      </c>
      <c r="D893" s="713" t="s">
        <v>3</v>
      </c>
      <c r="E893" s="1755">
        <v>8500</v>
      </c>
      <c r="F893" s="1864">
        <f>ROUND((C893*E893),2)</f>
        <v>8500</v>
      </c>
      <c r="G893" s="1741"/>
    </row>
    <row r="894" spans="1:256">
      <c r="A894" s="1860">
        <v>2.2999999999999998</v>
      </c>
      <c r="B894" s="1794" t="s">
        <v>1019</v>
      </c>
      <c r="C894" s="31">
        <v>1</v>
      </c>
      <c r="D894" s="713" t="s">
        <v>3</v>
      </c>
      <c r="E894" s="1755">
        <v>8000</v>
      </c>
      <c r="F894" s="1864">
        <f>ROUND((C894*E894),2)</f>
        <v>8000</v>
      </c>
      <c r="G894" s="1741"/>
    </row>
    <row r="895" spans="1:256">
      <c r="A895" s="1860"/>
      <c r="B895" s="1794"/>
      <c r="C895" s="31"/>
      <c r="D895" s="713"/>
      <c r="E895" s="1755"/>
      <c r="F895" s="1864"/>
      <c r="G895" s="1741"/>
    </row>
    <row r="896" spans="1:256">
      <c r="A896" s="1860">
        <v>3</v>
      </c>
      <c r="B896" s="1794" t="s">
        <v>1021</v>
      </c>
      <c r="C896" s="31">
        <v>138.79</v>
      </c>
      <c r="D896" s="713" t="s">
        <v>11</v>
      </c>
      <c r="E896" s="1755">
        <v>115</v>
      </c>
      <c r="F896" s="1864">
        <f>ROUND((C896*E896),2)</f>
        <v>15960.85</v>
      </c>
      <c r="G896" s="1741"/>
    </row>
    <row r="897" spans="1:256" ht="7.5" customHeight="1">
      <c r="A897" s="1860"/>
      <c r="B897" s="1794"/>
      <c r="C897" s="31"/>
      <c r="D897" s="713"/>
      <c r="E897" s="1755"/>
      <c r="F897" s="1864"/>
      <c r="G897" s="1741"/>
    </row>
    <row r="898" spans="1:256">
      <c r="A898" s="1867">
        <v>4</v>
      </c>
      <c r="B898" s="1804" t="s">
        <v>2284</v>
      </c>
      <c r="C898" s="808"/>
      <c r="D898" s="1804"/>
      <c r="E898" s="1755"/>
      <c r="F898"/>
      <c r="G898" s="1754"/>
      <c r="H898" s="1846"/>
      <c r="I898" s="1754"/>
      <c r="J898" s="1846"/>
      <c r="K898" s="1754"/>
      <c r="L898" s="1846"/>
      <c r="M898" s="1803"/>
      <c r="N898" s="1737"/>
      <c r="O898" s="808"/>
      <c r="P898" s="1737"/>
      <c r="Q898" s="808"/>
      <c r="R898" s="1737"/>
      <c r="S898" s="808"/>
      <c r="T898" s="1737"/>
      <c r="U898" s="808"/>
      <c r="V898" s="1737"/>
      <c r="W898" s="808"/>
      <c r="X898" s="1737"/>
      <c r="Y898" s="808"/>
      <c r="Z898" s="1737"/>
      <c r="AA898" s="808"/>
      <c r="AB898" s="1737"/>
      <c r="AC898" s="808"/>
      <c r="AD898" s="1737"/>
      <c r="AE898" s="808"/>
      <c r="AF898" s="1737"/>
      <c r="AG898" s="808"/>
      <c r="AH898" s="1737"/>
      <c r="AI898" s="808"/>
      <c r="AJ898" s="1737"/>
      <c r="AK898" s="808"/>
      <c r="AL898" s="1737"/>
      <c r="AM898" s="808"/>
      <c r="AN898" s="1737"/>
      <c r="AO898" s="808"/>
      <c r="AP898" s="1737"/>
      <c r="AQ898" s="808"/>
      <c r="AR898" s="1737"/>
      <c r="AS898" s="808"/>
      <c r="AT898" s="1737"/>
      <c r="AU898" s="808"/>
      <c r="AV898" s="1737"/>
      <c r="AW898" s="808"/>
      <c r="AX898" s="1737"/>
      <c r="AY898" s="808"/>
      <c r="AZ898" s="1737"/>
      <c r="BA898" s="808"/>
      <c r="BB898" s="1737"/>
      <c r="BC898" s="808"/>
      <c r="BD898" s="1737"/>
      <c r="BE898" s="808"/>
      <c r="BF898" s="1737"/>
      <c r="BG898" s="808"/>
      <c r="BH898" s="1737"/>
      <c r="BI898" s="808"/>
      <c r="BJ898" s="1737"/>
      <c r="BK898" s="808"/>
      <c r="BL898" s="1737"/>
      <c r="BM898" s="808"/>
      <c r="BN898" s="1737"/>
      <c r="BO898" s="808"/>
      <c r="BP898" s="1737"/>
      <c r="BQ898" s="808"/>
      <c r="BR898" s="1737"/>
      <c r="BS898" s="808"/>
      <c r="BT898" s="1737"/>
      <c r="BU898" s="808"/>
      <c r="BV898" s="1737"/>
      <c r="BW898" s="808"/>
      <c r="BX898" s="1737"/>
      <c r="BY898" s="808"/>
      <c r="BZ898" s="1737"/>
      <c r="CA898" s="808"/>
      <c r="CB898" s="1737"/>
      <c r="CC898" s="808"/>
      <c r="CD898" s="1737"/>
      <c r="CE898" s="808"/>
      <c r="CF898" s="1737"/>
      <c r="CG898" s="808"/>
      <c r="CH898" s="1737"/>
      <c r="CI898" s="808"/>
      <c r="CJ898" s="1737"/>
      <c r="CK898" s="808"/>
      <c r="CL898" s="1737"/>
      <c r="CM898" s="808"/>
      <c r="CN898" s="1737"/>
      <c r="CO898" s="808"/>
      <c r="CP898" s="1737"/>
      <c r="CQ898" s="808"/>
      <c r="CR898" s="1737"/>
      <c r="CS898" s="808"/>
      <c r="CT898" s="1737"/>
      <c r="CU898" s="808"/>
      <c r="CV898" s="1737"/>
      <c r="CW898" s="808"/>
      <c r="CX898" s="1737"/>
      <c r="CY898" s="808"/>
      <c r="CZ898" s="1737"/>
      <c r="DA898" s="808"/>
      <c r="DB898" s="1737"/>
      <c r="DC898" s="808"/>
      <c r="DD898" s="1737"/>
      <c r="DE898" s="808"/>
      <c r="DF898" s="1737"/>
      <c r="DG898" s="808"/>
      <c r="DH898" s="1737"/>
      <c r="DI898" s="808"/>
      <c r="DJ898" s="1737"/>
      <c r="DK898" s="808"/>
      <c r="DL898" s="1737"/>
      <c r="DM898" s="808"/>
      <c r="DN898" s="1737"/>
      <c r="DO898" s="808"/>
      <c r="DP898" s="1737"/>
      <c r="DQ898" s="808"/>
      <c r="DR898" s="1737"/>
      <c r="DS898" s="808"/>
      <c r="DT898" s="1737"/>
      <c r="DU898" s="808"/>
      <c r="DV898" s="1737"/>
      <c r="DW898" s="808"/>
      <c r="DX898" s="1737"/>
      <c r="DY898" s="808"/>
      <c r="DZ898" s="1737"/>
      <c r="EA898" s="808"/>
      <c r="EB898" s="1737"/>
      <c r="EC898" s="808"/>
      <c r="ED898" s="1737"/>
      <c r="EE898" s="808"/>
      <c r="EF898" s="1737"/>
      <c r="EG898" s="808"/>
      <c r="EH898" s="1737"/>
      <c r="EI898" s="808"/>
      <c r="EJ898" s="1737"/>
      <c r="EK898" s="808"/>
      <c r="EL898" s="1737"/>
      <c r="EM898" s="808"/>
      <c r="EN898" s="1737"/>
      <c r="EO898" s="808"/>
      <c r="EP898" s="1737"/>
      <c r="EQ898" s="808"/>
      <c r="ER898" s="1737"/>
      <c r="ES898" s="808"/>
      <c r="ET898" s="1737"/>
      <c r="EU898" s="808"/>
      <c r="EV898" s="1737"/>
      <c r="EW898" s="808"/>
      <c r="EX898" s="1737"/>
      <c r="EY898" s="808"/>
      <c r="EZ898" s="1737"/>
      <c r="FA898" s="808"/>
      <c r="FB898" s="1737"/>
      <c r="FC898" s="808"/>
      <c r="FD898" s="1737"/>
      <c r="FE898" s="808"/>
      <c r="FF898" s="1737"/>
      <c r="FG898" s="808"/>
      <c r="FH898" s="1737"/>
      <c r="FI898" s="808"/>
      <c r="FJ898" s="1737"/>
      <c r="FK898" s="808"/>
      <c r="FL898" s="1737"/>
      <c r="FM898" s="808"/>
      <c r="FN898" s="1737"/>
      <c r="FO898" s="808"/>
      <c r="FP898" s="1737"/>
      <c r="FQ898" s="808"/>
      <c r="FR898" s="1737"/>
      <c r="FS898" s="808"/>
      <c r="FT898" s="1737"/>
      <c r="FU898" s="808"/>
      <c r="FV898" s="1737"/>
      <c r="FW898" s="808"/>
      <c r="FX898" s="1737"/>
      <c r="FY898" s="808"/>
      <c r="FZ898" s="1737"/>
      <c r="GA898" s="808"/>
      <c r="GB898" s="1737"/>
      <c r="GC898" s="808"/>
      <c r="GD898" s="1737"/>
      <c r="GE898" s="808"/>
      <c r="GF898" s="1737"/>
      <c r="GG898" s="808"/>
      <c r="GH898" s="1737"/>
      <c r="GI898" s="808"/>
      <c r="GJ898" s="1737"/>
      <c r="GK898" s="808"/>
      <c r="GL898" s="1737"/>
      <c r="GM898" s="808"/>
      <c r="GN898" s="1737"/>
      <c r="GO898" s="808"/>
      <c r="GP898" s="1737"/>
      <c r="GQ898" s="808"/>
      <c r="GR898" s="1737"/>
      <c r="GS898" s="808"/>
      <c r="GT898" s="1737"/>
      <c r="GU898" s="808"/>
      <c r="GV898" s="1737"/>
      <c r="GW898" s="808"/>
      <c r="GX898" s="1737"/>
      <c r="GY898" s="808"/>
      <c r="GZ898" s="1737"/>
      <c r="HA898" s="808"/>
      <c r="HB898" s="1737"/>
      <c r="HC898" s="808"/>
      <c r="HD898" s="1737"/>
      <c r="HE898" s="808"/>
      <c r="HF898" s="1737"/>
      <c r="HG898" s="808"/>
      <c r="HH898" s="1737"/>
      <c r="HI898" s="808"/>
      <c r="HJ898" s="1737"/>
      <c r="HK898" s="808"/>
      <c r="HL898" s="1737"/>
      <c r="HM898" s="808"/>
      <c r="HN898" s="1737"/>
      <c r="HO898" s="808"/>
      <c r="HP898" s="1737"/>
      <c r="HQ898" s="808"/>
      <c r="HR898" s="1737"/>
      <c r="HS898" s="808"/>
      <c r="HT898" s="1737"/>
      <c r="HU898" s="808"/>
      <c r="HV898" s="1737"/>
      <c r="HW898" s="808"/>
      <c r="HX898" s="1737"/>
      <c r="HY898" s="808"/>
      <c r="HZ898" s="1737"/>
      <c r="IA898" s="808"/>
      <c r="IB898" s="1737"/>
      <c r="IC898" s="808"/>
      <c r="ID898" s="1737"/>
      <c r="IE898" s="808"/>
      <c r="IF898" s="1737"/>
      <c r="IG898" s="808"/>
      <c r="IH898" s="1737"/>
      <c r="II898" s="808"/>
      <c r="IJ898" s="1737"/>
      <c r="IK898" s="808"/>
      <c r="IL898" s="1737"/>
      <c r="IM898" s="808"/>
      <c r="IN898" s="1737"/>
      <c r="IO898" s="808"/>
      <c r="IP898" s="1737"/>
      <c r="IQ898" s="808"/>
      <c r="IR898" s="1737"/>
      <c r="IS898" s="808"/>
      <c r="IT898" s="1737"/>
      <c r="IU898" s="808"/>
      <c r="IV898" s="1737"/>
    </row>
    <row r="899" spans="1:256" ht="4.5" customHeight="1">
      <c r="A899" s="1855"/>
      <c r="B899" s="1738"/>
      <c r="C899" s="31"/>
      <c r="D899" s="713"/>
      <c r="E899" s="1755"/>
      <c r="F899" s="1864"/>
      <c r="G899" s="1741"/>
    </row>
    <row r="900" spans="1:256">
      <c r="A900" s="1867">
        <v>4.0999999999999996</v>
      </c>
      <c r="B900" s="1804" t="s">
        <v>2285</v>
      </c>
      <c r="C900" s="808"/>
      <c r="D900" s="1804"/>
      <c r="E900" s="1755"/>
      <c r="F900"/>
      <c r="G900" s="1754"/>
      <c r="H900" s="1846"/>
      <c r="I900" s="1754"/>
      <c r="J900" s="1846"/>
      <c r="K900" s="1754"/>
      <c r="L900" s="1846"/>
      <c r="M900" s="1803"/>
      <c r="N900" s="1737"/>
      <c r="O900" s="808"/>
      <c r="P900" s="1737"/>
      <c r="Q900" s="808"/>
      <c r="R900" s="1737"/>
      <c r="S900" s="808"/>
      <c r="T900" s="1737"/>
      <c r="U900" s="808"/>
      <c r="V900" s="1737"/>
      <c r="W900" s="808"/>
      <c r="X900" s="1737"/>
      <c r="Y900" s="808"/>
      <c r="Z900" s="1737"/>
      <c r="AA900" s="808"/>
      <c r="AB900" s="1737"/>
      <c r="AC900" s="808"/>
      <c r="AD900" s="1737"/>
      <c r="AE900" s="808"/>
      <c r="AF900" s="1737"/>
      <c r="AG900" s="808"/>
      <c r="AH900" s="1737"/>
      <c r="AI900" s="808"/>
      <c r="AJ900" s="1737"/>
      <c r="AK900" s="808"/>
      <c r="AL900" s="1737"/>
      <c r="AM900" s="808"/>
      <c r="AN900" s="1737"/>
      <c r="AO900" s="808"/>
      <c r="AP900" s="1737"/>
      <c r="AQ900" s="808"/>
      <c r="AR900" s="1737"/>
      <c r="AS900" s="808"/>
      <c r="AT900" s="1737"/>
      <c r="AU900" s="808"/>
      <c r="AV900" s="1737"/>
      <c r="AW900" s="808"/>
      <c r="AX900" s="1737"/>
      <c r="AY900" s="808"/>
      <c r="AZ900" s="1737"/>
      <c r="BA900" s="808"/>
      <c r="BB900" s="1737"/>
      <c r="BC900" s="808"/>
      <c r="BD900" s="1737"/>
      <c r="BE900" s="808"/>
      <c r="BF900" s="1737"/>
      <c r="BG900" s="808"/>
      <c r="BH900" s="1737"/>
      <c r="BI900" s="808"/>
      <c r="BJ900" s="1737"/>
      <c r="BK900" s="808"/>
      <c r="BL900" s="1737"/>
      <c r="BM900" s="808"/>
      <c r="BN900" s="1737"/>
      <c r="BO900" s="808"/>
      <c r="BP900" s="1737"/>
      <c r="BQ900" s="808"/>
      <c r="BR900" s="1737"/>
      <c r="BS900" s="808"/>
      <c r="BT900" s="1737"/>
      <c r="BU900" s="808"/>
      <c r="BV900" s="1737"/>
      <c r="BW900" s="808"/>
      <c r="BX900" s="1737"/>
      <c r="BY900" s="808"/>
      <c r="BZ900" s="1737"/>
      <c r="CA900" s="808"/>
      <c r="CB900" s="1737"/>
      <c r="CC900" s="808"/>
      <c r="CD900" s="1737"/>
      <c r="CE900" s="808"/>
      <c r="CF900" s="1737"/>
      <c r="CG900" s="808"/>
      <c r="CH900" s="1737"/>
      <c r="CI900" s="808"/>
      <c r="CJ900" s="1737"/>
      <c r="CK900" s="808"/>
      <c r="CL900" s="1737"/>
      <c r="CM900" s="808"/>
      <c r="CN900" s="1737"/>
      <c r="CO900" s="808"/>
      <c r="CP900" s="1737"/>
      <c r="CQ900" s="808"/>
      <c r="CR900" s="1737"/>
      <c r="CS900" s="808"/>
      <c r="CT900" s="1737"/>
      <c r="CU900" s="808"/>
      <c r="CV900" s="1737"/>
      <c r="CW900" s="808"/>
      <c r="CX900" s="1737"/>
      <c r="CY900" s="808"/>
      <c r="CZ900" s="1737"/>
      <c r="DA900" s="808"/>
      <c r="DB900" s="1737"/>
      <c r="DC900" s="808"/>
      <c r="DD900" s="1737"/>
      <c r="DE900" s="808"/>
      <c r="DF900" s="1737"/>
      <c r="DG900" s="808"/>
      <c r="DH900" s="1737"/>
      <c r="DI900" s="808"/>
      <c r="DJ900" s="1737"/>
      <c r="DK900" s="808"/>
      <c r="DL900" s="1737"/>
      <c r="DM900" s="808"/>
      <c r="DN900" s="1737"/>
      <c r="DO900" s="808"/>
      <c r="DP900" s="1737"/>
      <c r="DQ900" s="808"/>
      <c r="DR900" s="1737"/>
      <c r="DS900" s="808"/>
      <c r="DT900" s="1737"/>
      <c r="DU900" s="808"/>
      <c r="DV900" s="1737"/>
      <c r="DW900" s="808"/>
      <c r="DX900" s="1737"/>
      <c r="DY900" s="808"/>
      <c r="DZ900" s="1737"/>
      <c r="EA900" s="808"/>
      <c r="EB900" s="1737"/>
      <c r="EC900" s="808"/>
      <c r="ED900" s="1737"/>
      <c r="EE900" s="808"/>
      <c r="EF900" s="1737"/>
      <c r="EG900" s="808"/>
      <c r="EH900" s="1737"/>
      <c r="EI900" s="808"/>
      <c r="EJ900" s="1737"/>
      <c r="EK900" s="808"/>
      <c r="EL900" s="1737"/>
      <c r="EM900" s="808"/>
      <c r="EN900" s="1737"/>
      <c r="EO900" s="808"/>
      <c r="EP900" s="1737"/>
      <c r="EQ900" s="808"/>
      <c r="ER900" s="1737"/>
      <c r="ES900" s="808"/>
      <c r="ET900" s="1737"/>
      <c r="EU900" s="808"/>
      <c r="EV900" s="1737"/>
      <c r="EW900" s="808"/>
      <c r="EX900" s="1737"/>
      <c r="EY900" s="808"/>
      <c r="EZ900" s="1737"/>
      <c r="FA900" s="808"/>
      <c r="FB900" s="1737"/>
      <c r="FC900" s="808"/>
      <c r="FD900" s="1737"/>
      <c r="FE900" s="808"/>
      <c r="FF900" s="1737"/>
      <c r="FG900" s="808"/>
      <c r="FH900" s="1737"/>
      <c r="FI900" s="808"/>
      <c r="FJ900" s="1737"/>
      <c r="FK900" s="808"/>
      <c r="FL900" s="1737"/>
      <c r="FM900" s="808"/>
      <c r="FN900" s="1737"/>
      <c r="FO900" s="808"/>
      <c r="FP900" s="1737"/>
      <c r="FQ900" s="808"/>
      <c r="FR900" s="1737"/>
      <c r="FS900" s="808"/>
      <c r="FT900" s="1737"/>
      <c r="FU900" s="808"/>
      <c r="FV900" s="1737"/>
      <c r="FW900" s="808"/>
      <c r="FX900" s="1737"/>
      <c r="FY900" s="808"/>
      <c r="FZ900" s="1737"/>
      <c r="GA900" s="808"/>
      <c r="GB900" s="1737"/>
      <c r="GC900" s="808"/>
      <c r="GD900" s="1737"/>
      <c r="GE900" s="808"/>
      <c r="GF900" s="1737"/>
      <c r="GG900" s="808"/>
      <c r="GH900" s="1737"/>
      <c r="GI900" s="808"/>
      <c r="GJ900" s="1737"/>
      <c r="GK900" s="808"/>
      <c r="GL900" s="1737"/>
      <c r="GM900" s="808"/>
      <c r="GN900" s="1737"/>
      <c r="GO900" s="808"/>
      <c r="GP900" s="1737"/>
      <c r="GQ900" s="808"/>
      <c r="GR900" s="1737"/>
      <c r="GS900" s="808"/>
      <c r="GT900" s="1737"/>
      <c r="GU900" s="808"/>
      <c r="GV900" s="1737"/>
      <c r="GW900" s="808"/>
      <c r="GX900" s="1737"/>
      <c r="GY900" s="808"/>
      <c r="GZ900" s="1737"/>
      <c r="HA900" s="808"/>
      <c r="HB900" s="1737"/>
      <c r="HC900" s="808"/>
      <c r="HD900" s="1737"/>
      <c r="HE900" s="808"/>
      <c r="HF900" s="1737"/>
      <c r="HG900" s="808"/>
      <c r="HH900" s="1737"/>
      <c r="HI900" s="808"/>
      <c r="HJ900" s="1737"/>
      <c r="HK900" s="808"/>
      <c r="HL900" s="1737"/>
      <c r="HM900" s="808"/>
      <c r="HN900" s="1737"/>
      <c r="HO900" s="808"/>
      <c r="HP900" s="1737"/>
      <c r="HQ900" s="808"/>
      <c r="HR900" s="1737"/>
      <c r="HS900" s="808"/>
      <c r="HT900" s="1737"/>
      <c r="HU900" s="808"/>
      <c r="HV900" s="1737"/>
      <c r="HW900" s="808"/>
      <c r="HX900" s="1737"/>
      <c r="HY900" s="808"/>
      <c r="HZ900" s="1737"/>
      <c r="IA900" s="808"/>
      <c r="IB900" s="1737"/>
      <c r="IC900" s="808"/>
      <c r="ID900" s="1737"/>
      <c r="IE900" s="808"/>
      <c r="IF900" s="1737"/>
      <c r="IG900" s="808"/>
      <c r="IH900" s="1737"/>
      <c r="II900" s="808"/>
      <c r="IJ900" s="1737"/>
      <c r="IK900" s="808"/>
      <c r="IL900" s="1737"/>
      <c r="IM900" s="808"/>
      <c r="IN900" s="1737"/>
      <c r="IO900" s="808"/>
      <c r="IP900" s="1737"/>
      <c r="IQ900" s="808"/>
      <c r="IR900" s="1737"/>
      <c r="IS900" s="808"/>
      <c r="IT900" s="1737"/>
      <c r="IU900" s="808"/>
      <c r="IV900" s="1737"/>
    </row>
    <row r="901" spans="1:256">
      <c r="A901" s="1896" t="s">
        <v>592</v>
      </c>
      <c r="B901" s="1736" t="s">
        <v>2328</v>
      </c>
      <c r="C901" s="31">
        <v>252.28</v>
      </c>
      <c r="D901" s="713" t="s">
        <v>2</v>
      </c>
      <c r="E901" s="1755">
        <v>154.52000000000001</v>
      </c>
      <c r="F901" s="1864">
        <f t="shared" ref="F901:F913" si="39">ROUND(C901*E901,2)</f>
        <v>38982.31</v>
      </c>
      <c r="G901" s="1741"/>
    </row>
    <row r="902" spans="1:256">
      <c r="A902" s="1896" t="s">
        <v>594</v>
      </c>
      <c r="B902" s="1736" t="s">
        <v>2286</v>
      </c>
      <c r="C902" s="31">
        <v>315.36</v>
      </c>
      <c r="D902" s="713" t="s">
        <v>2</v>
      </c>
      <c r="E902" s="1755">
        <v>210</v>
      </c>
      <c r="F902" s="1864">
        <f t="shared" si="39"/>
        <v>66225.600000000006</v>
      </c>
      <c r="G902" s="1741"/>
    </row>
    <row r="903" spans="1:256">
      <c r="A903" s="1896" t="s">
        <v>596</v>
      </c>
      <c r="B903" s="1736" t="s">
        <v>2287</v>
      </c>
      <c r="C903" s="31">
        <v>315.36</v>
      </c>
      <c r="D903" s="713" t="s">
        <v>2</v>
      </c>
      <c r="E903" s="1755">
        <v>950</v>
      </c>
      <c r="F903" s="1864">
        <f t="shared" si="39"/>
        <v>299592</v>
      </c>
      <c r="G903" s="1741"/>
    </row>
    <row r="904" spans="1:256" ht="25.5">
      <c r="A904" s="1896" t="s">
        <v>598</v>
      </c>
      <c r="B904" s="1736" t="s">
        <v>2288</v>
      </c>
      <c r="C904" s="31">
        <v>299.58999999999997</v>
      </c>
      <c r="D904" s="713" t="s">
        <v>2</v>
      </c>
      <c r="E904" s="1755">
        <v>183.5</v>
      </c>
      <c r="F904" s="1864">
        <f t="shared" si="39"/>
        <v>54974.77</v>
      </c>
      <c r="G904" s="1741"/>
    </row>
    <row r="905" spans="1:256">
      <c r="A905" s="1896" t="s">
        <v>2299</v>
      </c>
      <c r="B905" s="1736" t="s">
        <v>2289</v>
      </c>
      <c r="C905" s="31">
        <v>1261.42</v>
      </c>
      <c r="D905" s="713" t="s">
        <v>11</v>
      </c>
      <c r="E905" s="1755">
        <v>116.79</v>
      </c>
      <c r="F905" s="1864">
        <f t="shared" si="39"/>
        <v>147321.24</v>
      </c>
      <c r="G905" s="1741"/>
    </row>
    <row r="906" spans="1:256">
      <c r="A906" s="1896" t="s">
        <v>2300</v>
      </c>
      <c r="B906" s="1736" t="s">
        <v>2290</v>
      </c>
      <c r="C906" s="31">
        <v>1261.42</v>
      </c>
      <c r="D906" s="713" t="s">
        <v>11</v>
      </c>
      <c r="E906" s="1755">
        <v>33.5</v>
      </c>
      <c r="F906" s="1864">
        <f t="shared" si="39"/>
        <v>42257.57</v>
      </c>
      <c r="G906" s="1741"/>
    </row>
    <row r="907" spans="1:256">
      <c r="A907" s="1896" t="s">
        <v>2301</v>
      </c>
      <c r="B907" s="1736" t="s">
        <v>2291</v>
      </c>
      <c r="C907" s="31">
        <v>78.84</v>
      </c>
      <c r="D907" s="713" t="s">
        <v>2</v>
      </c>
      <c r="E907" s="1755">
        <v>8200</v>
      </c>
      <c r="F907" s="1864">
        <f t="shared" si="39"/>
        <v>646488</v>
      </c>
      <c r="G907" s="1741"/>
    </row>
    <row r="908" spans="1:256">
      <c r="A908" s="1896" t="s">
        <v>2302</v>
      </c>
      <c r="B908" s="1736" t="s">
        <v>2292</v>
      </c>
      <c r="C908" s="31">
        <v>63.07</v>
      </c>
      <c r="D908" s="713" t="s">
        <v>2293</v>
      </c>
      <c r="E908" s="1755">
        <v>825</v>
      </c>
      <c r="F908" s="1864">
        <f t="shared" si="39"/>
        <v>52032.75</v>
      </c>
      <c r="G908" s="1741"/>
    </row>
    <row r="909" spans="1:256">
      <c r="A909" s="1896" t="s">
        <v>2303</v>
      </c>
      <c r="B909" s="1736" t="s">
        <v>2294</v>
      </c>
      <c r="C909" s="31">
        <v>4730.33</v>
      </c>
      <c r="D909" s="713" t="s">
        <v>2295</v>
      </c>
      <c r="E909" s="1755">
        <v>22.5</v>
      </c>
      <c r="F909" s="1864">
        <f t="shared" si="39"/>
        <v>106432.43</v>
      </c>
      <c r="G909" s="1741"/>
    </row>
    <row r="910" spans="1:256">
      <c r="A910" s="1855"/>
      <c r="B910" s="829"/>
      <c r="C910" s="31"/>
      <c r="D910" s="713"/>
      <c r="E910" s="1755"/>
      <c r="F910" s="1864"/>
      <c r="G910" s="1741"/>
    </row>
    <row r="911" spans="1:256">
      <c r="A911">
        <v>5</v>
      </c>
      <c r="B911" s="1736" t="s">
        <v>2296</v>
      </c>
      <c r="C911" s="31">
        <v>35.71</v>
      </c>
      <c r="D911" s="713" t="s">
        <v>11</v>
      </c>
      <c r="E911" s="1755">
        <v>777.08</v>
      </c>
      <c r="F911" s="1864">
        <f t="shared" si="39"/>
        <v>27749.53</v>
      </c>
      <c r="G911" s="1741"/>
    </row>
    <row r="912" spans="1:256">
      <c r="A912">
        <v>6</v>
      </c>
      <c r="B912" s="1736" t="s">
        <v>2298</v>
      </c>
      <c r="C912" s="31">
        <v>341.07</v>
      </c>
      <c r="D912" s="713" t="s">
        <v>11</v>
      </c>
      <c r="E912" s="1755">
        <v>785.55</v>
      </c>
      <c r="F912" s="1864">
        <f t="shared" si="39"/>
        <v>267927.53999999998</v>
      </c>
      <c r="G912" s="1741"/>
    </row>
    <row r="913" spans="1:256">
      <c r="A913">
        <v>7</v>
      </c>
      <c r="B913" s="1736" t="s">
        <v>2297</v>
      </c>
      <c r="C913" s="31">
        <v>394.52</v>
      </c>
      <c r="D913" s="713" t="s">
        <v>1</v>
      </c>
      <c r="E913" s="1755">
        <v>745.5</v>
      </c>
      <c r="F913" s="1864">
        <f t="shared" si="39"/>
        <v>294114.65999999997</v>
      </c>
      <c r="G913" s="1741"/>
    </row>
    <row r="914" spans="1:256">
      <c r="A914" s="1860"/>
      <c r="B914" s="1794"/>
      <c r="C914" s="31"/>
      <c r="D914" s="713"/>
      <c r="E914" s="1755"/>
      <c r="F914" s="1864"/>
      <c r="G914" s="1741"/>
    </row>
    <row r="915" spans="1:256">
      <c r="A915" s="1860">
        <v>8</v>
      </c>
      <c r="B915" s="1794" t="s">
        <v>979</v>
      </c>
      <c r="C915" s="31">
        <v>1</v>
      </c>
      <c r="D915" s="713" t="s">
        <v>3</v>
      </c>
      <c r="E915" s="1755">
        <v>17500</v>
      </c>
      <c r="F915" s="1864">
        <f>ROUND((C915*E915),2)</f>
        <v>17500</v>
      </c>
      <c r="G915" s="1741"/>
    </row>
    <row r="916" spans="1:256">
      <c r="A916" s="1860">
        <v>9</v>
      </c>
      <c r="B916" s="1794" t="s">
        <v>1022</v>
      </c>
      <c r="C916" s="31">
        <v>11</v>
      </c>
      <c r="D916" s="713" t="s">
        <v>42</v>
      </c>
      <c r="E916" s="1755">
        <v>55000</v>
      </c>
      <c r="F916" s="1864">
        <f>ROUND((C916*E916),2)</f>
        <v>605000</v>
      </c>
      <c r="G916" s="1741"/>
    </row>
    <row r="917" spans="1:256">
      <c r="A917" s="1860">
        <v>10</v>
      </c>
      <c r="B917" s="1794" t="s">
        <v>1023</v>
      </c>
      <c r="C917" s="31">
        <v>1</v>
      </c>
      <c r="D917" s="713" t="s">
        <v>42</v>
      </c>
      <c r="E917" s="1755">
        <v>12000</v>
      </c>
      <c r="F917" s="1864">
        <f>ROUND((C917*E917),2)</f>
        <v>12000</v>
      </c>
      <c r="G917" s="1741"/>
    </row>
    <row r="918" spans="1:256">
      <c r="A918" s="1860">
        <v>11</v>
      </c>
      <c r="B918" s="1794" t="s">
        <v>1024</v>
      </c>
      <c r="C918" s="31">
        <v>1</v>
      </c>
      <c r="D918" s="713" t="s">
        <v>3</v>
      </c>
      <c r="E918" s="1755">
        <v>15075</v>
      </c>
      <c r="F918" s="1864">
        <f>ROUND(C918*E918,2)</f>
        <v>15075</v>
      </c>
      <c r="G918" s="1741"/>
    </row>
    <row r="919" spans="1:256" s="1539" customFormat="1" ht="16.5" customHeight="1">
      <c r="A919"/>
      <c r="B919" s="1835" t="s">
        <v>2329</v>
      </c>
      <c r="C919" s="1835"/>
      <c r="D919" s="1835"/>
      <c r="E919" s="1836"/>
      <c r="F919">
        <f>SUM(F886:F918)</f>
        <v>2740149.51</v>
      </c>
      <c r="G919" s="1741"/>
    </row>
    <row r="920" spans="1:256">
      <c r="A920" s="1860"/>
      <c r="B920" s="28"/>
      <c r="C920" s="31"/>
      <c r="D920" s="713"/>
      <c r="E920" s="1794"/>
      <c r="F920" s="1864"/>
      <c r="G920" s="510"/>
    </row>
    <row r="921" spans="1:256" ht="38.25">
      <c r="A921" t="s">
        <v>546</v>
      </c>
      <c r="B921" s="1807" t="s">
        <v>2267</v>
      </c>
      <c r="C921" s="808"/>
      <c r="D921" s="1804"/>
      <c r="E921" s="1755"/>
      <c r="F921"/>
      <c r="G921" s="1754"/>
      <c r="H921" s="1846"/>
      <c r="I921" s="1754"/>
      <c r="J921" s="1846"/>
      <c r="K921" s="1754"/>
      <c r="L921" s="1846"/>
      <c r="M921" s="1803"/>
      <c r="N921" s="1737"/>
      <c r="O921" s="808"/>
      <c r="P921" s="1737"/>
      <c r="Q921" s="808"/>
      <c r="R921" s="1737"/>
      <c r="S921" s="808"/>
      <c r="T921" s="1737"/>
      <c r="U921" s="808"/>
      <c r="V921" s="1737"/>
      <c r="W921" s="808"/>
      <c r="X921" s="1737"/>
      <c r="Y921" s="808"/>
      <c r="Z921" s="1737"/>
      <c r="AA921" s="808"/>
      <c r="AB921" s="1737"/>
      <c r="AC921" s="808"/>
      <c r="AD921" s="1737"/>
      <c r="AE921" s="808"/>
      <c r="AF921" s="1737"/>
      <c r="AG921" s="808"/>
      <c r="AH921" s="1737"/>
      <c r="AI921" s="808"/>
      <c r="AJ921" s="1737"/>
      <c r="AK921" s="808"/>
      <c r="AL921" s="1737"/>
      <c r="AM921" s="808"/>
      <c r="AN921" s="1737"/>
      <c r="AO921" s="808"/>
      <c r="AP921" s="1737"/>
      <c r="AQ921" s="808"/>
      <c r="AR921" s="1737"/>
      <c r="AS921" s="808"/>
      <c r="AT921" s="1737"/>
      <c r="AU921" s="808"/>
      <c r="AV921" s="1737"/>
      <c r="AW921" s="808"/>
      <c r="AX921" s="1737"/>
      <c r="AY921" s="808"/>
      <c r="AZ921" s="1737"/>
      <c r="BA921" s="808"/>
      <c r="BB921" s="1737"/>
      <c r="BC921" s="808"/>
      <c r="BD921" s="1737"/>
      <c r="BE921" s="808"/>
      <c r="BF921" s="1737"/>
      <c r="BG921" s="808"/>
      <c r="BH921" s="1737"/>
      <c r="BI921" s="808"/>
      <c r="BJ921" s="1737"/>
      <c r="BK921" s="808"/>
      <c r="BL921" s="1737"/>
      <c r="BM921" s="808"/>
      <c r="BN921" s="1737"/>
      <c r="BO921" s="808"/>
      <c r="BP921" s="1737"/>
      <c r="BQ921" s="808"/>
      <c r="BR921" s="1737"/>
      <c r="BS921" s="808"/>
      <c r="BT921" s="1737"/>
      <c r="BU921" s="808"/>
      <c r="BV921" s="1737"/>
      <c r="BW921" s="808"/>
      <c r="BX921" s="1737"/>
      <c r="BY921" s="808"/>
      <c r="BZ921" s="1737"/>
      <c r="CA921" s="808"/>
      <c r="CB921" s="1737"/>
      <c r="CC921" s="808"/>
      <c r="CD921" s="1737"/>
      <c r="CE921" s="808"/>
      <c r="CF921" s="1737"/>
      <c r="CG921" s="808"/>
      <c r="CH921" s="1737"/>
      <c r="CI921" s="808"/>
      <c r="CJ921" s="1737"/>
      <c r="CK921" s="808"/>
      <c r="CL921" s="1737"/>
      <c r="CM921" s="808"/>
      <c r="CN921" s="1737"/>
      <c r="CO921" s="808"/>
      <c r="CP921" s="1737"/>
      <c r="CQ921" s="808"/>
      <c r="CR921" s="1737"/>
      <c r="CS921" s="808"/>
      <c r="CT921" s="1737"/>
      <c r="CU921" s="808"/>
      <c r="CV921" s="1737"/>
      <c r="CW921" s="808"/>
      <c r="CX921" s="1737"/>
      <c r="CY921" s="808"/>
      <c r="CZ921" s="1737"/>
      <c r="DA921" s="808"/>
      <c r="DB921" s="1737"/>
      <c r="DC921" s="808"/>
      <c r="DD921" s="1737"/>
      <c r="DE921" s="808"/>
      <c r="DF921" s="1737"/>
      <c r="DG921" s="808"/>
      <c r="DH921" s="1737"/>
      <c r="DI921" s="808"/>
      <c r="DJ921" s="1737"/>
      <c r="DK921" s="808"/>
      <c r="DL921" s="1737"/>
      <c r="DM921" s="808"/>
      <c r="DN921" s="1737"/>
      <c r="DO921" s="808"/>
      <c r="DP921" s="1737"/>
      <c r="DQ921" s="808"/>
      <c r="DR921" s="1737"/>
      <c r="DS921" s="808"/>
      <c r="DT921" s="1737"/>
      <c r="DU921" s="808"/>
      <c r="DV921" s="1737"/>
      <c r="DW921" s="808"/>
      <c r="DX921" s="1737"/>
      <c r="DY921" s="808"/>
      <c r="DZ921" s="1737"/>
      <c r="EA921" s="808"/>
      <c r="EB921" s="1737"/>
      <c r="EC921" s="808"/>
      <c r="ED921" s="1737"/>
      <c r="EE921" s="808"/>
      <c r="EF921" s="1737"/>
      <c r="EG921" s="808"/>
      <c r="EH921" s="1737"/>
      <c r="EI921" s="808"/>
      <c r="EJ921" s="1737"/>
      <c r="EK921" s="808"/>
      <c r="EL921" s="1737"/>
      <c r="EM921" s="808"/>
      <c r="EN921" s="1737"/>
      <c r="EO921" s="808"/>
      <c r="EP921" s="1737"/>
      <c r="EQ921" s="808"/>
      <c r="ER921" s="1737"/>
      <c r="ES921" s="808"/>
      <c r="ET921" s="1737"/>
      <c r="EU921" s="808"/>
      <c r="EV921" s="1737"/>
      <c r="EW921" s="808"/>
      <c r="EX921" s="1737"/>
      <c r="EY921" s="808"/>
      <c r="EZ921" s="1737"/>
      <c r="FA921" s="808"/>
      <c r="FB921" s="1737"/>
      <c r="FC921" s="808"/>
      <c r="FD921" s="1737"/>
      <c r="FE921" s="808"/>
      <c r="FF921" s="1737"/>
      <c r="FG921" s="808"/>
      <c r="FH921" s="1737"/>
      <c r="FI921" s="808"/>
      <c r="FJ921" s="1737"/>
      <c r="FK921" s="808"/>
      <c r="FL921" s="1737"/>
      <c r="FM921" s="808"/>
      <c r="FN921" s="1737"/>
      <c r="FO921" s="808"/>
      <c r="FP921" s="1737"/>
      <c r="FQ921" s="808"/>
      <c r="FR921" s="1737"/>
      <c r="FS921" s="808"/>
      <c r="FT921" s="1737"/>
      <c r="FU921" s="808"/>
      <c r="FV921" s="1737"/>
      <c r="FW921" s="808"/>
      <c r="FX921" s="1737"/>
      <c r="FY921" s="808"/>
      <c r="FZ921" s="1737"/>
      <c r="GA921" s="808"/>
      <c r="GB921" s="1737"/>
      <c r="GC921" s="808"/>
      <c r="GD921" s="1737"/>
      <c r="GE921" s="808"/>
      <c r="GF921" s="1737"/>
      <c r="GG921" s="808"/>
      <c r="GH921" s="1737"/>
      <c r="GI921" s="808"/>
      <c r="GJ921" s="1737"/>
      <c r="GK921" s="808"/>
      <c r="GL921" s="1737"/>
      <c r="GM921" s="808"/>
      <c r="GN921" s="1737"/>
      <c r="GO921" s="808"/>
      <c r="GP921" s="1737"/>
      <c r="GQ921" s="808"/>
      <c r="GR921" s="1737"/>
      <c r="GS921" s="808"/>
      <c r="GT921" s="1737"/>
      <c r="GU921" s="808"/>
      <c r="GV921" s="1737"/>
      <c r="GW921" s="808"/>
      <c r="GX921" s="1737"/>
      <c r="GY921" s="808"/>
      <c r="GZ921" s="1737"/>
      <c r="HA921" s="808"/>
      <c r="HB921" s="1737"/>
      <c r="HC921" s="808"/>
      <c r="HD921" s="1737"/>
      <c r="HE921" s="808"/>
      <c r="HF921" s="1737"/>
      <c r="HG921" s="808"/>
      <c r="HH921" s="1737"/>
      <c r="HI921" s="808"/>
      <c r="HJ921" s="1737"/>
      <c r="HK921" s="808"/>
      <c r="HL921" s="1737"/>
      <c r="HM921" s="808"/>
      <c r="HN921" s="1737"/>
      <c r="HO921" s="808"/>
      <c r="HP921" s="1737"/>
      <c r="HQ921" s="808"/>
      <c r="HR921" s="1737"/>
      <c r="HS921" s="808"/>
      <c r="HT921" s="1737"/>
      <c r="HU921" s="808"/>
      <c r="HV921" s="1737"/>
      <c r="HW921" s="808"/>
      <c r="HX921" s="1737"/>
      <c r="HY921" s="808"/>
      <c r="HZ921" s="1737"/>
      <c r="IA921" s="808"/>
      <c r="IB921" s="1737"/>
      <c r="IC921" s="808"/>
      <c r="ID921" s="1737"/>
      <c r="IE921" s="808"/>
      <c r="IF921" s="1737"/>
      <c r="IG921" s="808"/>
      <c r="IH921" s="1737"/>
      <c r="II921" s="808"/>
      <c r="IJ921" s="1737"/>
      <c r="IK921" s="808"/>
      <c r="IL921" s="1737"/>
      <c r="IM921" s="808"/>
      <c r="IN921" s="1737"/>
      <c r="IO921" s="808"/>
      <c r="IP921" s="1737"/>
      <c r="IQ921" s="808"/>
      <c r="IR921" s="1737"/>
      <c r="IS921" s="808"/>
      <c r="IT921" s="1737"/>
      <c r="IU921" s="808"/>
      <c r="IV921" s="1737"/>
    </row>
    <row r="922" spans="1:256">
      <c r="A922" s="1859"/>
      <c r="B922" s="51"/>
      <c r="C922" s="31"/>
      <c r="D922" s="713"/>
      <c r="E922" s="31"/>
      <c r="F922" s="1864"/>
      <c r="G922" s="510"/>
    </row>
    <row r="923" spans="1:256">
      <c r="A923" s="1860">
        <v>1</v>
      </c>
      <c r="B923" s="28" t="s">
        <v>37</v>
      </c>
      <c r="C923" s="31">
        <v>6092.32</v>
      </c>
      <c r="D923" s="713" t="s">
        <v>1</v>
      </c>
      <c r="E923" s="31">
        <v>14</v>
      </c>
      <c r="F923" s="1864">
        <f>+ROUND(C923*E923,2)</f>
        <v>85292.479999999996</v>
      </c>
      <c r="G923" s="1741"/>
    </row>
    <row r="924" spans="1:256">
      <c r="A924" s="1860"/>
      <c r="B924" s="28"/>
      <c r="C924" s="31"/>
      <c r="D924" s="713"/>
      <c r="E924" s="31"/>
      <c r="F924" s="1864"/>
      <c r="G924" s="1741"/>
    </row>
    <row r="925" spans="1:256">
      <c r="A925" s="1867">
        <v>2</v>
      </c>
      <c r="B925" s="1804" t="s">
        <v>14</v>
      </c>
      <c r="C925" s="808"/>
      <c r="D925" s="1804"/>
      <c r="E925" s="1755"/>
      <c r="F925">
        <f t="shared" ref="F925:F941" si="40">+ROUND(C925*E925,2)</f>
        <v>0</v>
      </c>
      <c r="G925" s="1754"/>
      <c r="H925" s="1846"/>
      <c r="I925" s="1754"/>
      <c r="J925" s="1846"/>
      <c r="K925" s="1754"/>
      <c r="L925" s="1846"/>
      <c r="M925" s="1803"/>
      <c r="N925" s="1737"/>
      <c r="O925" s="808"/>
      <c r="P925" s="1737"/>
      <c r="Q925" s="808"/>
      <c r="R925" s="1737"/>
      <c r="S925" s="808"/>
      <c r="T925" s="1737"/>
      <c r="U925" s="808"/>
      <c r="V925" s="1737"/>
      <c r="W925" s="808"/>
      <c r="X925" s="1737"/>
      <c r="Y925" s="808"/>
      <c r="Z925" s="1737"/>
      <c r="AA925" s="808"/>
      <c r="AB925" s="1737"/>
      <c r="AC925" s="808"/>
      <c r="AD925" s="1737"/>
      <c r="AE925" s="808"/>
      <c r="AF925" s="1737"/>
      <c r="AG925" s="808"/>
      <c r="AH925" s="1737"/>
      <c r="AI925" s="808"/>
      <c r="AJ925" s="1737"/>
      <c r="AK925" s="808"/>
      <c r="AL925" s="1737"/>
      <c r="AM925" s="808"/>
      <c r="AN925" s="1737"/>
      <c r="AO925" s="808"/>
      <c r="AP925" s="1737"/>
      <c r="AQ925" s="808"/>
      <c r="AR925" s="1737"/>
      <c r="AS925" s="808"/>
      <c r="AT925" s="1737"/>
      <c r="AU925" s="808"/>
      <c r="AV925" s="1737"/>
      <c r="AW925" s="808"/>
      <c r="AX925" s="1737"/>
      <c r="AY925" s="808"/>
      <c r="AZ925" s="1737"/>
      <c r="BA925" s="808"/>
      <c r="BB925" s="1737"/>
      <c r="BC925" s="808"/>
      <c r="BD925" s="1737"/>
      <c r="BE925" s="808"/>
      <c r="BF925" s="1737"/>
      <c r="BG925" s="808"/>
      <c r="BH925" s="1737"/>
      <c r="BI925" s="808"/>
      <c r="BJ925" s="1737"/>
      <c r="BK925" s="808"/>
      <c r="BL925" s="1737"/>
      <c r="BM925" s="808"/>
      <c r="BN925" s="1737"/>
      <c r="BO925" s="808"/>
      <c r="BP925" s="1737"/>
      <c r="BQ925" s="808"/>
      <c r="BR925" s="1737"/>
      <c r="BS925" s="808"/>
      <c r="BT925" s="1737"/>
      <c r="BU925" s="808"/>
      <c r="BV925" s="1737"/>
      <c r="BW925" s="808"/>
      <c r="BX925" s="1737"/>
      <c r="BY925" s="808"/>
      <c r="BZ925" s="1737"/>
      <c r="CA925" s="808"/>
      <c r="CB925" s="1737"/>
      <c r="CC925" s="808"/>
      <c r="CD925" s="1737"/>
      <c r="CE925" s="808"/>
      <c r="CF925" s="1737"/>
      <c r="CG925" s="808"/>
      <c r="CH925" s="1737"/>
      <c r="CI925" s="808"/>
      <c r="CJ925" s="1737"/>
      <c r="CK925" s="808"/>
      <c r="CL925" s="1737"/>
      <c r="CM925" s="808"/>
      <c r="CN925" s="1737"/>
      <c r="CO925" s="808"/>
      <c r="CP925" s="1737"/>
      <c r="CQ925" s="808"/>
      <c r="CR925" s="1737"/>
      <c r="CS925" s="808"/>
      <c r="CT925" s="1737"/>
      <c r="CU925" s="808"/>
      <c r="CV925" s="1737"/>
      <c r="CW925" s="808"/>
      <c r="CX925" s="1737"/>
      <c r="CY925" s="808"/>
      <c r="CZ925" s="1737"/>
      <c r="DA925" s="808"/>
      <c r="DB925" s="1737"/>
      <c r="DC925" s="808"/>
      <c r="DD925" s="1737"/>
      <c r="DE925" s="808"/>
      <c r="DF925" s="1737"/>
      <c r="DG925" s="808"/>
      <c r="DH925" s="1737"/>
      <c r="DI925" s="808"/>
      <c r="DJ925" s="1737"/>
      <c r="DK925" s="808"/>
      <c r="DL925" s="1737"/>
      <c r="DM925" s="808"/>
      <c r="DN925" s="1737"/>
      <c r="DO925" s="808"/>
      <c r="DP925" s="1737"/>
      <c r="DQ925" s="808"/>
      <c r="DR925" s="1737"/>
      <c r="DS925" s="808"/>
      <c r="DT925" s="1737"/>
      <c r="DU925" s="808"/>
      <c r="DV925" s="1737"/>
      <c r="DW925" s="808"/>
      <c r="DX925" s="1737"/>
      <c r="DY925" s="808"/>
      <c r="DZ925" s="1737"/>
      <c r="EA925" s="808"/>
      <c r="EB925" s="1737"/>
      <c r="EC925" s="808"/>
      <c r="ED925" s="1737"/>
      <c r="EE925" s="808"/>
      <c r="EF925" s="1737"/>
      <c r="EG925" s="808"/>
      <c r="EH925" s="1737"/>
      <c r="EI925" s="808"/>
      <c r="EJ925" s="1737"/>
      <c r="EK925" s="808"/>
      <c r="EL925" s="1737"/>
      <c r="EM925" s="808"/>
      <c r="EN925" s="1737"/>
      <c r="EO925" s="808"/>
      <c r="EP925" s="1737"/>
      <c r="EQ925" s="808"/>
      <c r="ER925" s="1737"/>
      <c r="ES925" s="808"/>
      <c r="ET925" s="1737"/>
      <c r="EU925" s="808"/>
      <c r="EV925" s="1737"/>
      <c r="EW925" s="808"/>
      <c r="EX925" s="1737"/>
      <c r="EY925" s="808"/>
      <c r="EZ925" s="1737"/>
      <c r="FA925" s="808"/>
      <c r="FB925" s="1737"/>
      <c r="FC925" s="808"/>
      <c r="FD925" s="1737"/>
      <c r="FE925" s="808"/>
      <c r="FF925" s="1737"/>
      <c r="FG925" s="808"/>
      <c r="FH925" s="1737"/>
      <c r="FI925" s="808"/>
      <c r="FJ925" s="1737"/>
      <c r="FK925" s="808"/>
      <c r="FL925" s="1737"/>
      <c r="FM925" s="808"/>
      <c r="FN925" s="1737"/>
      <c r="FO925" s="808"/>
      <c r="FP925" s="1737"/>
      <c r="FQ925" s="808"/>
      <c r="FR925" s="1737"/>
      <c r="FS925" s="808"/>
      <c r="FT925" s="1737"/>
      <c r="FU925" s="808"/>
      <c r="FV925" s="1737"/>
      <c r="FW925" s="808"/>
      <c r="FX925" s="1737"/>
      <c r="FY925" s="808"/>
      <c r="FZ925" s="1737"/>
      <c r="GA925" s="808"/>
      <c r="GB925" s="1737"/>
      <c r="GC925" s="808"/>
      <c r="GD925" s="1737"/>
      <c r="GE925" s="808"/>
      <c r="GF925" s="1737"/>
      <c r="GG925" s="808"/>
      <c r="GH925" s="1737"/>
      <c r="GI925" s="808"/>
      <c r="GJ925" s="1737"/>
      <c r="GK925" s="808"/>
      <c r="GL925" s="1737"/>
      <c r="GM925" s="808"/>
      <c r="GN925" s="1737"/>
      <c r="GO925" s="808"/>
      <c r="GP925" s="1737"/>
      <c r="GQ925" s="808"/>
      <c r="GR925" s="1737"/>
      <c r="GS925" s="808"/>
      <c r="GT925" s="1737"/>
      <c r="GU925" s="808"/>
      <c r="GV925" s="1737"/>
      <c r="GW925" s="808"/>
      <c r="GX925" s="1737"/>
      <c r="GY925" s="808"/>
      <c r="GZ925" s="1737"/>
      <c r="HA925" s="808"/>
      <c r="HB925" s="1737"/>
      <c r="HC925" s="808"/>
      <c r="HD925" s="1737"/>
      <c r="HE925" s="808"/>
      <c r="HF925" s="1737"/>
      <c r="HG925" s="808"/>
      <c r="HH925" s="1737"/>
      <c r="HI925" s="808"/>
      <c r="HJ925" s="1737"/>
      <c r="HK925" s="808"/>
      <c r="HL925" s="1737"/>
      <c r="HM925" s="808"/>
      <c r="HN925" s="1737"/>
      <c r="HO925" s="808"/>
      <c r="HP925" s="1737"/>
      <c r="HQ925" s="808"/>
      <c r="HR925" s="1737"/>
      <c r="HS925" s="808"/>
      <c r="HT925" s="1737"/>
      <c r="HU925" s="808"/>
      <c r="HV925" s="1737"/>
      <c r="HW925" s="808"/>
      <c r="HX925" s="1737"/>
      <c r="HY925" s="808"/>
      <c r="HZ925" s="1737"/>
      <c r="IA925" s="808"/>
      <c r="IB925" s="1737"/>
      <c r="IC925" s="808"/>
      <c r="ID925" s="1737"/>
      <c r="IE925" s="808"/>
      <c r="IF925" s="1737"/>
      <c r="IG925" s="808"/>
      <c r="IH925" s="1737"/>
      <c r="II925" s="808"/>
      <c r="IJ925" s="1737"/>
      <c r="IK925" s="808"/>
      <c r="IL925" s="1737"/>
      <c r="IM925" s="808"/>
      <c r="IN925" s="1737"/>
      <c r="IO925" s="808"/>
      <c r="IP925" s="1737"/>
      <c r="IQ925" s="808"/>
      <c r="IR925" s="1737"/>
      <c r="IS925" s="808"/>
      <c r="IT925" s="1737"/>
      <c r="IU925" s="808"/>
      <c r="IV925" s="1737"/>
    </row>
    <row r="926" spans="1:256">
      <c r="A926" s="1863">
        <v>2.1</v>
      </c>
      <c r="B926" s="1201" t="s">
        <v>2328</v>
      </c>
      <c r="C926" s="31">
        <v>4797.7</v>
      </c>
      <c r="D926" s="713" t="s">
        <v>2</v>
      </c>
      <c r="E926" s="714">
        <v>154.53</v>
      </c>
      <c r="F926" s="1864">
        <f t="shared" si="40"/>
        <v>741388.58</v>
      </c>
      <c r="G926" s="1741"/>
    </row>
    <row r="927" spans="1:256" ht="25.5">
      <c r="A927" s="1863">
        <v>2.2000000000000002</v>
      </c>
      <c r="B927" s="1201" t="s">
        <v>2330</v>
      </c>
      <c r="C927" s="31">
        <v>533.08000000000004</v>
      </c>
      <c r="D927" s="713" t="s">
        <v>2</v>
      </c>
      <c r="E927" s="714">
        <v>1125.8</v>
      </c>
      <c r="F927" s="1864">
        <f t="shared" si="40"/>
        <v>600141.46</v>
      </c>
      <c r="G927" s="1741"/>
    </row>
    <row r="928" spans="1:256">
      <c r="A928" s="1863">
        <v>2.2999999999999998</v>
      </c>
      <c r="B928" s="1201" t="s">
        <v>1181</v>
      </c>
      <c r="C928" s="31">
        <v>3655.39</v>
      </c>
      <c r="D928" s="713" t="s">
        <v>11</v>
      </c>
      <c r="E928" s="714">
        <v>28.5</v>
      </c>
      <c r="F928" s="1864">
        <f t="shared" si="40"/>
        <v>104178.62</v>
      </c>
      <c r="G928" s="1741"/>
    </row>
    <row r="929" spans="1:256">
      <c r="A929" s="1865">
        <v>2.4</v>
      </c>
      <c r="B929" s="716" t="s">
        <v>4</v>
      </c>
      <c r="C929" s="31">
        <v>533.08000000000004</v>
      </c>
      <c r="D929" s="713" t="s">
        <v>2</v>
      </c>
      <c r="E929" s="714">
        <v>1108.8900000000001</v>
      </c>
      <c r="F929" s="1864">
        <f t="shared" si="40"/>
        <v>591127.07999999996</v>
      </c>
      <c r="G929" s="1741"/>
    </row>
    <row r="930" spans="1:256" ht="25.5">
      <c r="A930" s="1865">
        <v>2.5</v>
      </c>
      <c r="B930" s="717" t="s">
        <v>2331</v>
      </c>
      <c r="C930" s="31">
        <v>666.35</v>
      </c>
      <c r="D930" s="713" t="s">
        <v>2</v>
      </c>
      <c r="E930" s="714">
        <v>668.95</v>
      </c>
      <c r="F930" s="1864">
        <f t="shared" si="40"/>
        <v>445754.83</v>
      </c>
      <c r="G930" s="1741"/>
    </row>
    <row r="931" spans="1:256" ht="25.5">
      <c r="A931" s="1865">
        <v>2.6</v>
      </c>
      <c r="B931" s="1201" t="s">
        <v>1184</v>
      </c>
      <c r="C931" s="31">
        <v>4517</v>
      </c>
      <c r="D931" s="713" t="s">
        <v>2</v>
      </c>
      <c r="E931" s="714">
        <v>183.5</v>
      </c>
      <c r="F931" s="1864">
        <f t="shared" si="40"/>
        <v>828869.5</v>
      </c>
      <c r="G931" s="1741"/>
    </row>
    <row r="932" spans="1:256" ht="25.5">
      <c r="A932" s="1865">
        <v>2.7</v>
      </c>
      <c r="B932" s="18" t="s">
        <v>1580</v>
      </c>
      <c r="C932" s="31">
        <v>976.2</v>
      </c>
      <c r="D932" s="713" t="s">
        <v>2</v>
      </c>
      <c r="E932" s="714">
        <v>210</v>
      </c>
      <c r="F932" s="1864">
        <f t="shared" si="40"/>
        <v>205002</v>
      </c>
      <c r="G932" s="1741"/>
    </row>
    <row r="933" spans="1:256">
      <c r="A933" s="1860"/>
      <c r="B933" s="28"/>
      <c r="C933" s="31"/>
      <c r="D933" s="713"/>
      <c r="E933" s="31"/>
      <c r="F933" s="1864">
        <f t="shared" si="40"/>
        <v>0</v>
      </c>
      <c r="G933" s="1741"/>
    </row>
    <row r="934" spans="1:256">
      <c r="A934" s="1867">
        <v>3</v>
      </c>
      <c r="B934" s="1804" t="s">
        <v>25</v>
      </c>
      <c r="C934" s="808"/>
      <c r="D934" s="1804"/>
      <c r="E934" s="1755"/>
      <c r="F934">
        <f t="shared" si="40"/>
        <v>0</v>
      </c>
      <c r="G934" s="1754"/>
      <c r="H934" s="1846"/>
      <c r="I934" s="1754"/>
      <c r="J934" s="1846"/>
      <c r="K934" s="1754"/>
      <c r="L934" s="1846"/>
      <c r="M934" s="1803"/>
      <c r="N934" s="1737"/>
      <c r="O934" s="808"/>
      <c r="P934" s="1737"/>
      <c r="Q934" s="808"/>
      <c r="R934" s="1737"/>
      <c r="S934" s="808"/>
      <c r="T934" s="1737"/>
      <c r="U934" s="808"/>
      <c r="V934" s="1737"/>
      <c r="W934" s="808"/>
      <c r="X934" s="1737"/>
      <c r="Y934" s="808"/>
      <c r="Z934" s="1737"/>
      <c r="AA934" s="808"/>
      <c r="AB934" s="1737"/>
      <c r="AC934" s="808"/>
      <c r="AD934" s="1737"/>
      <c r="AE934" s="808"/>
      <c r="AF934" s="1737"/>
      <c r="AG934" s="808"/>
      <c r="AH934" s="1737"/>
      <c r="AI934" s="808"/>
      <c r="AJ934" s="1737"/>
      <c r="AK934" s="808"/>
      <c r="AL934" s="1737"/>
      <c r="AM934" s="808"/>
      <c r="AN934" s="1737"/>
      <c r="AO934" s="808"/>
      <c r="AP934" s="1737"/>
      <c r="AQ934" s="808"/>
      <c r="AR934" s="1737"/>
      <c r="AS934" s="808"/>
      <c r="AT934" s="1737"/>
      <c r="AU934" s="808"/>
      <c r="AV934" s="1737"/>
      <c r="AW934" s="808"/>
      <c r="AX934" s="1737"/>
      <c r="AY934" s="808"/>
      <c r="AZ934" s="1737"/>
      <c r="BA934" s="808"/>
      <c r="BB934" s="1737"/>
      <c r="BC934" s="808"/>
      <c r="BD934" s="1737"/>
      <c r="BE934" s="808"/>
      <c r="BF934" s="1737"/>
      <c r="BG934" s="808"/>
      <c r="BH934" s="1737"/>
      <c r="BI934" s="808"/>
      <c r="BJ934" s="1737"/>
      <c r="BK934" s="808"/>
      <c r="BL934" s="1737"/>
      <c r="BM934" s="808"/>
      <c r="BN934" s="1737"/>
      <c r="BO934" s="808"/>
      <c r="BP934" s="1737"/>
      <c r="BQ934" s="808"/>
      <c r="BR934" s="1737"/>
      <c r="BS934" s="808"/>
      <c r="BT934" s="1737"/>
      <c r="BU934" s="808"/>
      <c r="BV934" s="1737"/>
      <c r="BW934" s="808"/>
      <c r="BX934" s="1737"/>
      <c r="BY934" s="808"/>
      <c r="BZ934" s="1737"/>
      <c r="CA934" s="808"/>
      <c r="CB934" s="1737"/>
      <c r="CC934" s="808"/>
      <c r="CD934" s="1737"/>
      <c r="CE934" s="808"/>
      <c r="CF934" s="1737"/>
      <c r="CG934" s="808"/>
      <c r="CH934" s="1737"/>
      <c r="CI934" s="808"/>
      <c r="CJ934" s="1737"/>
      <c r="CK934" s="808"/>
      <c r="CL934" s="1737"/>
      <c r="CM934" s="808"/>
      <c r="CN934" s="1737"/>
      <c r="CO934" s="808"/>
      <c r="CP934" s="1737"/>
      <c r="CQ934" s="808"/>
      <c r="CR934" s="1737"/>
      <c r="CS934" s="808"/>
      <c r="CT934" s="1737"/>
      <c r="CU934" s="808"/>
      <c r="CV934" s="1737"/>
      <c r="CW934" s="808"/>
      <c r="CX934" s="1737"/>
      <c r="CY934" s="808"/>
      <c r="CZ934" s="1737"/>
      <c r="DA934" s="808"/>
      <c r="DB934" s="1737"/>
      <c r="DC934" s="808"/>
      <c r="DD934" s="1737"/>
      <c r="DE934" s="808"/>
      <c r="DF934" s="1737"/>
      <c r="DG934" s="808"/>
      <c r="DH934" s="1737"/>
      <c r="DI934" s="808"/>
      <c r="DJ934" s="1737"/>
      <c r="DK934" s="808"/>
      <c r="DL934" s="1737"/>
      <c r="DM934" s="808"/>
      <c r="DN934" s="1737"/>
      <c r="DO934" s="808"/>
      <c r="DP934" s="1737"/>
      <c r="DQ934" s="808"/>
      <c r="DR934" s="1737"/>
      <c r="DS934" s="808"/>
      <c r="DT934" s="1737"/>
      <c r="DU934" s="808"/>
      <c r="DV934" s="1737"/>
      <c r="DW934" s="808"/>
      <c r="DX934" s="1737"/>
      <c r="DY934" s="808"/>
      <c r="DZ934" s="1737"/>
      <c r="EA934" s="808"/>
      <c r="EB934" s="1737"/>
      <c r="EC934" s="808"/>
      <c r="ED934" s="1737"/>
      <c r="EE934" s="808"/>
      <c r="EF934" s="1737"/>
      <c r="EG934" s="808"/>
      <c r="EH934" s="1737"/>
      <c r="EI934" s="808"/>
      <c r="EJ934" s="1737"/>
      <c r="EK934" s="808"/>
      <c r="EL934" s="1737"/>
      <c r="EM934" s="808"/>
      <c r="EN934" s="1737"/>
      <c r="EO934" s="808"/>
      <c r="EP934" s="1737"/>
      <c r="EQ934" s="808"/>
      <c r="ER934" s="1737"/>
      <c r="ES934" s="808"/>
      <c r="ET934" s="1737"/>
      <c r="EU934" s="808"/>
      <c r="EV934" s="1737"/>
      <c r="EW934" s="808"/>
      <c r="EX934" s="1737"/>
      <c r="EY934" s="808"/>
      <c r="EZ934" s="1737"/>
      <c r="FA934" s="808"/>
      <c r="FB934" s="1737"/>
      <c r="FC934" s="808"/>
      <c r="FD934" s="1737"/>
      <c r="FE934" s="808"/>
      <c r="FF934" s="1737"/>
      <c r="FG934" s="808"/>
      <c r="FH934" s="1737"/>
      <c r="FI934" s="808"/>
      <c r="FJ934" s="1737"/>
      <c r="FK934" s="808"/>
      <c r="FL934" s="1737"/>
      <c r="FM934" s="808"/>
      <c r="FN934" s="1737"/>
      <c r="FO934" s="808"/>
      <c r="FP934" s="1737"/>
      <c r="FQ934" s="808"/>
      <c r="FR934" s="1737"/>
      <c r="FS934" s="808"/>
      <c r="FT934" s="1737"/>
      <c r="FU934" s="808"/>
      <c r="FV934" s="1737"/>
      <c r="FW934" s="808"/>
      <c r="FX934" s="1737"/>
      <c r="FY934" s="808"/>
      <c r="FZ934" s="1737"/>
      <c r="GA934" s="808"/>
      <c r="GB934" s="1737"/>
      <c r="GC934" s="808"/>
      <c r="GD934" s="1737"/>
      <c r="GE934" s="808"/>
      <c r="GF934" s="1737"/>
      <c r="GG934" s="808"/>
      <c r="GH934" s="1737"/>
      <c r="GI934" s="808"/>
      <c r="GJ934" s="1737"/>
      <c r="GK934" s="808"/>
      <c r="GL934" s="1737"/>
      <c r="GM934" s="808"/>
      <c r="GN934" s="1737"/>
      <c r="GO934" s="808"/>
      <c r="GP934" s="1737"/>
      <c r="GQ934" s="808"/>
      <c r="GR934" s="1737"/>
      <c r="GS934" s="808"/>
      <c r="GT934" s="1737"/>
      <c r="GU934" s="808"/>
      <c r="GV934" s="1737"/>
      <c r="GW934" s="808"/>
      <c r="GX934" s="1737"/>
      <c r="GY934" s="808"/>
      <c r="GZ934" s="1737"/>
      <c r="HA934" s="808"/>
      <c r="HB934" s="1737"/>
      <c r="HC934" s="808"/>
      <c r="HD934" s="1737"/>
      <c r="HE934" s="808"/>
      <c r="HF934" s="1737"/>
      <c r="HG934" s="808"/>
      <c r="HH934" s="1737"/>
      <c r="HI934" s="808"/>
      <c r="HJ934" s="1737"/>
      <c r="HK934" s="808"/>
      <c r="HL934" s="1737"/>
      <c r="HM934" s="808"/>
      <c r="HN934" s="1737"/>
      <c r="HO934" s="808"/>
      <c r="HP934" s="1737"/>
      <c r="HQ934" s="808"/>
      <c r="HR934" s="1737"/>
      <c r="HS934" s="808"/>
      <c r="HT934" s="1737"/>
      <c r="HU934" s="808"/>
      <c r="HV934" s="1737"/>
      <c r="HW934" s="808"/>
      <c r="HX934" s="1737"/>
      <c r="HY934" s="808"/>
      <c r="HZ934" s="1737"/>
      <c r="IA934" s="808"/>
      <c r="IB934" s="1737"/>
      <c r="IC934" s="808"/>
      <c r="ID934" s="1737"/>
      <c r="IE934" s="808"/>
      <c r="IF934" s="1737"/>
      <c r="IG934" s="808"/>
      <c r="IH934" s="1737"/>
      <c r="II934" s="808"/>
      <c r="IJ934" s="1737"/>
      <c r="IK934" s="808"/>
      <c r="IL934" s="1737"/>
      <c r="IM934" s="808"/>
      <c r="IN934" s="1737"/>
      <c r="IO934" s="808"/>
      <c r="IP934" s="1737"/>
      <c r="IQ934" s="808"/>
      <c r="IR934" s="1737"/>
      <c r="IS934" s="808"/>
      <c r="IT934" s="1737"/>
      <c r="IU934" s="808"/>
      <c r="IV934" s="1737"/>
    </row>
    <row r="935" spans="1:256">
      <c r="A935" s="1860">
        <v>3.2</v>
      </c>
      <c r="B935" s="28" t="s">
        <v>1001</v>
      </c>
      <c r="C935" s="31">
        <v>1938.73</v>
      </c>
      <c r="D935" s="713" t="s">
        <v>1</v>
      </c>
      <c r="E935" s="31">
        <v>405.68</v>
      </c>
      <c r="F935" s="1864">
        <f t="shared" si="40"/>
        <v>786503.99</v>
      </c>
      <c r="G935" s="1741"/>
    </row>
    <row r="936" spans="1:256">
      <c r="A936" s="1860">
        <v>3.3</v>
      </c>
      <c r="B936" s="28" t="s">
        <v>407</v>
      </c>
      <c r="C936" s="31">
        <v>4275.43</v>
      </c>
      <c r="D936" s="713" t="s">
        <v>1</v>
      </c>
      <c r="E936" s="31">
        <v>118.41</v>
      </c>
      <c r="F936" s="1864">
        <f t="shared" si="40"/>
        <v>506253.67</v>
      </c>
      <c r="G936" s="1741"/>
    </row>
    <row r="937" spans="1:256">
      <c r="A937" s="1860"/>
      <c r="B937" s="51"/>
      <c r="C937" s="31"/>
      <c r="D937" s="713"/>
      <c r="E937" s="31"/>
      <c r="F937" s="1864">
        <f t="shared" si="40"/>
        <v>0</v>
      </c>
      <c r="G937" s="1741"/>
    </row>
    <row r="938" spans="1:256">
      <c r="A938" s="1867">
        <v>4</v>
      </c>
      <c r="B938" s="1804" t="s">
        <v>26</v>
      </c>
      <c r="C938" s="808"/>
      <c r="D938" s="1804"/>
      <c r="E938" s="1755"/>
      <c r="F938">
        <f t="shared" si="40"/>
        <v>0</v>
      </c>
      <c r="G938" s="1754"/>
      <c r="H938" s="1846"/>
      <c r="I938" s="1754"/>
      <c r="J938" s="1846"/>
      <c r="K938" s="1754"/>
      <c r="L938" s="1846"/>
      <c r="M938" s="1803"/>
      <c r="N938" s="1737"/>
      <c r="O938" s="808"/>
      <c r="P938" s="1737"/>
      <c r="Q938" s="808"/>
      <c r="R938" s="1737"/>
      <c r="S938" s="808"/>
      <c r="T938" s="1737"/>
      <c r="U938" s="808"/>
      <c r="V938" s="1737"/>
      <c r="W938" s="808"/>
      <c r="X938" s="1737"/>
      <c r="Y938" s="808"/>
      <c r="Z938" s="1737"/>
      <c r="AA938" s="808"/>
      <c r="AB938" s="1737"/>
      <c r="AC938" s="808"/>
      <c r="AD938" s="1737"/>
      <c r="AE938" s="808"/>
      <c r="AF938" s="1737"/>
      <c r="AG938" s="808"/>
      <c r="AH938" s="1737"/>
      <c r="AI938" s="808"/>
      <c r="AJ938" s="1737"/>
      <c r="AK938" s="808"/>
      <c r="AL938" s="1737"/>
      <c r="AM938" s="808"/>
      <c r="AN938" s="1737"/>
      <c r="AO938" s="808"/>
      <c r="AP938" s="1737"/>
      <c r="AQ938" s="808"/>
      <c r="AR938" s="1737"/>
      <c r="AS938" s="808"/>
      <c r="AT938" s="1737"/>
      <c r="AU938" s="808"/>
      <c r="AV938" s="1737"/>
      <c r="AW938" s="808"/>
      <c r="AX938" s="1737"/>
      <c r="AY938" s="808"/>
      <c r="AZ938" s="1737"/>
      <c r="BA938" s="808"/>
      <c r="BB938" s="1737"/>
      <c r="BC938" s="808"/>
      <c r="BD938" s="1737"/>
      <c r="BE938" s="808"/>
      <c r="BF938" s="1737"/>
      <c r="BG938" s="808"/>
      <c r="BH938" s="1737"/>
      <c r="BI938" s="808"/>
      <c r="BJ938" s="1737"/>
      <c r="BK938" s="808"/>
      <c r="BL938" s="1737"/>
      <c r="BM938" s="808"/>
      <c r="BN938" s="1737"/>
      <c r="BO938" s="808"/>
      <c r="BP938" s="1737"/>
      <c r="BQ938" s="808"/>
      <c r="BR938" s="1737"/>
      <c r="BS938" s="808"/>
      <c r="BT938" s="1737"/>
      <c r="BU938" s="808"/>
      <c r="BV938" s="1737"/>
      <c r="BW938" s="808"/>
      <c r="BX938" s="1737"/>
      <c r="BY938" s="808"/>
      <c r="BZ938" s="1737"/>
      <c r="CA938" s="808"/>
      <c r="CB938" s="1737"/>
      <c r="CC938" s="808"/>
      <c r="CD938" s="1737"/>
      <c r="CE938" s="808"/>
      <c r="CF938" s="1737"/>
      <c r="CG938" s="808"/>
      <c r="CH938" s="1737"/>
      <c r="CI938" s="808"/>
      <c r="CJ938" s="1737"/>
      <c r="CK938" s="808"/>
      <c r="CL938" s="1737"/>
      <c r="CM938" s="808"/>
      <c r="CN938" s="1737"/>
      <c r="CO938" s="808"/>
      <c r="CP938" s="1737"/>
      <c r="CQ938" s="808"/>
      <c r="CR938" s="1737"/>
      <c r="CS938" s="808"/>
      <c r="CT938" s="1737"/>
      <c r="CU938" s="808"/>
      <c r="CV938" s="1737"/>
      <c r="CW938" s="808"/>
      <c r="CX938" s="1737"/>
      <c r="CY938" s="808"/>
      <c r="CZ938" s="1737"/>
      <c r="DA938" s="808"/>
      <c r="DB938" s="1737"/>
      <c r="DC938" s="808"/>
      <c r="DD938" s="1737"/>
      <c r="DE938" s="808"/>
      <c r="DF938" s="1737"/>
      <c r="DG938" s="808"/>
      <c r="DH938" s="1737"/>
      <c r="DI938" s="808"/>
      <c r="DJ938" s="1737"/>
      <c r="DK938" s="808"/>
      <c r="DL938" s="1737"/>
      <c r="DM938" s="808"/>
      <c r="DN938" s="1737"/>
      <c r="DO938" s="808"/>
      <c r="DP938" s="1737"/>
      <c r="DQ938" s="808"/>
      <c r="DR938" s="1737"/>
      <c r="DS938" s="808"/>
      <c r="DT938" s="1737"/>
      <c r="DU938" s="808"/>
      <c r="DV938" s="1737"/>
      <c r="DW938" s="808"/>
      <c r="DX938" s="1737"/>
      <c r="DY938" s="808"/>
      <c r="DZ938" s="1737"/>
      <c r="EA938" s="808"/>
      <c r="EB938" s="1737"/>
      <c r="EC938" s="808"/>
      <c r="ED938" s="1737"/>
      <c r="EE938" s="808"/>
      <c r="EF938" s="1737"/>
      <c r="EG938" s="808"/>
      <c r="EH938" s="1737"/>
      <c r="EI938" s="808"/>
      <c r="EJ938" s="1737"/>
      <c r="EK938" s="808"/>
      <c r="EL938" s="1737"/>
      <c r="EM938" s="808"/>
      <c r="EN938" s="1737"/>
      <c r="EO938" s="808"/>
      <c r="EP938" s="1737"/>
      <c r="EQ938" s="808"/>
      <c r="ER938" s="1737"/>
      <c r="ES938" s="808"/>
      <c r="ET938" s="1737"/>
      <c r="EU938" s="808"/>
      <c r="EV938" s="1737"/>
      <c r="EW938" s="808"/>
      <c r="EX938" s="1737"/>
      <c r="EY938" s="808"/>
      <c r="EZ938" s="1737"/>
      <c r="FA938" s="808"/>
      <c r="FB938" s="1737"/>
      <c r="FC938" s="808"/>
      <c r="FD938" s="1737"/>
      <c r="FE938" s="808"/>
      <c r="FF938" s="1737"/>
      <c r="FG938" s="808"/>
      <c r="FH938" s="1737"/>
      <c r="FI938" s="808"/>
      <c r="FJ938" s="1737"/>
      <c r="FK938" s="808"/>
      <c r="FL938" s="1737"/>
      <c r="FM938" s="808"/>
      <c r="FN938" s="1737"/>
      <c r="FO938" s="808"/>
      <c r="FP938" s="1737"/>
      <c r="FQ938" s="808"/>
      <c r="FR938" s="1737"/>
      <c r="FS938" s="808"/>
      <c r="FT938" s="1737"/>
      <c r="FU938" s="808"/>
      <c r="FV938" s="1737"/>
      <c r="FW938" s="808"/>
      <c r="FX938" s="1737"/>
      <c r="FY938" s="808"/>
      <c r="FZ938" s="1737"/>
      <c r="GA938" s="808"/>
      <c r="GB938" s="1737"/>
      <c r="GC938" s="808"/>
      <c r="GD938" s="1737"/>
      <c r="GE938" s="808"/>
      <c r="GF938" s="1737"/>
      <c r="GG938" s="808"/>
      <c r="GH938" s="1737"/>
      <c r="GI938" s="808"/>
      <c r="GJ938" s="1737"/>
      <c r="GK938" s="808"/>
      <c r="GL938" s="1737"/>
      <c r="GM938" s="808"/>
      <c r="GN938" s="1737"/>
      <c r="GO938" s="808"/>
      <c r="GP938" s="1737"/>
      <c r="GQ938" s="808"/>
      <c r="GR938" s="1737"/>
      <c r="GS938" s="808"/>
      <c r="GT938" s="1737"/>
      <c r="GU938" s="808"/>
      <c r="GV938" s="1737"/>
      <c r="GW938" s="808"/>
      <c r="GX938" s="1737"/>
      <c r="GY938" s="808"/>
      <c r="GZ938" s="1737"/>
      <c r="HA938" s="808"/>
      <c r="HB938" s="1737"/>
      <c r="HC938" s="808"/>
      <c r="HD938" s="1737"/>
      <c r="HE938" s="808"/>
      <c r="HF938" s="1737"/>
      <c r="HG938" s="808"/>
      <c r="HH938" s="1737"/>
      <c r="HI938" s="808"/>
      <c r="HJ938" s="1737"/>
      <c r="HK938" s="808"/>
      <c r="HL938" s="1737"/>
      <c r="HM938" s="808"/>
      <c r="HN938" s="1737"/>
      <c r="HO938" s="808"/>
      <c r="HP938" s="1737"/>
      <c r="HQ938" s="808"/>
      <c r="HR938" s="1737"/>
      <c r="HS938" s="808"/>
      <c r="HT938" s="1737"/>
      <c r="HU938" s="808"/>
      <c r="HV938" s="1737"/>
      <c r="HW938" s="808"/>
      <c r="HX938" s="1737"/>
      <c r="HY938" s="808"/>
      <c r="HZ938" s="1737"/>
      <c r="IA938" s="808"/>
      <c r="IB938" s="1737"/>
      <c r="IC938" s="808"/>
      <c r="ID938" s="1737"/>
      <c r="IE938" s="808"/>
      <c r="IF938" s="1737"/>
      <c r="IG938" s="808"/>
      <c r="IH938" s="1737"/>
      <c r="II938" s="808"/>
      <c r="IJ938" s="1737"/>
      <c r="IK938" s="808"/>
      <c r="IL938" s="1737"/>
      <c r="IM938" s="808"/>
      <c r="IN938" s="1737"/>
      <c r="IO938" s="808"/>
      <c r="IP938" s="1737"/>
      <c r="IQ938" s="808"/>
      <c r="IR938" s="1737"/>
      <c r="IS938" s="808"/>
      <c r="IT938" s="1737"/>
      <c r="IU938" s="808"/>
      <c r="IV938" s="1737"/>
    </row>
    <row r="939" spans="1:256">
      <c r="A939" s="1860">
        <v>4.2</v>
      </c>
      <c r="B939" s="28" t="s">
        <v>1001</v>
      </c>
      <c r="C939" s="31">
        <v>1900.72</v>
      </c>
      <c r="D939" s="713" t="s">
        <v>1</v>
      </c>
      <c r="E939" s="31">
        <v>18.399999999999999</v>
      </c>
      <c r="F939" s="1864">
        <f t="shared" si="40"/>
        <v>34973.25</v>
      </c>
      <c r="G939" s="1741"/>
    </row>
    <row r="940" spans="1:256">
      <c r="A940" s="1860">
        <v>4.3</v>
      </c>
      <c r="B940" s="28" t="s">
        <v>407</v>
      </c>
      <c r="C940" s="31">
        <v>4191.6000000000004</v>
      </c>
      <c r="D940" s="713" t="s">
        <v>1</v>
      </c>
      <c r="E940" s="31">
        <v>17.46</v>
      </c>
      <c r="F940" s="1864">
        <f t="shared" si="40"/>
        <v>73185.34</v>
      </c>
      <c r="G940" s="1741"/>
    </row>
    <row r="941" spans="1:256">
      <c r="A941" s="1860"/>
      <c r="B941" s="28"/>
      <c r="C941" s="31"/>
      <c r="D941" s="713"/>
      <c r="E941" s="31"/>
      <c r="F941" s="1864">
        <f t="shared" si="40"/>
        <v>0</v>
      </c>
      <c r="G941" s="1741"/>
    </row>
    <row r="942" spans="1:256">
      <c r="A942" s="1867">
        <v>5</v>
      </c>
      <c r="B942" s="1804" t="s">
        <v>486</v>
      </c>
      <c r="C942" s="808"/>
      <c r="D942" s="1804"/>
      <c r="E942" s="1755"/>
      <c r="F942"/>
      <c r="G942" s="1754"/>
      <c r="H942" s="1846"/>
      <c r="I942" s="1754"/>
      <c r="J942" s="1846"/>
      <c r="K942" s="1754"/>
      <c r="L942" s="1846"/>
      <c r="M942" s="1803"/>
      <c r="N942" s="1737"/>
      <c r="O942" s="808"/>
      <c r="P942" s="1737"/>
      <c r="Q942" s="808"/>
      <c r="R942" s="1737"/>
      <c r="S942" s="808"/>
      <c r="T942" s="1737"/>
      <c r="U942" s="808"/>
      <c r="V942" s="1737"/>
      <c r="W942" s="808"/>
      <c r="X942" s="1737"/>
      <c r="Y942" s="808"/>
      <c r="Z942" s="1737"/>
      <c r="AA942" s="808"/>
      <c r="AB942" s="1737"/>
      <c r="AC942" s="808"/>
      <c r="AD942" s="1737"/>
      <c r="AE942" s="808"/>
      <c r="AF942" s="1737"/>
      <c r="AG942" s="808"/>
      <c r="AH942" s="1737"/>
      <c r="AI942" s="808"/>
      <c r="AJ942" s="1737"/>
      <c r="AK942" s="808"/>
      <c r="AL942" s="1737"/>
      <c r="AM942" s="808"/>
      <c r="AN942" s="1737"/>
      <c r="AO942" s="808"/>
      <c r="AP942" s="1737"/>
      <c r="AQ942" s="808"/>
      <c r="AR942" s="1737"/>
      <c r="AS942" s="808"/>
      <c r="AT942" s="1737"/>
      <c r="AU942" s="808"/>
      <c r="AV942" s="1737"/>
      <c r="AW942" s="808"/>
      <c r="AX942" s="1737"/>
      <c r="AY942" s="808"/>
      <c r="AZ942" s="1737"/>
      <c r="BA942" s="808"/>
      <c r="BB942" s="1737"/>
      <c r="BC942" s="808"/>
      <c r="BD942" s="1737"/>
      <c r="BE942" s="808"/>
      <c r="BF942" s="1737"/>
      <c r="BG942" s="808"/>
      <c r="BH942" s="1737"/>
      <c r="BI942" s="808"/>
      <c r="BJ942" s="1737"/>
      <c r="BK942" s="808"/>
      <c r="BL942" s="1737"/>
      <c r="BM942" s="808"/>
      <c r="BN942" s="1737"/>
      <c r="BO942" s="808"/>
      <c r="BP942" s="1737"/>
      <c r="BQ942" s="808"/>
      <c r="BR942" s="1737"/>
      <c r="BS942" s="808"/>
      <c r="BT942" s="1737"/>
      <c r="BU942" s="808"/>
      <c r="BV942" s="1737"/>
      <c r="BW942" s="808"/>
      <c r="BX942" s="1737"/>
      <c r="BY942" s="808"/>
      <c r="BZ942" s="1737"/>
      <c r="CA942" s="808"/>
      <c r="CB942" s="1737"/>
      <c r="CC942" s="808"/>
      <c r="CD942" s="1737"/>
      <c r="CE942" s="808"/>
      <c r="CF942" s="1737"/>
      <c r="CG942" s="808"/>
      <c r="CH942" s="1737"/>
      <c r="CI942" s="808"/>
      <c r="CJ942" s="1737"/>
      <c r="CK942" s="808"/>
      <c r="CL942" s="1737"/>
      <c r="CM942" s="808"/>
      <c r="CN942" s="1737"/>
      <c r="CO942" s="808"/>
      <c r="CP942" s="1737"/>
      <c r="CQ942" s="808"/>
      <c r="CR942" s="1737"/>
      <c r="CS942" s="808"/>
      <c r="CT942" s="1737"/>
      <c r="CU942" s="808"/>
      <c r="CV942" s="1737"/>
      <c r="CW942" s="808"/>
      <c r="CX942" s="1737"/>
      <c r="CY942" s="808"/>
      <c r="CZ942" s="1737"/>
      <c r="DA942" s="808"/>
      <c r="DB942" s="1737"/>
      <c r="DC942" s="808"/>
      <c r="DD942" s="1737"/>
      <c r="DE942" s="808"/>
      <c r="DF942" s="1737"/>
      <c r="DG942" s="808"/>
      <c r="DH942" s="1737"/>
      <c r="DI942" s="808"/>
      <c r="DJ942" s="1737"/>
      <c r="DK942" s="808"/>
      <c r="DL942" s="1737"/>
      <c r="DM942" s="808"/>
      <c r="DN942" s="1737"/>
      <c r="DO942" s="808"/>
      <c r="DP942" s="1737"/>
      <c r="DQ942" s="808"/>
      <c r="DR942" s="1737"/>
      <c r="DS942" s="808"/>
      <c r="DT942" s="1737"/>
      <c r="DU942" s="808"/>
      <c r="DV942" s="1737"/>
      <c r="DW942" s="808"/>
      <c r="DX942" s="1737"/>
      <c r="DY942" s="808"/>
      <c r="DZ942" s="1737"/>
      <c r="EA942" s="808"/>
      <c r="EB942" s="1737"/>
      <c r="EC942" s="808"/>
      <c r="ED942" s="1737"/>
      <c r="EE942" s="808"/>
      <c r="EF942" s="1737"/>
      <c r="EG942" s="808"/>
      <c r="EH942" s="1737"/>
      <c r="EI942" s="808"/>
      <c r="EJ942" s="1737"/>
      <c r="EK942" s="808"/>
      <c r="EL942" s="1737"/>
      <c r="EM942" s="808"/>
      <c r="EN942" s="1737"/>
      <c r="EO942" s="808"/>
      <c r="EP942" s="1737"/>
      <c r="EQ942" s="808"/>
      <c r="ER942" s="1737"/>
      <c r="ES942" s="808"/>
      <c r="ET942" s="1737"/>
      <c r="EU942" s="808"/>
      <c r="EV942" s="1737"/>
      <c r="EW942" s="808"/>
      <c r="EX942" s="1737"/>
      <c r="EY942" s="808"/>
      <c r="EZ942" s="1737"/>
      <c r="FA942" s="808"/>
      <c r="FB942" s="1737"/>
      <c r="FC942" s="808"/>
      <c r="FD942" s="1737"/>
      <c r="FE942" s="808"/>
      <c r="FF942" s="1737"/>
      <c r="FG942" s="808"/>
      <c r="FH942" s="1737"/>
      <c r="FI942" s="808"/>
      <c r="FJ942" s="1737"/>
      <c r="FK942" s="808"/>
      <c r="FL942" s="1737"/>
      <c r="FM942" s="808"/>
      <c r="FN942" s="1737"/>
      <c r="FO942" s="808"/>
      <c r="FP942" s="1737"/>
      <c r="FQ942" s="808"/>
      <c r="FR942" s="1737"/>
      <c r="FS942" s="808"/>
      <c r="FT942" s="1737"/>
      <c r="FU942" s="808"/>
      <c r="FV942" s="1737"/>
      <c r="FW942" s="808"/>
      <c r="FX942" s="1737"/>
      <c r="FY942" s="808"/>
      <c r="FZ942" s="1737"/>
      <c r="GA942" s="808"/>
      <c r="GB942" s="1737"/>
      <c r="GC942" s="808"/>
      <c r="GD942" s="1737"/>
      <c r="GE942" s="808"/>
      <c r="GF942" s="1737"/>
      <c r="GG942" s="808"/>
      <c r="GH942" s="1737"/>
      <c r="GI942" s="808"/>
      <c r="GJ942" s="1737"/>
      <c r="GK942" s="808"/>
      <c r="GL942" s="1737"/>
      <c r="GM942" s="808"/>
      <c r="GN942" s="1737"/>
      <c r="GO942" s="808"/>
      <c r="GP942" s="1737"/>
      <c r="GQ942" s="808"/>
      <c r="GR942" s="1737"/>
      <c r="GS942" s="808"/>
      <c r="GT942" s="1737"/>
      <c r="GU942" s="808"/>
      <c r="GV942" s="1737"/>
      <c r="GW942" s="808"/>
      <c r="GX942" s="1737"/>
      <c r="GY942" s="808"/>
      <c r="GZ942" s="1737"/>
      <c r="HA942" s="808"/>
      <c r="HB942" s="1737"/>
      <c r="HC942" s="808"/>
      <c r="HD942" s="1737"/>
      <c r="HE942" s="808"/>
      <c r="HF942" s="1737"/>
      <c r="HG942" s="808"/>
      <c r="HH942" s="1737"/>
      <c r="HI942" s="808"/>
      <c r="HJ942" s="1737"/>
      <c r="HK942" s="808"/>
      <c r="HL942" s="1737"/>
      <c r="HM942" s="808"/>
      <c r="HN942" s="1737"/>
      <c r="HO942" s="808"/>
      <c r="HP942" s="1737"/>
      <c r="HQ942" s="808"/>
      <c r="HR942" s="1737"/>
      <c r="HS942" s="808"/>
      <c r="HT942" s="1737"/>
      <c r="HU942" s="808"/>
      <c r="HV942" s="1737"/>
      <c r="HW942" s="808"/>
      <c r="HX942" s="1737"/>
      <c r="HY942" s="808"/>
      <c r="HZ942" s="1737"/>
      <c r="IA942" s="808"/>
      <c r="IB942" s="1737"/>
      <c r="IC942" s="808"/>
      <c r="ID942" s="1737"/>
      <c r="IE942" s="808"/>
      <c r="IF942" s="1737"/>
      <c r="IG942" s="808"/>
      <c r="IH942" s="1737"/>
      <c r="II942" s="808"/>
      <c r="IJ942" s="1737"/>
      <c r="IK942" s="808"/>
      <c r="IL942" s="1737"/>
      <c r="IM942" s="808"/>
      <c r="IN942" s="1737"/>
      <c r="IO942" s="808"/>
      <c r="IP942" s="1737"/>
      <c r="IQ942" s="808"/>
      <c r="IR942" s="1737"/>
      <c r="IS942" s="808"/>
      <c r="IT942" s="1737"/>
      <c r="IU942" s="808"/>
      <c r="IV942" s="1737"/>
    </row>
    <row r="943" spans="1:256" s="1739" customFormat="1" ht="25.5">
      <c r="A943" s="1860">
        <v>5.0999999999999996</v>
      </c>
      <c r="B943" s="1053" t="s">
        <v>1506</v>
      </c>
      <c r="C943" s="31">
        <v>3</v>
      </c>
      <c r="D943" s="713" t="s">
        <v>3</v>
      </c>
      <c r="E943" s="32">
        <v>3779.15</v>
      </c>
      <c r="F943" s="1864">
        <f t="shared" ref="F943:F954" si="41">ROUND(C943*E943,2)</f>
        <v>11337.45</v>
      </c>
      <c r="G943" s="510"/>
      <c r="H943" s="842"/>
      <c r="I943" s="842"/>
      <c r="J943" s="842"/>
      <c r="K943" s="842"/>
      <c r="L943" s="842"/>
    </row>
    <row r="944" spans="1:256" s="1739" customFormat="1" ht="25.5">
      <c r="A944" s="1860">
        <v>5.2</v>
      </c>
      <c r="B944" s="1053" t="s">
        <v>1507</v>
      </c>
      <c r="C944" s="31">
        <v>1</v>
      </c>
      <c r="D944" s="713" t="s">
        <v>3</v>
      </c>
      <c r="E944" s="32">
        <v>3584.45</v>
      </c>
      <c r="F944" s="1864">
        <f t="shared" si="41"/>
        <v>3584.45</v>
      </c>
      <c r="G944" s="510"/>
      <c r="H944" s="842"/>
      <c r="I944" s="842"/>
      <c r="J944" s="842"/>
      <c r="K944" s="842"/>
      <c r="L944" s="842"/>
    </row>
    <row r="945" spans="1:256" s="1739" customFormat="1" ht="25.5">
      <c r="A945" s="1860">
        <v>5.3</v>
      </c>
      <c r="B945" s="1053" t="s">
        <v>1508</v>
      </c>
      <c r="C945" s="31">
        <v>3</v>
      </c>
      <c r="D945" s="713" t="s">
        <v>3</v>
      </c>
      <c r="E945" s="32">
        <v>2944.74</v>
      </c>
      <c r="F945" s="1864">
        <f t="shared" si="41"/>
        <v>8834.2199999999993</v>
      </c>
      <c r="G945" s="510"/>
      <c r="H945" s="842"/>
      <c r="I945" s="842"/>
      <c r="J945" s="842"/>
      <c r="K945" s="842"/>
      <c r="L945" s="842"/>
    </row>
    <row r="946" spans="1:256" s="1739" customFormat="1" ht="25.5">
      <c r="A946" s="1860">
        <v>5.4</v>
      </c>
      <c r="B946" s="1053" t="s">
        <v>1200</v>
      </c>
      <c r="C946" s="31">
        <v>3</v>
      </c>
      <c r="D946" s="713" t="s">
        <v>3</v>
      </c>
      <c r="E946" s="32">
        <v>2443.85</v>
      </c>
      <c r="F946" s="1864">
        <f t="shared" si="41"/>
        <v>7331.55</v>
      </c>
      <c r="G946" s="510"/>
      <c r="H946" s="842"/>
      <c r="I946" s="842"/>
      <c r="J946" s="842"/>
      <c r="K946" s="842"/>
      <c r="L946" s="842"/>
    </row>
    <row r="947" spans="1:256" s="1739" customFormat="1" ht="25.5">
      <c r="A947" s="1860">
        <v>5.5</v>
      </c>
      <c r="B947" s="1583" t="s">
        <v>1199</v>
      </c>
      <c r="C947" s="31">
        <v>8</v>
      </c>
      <c r="D947" s="713" t="s">
        <v>3</v>
      </c>
      <c r="E947" s="32">
        <v>2119.35</v>
      </c>
      <c r="F947" s="1864">
        <f t="shared" si="41"/>
        <v>16954.8</v>
      </c>
      <c r="G947" s="510"/>
      <c r="H947" s="842"/>
      <c r="I947" s="842"/>
      <c r="J947" s="842"/>
      <c r="K947" s="842"/>
      <c r="L947" s="842"/>
    </row>
    <row r="948" spans="1:256" s="1739" customFormat="1" ht="25.5">
      <c r="A948" s="1860">
        <v>5.6</v>
      </c>
      <c r="B948" s="1053" t="s">
        <v>1509</v>
      </c>
      <c r="C948" s="31">
        <v>30</v>
      </c>
      <c r="D948" s="713" t="s">
        <v>3</v>
      </c>
      <c r="E948" s="32">
        <v>2750.04</v>
      </c>
      <c r="F948" s="1864">
        <f t="shared" si="41"/>
        <v>82501.2</v>
      </c>
      <c r="G948" s="510"/>
      <c r="H948" s="842"/>
      <c r="I948" s="842"/>
      <c r="J948" s="842"/>
      <c r="K948" s="842"/>
      <c r="L948" s="842"/>
    </row>
    <row r="949" spans="1:256" s="1739" customFormat="1" ht="25.5">
      <c r="A949" s="1860">
        <v>5.7</v>
      </c>
      <c r="B949" s="1053" t="s">
        <v>1510</v>
      </c>
      <c r="C949" s="31">
        <v>3</v>
      </c>
      <c r="D949" s="713" t="s">
        <v>3</v>
      </c>
      <c r="E949" s="32">
        <v>1644.54</v>
      </c>
      <c r="F949" s="1864">
        <f t="shared" si="41"/>
        <v>4933.62</v>
      </c>
      <c r="G949" s="510"/>
      <c r="H949" s="842"/>
      <c r="I949" s="842"/>
      <c r="J949" s="842"/>
      <c r="K949" s="842"/>
      <c r="L949" s="842"/>
    </row>
    <row r="950" spans="1:256" s="1739" customFormat="1">
      <c r="A950" s="1860">
        <v>5.8</v>
      </c>
      <c r="B950" s="1053" t="s">
        <v>1511</v>
      </c>
      <c r="C950" s="31">
        <v>8</v>
      </c>
      <c r="D950" s="713" t="s">
        <v>3</v>
      </c>
      <c r="E950" s="32">
        <v>1449.38</v>
      </c>
      <c r="F950" s="1864">
        <f t="shared" si="41"/>
        <v>11595.04</v>
      </c>
      <c r="G950" s="510"/>
      <c r="H950" s="842"/>
      <c r="I950" s="842"/>
      <c r="J950" s="842"/>
      <c r="K950" s="842"/>
      <c r="L950" s="842"/>
    </row>
    <row r="951" spans="1:256" s="1739" customFormat="1">
      <c r="A951" s="1860">
        <v>5.9</v>
      </c>
      <c r="B951" s="1583" t="s">
        <v>1512</v>
      </c>
      <c r="C951" s="31">
        <v>74</v>
      </c>
      <c r="D951" s="713" t="s">
        <v>3</v>
      </c>
      <c r="E951" s="32">
        <v>1384.48</v>
      </c>
      <c r="F951" s="1864">
        <f t="shared" si="41"/>
        <v>102451.52</v>
      </c>
      <c r="G951" s="510"/>
      <c r="H951" s="842"/>
      <c r="I951" s="842"/>
      <c r="J951" s="842"/>
      <c r="K951" s="842"/>
      <c r="L951" s="842"/>
    </row>
    <row r="952" spans="1:256" s="1739" customFormat="1">
      <c r="A952">
        <v>5.0999999999999996</v>
      </c>
      <c r="B952" s="1800" t="s">
        <v>1201</v>
      </c>
      <c r="C952" s="1800">
        <v>32</v>
      </c>
      <c r="D952" s="1800" t="s">
        <v>3</v>
      </c>
      <c r="E952" s="1800">
        <v>1566.25</v>
      </c>
      <c r="F952">
        <f t="shared" si="41"/>
        <v>50120</v>
      </c>
      <c r="G952" s="510"/>
      <c r="H952" s="842"/>
      <c r="I952" s="842"/>
      <c r="J952" s="842"/>
      <c r="K952" s="842"/>
      <c r="L952" s="842"/>
    </row>
    <row r="953" spans="1:256" s="1739" customFormat="1" ht="25.5">
      <c r="A953" s="1865">
        <v>5.1100000000000003</v>
      </c>
      <c r="B953" s="1053" t="s">
        <v>1513</v>
      </c>
      <c r="C953" s="31">
        <v>1</v>
      </c>
      <c r="D953" s="713" t="s">
        <v>3</v>
      </c>
      <c r="E953" s="32">
        <v>1405.45</v>
      </c>
      <c r="F953" s="1864">
        <f t="shared" si="41"/>
        <v>1405.45</v>
      </c>
      <c r="G953" s="510"/>
      <c r="H953" s="842"/>
      <c r="I953" s="842"/>
      <c r="J953" s="842"/>
      <c r="K953" s="842"/>
      <c r="L953" s="842"/>
    </row>
    <row r="954" spans="1:256" s="1739" customFormat="1">
      <c r="A954" s="1865">
        <v>5.12</v>
      </c>
      <c r="B954" s="1053" t="s">
        <v>487</v>
      </c>
      <c r="C954" s="31">
        <v>51</v>
      </c>
      <c r="D954" s="713" t="s">
        <v>3</v>
      </c>
      <c r="E954" s="1582">
        <v>650</v>
      </c>
      <c r="F954" s="1864">
        <f t="shared" si="41"/>
        <v>33150</v>
      </c>
      <c r="G954" s="510"/>
      <c r="H954" s="842"/>
      <c r="I954" s="842"/>
      <c r="J954" s="842"/>
      <c r="K954" s="842"/>
      <c r="L954" s="842"/>
    </row>
    <row r="955" spans="1:256">
      <c r="A955" s="1860"/>
      <c r="B955" s="28"/>
      <c r="C955" s="31"/>
      <c r="D955" s="713"/>
      <c r="E955" s="31"/>
      <c r="F955" s="1864"/>
      <c r="G955" s="510"/>
    </row>
    <row r="956" spans="1:256">
      <c r="A956" s="1867">
        <v>6</v>
      </c>
      <c r="B956" s="1804" t="s">
        <v>39</v>
      </c>
      <c r="C956" s="808"/>
      <c r="D956" s="1804"/>
      <c r="E956" s="1755"/>
      <c r="F956">
        <f>+ROUND(C956*E956,2)</f>
        <v>0</v>
      </c>
      <c r="G956" s="1754"/>
      <c r="H956" s="1846"/>
      <c r="I956" s="1754"/>
      <c r="J956" s="1846"/>
      <c r="K956" s="1754"/>
      <c r="L956" s="1846"/>
      <c r="M956" s="1803"/>
      <c r="N956" s="1737"/>
      <c r="O956" s="808"/>
      <c r="P956" s="1737"/>
      <c r="Q956" s="808"/>
      <c r="R956" s="1737"/>
      <c r="S956" s="808"/>
      <c r="T956" s="1737"/>
      <c r="U956" s="808"/>
      <c r="V956" s="1737"/>
      <c r="W956" s="808"/>
      <c r="X956" s="1737"/>
      <c r="Y956" s="808"/>
      <c r="Z956" s="1737"/>
      <c r="AA956" s="808"/>
      <c r="AB956" s="1737"/>
      <c r="AC956" s="808"/>
      <c r="AD956" s="1737"/>
      <c r="AE956" s="808"/>
      <c r="AF956" s="1737"/>
      <c r="AG956" s="808"/>
      <c r="AH956" s="1737"/>
      <c r="AI956" s="808"/>
      <c r="AJ956" s="1737"/>
      <c r="AK956" s="808"/>
      <c r="AL956" s="1737"/>
      <c r="AM956" s="808"/>
      <c r="AN956" s="1737"/>
      <c r="AO956" s="808"/>
      <c r="AP956" s="1737"/>
      <c r="AQ956" s="808"/>
      <c r="AR956" s="1737"/>
      <c r="AS956" s="808"/>
      <c r="AT956" s="1737"/>
      <c r="AU956" s="808"/>
      <c r="AV956" s="1737"/>
      <c r="AW956" s="808"/>
      <c r="AX956" s="1737"/>
      <c r="AY956" s="808"/>
      <c r="AZ956" s="1737"/>
      <c r="BA956" s="808"/>
      <c r="BB956" s="1737"/>
      <c r="BC956" s="808"/>
      <c r="BD956" s="1737"/>
      <c r="BE956" s="808"/>
      <c r="BF956" s="1737"/>
      <c r="BG956" s="808"/>
      <c r="BH956" s="1737"/>
      <c r="BI956" s="808"/>
      <c r="BJ956" s="1737"/>
      <c r="BK956" s="808"/>
      <c r="BL956" s="1737"/>
      <c r="BM956" s="808"/>
      <c r="BN956" s="1737"/>
      <c r="BO956" s="808"/>
      <c r="BP956" s="1737"/>
      <c r="BQ956" s="808"/>
      <c r="BR956" s="1737"/>
      <c r="BS956" s="808"/>
      <c r="BT956" s="1737"/>
      <c r="BU956" s="808"/>
      <c r="BV956" s="1737"/>
      <c r="BW956" s="808"/>
      <c r="BX956" s="1737"/>
      <c r="BY956" s="808"/>
      <c r="BZ956" s="1737"/>
      <c r="CA956" s="808"/>
      <c r="CB956" s="1737"/>
      <c r="CC956" s="808"/>
      <c r="CD956" s="1737"/>
      <c r="CE956" s="808"/>
      <c r="CF956" s="1737"/>
      <c r="CG956" s="808"/>
      <c r="CH956" s="1737"/>
      <c r="CI956" s="808"/>
      <c r="CJ956" s="1737"/>
      <c r="CK956" s="808"/>
      <c r="CL956" s="1737"/>
      <c r="CM956" s="808"/>
      <c r="CN956" s="1737"/>
      <c r="CO956" s="808"/>
      <c r="CP956" s="1737"/>
      <c r="CQ956" s="808"/>
      <c r="CR956" s="1737"/>
      <c r="CS956" s="808"/>
      <c r="CT956" s="1737"/>
      <c r="CU956" s="808"/>
      <c r="CV956" s="1737"/>
      <c r="CW956" s="808"/>
      <c r="CX956" s="1737"/>
      <c r="CY956" s="808"/>
      <c r="CZ956" s="1737"/>
      <c r="DA956" s="808"/>
      <c r="DB956" s="1737"/>
      <c r="DC956" s="808"/>
      <c r="DD956" s="1737"/>
      <c r="DE956" s="808"/>
      <c r="DF956" s="1737"/>
      <c r="DG956" s="808"/>
      <c r="DH956" s="1737"/>
      <c r="DI956" s="808"/>
      <c r="DJ956" s="1737"/>
      <c r="DK956" s="808"/>
      <c r="DL956" s="1737"/>
      <c r="DM956" s="808"/>
      <c r="DN956" s="1737"/>
      <c r="DO956" s="808"/>
      <c r="DP956" s="1737"/>
      <c r="DQ956" s="808"/>
      <c r="DR956" s="1737"/>
      <c r="DS956" s="808"/>
      <c r="DT956" s="1737"/>
      <c r="DU956" s="808"/>
      <c r="DV956" s="1737"/>
      <c r="DW956" s="808"/>
      <c r="DX956" s="1737"/>
      <c r="DY956" s="808"/>
      <c r="DZ956" s="1737"/>
      <c r="EA956" s="808"/>
      <c r="EB956" s="1737"/>
      <c r="EC956" s="808"/>
      <c r="ED956" s="1737"/>
      <c r="EE956" s="808"/>
      <c r="EF956" s="1737"/>
      <c r="EG956" s="808"/>
      <c r="EH956" s="1737"/>
      <c r="EI956" s="808"/>
      <c r="EJ956" s="1737"/>
      <c r="EK956" s="808"/>
      <c r="EL956" s="1737"/>
      <c r="EM956" s="808"/>
      <c r="EN956" s="1737"/>
      <c r="EO956" s="808"/>
      <c r="EP956" s="1737"/>
      <c r="EQ956" s="808"/>
      <c r="ER956" s="1737"/>
      <c r="ES956" s="808"/>
      <c r="ET956" s="1737"/>
      <c r="EU956" s="808"/>
      <c r="EV956" s="1737"/>
      <c r="EW956" s="808"/>
      <c r="EX956" s="1737"/>
      <c r="EY956" s="808"/>
      <c r="EZ956" s="1737"/>
      <c r="FA956" s="808"/>
      <c r="FB956" s="1737"/>
      <c r="FC956" s="808"/>
      <c r="FD956" s="1737"/>
      <c r="FE956" s="808"/>
      <c r="FF956" s="1737"/>
      <c r="FG956" s="808"/>
      <c r="FH956" s="1737"/>
      <c r="FI956" s="808"/>
      <c r="FJ956" s="1737"/>
      <c r="FK956" s="808"/>
      <c r="FL956" s="1737"/>
      <c r="FM956" s="808"/>
      <c r="FN956" s="1737"/>
      <c r="FO956" s="808"/>
      <c r="FP956" s="1737"/>
      <c r="FQ956" s="808"/>
      <c r="FR956" s="1737"/>
      <c r="FS956" s="808"/>
      <c r="FT956" s="1737"/>
      <c r="FU956" s="808"/>
      <c r="FV956" s="1737"/>
      <c r="FW956" s="808"/>
      <c r="FX956" s="1737"/>
      <c r="FY956" s="808"/>
      <c r="FZ956" s="1737"/>
      <c r="GA956" s="808"/>
      <c r="GB956" s="1737"/>
      <c r="GC956" s="808"/>
      <c r="GD956" s="1737"/>
      <c r="GE956" s="808"/>
      <c r="GF956" s="1737"/>
      <c r="GG956" s="808"/>
      <c r="GH956" s="1737"/>
      <c r="GI956" s="808"/>
      <c r="GJ956" s="1737"/>
      <c r="GK956" s="808"/>
      <c r="GL956" s="1737"/>
      <c r="GM956" s="808"/>
      <c r="GN956" s="1737"/>
      <c r="GO956" s="808"/>
      <c r="GP956" s="1737"/>
      <c r="GQ956" s="808"/>
      <c r="GR956" s="1737"/>
      <c r="GS956" s="808"/>
      <c r="GT956" s="1737"/>
      <c r="GU956" s="808"/>
      <c r="GV956" s="1737"/>
      <c r="GW956" s="808"/>
      <c r="GX956" s="1737"/>
      <c r="GY956" s="808"/>
      <c r="GZ956" s="1737"/>
      <c r="HA956" s="808"/>
      <c r="HB956" s="1737"/>
      <c r="HC956" s="808"/>
      <c r="HD956" s="1737"/>
      <c r="HE956" s="808"/>
      <c r="HF956" s="1737"/>
      <c r="HG956" s="808"/>
      <c r="HH956" s="1737"/>
      <c r="HI956" s="808"/>
      <c r="HJ956" s="1737"/>
      <c r="HK956" s="808"/>
      <c r="HL956" s="1737"/>
      <c r="HM956" s="808"/>
      <c r="HN956" s="1737"/>
      <c r="HO956" s="808"/>
      <c r="HP956" s="1737"/>
      <c r="HQ956" s="808"/>
      <c r="HR956" s="1737"/>
      <c r="HS956" s="808"/>
      <c r="HT956" s="1737"/>
      <c r="HU956" s="808"/>
      <c r="HV956" s="1737"/>
      <c r="HW956" s="808"/>
      <c r="HX956" s="1737"/>
      <c r="HY956" s="808"/>
      <c r="HZ956" s="1737"/>
      <c r="IA956" s="808"/>
      <c r="IB956" s="1737"/>
      <c r="IC956" s="808"/>
      <c r="ID956" s="1737"/>
      <c r="IE956" s="808"/>
      <c r="IF956" s="1737"/>
      <c r="IG956" s="808"/>
      <c r="IH956" s="1737"/>
      <c r="II956" s="808"/>
      <c r="IJ956" s="1737"/>
      <c r="IK956" s="808"/>
      <c r="IL956" s="1737"/>
      <c r="IM956" s="808"/>
      <c r="IN956" s="1737"/>
      <c r="IO956" s="808"/>
      <c r="IP956" s="1737"/>
      <c r="IQ956" s="808"/>
      <c r="IR956" s="1737"/>
      <c r="IS956" s="808"/>
      <c r="IT956" s="1737"/>
      <c r="IU956" s="808"/>
      <c r="IV956" s="1737"/>
    </row>
    <row r="957" spans="1:256">
      <c r="A957" s="1860">
        <v>6.1</v>
      </c>
      <c r="B957" s="18" t="s">
        <v>2268</v>
      </c>
      <c r="C957" s="31">
        <v>1</v>
      </c>
      <c r="D957" s="713" t="s">
        <v>3</v>
      </c>
      <c r="E957" s="714">
        <v>34444.57</v>
      </c>
      <c r="F957" s="1864">
        <f>+ROUND(C957*E957,2)</f>
        <v>34444.57</v>
      </c>
      <c r="G957" s="510"/>
    </row>
    <row r="958" spans="1:256">
      <c r="A958" s="1860">
        <v>6.2</v>
      </c>
      <c r="B958" s="18" t="s">
        <v>2269</v>
      </c>
      <c r="C958" s="31">
        <v>9</v>
      </c>
      <c r="D958" s="713" t="s">
        <v>3</v>
      </c>
      <c r="E958" s="714">
        <v>27844.6</v>
      </c>
      <c r="F958" s="1864">
        <f>+ROUND(C958*E958,2)</f>
        <v>250601.4</v>
      </c>
      <c r="G958" s="510"/>
    </row>
    <row r="959" spans="1:256">
      <c r="A959" s="1860">
        <v>6.3</v>
      </c>
      <c r="B959" s="18" t="s">
        <v>414</v>
      </c>
      <c r="C959" s="31">
        <v>8</v>
      </c>
      <c r="D959" s="713" t="s">
        <v>3</v>
      </c>
      <c r="E959" s="714">
        <v>3500</v>
      </c>
      <c r="F959" s="1864">
        <f>+ROUND(C959*E959,2)</f>
        <v>28000</v>
      </c>
      <c r="G959" s="510"/>
    </row>
    <row r="960" spans="1:256" ht="7.5" customHeight="1">
      <c r="A960" s="1860"/>
      <c r="B960" s="28"/>
      <c r="C960" s="31"/>
      <c r="D960" s="713"/>
      <c r="E960" s="31"/>
      <c r="F960" s="1864"/>
      <c r="G960" s="510"/>
    </row>
    <row r="961" spans="1:256">
      <c r="A961" s="1867">
        <v>7</v>
      </c>
      <c r="B961" s="1804" t="s">
        <v>2270</v>
      </c>
      <c r="C961" s="808"/>
      <c r="D961" s="1804"/>
      <c r="E961" s="1755"/>
      <c r="F961">
        <f>+ROUND(C961*E961,2)</f>
        <v>0</v>
      </c>
      <c r="G961" s="1754"/>
      <c r="H961" s="1846"/>
      <c r="I961" s="1754"/>
      <c r="J961" s="1846"/>
      <c r="K961" s="1754"/>
      <c r="L961" s="1846"/>
      <c r="M961" s="1803"/>
      <c r="N961" s="1737"/>
      <c r="O961" s="808"/>
      <c r="P961" s="1737"/>
      <c r="Q961" s="808"/>
      <c r="R961" s="1737"/>
      <c r="S961" s="808"/>
      <c r="T961" s="1737"/>
      <c r="U961" s="808"/>
      <c r="V961" s="1737"/>
      <c r="W961" s="808"/>
      <c r="X961" s="1737"/>
      <c r="Y961" s="808"/>
      <c r="Z961" s="1737"/>
      <c r="AA961" s="808"/>
      <c r="AB961" s="1737"/>
      <c r="AC961" s="808"/>
      <c r="AD961" s="1737"/>
      <c r="AE961" s="808"/>
      <c r="AF961" s="1737"/>
      <c r="AG961" s="808"/>
      <c r="AH961" s="1737"/>
      <c r="AI961" s="808"/>
      <c r="AJ961" s="1737"/>
      <c r="AK961" s="808"/>
      <c r="AL961" s="1737"/>
      <c r="AM961" s="808"/>
      <c r="AN961" s="1737"/>
      <c r="AO961" s="808"/>
      <c r="AP961" s="1737"/>
      <c r="AQ961" s="808"/>
      <c r="AR961" s="1737"/>
      <c r="AS961" s="808"/>
      <c r="AT961" s="1737"/>
      <c r="AU961" s="808"/>
      <c r="AV961" s="1737"/>
      <c r="AW961" s="808"/>
      <c r="AX961" s="1737"/>
      <c r="AY961" s="808"/>
      <c r="AZ961" s="1737"/>
      <c r="BA961" s="808"/>
      <c r="BB961" s="1737"/>
      <c r="BC961" s="808"/>
      <c r="BD961" s="1737"/>
      <c r="BE961" s="808"/>
      <c r="BF961" s="1737"/>
      <c r="BG961" s="808"/>
      <c r="BH961" s="1737"/>
      <c r="BI961" s="808"/>
      <c r="BJ961" s="1737"/>
      <c r="BK961" s="808"/>
      <c r="BL961" s="1737"/>
      <c r="BM961" s="808"/>
      <c r="BN961" s="1737"/>
      <c r="BO961" s="808"/>
      <c r="BP961" s="1737"/>
      <c r="BQ961" s="808"/>
      <c r="BR961" s="1737"/>
      <c r="BS961" s="808"/>
      <c r="BT961" s="1737"/>
      <c r="BU961" s="808"/>
      <c r="BV961" s="1737"/>
      <c r="BW961" s="808"/>
      <c r="BX961" s="1737"/>
      <c r="BY961" s="808"/>
      <c r="BZ961" s="1737"/>
      <c r="CA961" s="808"/>
      <c r="CB961" s="1737"/>
      <c r="CC961" s="808"/>
      <c r="CD961" s="1737"/>
      <c r="CE961" s="808"/>
      <c r="CF961" s="1737"/>
      <c r="CG961" s="808"/>
      <c r="CH961" s="1737"/>
      <c r="CI961" s="808"/>
      <c r="CJ961" s="1737"/>
      <c r="CK961" s="808"/>
      <c r="CL961" s="1737"/>
      <c r="CM961" s="808"/>
      <c r="CN961" s="1737"/>
      <c r="CO961" s="808"/>
      <c r="CP961" s="1737"/>
      <c r="CQ961" s="808"/>
      <c r="CR961" s="1737"/>
      <c r="CS961" s="808"/>
      <c r="CT961" s="1737"/>
      <c r="CU961" s="808"/>
      <c r="CV961" s="1737"/>
      <c r="CW961" s="808"/>
      <c r="CX961" s="1737"/>
      <c r="CY961" s="808"/>
      <c r="CZ961" s="1737"/>
      <c r="DA961" s="808"/>
      <c r="DB961" s="1737"/>
      <c r="DC961" s="808"/>
      <c r="DD961" s="1737"/>
      <c r="DE961" s="808"/>
      <c r="DF961" s="1737"/>
      <c r="DG961" s="808"/>
      <c r="DH961" s="1737"/>
      <c r="DI961" s="808"/>
      <c r="DJ961" s="1737"/>
      <c r="DK961" s="808"/>
      <c r="DL961" s="1737"/>
      <c r="DM961" s="808"/>
      <c r="DN961" s="1737"/>
      <c r="DO961" s="808"/>
      <c r="DP961" s="1737"/>
      <c r="DQ961" s="808"/>
      <c r="DR961" s="1737"/>
      <c r="DS961" s="808"/>
      <c r="DT961" s="1737"/>
      <c r="DU961" s="808"/>
      <c r="DV961" s="1737"/>
      <c r="DW961" s="808"/>
      <c r="DX961" s="1737"/>
      <c r="DY961" s="808"/>
      <c r="DZ961" s="1737"/>
      <c r="EA961" s="808"/>
      <c r="EB961" s="1737"/>
      <c r="EC961" s="808"/>
      <c r="ED961" s="1737"/>
      <c r="EE961" s="808"/>
      <c r="EF961" s="1737"/>
      <c r="EG961" s="808"/>
      <c r="EH961" s="1737"/>
      <c r="EI961" s="808"/>
      <c r="EJ961" s="1737"/>
      <c r="EK961" s="808"/>
      <c r="EL961" s="1737"/>
      <c r="EM961" s="808"/>
      <c r="EN961" s="1737"/>
      <c r="EO961" s="808"/>
      <c r="EP961" s="1737"/>
      <c r="EQ961" s="808"/>
      <c r="ER961" s="1737"/>
      <c r="ES961" s="808"/>
      <c r="ET961" s="1737"/>
      <c r="EU961" s="808"/>
      <c r="EV961" s="1737"/>
      <c r="EW961" s="808"/>
      <c r="EX961" s="1737"/>
      <c r="EY961" s="808"/>
      <c r="EZ961" s="1737"/>
      <c r="FA961" s="808"/>
      <c r="FB961" s="1737"/>
      <c r="FC961" s="808"/>
      <c r="FD961" s="1737"/>
      <c r="FE961" s="808"/>
      <c r="FF961" s="1737"/>
      <c r="FG961" s="808"/>
      <c r="FH961" s="1737"/>
      <c r="FI961" s="808"/>
      <c r="FJ961" s="1737"/>
      <c r="FK961" s="808"/>
      <c r="FL961" s="1737"/>
      <c r="FM961" s="808"/>
      <c r="FN961" s="1737"/>
      <c r="FO961" s="808"/>
      <c r="FP961" s="1737"/>
      <c r="FQ961" s="808"/>
      <c r="FR961" s="1737"/>
      <c r="FS961" s="808"/>
      <c r="FT961" s="1737"/>
      <c r="FU961" s="808"/>
      <c r="FV961" s="1737"/>
      <c r="FW961" s="808"/>
      <c r="FX961" s="1737"/>
      <c r="FY961" s="808"/>
      <c r="FZ961" s="1737"/>
      <c r="GA961" s="808"/>
      <c r="GB961" s="1737"/>
      <c r="GC961" s="808"/>
      <c r="GD961" s="1737"/>
      <c r="GE961" s="808"/>
      <c r="GF961" s="1737"/>
      <c r="GG961" s="808"/>
      <c r="GH961" s="1737"/>
      <c r="GI961" s="808"/>
      <c r="GJ961" s="1737"/>
      <c r="GK961" s="808"/>
      <c r="GL961" s="1737"/>
      <c r="GM961" s="808"/>
      <c r="GN961" s="1737"/>
      <c r="GO961" s="808"/>
      <c r="GP961" s="1737"/>
      <c r="GQ961" s="808"/>
      <c r="GR961" s="1737"/>
      <c r="GS961" s="808"/>
      <c r="GT961" s="1737"/>
      <c r="GU961" s="808"/>
      <c r="GV961" s="1737"/>
      <c r="GW961" s="808"/>
      <c r="GX961" s="1737"/>
      <c r="GY961" s="808"/>
      <c r="GZ961" s="1737"/>
      <c r="HA961" s="808"/>
      <c r="HB961" s="1737"/>
      <c r="HC961" s="808"/>
      <c r="HD961" s="1737"/>
      <c r="HE961" s="808"/>
      <c r="HF961" s="1737"/>
      <c r="HG961" s="808"/>
      <c r="HH961" s="1737"/>
      <c r="HI961" s="808"/>
      <c r="HJ961" s="1737"/>
      <c r="HK961" s="808"/>
      <c r="HL961" s="1737"/>
      <c r="HM961" s="808"/>
      <c r="HN961" s="1737"/>
      <c r="HO961" s="808"/>
      <c r="HP961" s="1737"/>
      <c r="HQ961" s="808"/>
      <c r="HR961" s="1737"/>
      <c r="HS961" s="808"/>
      <c r="HT961" s="1737"/>
      <c r="HU961" s="808"/>
      <c r="HV961" s="1737"/>
      <c r="HW961" s="808"/>
      <c r="HX961" s="1737"/>
      <c r="HY961" s="808"/>
      <c r="HZ961" s="1737"/>
      <c r="IA961" s="808"/>
      <c r="IB961" s="1737"/>
      <c r="IC961" s="808"/>
      <c r="ID961" s="1737"/>
      <c r="IE961" s="808"/>
      <c r="IF961" s="1737"/>
      <c r="IG961" s="808"/>
      <c r="IH961" s="1737"/>
      <c r="II961" s="808"/>
      <c r="IJ961" s="1737"/>
      <c r="IK961" s="808"/>
      <c r="IL961" s="1737"/>
      <c r="IM961" s="808"/>
      <c r="IN961" s="1737"/>
      <c r="IO961" s="808"/>
      <c r="IP961" s="1737"/>
      <c r="IQ961" s="808"/>
      <c r="IR961" s="1737"/>
      <c r="IS961" s="808"/>
      <c r="IT961" s="1737"/>
      <c r="IU961" s="808"/>
      <c r="IV961" s="1737"/>
    </row>
    <row r="962" spans="1:256">
      <c r="A962" s="1860">
        <v>7.1</v>
      </c>
      <c r="B962" s="28" t="s">
        <v>2271</v>
      </c>
      <c r="C962" s="31">
        <v>2</v>
      </c>
      <c r="D962" s="713" t="s">
        <v>2272</v>
      </c>
      <c r="E962" s="31">
        <v>149286.32999999999</v>
      </c>
      <c r="F962" s="1864">
        <f>+ROUND(C962*E962,2)</f>
        <v>298572.65999999997</v>
      </c>
      <c r="G962" s="510"/>
    </row>
    <row r="963" spans="1:256" ht="6.75" customHeight="1">
      <c r="A963" s="1860"/>
      <c r="B963" s="28"/>
      <c r="C963" s="31"/>
      <c r="D963" s="713"/>
      <c r="E963" s="31"/>
      <c r="F963" s="1864"/>
      <c r="G963" s="510"/>
    </row>
    <row r="964" spans="1:256">
      <c r="A964" s="1867">
        <v>8</v>
      </c>
      <c r="B964" s="1804" t="s">
        <v>481</v>
      </c>
      <c r="C964" s="808"/>
      <c r="D964" s="1804"/>
      <c r="E964" s="1755"/>
      <c r="F964"/>
      <c r="G964" s="1754"/>
      <c r="H964" s="1846"/>
      <c r="I964" s="1754"/>
      <c r="J964" s="1846"/>
      <c r="K964" s="1754"/>
      <c r="L964" s="1846"/>
      <c r="M964" s="1803"/>
      <c r="N964" s="1737"/>
      <c r="O964" s="808"/>
      <c r="P964" s="1737"/>
      <c r="Q964" s="808"/>
      <c r="R964" s="1737"/>
      <c r="S964" s="808"/>
      <c r="T964" s="1737"/>
      <c r="U964" s="808"/>
      <c r="V964" s="1737"/>
      <c r="W964" s="808"/>
      <c r="X964" s="1737"/>
      <c r="Y964" s="808"/>
      <c r="Z964" s="1737"/>
      <c r="AA964" s="808"/>
      <c r="AB964" s="1737"/>
      <c r="AC964" s="808"/>
      <c r="AD964" s="1737"/>
      <c r="AE964" s="808"/>
      <c r="AF964" s="1737"/>
      <c r="AG964" s="808"/>
      <c r="AH964" s="1737"/>
      <c r="AI964" s="808"/>
      <c r="AJ964" s="1737"/>
      <c r="AK964" s="808"/>
      <c r="AL964" s="1737"/>
      <c r="AM964" s="808"/>
      <c r="AN964" s="1737"/>
      <c r="AO964" s="808"/>
      <c r="AP964" s="1737"/>
      <c r="AQ964" s="808"/>
      <c r="AR964" s="1737"/>
      <c r="AS964" s="808"/>
      <c r="AT964" s="1737"/>
      <c r="AU964" s="808"/>
      <c r="AV964" s="1737"/>
      <c r="AW964" s="808"/>
      <c r="AX964" s="1737"/>
      <c r="AY964" s="808"/>
      <c r="AZ964" s="1737"/>
      <c r="BA964" s="808"/>
      <c r="BB964" s="1737"/>
      <c r="BC964" s="808"/>
      <c r="BD964" s="1737"/>
      <c r="BE964" s="808"/>
      <c r="BF964" s="1737"/>
      <c r="BG964" s="808"/>
      <c r="BH964" s="1737"/>
      <c r="BI964" s="808"/>
      <c r="BJ964" s="1737"/>
      <c r="BK964" s="808"/>
      <c r="BL964" s="1737"/>
      <c r="BM964" s="808"/>
      <c r="BN964" s="1737"/>
      <c r="BO964" s="808"/>
      <c r="BP964" s="1737"/>
      <c r="BQ964" s="808"/>
      <c r="BR964" s="1737"/>
      <c r="BS964" s="808"/>
      <c r="BT964" s="1737"/>
      <c r="BU964" s="808"/>
      <c r="BV964" s="1737"/>
      <c r="BW964" s="808"/>
      <c r="BX964" s="1737"/>
      <c r="BY964" s="808"/>
      <c r="BZ964" s="1737"/>
      <c r="CA964" s="808"/>
      <c r="CB964" s="1737"/>
      <c r="CC964" s="808"/>
      <c r="CD964" s="1737"/>
      <c r="CE964" s="808"/>
      <c r="CF964" s="1737"/>
      <c r="CG964" s="808"/>
      <c r="CH964" s="1737"/>
      <c r="CI964" s="808"/>
      <c r="CJ964" s="1737"/>
      <c r="CK964" s="808"/>
      <c r="CL964" s="1737"/>
      <c r="CM964" s="808"/>
      <c r="CN964" s="1737"/>
      <c r="CO964" s="808"/>
      <c r="CP964" s="1737"/>
      <c r="CQ964" s="808"/>
      <c r="CR964" s="1737"/>
      <c r="CS964" s="808"/>
      <c r="CT964" s="1737"/>
      <c r="CU964" s="808"/>
      <c r="CV964" s="1737"/>
      <c r="CW964" s="808"/>
      <c r="CX964" s="1737"/>
      <c r="CY964" s="808"/>
      <c r="CZ964" s="1737"/>
      <c r="DA964" s="808"/>
      <c r="DB964" s="1737"/>
      <c r="DC964" s="808"/>
      <c r="DD964" s="1737"/>
      <c r="DE964" s="808"/>
      <c r="DF964" s="1737"/>
      <c r="DG964" s="808"/>
      <c r="DH964" s="1737"/>
      <c r="DI964" s="808"/>
      <c r="DJ964" s="1737"/>
      <c r="DK964" s="808"/>
      <c r="DL964" s="1737"/>
      <c r="DM964" s="808"/>
      <c r="DN964" s="1737"/>
      <c r="DO964" s="808"/>
      <c r="DP964" s="1737"/>
      <c r="DQ964" s="808"/>
      <c r="DR964" s="1737"/>
      <c r="DS964" s="808"/>
      <c r="DT964" s="1737"/>
      <c r="DU964" s="808"/>
      <c r="DV964" s="1737"/>
      <c r="DW964" s="808"/>
      <c r="DX964" s="1737"/>
      <c r="DY964" s="808"/>
      <c r="DZ964" s="1737"/>
      <c r="EA964" s="808"/>
      <c r="EB964" s="1737"/>
      <c r="EC964" s="808"/>
      <c r="ED964" s="1737"/>
      <c r="EE964" s="808"/>
      <c r="EF964" s="1737"/>
      <c r="EG964" s="808"/>
      <c r="EH964" s="1737"/>
      <c r="EI964" s="808"/>
      <c r="EJ964" s="1737"/>
      <c r="EK964" s="808"/>
      <c r="EL964" s="1737"/>
      <c r="EM964" s="808"/>
      <c r="EN964" s="1737"/>
      <c r="EO964" s="808"/>
      <c r="EP964" s="1737"/>
      <c r="EQ964" s="808"/>
      <c r="ER964" s="1737"/>
      <c r="ES964" s="808"/>
      <c r="ET964" s="1737"/>
      <c r="EU964" s="808"/>
      <c r="EV964" s="1737"/>
      <c r="EW964" s="808"/>
      <c r="EX964" s="1737"/>
      <c r="EY964" s="808"/>
      <c r="EZ964" s="1737"/>
      <c r="FA964" s="808"/>
      <c r="FB964" s="1737"/>
      <c r="FC964" s="808"/>
      <c r="FD964" s="1737"/>
      <c r="FE964" s="808"/>
      <c r="FF964" s="1737"/>
      <c r="FG964" s="808"/>
      <c r="FH964" s="1737"/>
      <c r="FI964" s="808"/>
      <c r="FJ964" s="1737"/>
      <c r="FK964" s="808"/>
      <c r="FL964" s="1737"/>
      <c r="FM964" s="808"/>
      <c r="FN964" s="1737"/>
      <c r="FO964" s="808"/>
      <c r="FP964" s="1737"/>
      <c r="FQ964" s="808"/>
      <c r="FR964" s="1737"/>
      <c r="FS964" s="808"/>
      <c r="FT964" s="1737"/>
      <c r="FU964" s="808"/>
      <c r="FV964" s="1737"/>
      <c r="FW964" s="808"/>
      <c r="FX964" s="1737"/>
      <c r="FY964" s="808"/>
      <c r="FZ964" s="1737"/>
      <c r="GA964" s="808"/>
      <c r="GB964" s="1737"/>
      <c r="GC964" s="808"/>
      <c r="GD964" s="1737"/>
      <c r="GE964" s="808"/>
      <c r="GF964" s="1737"/>
      <c r="GG964" s="808"/>
      <c r="GH964" s="1737"/>
      <c r="GI964" s="808"/>
      <c r="GJ964" s="1737"/>
      <c r="GK964" s="808"/>
      <c r="GL964" s="1737"/>
      <c r="GM964" s="808"/>
      <c r="GN964" s="1737"/>
      <c r="GO964" s="808"/>
      <c r="GP964" s="1737"/>
      <c r="GQ964" s="808"/>
      <c r="GR964" s="1737"/>
      <c r="GS964" s="808"/>
      <c r="GT964" s="1737"/>
      <c r="GU964" s="808"/>
      <c r="GV964" s="1737"/>
      <c r="GW964" s="808"/>
      <c r="GX964" s="1737"/>
      <c r="GY964" s="808"/>
      <c r="GZ964" s="1737"/>
      <c r="HA964" s="808"/>
      <c r="HB964" s="1737"/>
      <c r="HC964" s="808"/>
      <c r="HD964" s="1737"/>
      <c r="HE964" s="808"/>
      <c r="HF964" s="1737"/>
      <c r="HG964" s="808"/>
      <c r="HH964" s="1737"/>
      <c r="HI964" s="808"/>
      <c r="HJ964" s="1737"/>
      <c r="HK964" s="808"/>
      <c r="HL964" s="1737"/>
      <c r="HM964" s="808"/>
      <c r="HN964" s="1737"/>
      <c r="HO964" s="808"/>
      <c r="HP964" s="1737"/>
      <c r="HQ964" s="808"/>
      <c r="HR964" s="1737"/>
      <c r="HS964" s="808"/>
      <c r="HT964" s="1737"/>
      <c r="HU964" s="808"/>
      <c r="HV964" s="1737"/>
      <c r="HW964" s="808"/>
      <c r="HX964" s="1737"/>
      <c r="HY964" s="808"/>
      <c r="HZ964" s="1737"/>
      <c r="IA964" s="808"/>
      <c r="IB964" s="1737"/>
      <c r="IC964" s="808"/>
      <c r="ID964" s="1737"/>
      <c r="IE964" s="808"/>
      <c r="IF964" s="1737"/>
      <c r="IG964" s="808"/>
      <c r="IH964" s="1737"/>
      <c r="II964" s="808"/>
      <c r="IJ964" s="1737"/>
      <c r="IK964" s="808"/>
      <c r="IL964" s="1737"/>
      <c r="IM964" s="808"/>
      <c r="IN964" s="1737"/>
      <c r="IO964" s="808"/>
      <c r="IP964" s="1737"/>
      <c r="IQ964" s="808"/>
      <c r="IR964" s="1737"/>
      <c r="IS964" s="808"/>
      <c r="IT964" s="1737"/>
      <c r="IU964" s="808"/>
      <c r="IV964" s="1737"/>
    </row>
    <row r="965" spans="1:256" ht="6.75" customHeight="1">
      <c r="A965" s="1860"/>
      <c r="B965" s="1794"/>
      <c r="C965" s="31"/>
      <c r="D965" s="713"/>
      <c r="E965" s="1582"/>
      <c r="F965" s="1864"/>
      <c r="G965" s="510"/>
    </row>
    <row r="966" spans="1:256">
      <c r="A966" s="1860"/>
      <c r="B966" s="654" t="s">
        <v>1866</v>
      </c>
      <c r="C966" s="31"/>
      <c r="D966" s="713"/>
      <c r="E966" s="1582"/>
      <c r="F966" s="1864"/>
      <c r="G966" s="510"/>
    </row>
    <row r="967" spans="1:256" ht="8.25" customHeight="1">
      <c r="A967" s="1860"/>
      <c r="B967" s="1794"/>
      <c r="C967" s="31"/>
      <c r="D967" s="713"/>
      <c r="E967" s="1582"/>
      <c r="F967" s="1864"/>
      <c r="G967" s="510"/>
    </row>
    <row r="968" spans="1:256">
      <c r="A968" s="1867">
        <v>8.1</v>
      </c>
      <c r="B968" s="1804" t="s">
        <v>1867</v>
      </c>
      <c r="C968" s="808"/>
      <c r="D968" s="1804"/>
      <c r="E968" s="1755"/>
      <c r="F968"/>
      <c r="G968" s="1754"/>
      <c r="H968" s="1846"/>
      <c r="I968" s="1754"/>
      <c r="J968" s="1846"/>
      <c r="K968" s="1754"/>
      <c r="L968" s="1846"/>
      <c r="M968" s="1803"/>
      <c r="N968" s="1737"/>
      <c r="O968" s="808"/>
      <c r="P968" s="1737"/>
      <c r="Q968" s="808"/>
      <c r="R968" s="1737"/>
      <c r="S968" s="808"/>
      <c r="T968" s="1737"/>
      <c r="U968" s="808"/>
      <c r="V968" s="1737"/>
      <c r="W968" s="808"/>
      <c r="X968" s="1737"/>
      <c r="Y968" s="808"/>
      <c r="Z968" s="1737"/>
      <c r="AA968" s="808"/>
      <c r="AB968" s="1737"/>
      <c r="AC968" s="808"/>
      <c r="AD968" s="1737"/>
      <c r="AE968" s="808"/>
      <c r="AF968" s="1737"/>
      <c r="AG968" s="808"/>
      <c r="AH968" s="1737"/>
      <c r="AI968" s="808"/>
      <c r="AJ968" s="1737"/>
      <c r="AK968" s="808"/>
      <c r="AL968" s="1737"/>
      <c r="AM968" s="808"/>
      <c r="AN968" s="1737"/>
      <c r="AO968" s="808"/>
      <c r="AP968" s="1737"/>
      <c r="AQ968" s="808"/>
      <c r="AR968" s="1737"/>
      <c r="AS968" s="808"/>
      <c r="AT968" s="1737"/>
      <c r="AU968" s="808"/>
      <c r="AV968" s="1737"/>
      <c r="AW968" s="808"/>
      <c r="AX968" s="1737"/>
      <c r="AY968" s="808"/>
      <c r="AZ968" s="1737"/>
      <c r="BA968" s="808"/>
      <c r="BB968" s="1737"/>
      <c r="BC968" s="808"/>
      <c r="BD968" s="1737"/>
      <c r="BE968" s="808"/>
      <c r="BF968" s="1737"/>
      <c r="BG968" s="808"/>
      <c r="BH968" s="1737"/>
      <c r="BI968" s="808"/>
      <c r="BJ968" s="1737"/>
      <c r="BK968" s="808"/>
      <c r="BL968" s="1737"/>
      <c r="BM968" s="808"/>
      <c r="BN968" s="1737"/>
      <c r="BO968" s="808"/>
      <c r="BP968" s="1737"/>
      <c r="BQ968" s="808"/>
      <c r="BR968" s="1737"/>
      <c r="BS968" s="808"/>
      <c r="BT968" s="1737"/>
      <c r="BU968" s="808"/>
      <c r="BV968" s="1737"/>
      <c r="BW968" s="808"/>
      <c r="BX968" s="1737"/>
      <c r="BY968" s="808"/>
      <c r="BZ968" s="1737"/>
      <c r="CA968" s="808"/>
      <c r="CB968" s="1737"/>
      <c r="CC968" s="808"/>
      <c r="CD968" s="1737"/>
      <c r="CE968" s="808"/>
      <c r="CF968" s="1737"/>
      <c r="CG968" s="808"/>
      <c r="CH968" s="1737"/>
      <c r="CI968" s="808"/>
      <c r="CJ968" s="1737"/>
      <c r="CK968" s="808"/>
      <c r="CL968" s="1737"/>
      <c r="CM968" s="808"/>
      <c r="CN968" s="1737"/>
      <c r="CO968" s="808"/>
      <c r="CP968" s="1737"/>
      <c r="CQ968" s="808"/>
      <c r="CR968" s="1737"/>
      <c r="CS968" s="808"/>
      <c r="CT968" s="1737"/>
      <c r="CU968" s="808"/>
      <c r="CV968" s="1737"/>
      <c r="CW968" s="808"/>
      <c r="CX968" s="1737"/>
      <c r="CY968" s="808"/>
      <c r="CZ968" s="1737"/>
      <c r="DA968" s="808"/>
      <c r="DB968" s="1737"/>
      <c r="DC968" s="808"/>
      <c r="DD968" s="1737"/>
      <c r="DE968" s="808"/>
      <c r="DF968" s="1737"/>
      <c r="DG968" s="808"/>
      <c r="DH968" s="1737"/>
      <c r="DI968" s="808"/>
      <c r="DJ968" s="1737"/>
      <c r="DK968" s="808"/>
      <c r="DL968" s="1737"/>
      <c r="DM968" s="808"/>
      <c r="DN968" s="1737"/>
      <c r="DO968" s="808"/>
      <c r="DP968" s="1737"/>
      <c r="DQ968" s="808"/>
      <c r="DR968" s="1737"/>
      <c r="DS968" s="808"/>
      <c r="DT968" s="1737"/>
      <c r="DU968" s="808"/>
      <c r="DV968" s="1737"/>
      <c r="DW968" s="808"/>
      <c r="DX968" s="1737"/>
      <c r="DY968" s="808"/>
      <c r="DZ968" s="1737"/>
      <c r="EA968" s="808"/>
      <c r="EB968" s="1737"/>
      <c r="EC968" s="808"/>
      <c r="ED968" s="1737"/>
      <c r="EE968" s="808"/>
      <c r="EF968" s="1737"/>
      <c r="EG968" s="808"/>
      <c r="EH968" s="1737"/>
      <c r="EI968" s="808"/>
      <c r="EJ968" s="1737"/>
      <c r="EK968" s="808"/>
      <c r="EL968" s="1737"/>
      <c r="EM968" s="808"/>
      <c r="EN968" s="1737"/>
      <c r="EO968" s="808"/>
      <c r="EP968" s="1737"/>
      <c r="EQ968" s="808"/>
      <c r="ER968" s="1737"/>
      <c r="ES968" s="808"/>
      <c r="ET968" s="1737"/>
      <c r="EU968" s="808"/>
      <c r="EV968" s="1737"/>
      <c r="EW968" s="808"/>
      <c r="EX968" s="1737"/>
      <c r="EY968" s="808"/>
      <c r="EZ968" s="1737"/>
      <c r="FA968" s="808"/>
      <c r="FB968" s="1737"/>
      <c r="FC968" s="808"/>
      <c r="FD968" s="1737"/>
      <c r="FE968" s="808"/>
      <c r="FF968" s="1737"/>
      <c r="FG968" s="808"/>
      <c r="FH968" s="1737"/>
      <c r="FI968" s="808"/>
      <c r="FJ968" s="1737"/>
      <c r="FK968" s="808"/>
      <c r="FL968" s="1737"/>
      <c r="FM968" s="808"/>
      <c r="FN968" s="1737"/>
      <c r="FO968" s="808"/>
      <c r="FP968" s="1737"/>
      <c r="FQ968" s="808"/>
      <c r="FR968" s="1737"/>
      <c r="FS968" s="808"/>
      <c r="FT968" s="1737"/>
      <c r="FU968" s="808"/>
      <c r="FV968" s="1737"/>
      <c r="FW968" s="808"/>
      <c r="FX968" s="1737"/>
      <c r="FY968" s="808"/>
      <c r="FZ968" s="1737"/>
      <c r="GA968" s="808"/>
      <c r="GB968" s="1737"/>
      <c r="GC968" s="808"/>
      <c r="GD968" s="1737"/>
      <c r="GE968" s="808"/>
      <c r="GF968" s="1737"/>
      <c r="GG968" s="808"/>
      <c r="GH968" s="1737"/>
      <c r="GI968" s="808"/>
      <c r="GJ968" s="1737"/>
      <c r="GK968" s="808"/>
      <c r="GL968" s="1737"/>
      <c r="GM968" s="808"/>
      <c r="GN968" s="1737"/>
      <c r="GO968" s="808"/>
      <c r="GP968" s="1737"/>
      <c r="GQ968" s="808"/>
      <c r="GR968" s="1737"/>
      <c r="GS968" s="808"/>
      <c r="GT968" s="1737"/>
      <c r="GU968" s="808"/>
      <c r="GV968" s="1737"/>
      <c r="GW968" s="808"/>
      <c r="GX968" s="1737"/>
      <c r="GY968" s="808"/>
      <c r="GZ968" s="1737"/>
      <c r="HA968" s="808"/>
      <c r="HB968" s="1737"/>
      <c r="HC968" s="808"/>
      <c r="HD968" s="1737"/>
      <c r="HE968" s="808"/>
      <c r="HF968" s="1737"/>
      <c r="HG968" s="808"/>
      <c r="HH968" s="1737"/>
      <c r="HI968" s="808"/>
      <c r="HJ968" s="1737"/>
      <c r="HK968" s="808"/>
      <c r="HL968" s="1737"/>
      <c r="HM968" s="808"/>
      <c r="HN968" s="1737"/>
      <c r="HO968" s="808"/>
      <c r="HP968" s="1737"/>
      <c r="HQ968" s="808"/>
      <c r="HR968" s="1737"/>
      <c r="HS968" s="808"/>
      <c r="HT968" s="1737"/>
      <c r="HU968" s="808"/>
      <c r="HV968" s="1737"/>
      <c r="HW968" s="808"/>
      <c r="HX968" s="1737"/>
      <c r="HY968" s="808"/>
      <c r="HZ968" s="1737"/>
      <c r="IA968" s="808"/>
      <c r="IB968" s="1737"/>
      <c r="IC968" s="808"/>
      <c r="ID968" s="1737"/>
      <c r="IE968" s="808"/>
      <c r="IF968" s="1737"/>
      <c r="IG968" s="808"/>
      <c r="IH968" s="1737"/>
      <c r="II968" s="808"/>
      <c r="IJ968" s="1737"/>
      <c r="IK968" s="808"/>
      <c r="IL968" s="1737"/>
      <c r="IM968" s="808"/>
      <c r="IN968" s="1737"/>
      <c r="IO968" s="808"/>
      <c r="IP968" s="1737"/>
      <c r="IQ968" s="808"/>
      <c r="IR968" s="1737"/>
      <c r="IS968" s="808"/>
      <c r="IT968" s="1737"/>
      <c r="IU968" s="808"/>
      <c r="IV968" s="1737"/>
    </row>
    <row r="969" spans="1:256">
      <c r="A969" s="1896" t="s">
        <v>493</v>
      </c>
      <c r="B969" s="522" t="s">
        <v>48</v>
      </c>
      <c r="C969" s="31">
        <v>32</v>
      </c>
      <c r="D969" s="713" t="s">
        <v>3</v>
      </c>
      <c r="E969" s="1582">
        <v>230.1</v>
      </c>
      <c r="F969" s="1864">
        <f t="shared" ref="F969:F982" si="42">ROUND(C969*E969,2)</f>
        <v>7363.2</v>
      </c>
      <c r="G969" s="510"/>
    </row>
    <row r="970" spans="1:256" ht="25.5">
      <c r="A970" t="s">
        <v>494</v>
      </c>
      <c r="B970" s="745" t="s">
        <v>53</v>
      </c>
      <c r="C970" s="31">
        <v>192</v>
      </c>
      <c r="D970" s="713" t="s">
        <v>1</v>
      </c>
      <c r="E970" s="1582">
        <v>28.32</v>
      </c>
      <c r="F970" s="1864">
        <f t="shared" si="42"/>
        <v>5437.44</v>
      </c>
      <c r="G970" s="510"/>
    </row>
    <row r="971" spans="1:256">
      <c r="A971" s="1896" t="s">
        <v>495</v>
      </c>
      <c r="B971" s="522" t="s">
        <v>49</v>
      </c>
      <c r="C971" s="31">
        <v>32</v>
      </c>
      <c r="D971" s="713" t="s">
        <v>3</v>
      </c>
      <c r="E971" s="1582">
        <v>53.1</v>
      </c>
      <c r="F971" s="1864">
        <f t="shared" si="42"/>
        <v>1699.2</v>
      </c>
      <c r="G971" s="510"/>
    </row>
    <row r="972" spans="1:256">
      <c r="A972" s="1896" t="s">
        <v>496</v>
      </c>
      <c r="B972" s="522" t="s">
        <v>474</v>
      </c>
      <c r="C972" s="31">
        <v>32</v>
      </c>
      <c r="D972" s="713" t="s">
        <v>3</v>
      </c>
      <c r="E972" s="1582">
        <v>23.6</v>
      </c>
      <c r="F972" s="1864">
        <f t="shared" si="42"/>
        <v>755.2</v>
      </c>
      <c r="G972" s="510"/>
    </row>
    <row r="973" spans="1:256">
      <c r="A973" s="1896" t="s">
        <v>497</v>
      </c>
      <c r="B973" s="522" t="s">
        <v>55</v>
      </c>
      <c r="C973" s="31">
        <v>32</v>
      </c>
      <c r="D973" s="713" t="s">
        <v>3</v>
      </c>
      <c r="E973" s="1582">
        <v>84.53</v>
      </c>
      <c r="F973" s="1864">
        <f t="shared" si="42"/>
        <v>2704.96</v>
      </c>
      <c r="G973" s="510"/>
    </row>
    <row r="974" spans="1:256">
      <c r="A974" s="1896" t="s">
        <v>498</v>
      </c>
      <c r="B974" s="522" t="s">
        <v>475</v>
      </c>
      <c r="C974" s="31">
        <v>32</v>
      </c>
      <c r="D974" s="713" t="s">
        <v>3</v>
      </c>
      <c r="E974" s="1582">
        <v>265.5</v>
      </c>
      <c r="F974" s="1864">
        <f t="shared" si="42"/>
        <v>8496</v>
      </c>
      <c r="G974" s="510"/>
    </row>
    <row r="975" spans="1:256">
      <c r="A975" s="1896" t="s">
        <v>499</v>
      </c>
      <c r="B975" s="522" t="s">
        <v>476</v>
      </c>
      <c r="C975" s="31">
        <v>32</v>
      </c>
      <c r="D975" s="713" t="s">
        <v>3</v>
      </c>
      <c r="E975" s="1582">
        <v>35.4</v>
      </c>
      <c r="F975" s="1864">
        <f t="shared" si="42"/>
        <v>1132.8</v>
      </c>
      <c r="G975" s="510"/>
    </row>
    <row r="976" spans="1:256">
      <c r="A976" s="1896" t="s">
        <v>500</v>
      </c>
      <c r="B976" s="522" t="s">
        <v>477</v>
      </c>
      <c r="C976" s="31">
        <v>32</v>
      </c>
      <c r="D976" s="713" t="s">
        <v>3</v>
      </c>
      <c r="E976" s="1582">
        <v>17.7</v>
      </c>
      <c r="F976" s="1864">
        <f t="shared" si="42"/>
        <v>566.4</v>
      </c>
      <c r="G976" s="510"/>
    </row>
    <row r="977" spans="1:256">
      <c r="A977" s="1896" t="s">
        <v>501</v>
      </c>
      <c r="B977" s="522" t="s">
        <v>478</v>
      </c>
      <c r="C977" s="31">
        <v>32</v>
      </c>
      <c r="D977" s="713" t="s">
        <v>3</v>
      </c>
      <c r="E977" s="1582">
        <v>239.92</v>
      </c>
      <c r="F977" s="1864">
        <f t="shared" si="42"/>
        <v>7677.44</v>
      </c>
      <c r="G977" s="510"/>
    </row>
    <row r="978" spans="1:256">
      <c r="A978" s="1896" t="s">
        <v>502</v>
      </c>
      <c r="B978" s="522" t="s">
        <v>479</v>
      </c>
      <c r="C978" s="31">
        <v>32</v>
      </c>
      <c r="D978" s="713" t="s">
        <v>3</v>
      </c>
      <c r="E978" s="1582">
        <v>200</v>
      </c>
      <c r="F978" s="1864">
        <f t="shared" si="42"/>
        <v>6400</v>
      </c>
      <c r="G978" s="510"/>
    </row>
    <row r="979" spans="1:256">
      <c r="A979" s="1896" t="s">
        <v>503</v>
      </c>
      <c r="B979" s="522" t="s">
        <v>50</v>
      </c>
      <c r="C979" s="31">
        <v>32</v>
      </c>
      <c r="D979" s="713" t="s">
        <v>3</v>
      </c>
      <c r="E979" s="1582">
        <v>15</v>
      </c>
      <c r="F979" s="1864">
        <f t="shared" si="42"/>
        <v>480</v>
      </c>
      <c r="G979" s="510"/>
    </row>
    <row r="980" spans="1:256">
      <c r="A980" s="1896" t="s">
        <v>504</v>
      </c>
      <c r="B980" s="522" t="s">
        <v>51</v>
      </c>
      <c r="C980" s="31">
        <v>63.36</v>
      </c>
      <c r="D980" s="713" t="s">
        <v>2</v>
      </c>
      <c r="E980" s="1582">
        <v>406.79</v>
      </c>
      <c r="F980" s="1864">
        <f t="shared" si="42"/>
        <v>25774.21</v>
      </c>
      <c r="G980" s="510"/>
    </row>
    <row r="981" spans="1:256">
      <c r="A981" s="1896" t="s">
        <v>505</v>
      </c>
      <c r="B981" s="522" t="s">
        <v>457</v>
      </c>
      <c r="C981" s="31">
        <v>32</v>
      </c>
      <c r="D981" s="713" t="s">
        <v>3</v>
      </c>
      <c r="E981" s="1755">
        <v>280</v>
      </c>
      <c r="F981" s="1864">
        <f t="shared" si="42"/>
        <v>8960</v>
      </c>
      <c r="G981" s="510"/>
    </row>
    <row r="982" spans="1:256">
      <c r="A982" s="1896" t="s">
        <v>1872</v>
      </c>
      <c r="B982" s="522" t="s">
        <v>52</v>
      </c>
      <c r="C982" s="31">
        <v>32</v>
      </c>
      <c r="D982" s="713" t="s">
        <v>3</v>
      </c>
      <c r="E982" s="1582">
        <v>200</v>
      </c>
      <c r="F982" s="1864">
        <f t="shared" si="42"/>
        <v>6400</v>
      </c>
      <c r="G982" s="510"/>
    </row>
    <row r="983" spans="1:256">
      <c r="A983" s="1855"/>
      <c r="B983" s="522"/>
      <c r="C983" s="31"/>
      <c r="D983" s="713"/>
      <c r="E983" s="1582"/>
      <c r="F983" s="1864"/>
      <c r="G983" s="510"/>
    </row>
    <row r="984" spans="1:256">
      <c r="A984" s="1867">
        <v>8.1999999999999993</v>
      </c>
      <c r="B984" s="1804" t="s">
        <v>1870</v>
      </c>
      <c r="C984" s="808"/>
      <c r="D984" s="1804"/>
      <c r="E984" s="1755"/>
      <c r="F984"/>
      <c r="G984" s="1754"/>
      <c r="H984" s="1846"/>
      <c r="I984" s="1754"/>
      <c r="J984" s="1846"/>
      <c r="K984" s="1754"/>
      <c r="L984" s="1846"/>
      <c r="M984" s="1803"/>
      <c r="N984" s="1737"/>
      <c r="O984" s="808"/>
      <c r="P984" s="1737"/>
      <c r="Q984" s="808"/>
      <c r="R984" s="1737"/>
      <c r="S984" s="808"/>
      <c r="T984" s="1737"/>
      <c r="U984" s="808"/>
      <c r="V984" s="1737"/>
      <c r="W984" s="808"/>
      <c r="X984" s="1737"/>
      <c r="Y984" s="808"/>
      <c r="Z984" s="1737"/>
      <c r="AA984" s="808"/>
      <c r="AB984" s="1737"/>
      <c r="AC984" s="808"/>
      <c r="AD984" s="1737"/>
      <c r="AE984" s="808"/>
      <c r="AF984" s="1737"/>
      <c r="AG984" s="808"/>
      <c r="AH984" s="1737"/>
      <c r="AI984" s="808"/>
      <c r="AJ984" s="1737"/>
      <c r="AK984" s="808"/>
      <c r="AL984" s="1737"/>
      <c r="AM984" s="808"/>
      <c r="AN984" s="1737"/>
      <c r="AO984" s="808"/>
      <c r="AP984" s="1737"/>
      <c r="AQ984" s="808"/>
      <c r="AR984" s="1737"/>
      <c r="AS984" s="808"/>
      <c r="AT984" s="1737"/>
      <c r="AU984" s="808"/>
      <c r="AV984" s="1737"/>
      <c r="AW984" s="808"/>
      <c r="AX984" s="1737"/>
      <c r="AY984" s="808"/>
      <c r="AZ984" s="1737"/>
      <c r="BA984" s="808"/>
      <c r="BB984" s="1737"/>
      <c r="BC984" s="808"/>
      <c r="BD984" s="1737"/>
      <c r="BE984" s="808"/>
      <c r="BF984" s="1737"/>
      <c r="BG984" s="808"/>
      <c r="BH984" s="1737"/>
      <c r="BI984" s="808"/>
      <c r="BJ984" s="1737"/>
      <c r="BK984" s="808"/>
      <c r="BL984" s="1737"/>
      <c r="BM984" s="808"/>
      <c r="BN984" s="1737"/>
      <c r="BO984" s="808"/>
      <c r="BP984" s="1737"/>
      <c r="BQ984" s="808"/>
      <c r="BR984" s="1737"/>
      <c r="BS984" s="808"/>
      <c r="BT984" s="1737"/>
      <c r="BU984" s="808"/>
      <c r="BV984" s="1737"/>
      <c r="BW984" s="808"/>
      <c r="BX984" s="1737"/>
      <c r="BY984" s="808"/>
      <c r="BZ984" s="1737"/>
      <c r="CA984" s="808"/>
      <c r="CB984" s="1737"/>
      <c r="CC984" s="808"/>
      <c r="CD984" s="1737"/>
      <c r="CE984" s="808"/>
      <c r="CF984" s="1737"/>
      <c r="CG984" s="808"/>
      <c r="CH984" s="1737"/>
      <c r="CI984" s="808"/>
      <c r="CJ984" s="1737"/>
      <c r="CK984" s="808"/>
      <c r="CL984" s="1737"/>
      <c r="CM984" s="808"/>
      <c r="CN984" s="1737"/>
      <c r="CO984" s="808"/>
      <c r="CP984" s="1737"/>
      <c r="CQ984" s="808"/>
      <c r="CR984" s="1737"/>
      <c r="CS984" s="808"/>
      <c r="CT984" s="1737"/>
      <c r="CU984" s="808"/>
      <c r="CV984" s="1737"/>
      <c r="CW984" s="808"/>
      <c r="CX984" s="1737"/>
      <c r="CY984" s="808"/>
      <c r="CZ984" s="1737"/>
      <c r="DA984" s="808"/>
      <c r="DB984" s="1737"/>
      <c r="DC984" s="808"/>
      <c r="DD984" s="1737"/>
      <c r="DE984" s="808"/>
      <c r="DF984" s="1737"/>
      <c r="DG984" s="808"/>
      <c r="DH984" s="1737"/>
      <c r="DI984" s="808"/>
      <c r="DJ984" s="1737"/>
      <c r="DK984" s="808"/>
      <c r="DL984" s="1737"/>
      <c r="DM984" s="808"/>
      <c r="DN984" s="1737"/>
      <c r="DO984" s="808"/>
      <c r="DP984" s="1737"/>
      <c r="DQ984" s="808"/>
      <c r="DR984" s="1737"/>
      <c r="DS984" s="808"/>
      <c r="DT984" s="1737"/>
      <c r="DU984" s="808"/>
      <c r="DV984" s="1737"/>
      <c r="DW984" s="808"/>
      <c r="DX984" s="1737"/>
      <c r="DY984" s="808"/>
      <c r="DZ984" s="1737"/>
      <c r="EA984" s="808"/>
      <c r="EB984" s="1737"/>
      <c r="EC984" s="808"/>
      <c r="ED984" s="1737"/>
      <c r="EE984" s="808"/>
      <c r="EF984" s="1737"/>
      <c r="EG984" s="808"/>
      <c r="EH984" s="1737"/>
      <c r="EI984" s="808"/>
      <c r="EJ984" s="1737"/>
      <c r="EK984" s="808"/>
      <c r="EL984" s="1737"/>
      <c r="EM984" s="808"/>
      <c r="EN984" s="1737"/>
      <c r="EO984" s="808"/>
      <c r="EP984" s="1737"/>
      <c r="EQ984" s="808"/>
      <c r="ER984" s="1737"/>
      <c r="ES984" s="808"/>
      <c r="ET984" s="1737"/>
      <c r="EU984" s="808"/>
      <c r="EV984" s="1737"/>
      <c r="EW984" s="808"/>
      <c r="EX984" s="1737"/>
      <c r="EY984" s="808"/>
      <c r="EZ984" s="1737"/>
      <c r="FA984" s="808"/>
      <c r="FB984" s="1737"/>
      <c r="FC984" s="808"/>
      <c r="FD984" s="1737"/>
      <c r="FE984" s="808"/>
      <c r="FF984" s="1737"/>
      <c r="FG984" s="808"/>
      <c r="FH984" s="1737"/>
      <c r="FI984" s="808"/>
      <c r="FJ984" s="1737"/>
      <c r="FK984" s="808"/>
      <c r="FL984" s="1737"/>
      <c r="FM984" s="808"/>
      <c r="FN984" s="1737"/>
      <c r="FO984" s="808"/>
      <c r="FP984" s="1737"/>
      <c r="FQ984" s="808"/>
      <c r="FR984" s="1737"/>
      <c r="FS984" s="808"/>
      <c r="FT984" s="1737"/>
      <c r="FU984" s="808"/>
      <c r="FV984" s="1737"/>
      <c r="FW984" s="808"/>
      <c r="FX984" s="1737"/>
      <c r="FY984" s="808"/>
      <c r="FZ984" s="1737"/>
      <c r="GA984" s="808"/>
      <c r="GB984" s="1737"/>
      <c r="GC984" s="808"/>
      <c r="GD984" s="1737"/>
      <c r="GE984" s="808"/>
      <c r="GF984" s="1737"/>
      <c r="GG984" s="808"/>
      <c r="GH984" s="1737"/>
      <c r="GI984" s="808"/>
      <c r="GJ984" s="1737"/>
      <c r="GK984" s="808"/>
      <c r="GL984" s="1737"/>
      <c r="GM984" s="808"/>
      <c r="GN984" s="1737"/>
      <c r="GO984" s="808"/>
      <c r="GP984" s="1737"/>
      <c r="GQ984" s="808"/>
      <c r="GR984" s="1737"/>
      <c r="GS984" s="808"/>
      <c r="GT984" s="1737"/>
      <c r="GU984" s="808"/>
      <c r="GV984" s="1737"/>
      <c r="GW984" s="808"/>
      <c r="GX984" s="1737"/>
      <c r="GY984" s="808"/>
      <c r="GZ984" s="1737"/>
      <c r="HA984" s="808"/>
      <c r="HB984" s="1737"/>
      <c r="HC984" s="808"/>
      <c r="HD984" s="1737"/>
      <c r="HE984" s="808"/>
      <c r="HF984" s="1737"/>
      <c r="HG984" s="808"/>
      <c r="HH984" s="1737"/>
      <c r="HI984" s="808"/>
      <c r="HJ984" s="1737"/>
      <c r="HK984" s="808"/>
      <c r="HL984" s="1737"/>
      <c r="HM984" s="808"/>
      <c r="HN984" s="1737"/>
      <c r="HO984" s="808"/>
      <c r="HP984" s="1737"/>
      <c r="HQ984" s="808"/>
      <c r="HR984" s="1737"/>
      <c r="HS984" s="808"/>
      <c r="HT984" s="1737"/>
      <c r="HU984" s="808"/>
      <c r="HV984" s="1737"/>
      <c r="HW984" s="808"/>
      <c r="HX984" s="1737"/>
      <c r="HY984" s="808"/>
      <c r="HZ984" s="1737"/>
      <c r="IA984" s="808"/>
      <c r="IB984" s="1737"/>
      <c r="IC984" s="808"/>
      <c r="ID984" s="1737"/>
      <c r="IE984" s="808"/>
      <c r="IF984" s="1737"/>
      <c r="IG984" s="808"/>
      <c r="IH984" s="1737"/>
      <c r="II984" s="808"/>
      <c r="IJ984" s="1737"/>
      <c r="IK984" s="808"/>
      <c r="IL984" s="1737"/>
      <c r="IM984" s="808"/>
      <c r="IN984" s="1737"/>
      <c r="IO984" s="808"/>
      <c r="IP984" s="1737"/>
      <c r="IQ984" s="808"/>
      <c r="IR984" s="1737"/>
      <c r="IS984" s="808"/>
      <c r="IT984" s="1737"/>
      <c r="IU984" s="808"/>
      <c r="IV984" s="1737"/>
    </row>
    <row r="985" spans="1:256">
      <c r="A985" s="1896" t="s">
        <v>506</v>
      </c>
      <c r="B985" s="522" t="s">
        <v>48</v>
      </c>
      <c r="C985" s="31">
        <v>38</v>
      </c>
      <c r="D985" s="713" t="s">
        <v>3</v>
      </c>
      <c r="E985" s="1582">
        <v>286.36</v>
      </c>
      <c r="F985" s="1864">
        <f t="shared" ref="F985:F998" si="43">ROUND(C985*E985,2)</f>
        <v>10881.68</v>
      </c>
      <c r="G985" s="510"/>
    </row>
    <row r="986" spans="1:256" s="1739" customFormat="1" ht="25.5">
      <c r="A986" t="s">
        <v>507</v>
      </c>
      <c r="B986" s="745" t="s">
        <v>53</v>
      </c>
      <c r="C986" s="31">
        <v>228</v>
      </c>
      <c r="D986" s="713" t="s">
        <v>1</v>
      </c>
      <c r="E986" s="1582">
        <v>28.32</v>
      </c>
      <c r="F986" s="1864">
        <f t="shared" si="43"/>
        <v>6456.96</v>
      </c>
      <c r="G986" s="510"/>
      <c r="H986" s="842"/>
      <c r="I986" s="842"/>
      <c r="J986" s="842"/>
      <c r="K986" s="842"/>
      <c r="L986" s="842"/>
    </row>
    <row r="987" spans="1:256">
      <c r="A987" s="1896" t="s">
        <v>508</v>
      </c>
      <c r="B987" s="522" t="s">
        <v>49</v>
      </c>
      <c r="C987" s="31">
        <v>38</v>
      </c>
      <c r="D987" s="713" t="s">
        <v>3</v>
      </c>
      <c r="E987" s="1582">
        <v>53.1</v>
      </c>
      <c r="F987" s="1864">
        <f t="shared" si="43"/>
        <v>2017.8</v>
      </c>
      <c r="G987" s="510"/>
    </row>
    <row r="988" spans="1:256">
      <c r="A988" s="1896" t="s">
        <v>509</v>
      </c>
      <c r="B988" s="522" t="s">
        <v>474</v>
      </c>
      <c r="C988" s="31">
        <v>38</v>
      </c>
      <c r="D988" s="713" t="s">
        <v>3</v>
      </c>
      <c r="E988" s="1582">
        <v>23.6</v>
      </c>
      <c r="F988" s="1864">
        <f t="shared" si="43"/>
        <v>896.8</v>
      </c>
      <c r="G988" s="510"/>
    </row>
    <row r="989" spans="1:256">
      <c r="A989" s="1896" t="s">
        <v>510</v>
      </c>
      <c r="B989" s="522" t="s">
        <v>55</v>
      </c>
      <c r="C989" s="31">
        <v>38</v>
      </c>
      <c r="D989" s="713" t="s">
        <v>3</v>
      </c>
      <c r="E989" s="1582">
        <v>84.53</v>
      </c>
      <c r="F989" s="1864">
        <f t="shared" si="43"/>
        <v>3212.14</v>
      </c>
      <c r="G989" s="510"/>
    </row>
    <row r="990" spans="1:256">
      <c r="A990" s="1896" t="s">
        <v>511</v>
      </c>
      <c r="B990" s="522" t="s">
        <v>475</v>
      </c>
      <c r="C990" s="31">
        <v>38</v>
      </c>
      <c r="D990" s="713" t="s">
        <v>3</v>
      </c>
      <c r="E990" s="1582">
        <v>265.5</v>
      </c>
      <c r="F990" s="1864">
        <f t="shared" si="43"/>
        <v>10089</v>
      </c>
      <c r="G990" s="510"/>
    </row>
    <row r="991" spans="1:256">
      <c r="A991" s="1896" t="s">
        <v>512</v>
      </c>
      <c r="B991" s="522" t="s">
        <v>476</v>
      </c>
      <c r="C991" s="31">
        <v>38</v>
      </c>
      <c r="D991" s="713" t="s">
        <v>3</v>
      </c>
      <c r="E991" s="1582">
        <v>35.4</v>
      </c>
      <c r="F991" s="1864">
        <f t="shared" si="43"/>
        <v>1345.2</v>
      </c>
      <c r="G991" s="510"/>
    </row>
    <row r="992" spans="1:256">
      <c r="A992" s="1896" t="s">
        <v>513</v>
      </c>
      <c r="B992" s="522" t="s">
        <v>477</v>
      </c>
      <c r="C992" s="31">
        <v>38</v>
      </c>
      <c r="D992" s="713" t="s">
        <v>3</v>
      </c>
      <c r="E992" s="1582">
        <v>17.7</v>
      </c>
      <c r="F992" s="1864">
        <f t="shared" si="43"/>
        <v>672.6</v>
      </c>
      <c r="G992" s="510"/>
    </row>
    <row r="993" spans="1:256">
      <c r="A993" s="1896" t="s">
        <v>514</v>
      </c>
      <c r="B993" s="522" t="s">
        <v>478</v>
      </c>
      <c r="C993" s="31">
        <v>38</v>
      </c>
      <c r="D993" s="713" t="s">
        <v>3</v>
      </c>
      <c r="E993" s="1582">
        <v>239.92</v>
      </c>
      <c r="F993" s="1864">
        <f t="shared" si="43"/>
        <v>9116.9599999999991</v>
      </c>
      <c r="G993" s="510"/>
    </row>
    <row r="994" spans="1:256">
      <c r="A994" s="1896" t="s">
        <v>515</v>
      </c>
      <c r="B994" s="522" t="s">
        <v>479</v>
      </c>
      <c r="C994" s="31">
        <v>38</v>
      </c>
      <c r="D994" s="713" t="s">
        <v>3</v>
      </c>
      <c r="E994" s="1582">
        <v>200</v>
      </c>
      <c r="F994" s="1864">
        <f t="shared" si="43"/>
        <v>7600</v>
      </c>
      <c r="G994" s="510"/>
    </row>
    <row r="995" spans="1:256">
      <c r="A995" t="s">
        <v>516</v>
      </c>
      <c r="B995" s="522" t="s">
        <v>50</v>
      </c>
      <c r="C995" s="1794">
        <v>38</v>
      </c>
      <c r="D995" s="1794" t="s">
        <v>3</v>
      </c>
      <c r="E995" s="1794">
        <v>15</v>
      </c>
      <c r="F995" s="1856">
        <f t="shared" si="43"/>
        <v>570</v>
      </c>
      <c r="G995" s="510"/>
    </row>
    <row r="996" spans="1:256">
      <c r="A996" s="1896" t="s">
        <v>517</v>
      </c>
      <c r="B996" s="522" t="s">
        <v>51</v>
      </c>
      <c r="C996" s="31">
        <v>75.239999999999995</v>
      </c>
      <c r="D996" s="713" t="s">
        <v>2</v>
      </c>
      <c r="E996" s="1582">
        <v>406.79</v>
      </c>
      <c r="F996" s="1864">
        <f t="shared" si="43"/>
        <v>30606.880000000001</v>
      </c>
      <c r="G996" s="510"/>
    </row>
    <row r="997" spans="1:256">
      <c r="A997" s="1896" t="s">
        <v>518</v>
      </c>
      <c r="B997" s="522" t="s">
        <v>457</v>
      </c>
      <c r="C997" s="31">
        <v>38</v>
      </c>
      <c r="D997" s="713" t="s">
        <v>3</v>
      </c>
      <c r="E997" s="1755">
        <v>280</v>
      </c>
      <c r="F997" s="1864">
        <f t="shared" si="43"/>
        <v>10640</v>
      </c>
      <c r="G997" s="510"/>
    </row>
    <row r="998" spans="1:256">
      <c r="A998" s="1898" t="s">
        <v>519</v>
      </c>
      <c r="B998" s="1795" t="s">
        <v>52</v>
      </c>
      <c r="C998" s="1813">
        <v>38</v>
      </c>
      <c r="D998" s="1821" t="s">
        <v>3</v>
      </c>
      <c r="E998" s="1814">
        <v>200</v>
      </c>
      <c r="F998" s="1879">
        <f t="shared" si="43"/>
        <v>7600</v>
      </c>
      <c r="G998" s="510"/>
    </row>
    <row r="999" spans="1:256">
      <c r="A999" s="1855"/>
      <c r="B999" s="522"/>
      <c r="C999" s="31"/>
      <c r="D999" s="713"/>
      <c r="E999" s="1582"/>
      <c r="F999" s="1864"/>
      <c r="G999" s="510"/>
    </row>
    <row r="1000" spans="1:256">
      <c r="A1000" s="1855"/>
      <c r="B1000" s="654" t="s">
        <v>1868</v>
      </c>
      <c r="C1000" s="31"/>
      <c r="D1000" s="713"/>
      <c r="E1000" s="1582"/>
      <c r="F1000" s="1864"/>
      <c r="G1000" s="510"/>
    </row>
    <row r="1001" spans="1:256">
      <c r="A1001" s="1855"/>
      <c r="B1001" s="1794"/>
      <c r="C1001" s="31"/>
      <c r="D1001" s="713"/>
      <c r="E1001" s="1582"/>
      <c r="F1001" s="1864"/>
      <c r="G1001" s="510"/>
    </row>
    <row r="1002" spans="1:256">
      <c r="A1002" s="1867">
        <v>8.3000000000000007</v>
      </c>
      <c r="B1002" s="1804" t="s">
        <v>1869</v>
      </c>
      <c r="C1002" s="808"/>
      <c r="D1002" s="1804"/>
      <c r="E1002" s="1755"/>
      <c r="F1002"/>
      <c r="G1002" s="1754"/>
      <c r="H1002" s="1846"/>
      <c r="I1002" s="1754"/>
      <c r="J1002" s="1846"/>
      <c r="K1002" s="1754"/>
      <c r="L1002" s="1846"/>
      <c r="M1002" s="1803"/>
      <c r="N1002" s="1737"/>
      <c r="O1002" s="808"/>
      <c r="P1002" s="1737"/>
      <c r="Q1002" s="808"/>
      <c r="R1002" s="1737"/>
      <c r="S1002" s="808"/>
      <c r="T1002" s="1737"/>
      <c r="U1002" s="808"/>
      <c r="V1002" s="1737"/>
      <c r="W1002" s="808"/>
      <c r="X1002" s="1737"/>
      <c r="Y1002" s="808"/>
      <c r="Z1002" s="1737"/>
      <c r="AA1002" s="808"/>
      <c r="AB1002" s="1737"/>
      <c r="AC1002" s="808"/>
      <c r="AD1002" s="1737"/>
      <c r="AE1002" s="808"/>
      <c r="AF1002" s="1737"/>
      <c r="AG1002" s="808"/>
      <c r="AH1002" s="1737"/>
      <c r="AI1002" s="808"/>
      <c r="AJ1002" s="1737"/>
      <c r="AK1002" s="808"/>
      <c r="AL1002" s="1737"/>
      <c r="AM1002" s="808"/>
      <c r="AN1002" s="1737"/>
      <c r="AO1002" s="808"/>
      <c r="AP1002" s="1737"/>
      <c r="AQ1002" s="808"/>
      <c r="AR1002" s="1737"/>
      <c r="AS1002" s="808"/>
      <c r="AT1002" s="1737"/>
      <c r="AU1002" s="808"/>
      <c r="AV1002" s="1737"/>
      <c r="AW1002" s="808"/>
      <c r="AX1002" s="1737"/>
      <c r="AY1002" s="808"/>
      <c r="AZ1002" s="1737"/>
      <c r="BA1002" s="808"/>
      <c r="BB1002" s="1737"/>
      <c r="BC1002" s="808"/>
      <c r="BD1002" s="1737"/>
      <c r="BE1002" s="808"/>
      <c r="BF1002" s="1737"/>
      <c r="BG1002" s="808"/>
      <c r="BH1002" s="1737"/>
      <c r="BI1002" s="808"/>
      <c r="BJ1002" s="1737"/>
      <c r="BK1002" s="808"/>
      <c r="BL1002" s="1737"/>
      <c r="BM1002" s="808"/>
      <c r="BN1002" s="1737"/>
      <c r="BO1002" s="808"/>
      <c r="BP1002" s="1737"/>
      <c r="BQ1002" s="808"/>
      <c r="BR1002" s="1737"/>
      <c r="BS1002" s="808"/>
      <c r="BT1002" s="1737"/>
      <c r="BU1002" s="808"/>
      <c r="BV1002" s="1737"/>
      <c r="BW1002" s="808"/>
      <c r="BX1002" s="1737"/>
      <c r="BY1002" s="808"/>
      <c r="BZ1002" s="1737"/>
      <c r="CA1002" s="808"/>
      <c r="CB1002" s="1737"/>
      <c r="CC1002" s="808"/>
      <c r="CD1002" s="1737"/>
      <c r="CE1002" s="808"/>
      <c r="CF1002" s="1737"/>
      <c r="CG1002" s="808"/>
      <c r="CH1002" s="1737"/>
      <c r="CI1002" s="808"/>
      <c r="CJ1002" s="1737"/>
      <c r="CK1002" s="808"/>
      <c r="CL1002" s="1737"/>
      <c r="CM1002" s="808"/>
      <c r="CN1002" s="1737"/>
      <c r="CO1002" s="808"/>
      <c r="CP1002" s="1737"/>
      <c r="CQ1002" s="808"/>
      <c r="CR1002" s="1737"/>
      <c r="CS1002" s="808"/>
      <c r="CT1002" s="1737"/>
      <c r="CU1002" s="808"/>
      <c r="CV1002" s="1737"/>
      <c r="CW1002" s="808"/>
      <c r="CX1002" s="1737"/>
      <c r="CY1002" s="808"/>
      <c r="CZ1002" s="1737"/>
      <c r="DA1002" s="808"/>
      <c r="DB1002" s="1737"/>
      <c r="DC1002" s="808"/>
      <c r="DD1002" s="1737"/>
      <c r="DE1002" s="808"/>
      <c r="DF1002" s="1737"/>
      <c r="DG1002" s="808"/>
      <c r="DH1002" s="1737"/>
      <c r="DI1002" s="808"/>
      <c r="DJ1002" s="1737"/>
      <c r="DK1002" s="808"/>
      <c r="DL1002" s="1737"/>
      <c r="DM1002" s="808"/>
      <c r="DN1002" s="1737"/>
      <c r="DO1002" s="808"/>
      <c r="DP1002" s="1737"/>
      <c r="DQ1002" s="808"/>
      <c r="DR1002" s="1737"/>
      <c r="DS1002" s="808"/>
      <c r="DT1002" s="1737"/>
      <c r="DU1002" s="808"/>
      <c r="DV1002" s="1737"/>
      <c r="DW1002" s="808"/>
      <c r="DX1002" s="1737"/>
      <c r="DY1002" s="808"/>
      <c r="DZ1002" s="1737"/>
      <c r="EA1002" s="808"/>
      <c r="EB1002" s="1737"/>
      <c r="EC1002" s="808"/>
      <c r="ED1002" s="1737"/>
      <c r="EE1002" s="808"/>
      <c r="EF1002" s="1737"/>
      <c r="EG1002" s="808"/>
      <c r="EH1002" s="1737"/>
      <c r="EI1002" s="808"/>
      <c r="EJ1002" s="1737"/>
      <c r="EK1002" s="808"/>
      <c r="EL1002" s="1737"/>
      <c r="EM1002" s="808"/>
      <c r="EN1002" s="1737"/>
      <c r="EO1002" s="808"/>
      <c r="EP1002" s="1737"/>
      <c r="EQ1002" s="808"/>
      <c r="ER1002" s="1737"/>
      <c r="ES1002" s="808"/>
      <c r="ET1002" s="1737"/>
      <c r="EU1002" s="808"/>
      <c r="EV1002" s="1737"/>
      <c r="EW1002" s="808"/>
      <c r="EX1002" s="1737"/>
      <c r="EY1002" s="808"/>
      <c r="EZ1002" s="1737"/>
      <c r="FA1002" s="808"/>
      <c r="FB1002" s="1737"/>
      <c r="FC1002" s="808"/>
      <c r="FD1002" s="1737"/>
      <c r="FE1002" s="808"/>
      <c r="FF1002" s="1737"/>
      <c r="FG1002" s="808"/>
      <c r="FH1002" s="1737"/>
      <c r="FI1002" s="808"/>
      <c r="FJ1002" s="1737"/>
      <c r="FK1002" s="808"/>
      <c r="FL1002" s="1737"/>
      <c r="FM1002" s="808"/>
      <c r="FN1002" s="1737"/>
      <c r="FO1002" s="808"/>
      <c r="FP1002" s="1737"/>
      <c r="FQ1002" s="808"/>
      <c r="FR1002" s="1737"/>
      <c r="FS1002" s="808"/>
      <c r="FT1002" s="1737"/>
      <c r="FU1002" s="808"/>
      <c r="FV1002" s="1737"/>
      <c r="FW1002" s="808"/>
      <c r="FX1002" s="1737"/>
      <c r="FY1002" s="808"/>
      <c r="FZ1002" s="1737"/>
      <c r="GA1002" s="808"/>
      <c r="GB1002" s="1737"/>
      <c r="GC1002" s="808"/>
      <c r="GD1002" s="1737"/>
      <c r="GE1002" s="808"/>
      <c r="GF1002" s="1737"/>
      <c r="GG1002" s="808"/>
      <c r="GH1002" s="1737"/>
      <c r="GI1002" s="808"/>
      <c r="GJ1002" s="1737"/>
      <c r="GK1002" s="808"/>
      <c r="GL1002" s="1737"/>
      <c r="GM1002" s="808"/>
      <c r="GN1002" s="1737"/>
      <c r="GO1002" s="808"/>
      <c r="GP1002" s="1737"/>
      <c r="GQ1002" s="808"/>
      <c r="GR1002" s="1737"/>
      <c r="GS1002" s="808"/>
      <c r="GT1002" s="1737"/>
      <c r="GU1002" s="808"/>
      <c r="GV1002" s="1737"/>
      <c r="GW1002" s="808"/>
      <c r="GX1002" s="1737"/>
      <c r="GY1002" s="808"/>
      <c r="GZ1002" s="1737"/>
      <c r="HA1002" s="808"/>
      <c r="HB1002" s="1737"/>
      <c r="HC1002" s="808"/>
      <c r="HD1002" s="1737"/>
      <c r="HE1002" s="808"/>
      <c r="HF1002" s="1737"/>
      <c r="HG1002" s="808"/>
      <c r="HH1002" s="1737"/>
      <c r="HI1002" s="808"/>
      <c r="HJ1002" s="1737"/>
      <c r="HK1002" s="808"/>
      <c r="HL1002" s="1737"/>
      <c r="HM1002" s="808"/>
      <c r="HN1002" s="1737"/>
      <c r="HO1002" s="808"/>
      <c r="HP1002" s="1737"/>
      <c r="HQ1002" s="808"/>
      <c r="HR1002" s="1737"/>
      <c r="HS1002" s="808"/>
      <c r="HT1002" s="1737"/>
      <c r="HU1002" s="808"/>
      <c r="HV1002" s="1737"/>
      <c r="HW1002" s="808"/>
      <c r="HX1002" s="1737"/>
      <c r="HY1002" s="808"/>
      <c r="HZ1002" s="1737"/>
      <c r="IA1002" s="808"/>
      <c r="IB1002" s="1737"/>
      <c r="IC1002" s="808"/>
      <c r="ID1002" s="1737"/>
      <c r="IE1002" s="808"/>
      <c r="IF1002" s="1737"/>
      <c r="IG1002" s="808"/>
      <c r="IH1002" s="1737"/>
      <c r="II1002" s="808"/>
      <c r="IJ1002" s="1737"/>
      <c r="IK1002" s="808"/>
      <c r="IL1002" s="1737"/>
      <c r="IM1002" s="808"/>
      <c r="IN1002" s="1737"/>
      <c r="IO1002" s="808"/>
      <c r="IP1002" s="1737"/>
      <c r="IQ1002" s="808"/>
      <c r="IR1002" s="1737"/>
      <c r="IS1002" s="808"/>
      <c r="IT1002" s="1737"/>
      <c r="IU1002" s="808"/>
      <c r="IV1002" s="1737"/>
    </row>
    <row r="1003" spans="1:256">
      <c r="A1003" s="1896" t="s">
        <v>1873</v>
      </c>
      <c r="B1003" s="522" t="s">
        <v>48</v>
      </c>
      <c r="C1003" s="31">
        <v>80</v>
      </c>
      <c r="D1003" s="713" t="s">
        <v>3</v>
      </c>
      <c r="E1003" s="1582">
        <v>193.36</v>
      </c>
      <c r="F1003" s="1864">
        <f t="shared" ref="F1003:F1016" si="44">ROUND(C1003*E1003,2)</f>
        <v>15468.8</v>
      </c>
      <c r="G1003" s="510"/>
    </row>
    <row r="1004" spans="1:256" s="1739" customFormat="1" ht="25.5">
      <c r="A1004" s="1896" t="s">
        <v>1874</v>
      </c>
      <c r="B1004" s="745" t="s">
        <v>53</v>
      </c>
      <c r="C1004" s="31">
        <v>480</v>
      </c>
      <c r="D1004" s="713" t="s">
        <v>1</v>
      </c>
      <c r="E1004" s="1582">
        <v>28.32</v>
      </c>
      <c r="F1004" s="1864">
        <f t="shared" si="44"/>
        <v>13593.6</v>
      </c>
      <c r="G1004" s="510"/>
      <c r="H1004" s="842"/>
      <c r="I1004" s="842"/>
      <c r="J1004" s="842"/>
      <c r="K1004" s="842"/>
      <c r="L1004" s="842"/>
    </row>
    <row r="1005" spans="1:256">
      <c r="A1005" s="1896" t="s">
        <v>1875</v>
      </c>
      <c r="B1005" s="522" t="s">
        <v>49</v>
      </c>
      <c r="C1005" s="31">
        <v>80</v>
      </c>
      <c r="D1005" s="713" t="s">
        <v>3</v>
      </c>
      <c r="E1005" s="1582">
        <v>53.1</v>
      </c>
      <c r="F1005" s="1864">
        <f t="shared" si="44"/>
        <v>4248</v>
      </c>
      <c r="G1005" s="510"/>
    </row>
    <row r="1006" spans="1:256">
      <c r="A1006" s="1896" t="s">
        <v>1876</v>
      </c>
      <c r="B1006" s="522" t="s">
        <v>474</v>
      </c>
      <c r="C1006" s="31">
        <v>80</v>
      </c>
      <c r="D1006" s="713" t="s">
        <v>3</v>
      </c>
      <c r="E1006" s="1582">
        <v>23.6</v>
      </c>
      <c r="F1006" s="1864">
        <f t="shared" si="44"/>
        <v>1888</v>
      </c>
      <c r="G1006" s="510"/>
    </row>
    <row r="1007" spans="1:256">
      <c r="A1007" s="1896" t="s">
        <v>1877</v>
      </c>
      <c r="B1007" s="522" t="s">
        <v>55</v>
      </c>
      <c r="C1007" s="31">
        <v>80</v>
      </c>
      <c r="D1007" s="713" t="s">
        <v>3</v>
      </c>
      <c r="E1007" s="1582">
        <v>84.53</v>
      </c>
      <c r="F1007" s="1864">
        <f t="shared" si="44"/>
        <v>6762.4</v>
      </c>
      <c r="G1007" s="510"/>
    </row>
    <row r="1008" spans="1:256">
      <c r="A1008" s="1896" t="s">
        <v>1878</v>
      </c>
      <c r="B1008" s="522" t="s">
        <v>475</v>
      </c>
      <c r="C1008" s="31">
        <v>80</v>
      </c>
      <c r="D1008" s="713" t="s">
        <v>3</v>
      </c>
      <c r="E1008" s="1582">
        <v>265.5</v>
      </c>
      <c r="F1008" s="1864">
        <f t="shared" si="44"/>
        <v>21240</v>
      </c>
      <c r="G1008" s="510"/>
    </row>
    <row r="1009" spans="1:256">
      <c r="A1009" s="1896" t="s">
        <v>1879</v>
      </c>
      <c r="B1009" s="522" t="s">
        <v>476</v>
      </c>
      <c r="C1009" s="31">
        <v>80</v>
      </c>
      <c r="D1009" s="713" t="s">
        <v>3</v>
      </c>
      <c r="E1009" s="1582">
        <v>35.4</v>
      </c>
      <c r="F1009" s="1864">
        <f t="shared" si="44"/>
        <v>2832</v>
      </c>
      <c r="G1009" s="510"/>
    </row>
    <row r="1010" spans="1:256">
      <c r="A1010" s="1896" t="s">
        <v>1880</v>
      </c>
      <c r="B1010" s="522" t="s">
        <v>477</v>
      </c>
      <c r="C1010" s="31">
        <v>80</v>
      </c>
      <c r="D1010" s="713" t="s">
        <v>3</v>
      </c>
      <c r="E1010" s="1582">
        <v>17.7</v>
      </c>
      <c r="F1010" s="1864">
        <f t="shared" si="44"/>
        <v>1416</v>
      </c>
      <c r="G1010" s="510"/>
    </row>
    <row r="1011" spans="1:256">
      <c r="A1011" s="1896" t="s">
        <v>1881</v>
      </c>
      <c r="B1011" s="522" t="s">
        <v>478</v>
      </c>
      <c r="C1011" s="31">
        <v>80</v>
      </c>
      <c r="D1011" s="713" t="s">
        <v>3</v>
      </c>
      <c r="E1011" s="1582">
        <v>239.92</v>
      </c>
      <c r="F1011" s="1864">
        <f t="shared" si="44"/>
        <v>19193.599999999999</v>
      </c>
      <c r="G1011" s="510"/>
    </row>
    <row r="1012" spans="1:256">
      <c r="A1012" s="1896" t="s">
        <v>1882</v>
      </c>
      <c r="B1012" s="522" t="s">
        <v>479</v>
      </c>
      <c r="C1012" s="31">
        <v>80</v>
      </c>
      <c r="D1012" s="713" t="s">
        <v>3</v>
      </c>
      <c r="E1012" s="1582">
        <v>200</v>
      </c>
      <c r="F1012" s="1864">
        <f t="shared" si="44"/>
        <v>16000</v>
      </c>
      <c r="G1012" s="510"/>
    </row>
    <row r="1013" spans="1:256">
      <c r="A1013" s="1896" t="s">
        <v>1883</v>
      </c>
      <c r="B1013" s="522" t="s">
        <v>50</v>
      </c>
      <c r="C1013" s="31">
        <v>80</v>
      </c>
      <c r="D1013" s="713" t="s">
        <v>3</v>
      </c>
      <c r="E1013" s="1582">
        <v>15</v>
      </c>
      <c r="F1013" s="1864">
        <f t="shared" si="44"/>
        <v>1200</v>
      </c>
      <c r="G1013" s="510"/>
    </row>
    <row r="1014" spans="1:256">
      <c r="A1014" s="1896" t="s">
        <v>1884</v>
      </c>
      <c r="B1014" s="522" t="s">
        <v>51</v>
      </c>
      <c r="C1014" s="31">
        <v>158.4</v>
      </c>
      <c r="D1014" s="713" t="s">
        <v>2</v>
      </c>
      <c r="E1014" s="1582">
        <v>406.79</v>
      </c>
      <c r="F1014" s="1864">
        <f t="shared" si="44"/>
        <v>64435.54</v>
      </c>
      <c r="G1014" s="510"/>
    </row>
    <row r="1015" spans="1:256">
      <c r="A1015" s="1896" t="s">
        <v>1885</v>
      </c>
      <c r="B1015" s="522" t="s">
        <v>457</v>
      </c>
      <c r="C1015" s="31">
        <v>80</v>
      </c>
      <c r="D1015" s="713" t="s">
        <v>3</v>
      </c>
      <c r="E1015" s="1755">
        <v>280</v>
      </c>
      <c r="F1015" s="1864">
        <f t="shared" si="44"/>
        <v>22400</v>
      </c>
      <c r="G1015" s="510"/>
    </row>
    <row r="1016" spans="1:256">
      <c r="A1016" s="1896" t="s">
        <v>1886</v>
      </c>
      <c r="B1016" s="522" t="s">
        <v>52</v>
      </c>
      <c r="C1016" s="31">
        <v>80</v>
      </c>
      <c r="D1016" s="713" t="s">
        <v>3</v>
      </c>
      <c r="E1016" s="1582">
        <v>200</v>
      </c>
      <c r="F1016" s="1864">
        <f t="shared" si="44"/>
        <v>16000</v>
      </c>
      <c r="G1016" s="510"/>
    </row>
    <row r="1017" spans="1:256" ht="6.75" customHeight="1">
      <c r="A1017" s="1855"/>
      <c r="B1017" s="522"/>
      <c r="C1017" s="31"/>
      <c r="D1017" s="713"/>
      <c r="E1017" s="1582"/>
      <c r="F1017" s="1864"/>
      <c r="G1017" s="510"/>
    </row>
    <row r="1018" spans="1:256">
      <c r="A1018" s="1867">
        <v>8.4</v>
      </c>
      <c r="B1018" s="1804" t="s">
        <v>1871</v>
      </c>
      <c r="C1018" s="808"/>
      <c r="D1018" s="1804"/>
      <c r="E1018" s="1755"/>
      <c r="F1018"/>
      <c r="G1018" s="1754"/>
      <c r="H1018" s="1846"/>
      <c r="I1018" s="1754"/>
      <c r="J1018" s="1846"/>
      <c r="K1018" s="1754"/>
      <c r="L1018" s="1846"/>
      <c r="M1018" s="1803"/>
      <c r="N1018" s="1737"/>
      <c r="O1018" s="808"/>
      <c r="P1018" s="1737"/>
      <c r="Q1018" s="808"/>
      <c r="R1018" s="1737"/>
      <c r="S1018" s="808"/>
      <c r="T1018" s="1737"/>
      <c r="U1018" s="808"/>
      <c r="V1018" s="1737"/>
      <c r="W1018" s="808"/>
      <c r="X1018" s="1737"/>
      <c r="Y1018" s="808"/>
      <c r="Z1018" s="1737"/>
      <c r="AA1018" s="808"/>
      <c r="AB1018" s="1737"/>
      <c r="AC1018" s="808"/>
      <c r="AD1018" s="1737"/>
      <c r="AE1018" s="808"/>
      <c r="AF1018" s="1737"/>
      <c r="AG1018" s="808"/>
      <c r="AH1018" s="1737"/>
      <c r="AI1018" s="808"/>
      <c r="AJ1018" s="1737"/>
      <c r="AK1018" s="808"/>
      <c r="AL1018" s="1737"/>
      <c r="AM1018" s="808"/>
      <c r="AN1018" s="1737"/>
      <c r="AO1018" s="808"/>
      <c r="AP1018" s="1737"/>
      <c r="AQ1018" s="808"/>
      <c r="AR1018" s="1737"/>
      <c r="AS1018" s="808"/>
      <c r="AT1018" s="1737"/>
      <c r="AU1018" s="808"/>
      <c r="AV1018" s="1737"/>
      <c r="AW1018" s="808"/>
      <c r="AX1018" s="1737"/>
      <c r="AY1018" s="808"/>
      <c r="AZ1018" s="1737"/>
      <c r="BA1018" s="808"/>
      <c r="BB1018" s="1737"/>
      <c r="BC1018" s="808"/>
      <c r="BD1018" s="1737"/>
      <c r="BE1018" s="808"/>
      <c r="BF1018" s="1737"/>
      <c r="BG1018" s="808"/>
      <c r="BH1018" s="1737"/>
      <c r="BI1018" s="808"/>
      <c r="BJ1018" s="1737"/>
      <c r="BK1018" s="808"/>
      <c r="BL1018" s="1737"/>
      <c r="BM1018" s="808"/>
      <c r="BN1018" s="1737"/>
      <c r="BO1018" s="808"/>
      <c r="BP1018" s="1737"/>
      <c r="BQ1018" s="808"/>
      <c r="BR1018" s="1737"/>
      <c r="BS1018" s="808"/>
      <c r="BT1018" s="1737"/>
      <c r="BU1018" s="808"/>
      <c r="BV1018" s="1737"/>
      <c r="BW1018" s="808"/>
      <c r="BX1018" s="1737"/>
      <c r="BY1018" s="808"/>
      <c r="BZ1018" s="1737"/>
      <c r="CA1018" s="808"/>
      <c r="CB1018" s="1737"/>
      <c r="CC1018" s="808"/>
      <c r="CD1018" s="1737"/>
      <c r="CE1018" s="808"/>
      <c r="CF1018" s="1737"/>
      <c r="CG1018" s="808"/>
      <c r="CH1018" s="1737"/>
      <c r="CI1018" s="808"/>
      <c r="CJ1018" s="1737"/>
      <c r="CK1018" s="808"/>
      <c r="CL1018" s="1737"/>
      <c r="CM1018" s="808"/>
      <c r="CN1018" s="1737"/>
      <c r="CO1018" s="808"/>
      <c r="CP1018" s="1737"/>
      <c r="CQ1018" s="808"/>
      <c r="CR1018" s="1737"/>
      <c r="CS1018" s="808"/>
      <c r="CT1018" s="1737"/>
      <c r="CU1018" s="808"/>
      <c r="CV1018" s="1737"/>
      <c r="CW1018" s="808"/>
      <c r="CX1018" s="1737"/>
      <c r="CY1018" s="808"/>
      <c r="CZ1018" s="1737"/>
      <c r="DA1018" s="808"/>
      <c r="DB1018" s="1737"/>
      <c r="DC1018" s="808"/>
      <c r="DD1018" s="1737"/>
      <c r="DE1018" s="808"/>
      <c r="DF1018" s="1737"/>
      <c r="DG1018" s="808"/>
      <c r="DH1018" s="1737"/>
      <c r="DI1018" s="808"/>
      <c r="DJ1018" s="1737"/>
      <c r="DK1018" s="808"/>
      <c r="DL1018" s="1737"/>
      <c r="DM1018" s="808"/>
      <c r="DN1018" s="1737"/>
      <c r="DO1018" s="808"/>
      <c r="DP1018" s="1737"/>
      <c r="DQ1018" s="808"/>
      <c r="DR1018" s="1737"/>
      <c r="DS1018" s="808"/>
      <c r="DT1018" s="1737"/>
      <c r="DU1018" s="808"/>
      <c r="DV1018" s="1737"/>
      <c r="DW1018" s="808"/>
      <c r="DX1018" s="1737"/>
      <c r="DY1018" s="808"/>
      <c r="DZ1018" s="1737"/>
      <c r="EA1018" s="808"/>
      <c r="EB1018" s="1737"/>
      <c r="EC1018" s="808"/>
      <c r="ED1018" s="1737"/>
      <c r="EE1018" s="808"/>
      <c r="EF1018" s="1737"/>
      <c r="EG1018" s="808"/>
      <c r="EH1018" s="1737"/>
      <c r="EI1018" s="808"/>
      <c r="EJ1018" s="1737"/>
      <c r="EK1018" s="808"/>
      <c r="EL1018" s="1737"/>
      <c r="EM1018" s="808"/>
      <c r="EN1018" s="1737"/>
      <c r="EO1018" s="808"/>
      <c r="EP1018" s="1737"/>
      <c r="EQ1018" s="808"/>
      <c r="ER1018" s="1737"/>
      <c r="ES1018" s="808"/>
      <c r="ET1018" s="1737"/>
      <c r="EU1018" s="808"/>
      <c r="EV1018" s="1737"/>
      <c r="EW1018" s="808"/>
      <c r="EX1018" s="1737"/>
      <c r="EY1018" s="808"/>
      <c r="EZ1018" s="1737"/>
      <c r="FA1018" s="808"/>
      <c r="FB1018" s="1737"/>
      <c r="FC1018" s="808"/>
      <c r="FD1018" s="1737"/>
      <c r="FE1018" s="808"/>
      <c r="FF1018" s="1737"/>
      <c r="FG1018" s="808"/>
      <c r="FH1018" s="1737"/>
      <c r="FI1018" s="808"/>
      <c r="FJ1018" s="1737"/>
      <c r="FK1018" s="808"/>
      <c r="FL1018" s="1737"/>
      <c r="FM1018" s="808"/>
      <c r="FN1018" s="1737"/>
      <c r="FO1018" s="808"/>
      <c r="FP1018" s="1737"/>
      <c r="FQ1018" s="808"/>
      <c r="FR1018" s="1737"/>
      <c r="FS1018" s="808"/>
      <c r="FT1018" s="1737"/>
      <c r="FU1018" s="808"/>
      <c r="FV1018" s="1737"/>
      <c r="FW1018" s="808"/>
      <c r="FX1018" s="1737"/>
      <c r="FY1018" s="808"/>
      <c r="FZ1018" s="1737"/>
      <c r="GA1018" s="808"/>
      <c r="GB1018" s="1737"/>
      <c r="GC1018" s="808"/>
      <c r="GD1018" s="1737"/>
      <c r="GE1018" s="808"/>
      <c r="GF1018" s="1737"/>
      <c r="GG1018" s="808"/>
      <c r="GH1018" s="1737"/>
      <c r="GI1018" s="808"/>
      <c r="GJ1018" s="1737"/>
      <c r="GK1018" s="808"/>
      <c r="GL1018" s="1737"/>
      <c r="GM1018" s="808"/>
      <c r="GN1018" s="1737"/>
      <c r="GO1018" s="808"/>
      <c r="GP1018" s="1737"/>
      <c r="GQ1018" s="808"/>
      <c r="GR1018" s="1737"/>
      <c r="GS1018" s="808"/>
      <c r="GT1018" s="1737"/>
      <c r="GU1018" s="808"/>
      <c r="GV1018" s="1737"/>
      <c r="GW1018" s="808"/>
      <c r="GX1018" s="1737"/>
      <c r="GY1018" s="808"/>
      <c r="GZ1018" s="1737"/>
      <c r="HA1018" s="808"/>
      <c r="HB1018" s="1737"/>
      <c r="HC1018" s="808"/>
      <c r="HD1018" s="1737"/>
      <c r="HE1018" s="808"/>
      <c r="HF1018" s="1737"/>
      <c r="HG1018" s="808"/>
      <c r="HH1018" s="1737"/>
      <c r="HI1018" s="808"/>
      <c r="HJ1018" s="1737"/>
      <c r="HK1018" s="808"/>
      <c r="HL1018" s="1737"/>
      <c r="HM1018" s="808"/>
      <c r="HN1018" s="1737"/>
      <c r="HO1018" s="808"/>
      <c r="HP1018" s="1737"/>
      <c r="HQ1018" s="808"/>
      <c r="HR1018" s="1737"/>
      <c r="HS1018" s="808"/>
      <c r="HT1018" s="1737"/>
      <c r="HU1018" s="808"/>
      <c r="HV1018" s="1737"/>
      <c r="HW1018" s="808"/>
      <c r="HX1018" s="1737"/>
      <c r="HY1018" s="808"/>
      <c r="HZ1018" s="1737"/>
      <c r="IA1018" s="808"/>
      <c r="IB1018" s="1737"/>
      <c r="IC1018" s="808"/>
      <c r="ID1018" s="1737"/>
      <c r="IE1018" s="808"/>
      <c r="IF1018" s="1737"/>
      <c r="IG1018" s="808"/>
      <c r="IH1018" s="1737"/>
      <c r="II1018" s="808"/>
      <c r="IJ1018" s="1737"/>
      <c r="IK1018" s="808"/>
      <c r="IL1018" s="1737"/>
      <c r="IM1018" s="808"/>
      <c r="IN1018" s="1737"/>
      <c r="IO1018" s="808"/>
      <c r="IP1018" s="1737"/>
      <c r="IQ1018" s="808"/>
      <c r="IR1018" s="1737"/>
      <c r="IS1018" s="808"/>
      <c r="IT1018" s="1737"/>
      <c r="IU1018" s="808"/>
      <c r="IV1018" s="1737"/>
    </row>
    <row r="1019" spans="1:256">
      <c r="A1019" s="1896" t="s">
        <v>649</v>
      </c>
      <c r="B1019" s="522" t="s">
        <v>48</v>
      </c>
      <c r="C1019" s="31">
        <v>20</v>
      </c>
      <c r="D1019" s="713" t="s">
        <v>3</v>
      </c>
      <c r="E1019" s="1582">
        <v>230.1</v>
      </c>
      <c r="F1019" s="1864">
        <f t="shared" ref="F1019:F1032" si="45">ROUND(C1019*E1019,2)</f>
        <v>4602</v>
      </c>
      <c r="G1019" s="510"/>
    </row>
    <row r="1020" spans="1:256" ht="25.5">
      <c r="A1020" s="1896" t="s">
        <v>651</v>
      </c>
      <c r="B1020" s="745" t="s">
        <v>53</v>
      </c>
      <c r="C1020" s="31">
        <v>120</v>
      </c>
      <c r="D1020" s="713" t="s">
        <v>1</v>
      </c>
      <c r="E1020" s="1582">
        <v>28.32</v>
      </c>
      <c r="F1020" s="1864">
        <f t="shared" si="45"/>
        <v>3398.4</v>
      </c>
      <c r="G1020" s="510"/>
    </row>
    <row r="1021" spans="1:256">
      <c r="A1021" s="1896" t="s">
        <v>653</v>
      </c>
      <c r="B1021" s="522" t="s">
        <v>49</v>
      </c>
      <c r="C1021" s="31">
        <v>20</v>
      </c>
      <c r="D1021" s="713" t="s">
        <v>3</v>
      </c>
      <c r="E1021" s="1582">
        <v>53.1</v>
      </c>
      <c r="F1021" s="1864">
        <f t="shared" si="45"/>
        <v>1062</v>
      </c>
      <c r="G1021" s="510"/>
    </row>
    <row r="1022" spans="1:256">
      <c r="A1022" s="1896" t="s">
        <v>655</v>
      </c>
      <c r="B1022" s="522" t="s">
        <v>474</v>
      </c>
      <c r="C1022" s="31">
        <v>20</v>
      </c>
      <c r="D1022" s="713" t="s">
        <v>3</v>
      </c>
      <c r="E1022" s="1582">
        <v>23.6</v>
      </c>
      <c r="F1022" s="1864">
        <f t="shared" si="45"/>
        <v>472</v>
      </c>
      <c r="G1022" s="510"/>
    </row>
    <row r="1023" spans="1:256">
      <c r="A1023" s="1896" t="s">
        <v>657</v>
      </c>
      <c r="B1023" s="522" t="s">
        <v>55</v>
      </c>
      <c r="C1023" s="31">
        <v>20</v>
      </c>
      <c r="D1023" s="713" t="s">
        <v>3</v>
      </c>
      <c r="E1023" s="1582">
        <v>84.53</v>
      </c>
      <c r="F1023" s="1864">
        <f t="shared" si="45"/>
        <v>1690.6</v>
      </c>
      <c r="G1023" s="510"/>
    </row>
    <row r="1024" spans="1:256">
      <c r="A1024" s="1896" t="s">
        <v>659</v>
      </c>
      <c r="B1024" s="522" t="s">
        <v>475</v>
      </c>
      <c r="C1024" s="31">
        <v>20</v>
      </c>
      <c r="D1024" s="713" t="s">
        <v>3</v>
      </c>
      <c r="E1024" s="1582">
        <v>265.5</v>
      </c>
      <c r="F1024" s="1864">
        <f t="shared" si="45"/>
        <v>5310</v>
      </c>
      <c r="G1024" s="510"/>
    </row>
    <row r="1025" spans="1:256">
      <c r="A1025" s="1896" t="s">
        <v>1887</v>
      </c>
      <c r="B1025" s="522" t="s">
        <v>476</v>
      </c>
      <c r="C1025" s="31">
        <v>20</v>
      </c>
      <c r="D1025" s="713" t="s">
        <v>3</v>
      </c>
      <c r="E1025" s="1582">
        <v>35.4</v>
      </c>
      <c r="F1025" s="1864">
        <f t="shared" si="45"/>
        <v>708</v>
      </c>
      <c r="G1025" s="510"/>
    </row>
    <row r="1026" spans="1:256">
      <c r="A1026" s="1896" t="s">
        <v>1888</v>
      </c>
      <c r="B1026" s="522" t="s">
        <v>477</v>
      </c>
      <c r="C1026" s="31">
        <v>20</v>
      </c>
      <c r="D1026" s="713" t="s">
        <v>3</v>
      </c>
      <c r="E1026" s="1582">
        <v>17.7</v>
      </c>
      <c r="F1026" s="1864">
        <f t="shared" si="45"/>
        <v>354</v>
      </c>
      <c r="G1026" s="510"/>
    </row>
    <row r="1027" spans="1:256">
      <c r="A1027" s="1896" t="s">
        <v>1889</v>
      </c>
      <c r="B1027" s="522" t="s">
        <v>478</v>
      </c>
      <c r="C1027" s="31">
        <v>20</v>
      </c>
      <c r="D1027" s="713" t="s">
        <v>3</v>
      </c>
      <c r="E1027" s="1582">
        <v>239.92</v>
      </c>
      <c r="F1027" s="1864">
        <f t="shared" si="45"/>
        <v>4798.3999999999996</v>
      </c>
      <c r="G1027" s="510"/>
    </row>
    <row r="1028" spans="1:256">
      <c r="A1028" s="1896" t="s">
        <v>1890</v>
      </c>
      <c r="B1028" s="522" t="s">
        <v>479</v>
      </c>
      <c r="C1028" s="31">
        <v>20</v>
      </c>
      <c r="D1028" s="713" t="s">
        <v>3</v>
      </c>
      <c r="E1028" s="1582">
        <v>200</v>
      </c>
      <c r="F1028" s="1864">
        <f t="shared" si="45"/>
        <v>4000</v>
      </c>
      <c r="G1028" s="510"/>
    </row>
    <row r="1029" spans="1:256">
      <c r="A1029" s="1896" t="s">
        <v>1891</v>
      </c>
      <c r="B1029" s="522" t="s">
        <v>50</v>
      </c>
      <c r="C1029" s="31">
        <v>20</v>
      </c>
      <c r="D1029" s="713" t="s">
        <v>3</v>
      </c>
      <c r="E1029" s="1582">
        <v>15</v>
      </c>
      <c r="F1029" s="1864">
        <f t="shared" si="45"/>
        <v>300</v>
      </c>
      <c r="G1029" s="510"/>
    </row>
    <row r="1030" spans="1:256">
      <c r="A1030" s="1896" t="s">
        <v>1892</v>
      </c>
      <c r="B1030" s="522" t="s">
        <v>51</v>
      </c>
      <c r="C1030" s="31">
        <v>39.6</v>
      </c>
      <c r="D1030" s="713" t="s">
        <v>2</v>
      </c>
      <c r="E1030" s="1582">
        <v>406.79</v>
      </c>
      <c r="F1030" s="1864">
        <f t="shared" si="45"/>
        <v>16108.88</v>
      </c>
      <c r="G1030" s="510"/>
    </row>
    <row r="1031" spans="1:256">
      <c r="A1031" s="1896" t="s">
        <v>1893</v>
      </c>
      <c r="B1031" s="522" t="s">
        <v>457</v>
      </c>
      <c r="C1031" s="31">
        <v>20</v>
      </c>
      <c r="D1031" s="713" t="s">
        <v>3</v>
      </c>
      <c r="E1031" s="1755">
        <v>280</v>
      </c>
      <c r="F1031" s="1864">
        <f t="shared" si="45"/>
        <v>5600</v>
      </c>
      <c r="G1031" s="510"/>
    </row>
    <row r="1032" spans="1:256">
      <c r="A1032" s="1896" t="s">
        <v>1894</v>
      </c>
      <c r="B1032" s="522" t="s">
        <v>52</v>
      </c>
      <c r="C1032" s="31">
        <v>20</v>
      </c>
      <c r="D1032" s="713" t="s">
        <v>3</v>
      </c>
      <c r="E1032" s="1582">
        <v>200</v>
      </c>
      <c r="F1032" s="1864">
        <f t="shared" si="45"/>
        <v>4000</v>
      </c>
      <c r="G1032" s="510"/>
    </row>
    <row r="1033" spans="1:256" ht="5.25" customHeight="1">
      <c r="A1033" s="1860"/>
      <c r="B1033" s="522"/>
      <c r="C1033" s="31"/>
      <c r="D1033" s="713"/>
      <c r="E1033" s="1582"/>
      <c r="F1033" s="1864"/>
      <c r="G1033" s="510"/>
    </row>
    <row r="1034" spans="1:256">
      <c r="A1034" s="1867">
        <v>9</v>
      </c>
      <c r="B1034" s="1804" t="s">
        <v>59</v>
      </c>
      <c r="C1034" s="808"/>
      <c r="D1034" s="1804"/>
      <c r="E1034" s="1755"/>
      <c r="F1034">
        <f>+ROUND(C1034*E1034,2)</f>
        <v>0</v>
      </c>
      <c r="G1034" s="1754"/>
      <c r="H1034" s="1846"/>
      <c r="I1034" s="1754"/>
      <c r="J1034" s="1846"/>
      <c r="K1034" s="1754"/>
      <c r="L1034" s="1846"/>
      <c r="M1034" s="1803"/>
      <c r="N1034" s="1737"/>
      <c r="O1034" s="808"/>
      <c r="P1034" s="1737"/>
      <c r="Q1034" s="808"/>
      <c r="R1034" s="1737"/>
      <c r="S1034" s="808"/>
      <c r="T1034" s="1737"/>
      <c r="U1034" s="808"/>
      <c r="V1034" s="1737"/>
      <c r="W1034" s="808"/>
      <c r="X1034" s="1737"/>
      <c r="Y1034" s="808"/>
      <c r="Z1034" s="1737"/>
      <c r="AA1034" s="808"/>
      <c r="AB1034" s="1737"/>
      <c r="AC1034" s="808"/>
      <c r="AD1034" s="1737"/>
      <c r="AE1034" s="808"/>
      <c r="AF1034" s="1737"/>
      <c r="AG1034" s="808"/>
      <c r="AH1034" s="1737"/>
      <c r="AI1034" s="808"/>
      <c r="AJ1034" s="1737"/>
      <c r="AK1034" s="808"/>
      <c r="AL1034" s="1737"/>
      <c r="AM1034" s="808"/>
      <c r="AN1034" s="1737"/>
      <c r="AO1034" s="808"/>
      <c r="AP1034" s="1737"/>
      <c r="AQ1034" s="808"/>
      <c r="AR1034" s="1737"/>
      <c r="AS1034" s="808"/>
      <c r="AT1034" s="1737"/>
      <c r="AU1034" s="808"/>
      <c r="AV1034" s="1737"/>
      <c r="AW1034" s="808"/>
      <c r="AX1034" s="1737"/>
      <c r="AY1034" s="808"/>
      <c r="AZ1034" s="1737"/>
      <c r="BA1034" s="808"/>
      <c r="BB1034" s="1737"/>
      <c r="BC1034" s="808"/>
      <c r="BD1034" s="1737"/>
      <c r="BE1034" s="808"/>
      <c r="BF1034" s="1737"/>
      <c r="BG1034" s="808"/>
      <c r="BH1034" s="1737"/>
      <c r="BI1034" s="808"/>
      <c r="BJ1034" s="1737"/>
      <c r="BK1034" s="808"/>
      <c r="BL1034" s="1737"/>
      <c r="BM1034" s="808"/>
      <c r="BN1034" s="1737"/>
      <c r="BO1034" s="808"/>
      <c r="BP1034" s="1737"/>
      <c r="BQ1034" s="808"/>
      <c r="BR1034" s="1737"/>
      <c r="BS1034" s="808"/>
      <c r="BT1034" s="1737"/>
      <c r="BU1034" s="808"/>
      <c r="BV1034" s="1737"/>
      <c r="BW1034" s="808"/>
      <c r="BX1034" s="1737"/>
      <c r="BY1034" s="808"/>
      <c r="BZ1034" s="1737"/>
      <c r="CA1034" s="808"/>
      <c r="CB1034" s="1737"/>
      <c r="CC1034" s="808"/>
      <c r="CD1034" s="1737"/>
      <c r="CE1034" s="808"/>
      <c r="CF1034" s="1737"/>
      <c r="CG1034" s="808"/>
      <c r="CH1034" s="1737"/>
      <c r="CI1034" s="808"/>
      <c r="CJ1034" s="1737"/>
      <c r="CK1034" s="808"/>
      <c r="CL1034" s="1737"/>
      <c r="CM1034" s="808"/>
      <c r="CN1034" s="1737"/>
      <c r="CO1034" s="808"/>
      <c r="CP1034" s="1737"/>
      <c r="CQ1034" s="808"/>
      <c r="CR1034" s="1737"/>
      <c r="CS1034" s="808"/>
      <c r="CT1034" s="1737"/>
      <c r="CU1034" s="808"/>
      <c r="CV1034" s="1737"/>
      <c r="CW1034" s="808"/>
      <c r="CX1034" s="1737"/>
      <c r="CY1034" s="808"/>
      <c r="CZ1034" s="1737"/>
      <c r="DA1034" s="808"/>
      <c r="DB1034" s="1737"/>
      <c r="DC1034" s="808"/>
      <c r="DD1034" s="1737"/>
      <c r="DE1034" s="808"/>
      <c r="DF1034" s="1737"/>
      <c r="DG1034" s="808"/>
      <c r="DH1034" s="1737"/>
      <c r="DI1034" s="808"/>
      <c r="DJ1034" s="1737"/>
      <c r="DK1034" s="808"/>
      <c r="DL1034" s="1737"/>
      <c r="DM1034" s="808"/>
      <c r="DN1034" s="1737"/>
      <c r="DO1034" s="808"/>
      <c r="DP1034" s="1737"/>
      <c r="DQ1034" s="808"/>
      <c r="DR1034" s="1737"/>
      <c r="DS1034" s="808"/>
      <c r="DT1034" s="1737"/>
      <c r="DU1034" s="808"/>
      <c r="DV1034" s="1737"/>
      <c r="DW1034" s="808"/>
      <c r="DX1034" s="1737"/>
      <c r="DY1034" s="808"/>
      <c r="DZ1034" s="1737"/>
      <c r="EA1034" s="808"/>
      <c r="EB1034" s="1737"/>
      <c r="EC1034" s="808"/>
      <c r="ED1034" s="1737"/>
      <c r="EE1034" s="808"/>
      <c r="EF1034" s="1737"/>
      <c r="EG1034" s="808"/>
      <c r="EH1034" s="1737"/>
      <c r="EI1034" s="808"/>
      <c r="EJ1034" s="1737"/>
      <c r="EK1034" s="808"/>
      <c r="EL1034" s="1737"/>
      <c r="EM1034" s="808"/>
      <c r="EN1034" s="1737"/>
      <c r="EO1034" s="808"/>
      <c r="EP1034" s="1737"/>
      <c r="EQ1034" s="808"/>
      <c r="ER1034" s="1737"/>
      <c r="ES1034" s="808"/>
      <c r="ET1034" s="1737"/>
      <c r="EU1034" s="808"/>
      <c r="EV1034" s="1737"/>
      <c r="EW1034" s="808"/>
      <c r="EX1034" s="1737"/>
      <c r="EY1034" s="808"/>
      <c r="EZ1034" s="1737"/>
      <c r="FA1034" s="808"/>
      <c r="FB1034" s="1737"/>
      <c r="FC1034" s="808"/>
      <c r="FD1034" s="1737"/>
      <c r="FE1034" s="808"/>
      <c r="FF1034" s="1737"/>
      <c r="FG1034" s="808"/>
      <c r="FH1034" s="1737"/>
      <c r="FI1034" s="808"/>
      <c r="FJ1034" s="1737"/>
      <c r="FK1034" s="808"/>
      <c r="FL1034" s="1737"/>
      <c r="FM1034" s="808"/>
      <c r="FN1034" s="1737"/>
      <c r="FO1034" s="808"/>
      <c r="FP1034" s="1737"/>
      <c r="FQ1034" s="808"/>
      <c r="FR1034" s="1737"/>
      <c r="FS1034" s="808"/>
      <c r="FT1034" s="1737"/>
      <c r="FU1034" s="808"/>
      <c r="FV1034" s="1737"/>
      <c r="FW1034" s="808"/>
      <c r="FX1034" s="1737"/>
      <c r="FY1034" s="808"/>
      <c r="FZ1034" s="1737"/>
      <c r="GA1034" s="808"/>
      <c r="GB1034" s="1737"/>
      <c r="GC1034" s="808"/>
      <c r="GD1034" s="1737"/>
      <c r="GE1034" s="808"/>
      <c r="GF1034" s="1737"/>
      <c r="GG1034" s="808"/>
      <c r="GH1034" s="1737"/>
      <c r="GI1034" s="808"/>
      <c r="GJ1034" s="1737"/>
      <c r="GK1034" s="808"/>
      <c r="GL1034" s="1737"/>
      <c r="GM1034" s="808"/>
      <c r="GN1034" s="1737"/>
      <c r="GO1034" s="808"/>
      <c r="GP1034" s="1737"/>
      <c r="GQ1034" s="808"/>
      <c r="GR1034" s="1737"/>
      <c r="GS1034" s="808"/>
      <c r="GT1034" s="1737"/>
      <c r="GU1034" s="808"/>
      <c r="GV1034" s="1737"/>
      <c r="GW1034" s="808"/>
      <c r="GX1034" s="1737"/>
      <c r="GY1034" s="808"/>
      <c r="GZ1034" s="1737"/>
      <c r="HA1034" s="808"/>
      <c r="HB1034" s="1737"/>
      <c r="HC1034" s="808"/>
      <c r="HD1034" s="1737"/>
      <c r="HE1034" s="808"/>
      <c r="HF1034" s="1737"/>
      <c r="HG1034" s="808"/>
      <c r="HH1034" s="1737"/>
      <c r="HI1034" s="808"/>
      <c r="HJ1034" s="1737"/>
      <c r="HK1034" s="808"/>
      <c r="HL1034" s="1737"/>
      <c r="HM1034" s="808"/>
      <c r="HN1034" s="1737"/>
      <c r="HO1034" s="808"/>
      <c r="HP1034" s="1737"/>
      <c r="HQ1034" s="808"/>
      <c r="HR1034" s="1737"/>
      <c r="HS1034" s="808"/>
      <c r="HT1034" s="1737"/>
      <c r="HU1034" s="808"/>
      <c r="HV1034" s="1737"/>
      <c r="HW1034" s="808"/>
      <c r="HX1034" s="1737"/>
      <c r="HY1034" s="808"/>
      <c r="HZ1034" s="1737"/>
      <c r="IA1034" s="808"/>
      <c r="IB1034" s="1737"/>
      <c r="IC1034" s="808"/>
      <c r="ID1034" s="1737"/>
      <c r="IE1034" s="808"/>
      <c r="IF1034" s="1737"/>
      <c r="IG1034" s="808"/>
      <c r="IH1034" s="1737"/>
      <c r="II1034" s="808"/>
      <c r="IJ1034" s="1737"/>
      <c r="IK1034" s="808"/>
      <c r="IL1034" s="1737"/>
      <c r="IM1034" s="808"/>
      <c r="IN1034" s="1737"/>
      <c r="IO1034" s="808"/>
      <c r="IP1034" s="1737"/>
      <c r="IQ1034" s="808"/>
      <c r="IR1034" s="1737"/>
      <c r="IS1034" s="808"/>
      <c r="IT1034" s="1737"/>
      <c r="IU1034" s="808"/>
      <c r="IV1034" s="1737"/>
    </row>
    <row r="1035" spans="1:256">
      <c r="A1035" s="1860">
        <v>9.1</v>
      </c>
      <c r="B1035" s="28" t="s">
        <v>2332</v>
      </c>
      <c r="C1035" s="31">
        <v>917.08</v>
      </c>
      <c r="D1035" s="713" t="s">
        <v>1</v>
      </c>
      <c r="E1035" s="31">
        <v>16.760000000000002</v>
      </c>
      <c r="F1035" s="1864">
        <f>+ROUND(C1035*E1035,2)</f>
        <v>15370.26</v>
      </c>
      <c r="G1035" s="510"/>
    </row>
    <row r="1036" spans="1:256">
      <c r="A1036" s="1860">
        <v>9.1999999999999993</v>
      </c>
      <c r="B1036" s="28" t="s">
        <v>2333</v>
      </c>
      <c r="C1036" s="31">
        <v>2740.15</v>
      </c>
      <c r="D1036" s="713" t="s">
        <v>1</v>
      </c>
      <c r="E1036" s="31">
        <v>10.01</v>
      </c>
      <c r="F1036" s="1864">
        <f>+ROUND(C1036*E1036,2)</f>
        <v>27428.9</v>
      </c>
      <c r="G1036" s="510"/>
    </row>
    <row r="1037" spans="1:256">
      <c r="A1037" s="1855">
        <v>9.3000000000000007</v>
      </c>
      <c r="B1037" s="28" t="s">
        <v>2334</v>
      </c>
      <c r="C1037" s="31">
        <v>2356.14</v>
      </c>
      <c r="D1037" s="713" t="s">
        <v>1</v>
      </c>
      <c r="E1037" s="31">
        <v>7.63</v>
      </c>
      <c r="F1037" s="1864">
        <f>+ROUND(C1037*E1037,2)</f>
        <v>17977.349999999999</v>
      </c>
      <c r="G1037" s="510"/>
    </row>
    <row r="1038" spans="1:256" ht="3.75" customHeight="1">
      <c r="A1038" s="1860"/>
      <c r="B1038" s="18"/>
      <c r="C1038" s="31"/>
      <c r="D1038" s="713"/>
      <c r="E1038" s="714"/>
      <c r="F1038" s="1864"/>
      <c r="G1038" s="510"/>
    </row>
    <row r="1039" spans="1:256" ht="38.25">
      <c r="A1039" s="1860">
        <v>10</v>
      </c>
      <c r="B1039" s="1810" t="s">
        <v>520</v>
      </c>
      <c r="C1039" s="1794">
        <v>6092.32</v>
      </c>
      <c r="D1039" s="1794" t="s">
        <v>1</v>
      </c>
      <c r="E1039" s="1794">
        <v>50.15</v>
      </c>
      <c r="F1039" s="1856">
        <f>ROUND(C1039*E1039,2)</f>
        <v>305529.84999999998</v>
      </c>
      <c r="G1039" s="510"/>
    </row>
    <row r="1040" spans="1:256" ht="5.25" customHeight="1">
      <c r="A1040" s="1860"/>
      <c r="B1040" s="1794"/>
      <c r="C1040" s="31"/>
      <c r="D1040" s="713"/>
      <c r="E1040" s="31"/>
      <c r="F1040" s="1864"/>
      <c r="G1040" s="510"/>
    </row>
    <row r="1041" spans="1:256">
      <c r="A1041" s="1860">
        <v>11</v>
      </c>
      <c r="B1041" s="1794" t="s">
        <v>462</v>
      </c>
      <c r="C1041" s="31">
        <v>6092.32</v>
      </c>
      <c r="D1041" s="713" t="s">
        <v>1</v>
      </c>
      <c r="E1041" s="31">
        <v>21</v>
      </c>
      <c r="F1041" s="1864">
        <f>ROUND(C1041*E1041,2)</f>
        <v>127938.72</v>
      </c>
      <c r="G1041" s="510"/>
    </row>
    <row r="1042" spans="1:256" s="1539" customFormat="1" ht="16.5" customHeight="1">
      <c r="A1042"/>
      <c r="B1042" s="1835" t="s">
        <v>974</v>
      </c>
      <c r="C1042" s="1835"/>
      <c r="D1042" s="1835"/>
      <c r="E1042" s="1836"/>
      <c r="F1042">
        <f>SUM(F923:F1041)</f>
        <v>6887368.9000000004</v>
      </c>
      <c r="G1042" s="1741"/>
    </row>
    <row r="1043" spans="1:256">
      <c r="A1043" s="1860"/>
      <c r="B1043" s="28"/>
      <c r="C1043" s="31"/>
      <c r="D1043" s="713"/>
      <c r="E1043" s="31"/>
      <c r="F1043" s="1864"/>
      <c r="G1043" s="510"/>
    </row>
    <row r="1044" spans="1:256" ht="38.25">
      <c r="A1044" t="s">
        <v>12</v>
      </c>
      <c r="B1044" s="1807" t="s">
        <v>2253</v>
      </c>
      <c r="C1044" s="808"/>
      <c r="D1044" s="1804"/>
      <c r="E1044" s="1755"/>
      <c r="F1044"/>
      <c r="G1044" s="1754"/>
      <c r="H1044" s="1846"/>
      <c r="I1044" s="1754"/>
      <c r="J1044" s="1846"/>
      <c r="K1044" s="1754"/>
      <c r="L1044" s="1846"/>
      <c r="M1044" s="1803"/>
      <c r="N1044" s="1737"/>
      <c r="O1044" s="808"/>
      <c r="P1044" s="1737"/>
      <c r="Q1044" s="808"/>
      <c r="R1044" s="1737"/>
      <c r="S1044" s="808"/>
      <c r="T1044" s="1737"/>
      <c r="U1044" s="808"/>
      <c r="V1044" s="1737"/>
      <c r="W1044" s="808"/>
      <c r="X1044" s="1737"/>
      <c r="Y1044" s="808"/>
      <c r="Z1044" s="1737"/>
      <c r="AA1044" s="808"/>
      <c r="AB1044" s="1737"/>
      <c r="AC1044" s="808"/>
      <c r="AD1044" s="1737"/>
      <c r="AE1044" s="808"/>
      <c r="AF1044" s="1737"/>
      <c r="AG1044" s="808"/>
      <c r="AH1044" s="1737"/>
      <c r="AI1044" s="808"/>
      <c r="AJ1044" s="1737"/>
      <c r="AK1044" s="808"/>
      <c r="AL1044" s="1737"/>
      <c r="AM1044" s="808"/>
      <c r="AN1044" s="1737"/>
      <c r="AO1044" s="808"/>
      <c r="AP1044" s="1737"/>
      <c r="AQ1044" s="808"/>
      <c r="AR1044" s="1737"/>
      <c r="AS1044" s="808"/>
      <c r="AT1044" s="1737"/>
      <c r="AU1044" s="808"/>
      <c r="AV1044" s="1737"/>
      <c r="AW1044" s="808"/>
      <c r="AX1044" s="1737"/>
      <c r="AY1044" s="808"/>
      <c r="AZ1044" s="1737"/>
      <c r="BA1044" s="808"/>
      <c r="BB1044" s="1737"/>
      <c r="BC1044" s="808"/>
      <c r="BD1044" s="1737"/>
      <c r="BE1044" s="808"/>
      <c r="BF1044" s="1737"/>
      <c r="BG1044" s="808"/>
      <c r="BH1044" s="1737"/>
      <c r="BI1044" s="808"/>
      <c r="BJ1044" s="1737"/>
      <c r="BK1044" s="808"/>
      <c r="BL1044" s="1737"/>
      <c r="BM1044" s="808"/>
      <c r="BN1044" s="1737"/>
      <c r="BO1044" s="808"/>
      <c r="BP1044" s="1737"/>
      <c r="BQ1044" s="808"/>
      <c r="BR1044" s="1737"/>
      <c r="BS1044" s="808"/>
      <c r="BT1044" s="1737"/>
      <c r="BU1044" s="808"/>
      <c r="BV1044" s="1737"/>
      <c r="BW1044" s="808"/>
      <c r="BX1044" s="1737"/>
      <c r="BY1044" s="808"/>
      <c r="BZ1044" s="1737"/>
      <c r="CA1044" s="808"/>
      <c r="CB1044" s="1737"/>
      <c r="CC1044" s="808"/>
      <c r="CD1044" s="1737"/>
      <c r="CE1044" s="808"/>
      <c r="CF1044" s="1737"/>
      <c r="CG1044" s="808"/>
      <c r="CH1044" s="1737"/>
      <c r="CI1044" s="808"/>
      <c r="CJ1044" s="1737"/>
      <c r="CK1044" s="808"/>
      <c r="CL1044" s="1737"/>
      <c r="CM1044" s="808"/>
      <c r="CN1044" s="1737"/>
      <c r="CO1044" s="808"/>
      <c r="CP1044" s="1737"/>
      <c r="CQ1044" s="808"/>
      <c r="CR1044" s="1737"/>
      <c r="CS1044" s="808"/>
      <c r="CT1044" s="1737"/>
      <c r="CU1044" s="808"/>
      <c r="CV1044" s="1737"/>
      <c r="CW1044" s="808"/>
      <c r="CX1044" s="1737"/>
      <c r="CY1044" s="808"/>
      <c r="CZ1044" s="1737"/>
      <c r="DA1044" s="808"/>
      <c r="DB1044" s="1737"/>
      <c r="DC1044" s="808"/>
      <c r="DD1044" s="1737"/>
      <c r="DE1044" s="808"/>
      <c r="DF1044" s="1737"/>
      <c r="DG1044" s="808"/>
      <c r="DH1044" s="1737"/>
      <c r="DI1044" s="808"/>
      <c r="DJ1044" s="1737"/>
      <c r="DK1044" s="808"/>
      <c r="DL1044" s="1737"/>
      <c r="DM1044" s="808"/>
      <c r="DN1044" s="1737"/>
      <c r="DO1044" s="808"/>
      <c r="DP1044" s="1737"/>
      <c r="DQ1044" s="808"/>
      <c r="DR1044" s="1737"/>
      <c r="DS1044" s="808"/>
      <c r="DT1044" s="1737"/>
      <c r="DU1044" s="808"/>
      <c r="DV1044" s="1737"/>
      <c r="DW1044" s="808"/>
      <c r="DX1044" s="1737"/>
      <c r="DY1044" s="808"/>
      <c r="DZ1044" s="1737"/>
      <c r="EA1044" s="808"/>
      <c r="EB1044" s="1737"/>
      <c r="EC1044" s="808"/>
      <c r="ED1044" s="1737"/>
      <c r="EE1044" s="808"/>
      <c r="EF1044" s="1737"/>
      <c r="EG1044" s="808"/>
      <c r="EH1044" s="1737"/>
      <c r="EI1044" s="808"/>
      <c r="EJ1044" s="1737"/>
      <c r="EK1044" s="808"/>
      <c r="EL1044" s="1737"/>
      <c r="EM1044" s="808"/>
      <c r="EN1044" s="1737"/>
      <c r="EO1044" s="808"/>
      <c r="EP1044" s="1737"/>
      <c r="EQ1044" s="808"/>
      <c r="ER1044" s="1737"/>
      <c r="ES1044" s="808"/>
      <c r="ET1044" s="1737"/>
      <c r="EU1044" s="808"/>
      <c r="EV1044" s="1737"/>
      <c r="EW1044" s="808"/>
      <c r="EX1044" s="1737"/>
      <c r="EY1044" s="808"/>
      <c r="EZ1044" s="1737"/>
      <c r="FA1044" s="808"/>
      <c r="FB1044" s="1737"/>
      <c r="FC1044" s="808"/>
      <c r="FD1044" s="1737"/>
      <c r="FE1044" s="808"/>
      <c r="FF1044" s="1737"/>
      <c r="FG1044" s="808"/>
      <c r="FH1044" s="1737"/>
      <c r="FI1044" s="808"/>
      <c r="FJ1044" s="1737"/>
      <c r="FK1044" s="808"/>
      <c r="FL1044" s="1737"/>
      <c r="FM1044" s="808"/>
      <c r="FN1044" s="1737"/>
      <c r="FO1044" s="808"/>
      <c r="FP1044" s="1737"/>
      <c r="FQ1044" s="808"/>
      <c r="FR1044" s="1737"/>
      <c r="FS1044" s="808"/>
      <c r="FT1044" s="1737"/>
      <c r="FU1044" s="808"/>
      <c r="FV1044" s="1737"/>
      <c r="FW1044" s="808"/>
      <c r="FX1044" s="1737"/>
      <c r="FY1044" s="808"/>
      <c r="FZ1044" s="1737"/>
      <c r="GA1044" s="808"/>
      <c r="GB1044" s="1737"/>
      <c r="GC1044" s="808"/>
      <c r="GD1044" s="1737"/>
      <c r="GE1044" s="808"/>
      <c r="GF1044" s="1737"/>
      <c r="GG1044" s="808"/>
      <c r="GH1044" s="1737"/>
      <c r="GI1044" s="808"/>
      <c r="GJ1044" s="1737"/>
      <c r="GK1044" s="808"/>
      <c r="GL1044" s="1737"/>
      <c r="GM1044" s="808"/>
      <c r="GN1044" s="1737"/>
      <c r="GO1044" s="808"/>
      <c r="GP1044" s="1737"/>
      <c r="GQ1044" s="808"/>
      <c r="GR1044" s="1737"/>
      <c r="GS1044" s="808"/>
      <c r="GT1044" s="1737"/>
      <c r="GU1044" s="808"/>
      <c r="GV1044" s="1737"/>
      <c r="GW1044" s="808"/>
      <c r="GX1044" s="1737"/>
      <c r="GY1044" s="808"/>
      <c r="GZ1044" s="1737"/>
      <c r="HA1044" s="808"/>
      <c r="HB1044" s="1737"/>
      <c r="HC1044" s="808"/>
      <c r="HD1044" s="1737"/>
      <c r="HE1044" s="808"/>
      <c r="HF1044" s="1737"/>
      <c r="HG1044" s="808"/>
      <c r="HH1044" s="1737"/>
      <c r="HI1044" s="808"/>
      <c r="HJ1044" s="1737"/>
      <c r="HK1044" s="808"/>
      <c r="HL1044" s="1737"/>
      <c r="HM1044" s="808"/>
      <c r="HN1044" s="1737"/>
      <c r="HO1044" s="808"/>
      <c r="HP1044" s="1737"/>
      <c r="HQ1044" s="808"/>
      <c r="HR1044" s="1737"/>
      <c r="HS1044" s="808"/>
      <c r="HT1044" s="1737"/>
      <c r="HU1044" s="808"/>
      <c r="HV1044" s="1737"/>
      <c r="HW1044" s="808"/>
      <c r="HX1044" s="1737"/>
      <c r="HY1044" s="808"/>
      <c r="HZ1044" s="1737"/>
      <c r="IA1044" s="808"/>
      <c r="IB1044" s="1737"/>
      <c r="IC1044" s="808"/>
      <c r="ID1044" s="1737"/>
      <c r="IE1044" s="808"/>
      <c r="IF1044" s="1737"/>
      <c r="IG1044" s="808"/>
      <c r="IH1044" s="1737"/>
      <c r="II1044" s="808"/>
      <c r="IJ1044" s="1737"/>
      <c r="IK1044" s="808"/>
      <c r="IL1044" s="1737"/>
      <c r="IM1044" s="808"/>
      <c r="IN1044" s="1737"/>
      <c r="IO1044" s="808"/>
      <c r="IP1044" s="1737"/>
      <c r="IQ1044" s="808"/>
      <c r="IR1044" s="1737"/>
      <c r="IS1044" s="808"/>
      <c r="IT1044" s="1737"/>
      <c r="IU1044" s="808"/>
      <c r="IV1044" s="1737"/>
    </row>
    <row r="1045" spans="1:256">
      <c r="A1045" s="1859"/>
      <c r="B1045" s="51"/>
      <c r="C1045" s="31"/>
      <c r="D1045" s="713"/>
      <c r="E1045" s="31"/>
      <c r="F1045" s="1864"/>
      <c r="G1045" s="510"/>
    </row>
    <row r="1046" spans="1:256">
      <c r="A1046" s="1860">
        <v>1</v>
      </c>
      <c r="B1046" s="28" t="s">
        <v>37</v>
      </c>
      <c r="C1046" s="31">
        <v>4812</v>
      </c>
      <c r="D1046" s="713" t="s">
        <v>1</v>
      </c>
      <c r="E1046" s="31">
        <v>15</v>
      </c>
      <c r="F1046" s="1864">
        <f t="shared" ref="F1046:F1063" si="46">+ROUND(C1046*E1046,2)</f>
        <v>72180</v>
      </c>
      <c r="G1046" s="510"/>
    </row>
    <row r="1047" spans="1:256">
      <c r="A1047" s="1860"/>
      <c r="B1047" s="28"/>
      <c r="C1047" s="31"/>
      <c r="D1047" s="713"/>
      <c r="E1047" s="31"/>
      <c r="F1047" s="1864"/>
      <c r="G1047" s="510"/>
    </row>
    <row r="1048" spans="1:256">
      <c r="A1048" s="1861">
        <v>2</v>
      </c>
      <c r="B1048" s="711" t="s">
        <v>14</v>
      </c>
      <c r="C1048" s="31"/>
      <c r="D1048" s="713"/>
      <c r="E1048" s="714"/>
      <c r="F1048" s="1864">
        <f t="shared" si="46"/>
        <v>0</v>
      </c>
      <c r="G1048" s="510"/>
    </row>
    <row r="1049" spans="1:256">
      <c r="A1049" s="1863" t="s">
        <v>1182</v>
      </c>
      <c r="B1049" s="1201" t="s">
        <v>2314</v>
      </c>
      <c r="C1049" s="31">
        <v>4807.1899999999996</v>
      </c>
      <c r="D1049" s="713" t="s">
        <v>2</v>
      </c>
      <c r="E1049" s="714">
        <v>154.53</v>
      </c>
      <c r="F1049" s="1864">
        <f t="shared" si="46"/>
        <v>742855.07</v>
      </c>
      <c r="G1049" s="510"/>
    </row>
    <row r="1050" spans="1:256" ht="25.5">
      <c r="A1050" s="1863" t="s">
        <v>1183</v>
      </c>
      <c r="B1050" s="1201" t="s">
        <v>2315</v>
      </c>
      <c r="C1050" s="31">
        <v>534.13</v>
      </c>
      <c r="D1050" s="713" t="s">
        <v>2</v>
      </c>
      <c r="E1050" s="714">
        <v>1125.8</v>
      </c>
      <c r="F1050" s="1864">
        <f t="shared" si="46"/>
        <v>601323.55000000005</v>
      </c>
      <c r="G1050" s="510"/>
    </row>
    <row r="1051" spans="1:256">
      <c r="A1051" s="1863"/>
      <c r="B1051" s="1201"/>
      <c r="C1051" s="31"/>
      <c r="D1051" s="713"/>
      <c r="E1051" s="714"/>
      <c r="F1051" s="1864"/>
      <c r="G1051" s="510"/>
    </row>
    <row r="1052" spans="1:256">
      <c r="A1052" s="1860">
        <v>2.2000000000000002</v>
      </c>
      <c r="B1052" s="716" t="s">
        <v>4</v>
      </c>
      <c r="C1052" s="31">
        <v>409.02</v>
      </c>
      <c r="D1052" s="713" t="s">
        <v>2</v>
      </c>
      <c r="E1052" s="714">
        <v>1108.8900000000001</v>
      </c>
      <c r="F1052" s="1864">
        <f t="shared" si="46"/>
        <v>453558.19</v>
      </c>
      <c r="G1052" s="510"/>
    </row>
    <row r="1053" spans="1:256">
      <c r="A1053" s="1863">
        <v>2.2999999999999998</v>
      </c>
      <c r="B1053" s="1201" t="s">
        <v>1181</v>
      </c>
      <c r="C1053" s="31">
        <v>4090.2</v>
      </c>
      <c r="D1053" s="713" t="s">
        <v>11</v>
      </c>
      <c r="E1053" s="714">
        <v>28.5</v>
      </c>
      <c r="F1053" s="1864">
        <f>+ROUND(C1053*E1053,2)</f>
        <v>116570.7</v>
      </c>
      <c r="G1053" s="510"/>
    </row>
    <row r="1054" spans="1:256" ht="38.25">
      <c r="A1054" s="1860">
        <v>2.4</v>
      </c>
      <c r="B1054" s="717" t="s">
        <v>483</v>
      </c>
      <c r="C1054" s="31">
        <v>667.67</v>
      </c>
      <c r="D1054" s="713" t="s">
        <v>2</v>
      </c>
      <c r="E1054" s="714">
        <v>668.95</v>
      </c>
      <c r="F1054" s="1864">
        <f t="shared" si="46"/>
        <v>446637.85</v>
      </c>
      <c r="G1054" s="510"/>
    </row>
    <row r="1055" spans="1:256" ht="25.5">
      <c r="A1055" s="1860">
        <v>2.5</v>
      </c>
      <c r="B1055" s="18" t="s">
        <v>409</v>
      </c>
      <c r="C1055" s="31">
        <v>4351.97</v>
      </c>
      <c r="D1055" s="713" t="s">
        <v>2</v>
      </c>
      <c r="E1055" s="714">
        <v>183.68</v>
      </c>
      <c r="F1055" s="1864">
        <f t="shared" si="46"/>
        <v>799369.85</v>
      </c>
      <c r="G1055" s="510"/>
    </row>
    <row r="1056" spans="1:256" ht="25.5">
      <c r="A1056" s="1860">
        <v>2.6</v>
      </c>
      <c r="B1056" s="18" t="s">
        <v>1580</v>
      </c>
      <c r="C1056" s="31">
        <v>1935</v>
      </c>
      <c r="D1056" s="713" t="s">
        <v>2</v>
      </c>
      <c r="E1056" s="714">
        <v>210</v>
      </c>
      <c r="F1056" s="1864">
        <f t="shared" si="46"/>
        <v>406350</v>
      </c>
      <c r="G1056" s="510"/>
    </row>
    <row r="1057" spans="1:256">
      <c r="A1057" s="1860"/>
      <c r="B1057" s="28"/>
      <c r="C1057" s="31"/>
      <c r="D1057" s="713"/>
      <c r="E1057" s="31"/>
      <c r="F1057" s="1864">
        <f t="shared" si="46"/>
        <v>0</v>
      </c>
      <c r="G1057" s="510"/>
    </row>
    <row r="1058" spans="1:256">
      <c r="A1058" s="1861">
        <v>3</v>
      </c>
      <c r="B1058" s="711" t="s">
        <v>25</v>
      </c>
      <c r="C1058" s="31"/>
      <c r="D1058" s="713"/>
      <c r="E1058" s="714"/>
      <c r="F1058" s="1864">
        <f t="shared" si="46"/>
        <v>0</v>
      </c>
      <c r="G1058" s="510"/>
    </row>
    <row r="1059" spans="1:256">
      <c r="A1059" s="1860">
        <v>3.1</v>
      </c>
      <c r="B1059" s="28" t="s">
        <v>2254</v>
      </c>
      <c r="C1059" s="31">
        <v>5004.4799999999996</v>
      </c>
      <c r="D1059" s="713" t="s">
        <v>1</v>
      </c>
      <c r="E1059" s="714">
        <v>3222.52</v>
      </c>
      <c r="F1059" s="1864">
        <f>+ROUND(C1059*E1059,2)</f>
        <v>16127036.890000001</v>
      </c>
      <c r="G1059" s="510"/>
    </row>
    <row r="1060" spans="1:256">
      <c r="A1060" s="1860"/>
      <c r="B1060" s="51"/>
      <c r="C1060" s="31"/>
      <c r="D1060" s="713"/>
      <c r="E1060" s="31"/>
      <c r="F1060" s="1864">
        <f t="shared" si="46"/>
        <v>0</v>
      </c>
      <c r="G1060" s="510"/>
    </row>
    <row r="1061" spans="1:256">
      <c r="A1061" s="1867">
        <v>4</v>
      </c>
      <c r="B1061" s="1804" t="s">
        <v>26</v>
      </c>
      <c r="C1061" s="808"/>
      <c r="D1061" s="1804"/>
      <c r="E1061" s="1755"/>
      <c r="F1061">
        <f t="shared" si="46"/>
        <v>0</v>
      </c>
      <c r="G1061" s="1754"/>
      <c r="H1061" s="1846"/>
      <c r="I1061" s="1754"/>
      <c r="J1061" s="1846"/>
      <c r="K1061" s="1754"/>
      <c r="L1061" s="1846"/>
      <c r="M1061" s="1803"/>
      <c r="N1061" s="1737"/>
      <c r="O1061" s="808"/>
      <c r="P1061" s="1737"/>
      <c r="Q1061" s="808"/>
      <c r="R1061" s="1737"/>
      <c r="S1061" s="808"/>
      <c r="T1061" s="1737"/>
      <c r="U1061" s="808"/>
      <c r="V1061" s="1737"/>
      <c r="W1061" s="808"/>
      <c r="X1061" s="1737"/>
      <c r="Y1061" s="808"/>
      <c r="Z1061" s="1737"/>
      <c r="AA1061" s="808"/>
      <c r="AB1061" s="1737"/>
      <c r="AC1061" s="808"/>
      <c r="AD1061" s="1737"/>
      <c r="AE1061" s="808"/>
      <c r="AF1061" s="1737"/>
      <c r="AG1061" s="808"/>
      <c r="AH1061" s="1737"/>
      <c r="AI1061" s="808"/>
      <c r="AJ1061" s="1737"/>
      <c r="AK1061" s="808"/>
      <c r="AL1061" s="1737"/>
      <c r="AM1061" s="808"/>
      <c r="AN1061" s="1737"/>
      <c r="AO1061" s="808"/>
      <c r="AP1061" s="1737"/>
      <c r="AQ1061" s="808"/>
      <c r="AR1061" s="1737"/>
      <c r="AS1061" s="808"/>
      <c r="AT1061" s="1737"/>
      <c r="AU1061" s="808"/>
      <c r="AV1061" s="1737"/>
      <c r="AW1061" s="808"/>
      <c r="AX1061" s="1737"/>
      <c r="AY1061" s="808"/>
      <c r="AZ1061" s="1737"/>
      <c r="BA1061" s="808"/>
      <c r="BB1061" s="1737"/>
      <c r="BC1061" s="808"/>
      <c r="BD1061" s="1737"/>
      <c r="BE1061" s="808"/>
      <c r="BF1061" s="1737"/>
      <c r="BG1061" s="808"/>
      <c r="BH1061" s="1737"/>
      <c r="BI1061" s="808"/>
      <c r="BJ1061" s="1737"/>
      <c r="BK1061" s="808"/>
      <c r="BL1061" s="1737"/>
      <c r="BM1061" s="808"/>
      <c r="BN1061" s="1737"/>
      <c r="BO1061" s="808"/>
      <c r="BP1061" s="1737"/>
      <c r="BQ1061" s="808"/>
      <c r="BR1061" s="1737"/>
      <c r="BS1061" s="808"/>
      <c r="BT1061" s="1737"/>
      <c r="BU1061" s="808"/>
      <c r="BV1061" s="1737"/>
      <c r="BW1061" s="808"/>
      <c r="BX1061" s="1737"/>
      <c r="BY1061" s="808"/>
      <c r="BZ1061" s="1737"/>
      <c r="CA1061" s="808"/>
      <c r="CB1061" s="1737"/>
      <c r="CC1061" s="808"/>
      <c r="CD1061" s="1737"/>
      <c r="CE1061" s="808"/>
      <c r="CF1061" s="1737"/>
      <c r="CG1061" s="808"/>
      <c r="CH1061" s="1737"/>
      <c r="CI1061" s="808"/>
      <c r="CJ1061" s="1737"/>
      <c r="CK1061" s="808"/>
      <c r="CL1061" s="1737"/>
      <c r="CM1061" s="808"/>
      <c r="CN1061" s="1737"/>
      <c r="CO1061" s="808"/>
      <c r="CP1061" s="1737"/>
      <c r="CQ1061" s="808"/>
      <c r="CR1061" s="1737"/>
      <c r="CS1061" s="808"/>
      <c r="CT1061" s="1737"/>
      <c r="CU1061" s="808"/>
      <c r="CV1061" s="1737"/>
      <c r="CW1061" s="808"/>
      <c r="CX1061" s="1737"/>
      <c r="CY1061" s="808"/>
      <c r="CZ1061" s="1737"/>
      <c r="DA1061" s="808"/>
      <c r="DB1061" s="1737"/>
      <c r="DC1061" s="808"/>
      <c r="DD1061" s="1737"/>
      <c r="DE1061" s="808"/>
      <c r="DF1061" s="1737"/>
      <c r="DG1061" s="808"/>
      <c r="DH1061" s="1737"/>
      <c r="DI1061" s="808"/>
      <c r="DJ1061" s="1737"/>
      <c r="DK1061" s="808"/>
      <c r="DL1061" s="1737"/>
      <c r="DM1061" s="808"/>
      <c r="DN1061" s="1737"/>
      <c r="DO1061" s="808"/>
      <c r="DP1061" s="1737"/>
      <c r="DQ1061" s="808"/>
      <c r="DR1061" s="1737"/>
      <c r="DS1061" s="808"/>
      <c r="DT1061" s="1737"/>
      <c r="DU1061" s="808"/>
      <c r="DV1061" s="1737"/>
      <c r="DW1061" s="808"/>
      <c r="DX1061" s="1737"/>
      <c r="DY1061" s="808"/>
      <c r="DZ1061" s="1737"/>
      <c r="EA1061" s="808"/>
      <c r="EB1061" s="1737"/>
      <c r="EC1061" s="808"/>
      <c r="ED1061" s="1737"/>
      <c r="EE1061" s="808"/>
      <c r="EF1061" s="1737"/>
      <c r="EG1061" s="808"/>
      <c r="EH1061" s="1737"/>
      <c r="EI1061" s="808"/>
      <c r="EJ1061" s="1737"/>
      <c r="EK1061" s="808"/>
      <c r="EL1061" s="1737"/>
      <c r="EM1061" s="808"/>
      <c r="EN1061" s="1737"/>
      <c r="EO1061" s="808"/>
      <c r="EP1061" s="1737"/>
      <c r="EQ1061" s="808"/>
      <c r="ER1061" s="1737"/>
      <c r="ES1061" s="808"/>
      <c r="ET1061" s="1737"/>
      <c r="EU1061" s="808"/>
      <c r="EV1061" s="1737"/>
      <c r="EW1061" s="808"/>
      <c r="EX1061" s="1737"/>
      <c r="EY1061" s="808"/>
      <c r="EZ1061" s="1737"/>
      <c r="FA1061" s="808"/>
      <c r="FB1061" s="1737"/>
      <c r="FC1061" s="808"/>
      <c r="FD1061" s="1737"/>
      <c r="FE1061" s="808"/>
      <c r="FF1061" s="1737"/>
      <c r="FG1061" s="808"/>
      <c r="FH1061" s="1737"/>
      <c r="FI1061" s="808"/>
      <c r="FJ1061" s="1737"/>
      <c r="FK1061" s="808"/>
      <c r="FL1061" s="1737"/>
      <c r="FM1061" s="808"/>
      <c r="FN1061" s="1737"/>
      <c r="FO1061" s="808"/>
      <c r="FP1061" s="1737"/>
      <c r="FQ1061" s="808"/>
      <c r="FR1061" s="1737"/>
      <c r="FS1061" s="808"/>
      <c r="FT1061" s="1737"/>
      <c r="FU1061" s="808"/>
      <c r="FV1061" s="1737"/>
      <c r="FW1061" s="808"/>
      <c r="FX1061" s="1737"/>
      <c r="FY1061" s="808"/>
      <c r="FZ1061" s="1737"/>
      <c r="GA1061" s="808"/>
      <c r="GB1061" s="1737"/>
      <c r="GC1061" s="808"/>
      <c r="GD1061" s="1737"/>
      <c r="GE1061" s="808"/>
      <c r="GF1061" s="1737"/>
      <c r="GG1061" s="808"/>
      <c r="GH1061" s="1737"/>
      <c r="GI1061" s="808"/>
      <c r="GJ1061" s="1737"/>
      <c r="GK1061" s="808"/>
      <c r="GL1061" s="1737"/>
      <c r="GM1061" s="808"/>
      <c r="GN1061" s="1737"/>
      <c r="GO1061" s="808"/>
      <c r="GP1061" s="1737"/>
      <c r="GQ1061" s="808"/>
      <c r="GR1061" s="1737"/>
      <c r="GS1061" s="808"/>
      <c r="GT1061" s="1737"/>
      <c r="GU1061" s="808"/>
      <c r="GV1061" s="1737"/>
      <c r="GW1061" s="808"/>
      <c r="GX1061" s="1737"/>
      <c r="GY1061" s="808"/>
      <c r="GZ1061" s="1737"/>
      <c r="HA1061" s="808"/>
      <c r="HB1061" s="1737"/>
      <c r="HC1061" s="808"/>
      <c r="HD1061" s="1737"/>
      <c r="HE1061" s="808"/>
      <c r="HF1061" s="1737"/>
      <c r="HG1061" s="808"/>
      <c r="HH1061" s="1737"/>
      <c r="HI1061" s="808"/>
      <c r="HJ1061" s="1737"/>
      <c r="HK1061" s="808"/>
      <c r="HL1061" s="1737"/>
      <c r="HM1061" s="808"/>
      <c r="HN1061" s="1737"/>
      <c r="HO1061" s="808"/>
      <c r="HP1061" s="1737"/>
      <c r="HQ1061" s="808"/>
      <c r="HR1061" s="1737"/>
      <c r="HS1061" s="808"/>
      <c r="HT1061" s="1737"/>
      <c r="HU1061" s="808"/>
      <c r="HV1061" s="1737"/>
      <c r="HW1061" s="808"/>
      <c r="HX1061" s="1737"/>
      <c r="HY1061" s="808"/>
      <c r="HZ1061" s="1737"/>
      <c r="IA1061" s="808"/>
      <c r="IB1061" s="1737"/>
      <c r="IC1061" s="808"/>
      <c r="ID1061" s="1737"/>
      <c r="IE1061" s="808"/>
      <c r="IF1061" s="1737"/>
      <c r="IG1061" s="808"/>
      <c r="IH1061" s="1737"/>
      <c r="II1061" s="808"/>
      <c r="IJ1061" s="1737"/>
      <c r="IK1061" s="808"/>
      <c r="IL1061" s="1737"/>
      <c r="IM1061" s="808"/>
      <c r="IN1061" s="1737"/>
      <c r="IO1061" s="808"/>
      <c r="IP1061" s="1737"/>
      <c r="IQ1061" s="808"/>
      <c r="IR1061" s="1737"/>
      <c r="IS1061" s="808"/>
      <c r="IT1061" s="1737"/>
      <c r="IU1061" s="808"/>
      <c r="IV1061" s="1737"/>
    </row>
    <row r="1062" spans="1:256">
      <c r="A1062" s="1860">
        <v>4.0999999999999996</v>
      </c>
      <c r="B1062" s="28" t="s">
        <v>2336</v>
      </c>
      <c r="C1062" s="31">
        <v>4812</v>
      </c>
      <c r="D1062" s="713" t="s">
        <v>1</v>
      </c>
      <c r="E1062" s="31">
        <v>55.55</v>
      </c>
      <c r="F1062" s="1864">
        <f>+ROUND(C1062*E1062,2)</f>
        <v>267306.59999999998</v>
      </c>
      <c r="G1062" s="510"/>
    </row>
    <row r="1063" spans="1:256">
      <c r="A1063" s="1860"/>
      <c r="B1063" s="28"/>
      <c r="C1063" s="31"/>
      <c r="D1063" s="713"/>
      <c r="E1063" s="31"/>
      <c r="F1063" s="1864">
        <f t="shared" si="46"/>
        <v>0</v>
      </c>
      <c r="G1063" s="510"/>
    </row>
    <row r="1064" spans="1:256">
      <c r="A1064" s="1867">
        <v>5</v>
      </c>
      <c r="B1064" s="1804" t="s">
        <v>486</v>
      </c>
      <c r="C1064" s="808"/>
      <c r="D1064" s="1804"/>
      <c r="E1064" s="1755"/>
      <c r="F1064"/>
      <c r="G1064" s="1754"/>
      <c r="H1064" s="1846"/>
      <c r="I1064" s="1754"/>
      <c r="J1064" s="1846"/>
      <c r="K1064" s="1754"/>
      <c r="L1064" s="1846"/>
      <c r="M1064" s="1803"/>
      <c r="N1064" s="1737"/>
      <c r="O1064" s="808"/>
      <c r="P1064" s="1737"/>
      <c r="Q1064" s="808"/>
      <c r="R1064" s="1737"/>
      <c r="S1064" s="808"/>
      <c r="T1064" s="1737"/>
      <c r="U1064" s="808"/>
      <c r="V1064" s="1737"/>
      <c r="W1064" s="808"/>
      <c r="X1064" s="1737"/>
      <c r="Y1064" s="808"/>
      <c r="Z1064" s="1737"/>
      <c r="AA1064" s="808"/>
      <c r="AB1064" s="1737"/>
      <c r="AC1064" s="808"/>
      <c r="AD1064" s="1737"/>
      <c r="AE1064" s="808"/>
      <c r="AF1064" s="1737"/>
      <c r="AG1064" s="808"/>
      <c r="AH1064" s="1737"/>
      <c r="AI1064" s="808"/>
      <c r="AJ1064" s="1737"/>
      <c r="AK1064" s="808"/>
      <c r="AL1064" s="1737"/>
      <c r="AM1064" s="808"/>
      <c r="AN1064" s="1737"/>
      <c r="AO1064" s="808"/>
      <c r="AP1064" s="1737"/>
      <c r="AQ1064" s="808"/>
      <c r="AR1064" s="1737"/>
      <c r="AS1064" s="808"/>
      <c r="AT1064" s="1737"/>
      <c r="AU1064" s="808"/>
      <c r="AV1064" s="1737"/>
      <c r="AW1064" s="808"/>
      <c r="AX1064" s="1737"/>
      <c r="AY1064" s="808"/>
      <c r="AZ1064" s="1737"/>
      <c r="BA1064" s="808"/>
      <c r="BB1064" s="1737"/>
      <c r="BC1064" s="808"/>
      <c r="BD1064" s="1737"/>
      <c r="BE1064" s="808"/>
      <c r="BF1064" s="1737"/>
      <c r="BG1064" s="808"/>
      <c r="BH1064" s="1737"/>
      <c r="BI1064" s="808"/>
      <c r="BJ1064" s="1737"/>
      <c r="BK1064" s="808"/>
      <c r="BL1064" s="1737"/>
      <c r="BM1064" s="808"/>
      <c r="BN1064" s="1737"/>
      <c r="BO1064" s="808"/>
      <c r="BP1064" s="1737"/>
      <c r="BQ1064" s="808"/>
      <c r="BR1064" s="1737"/>
      <c r="BS1064" s="808"/>
      <c r="BT1064" s="1737"/>
      <c r="BU1064" s="808"/>
      <c r="BV1064" s="1737"/>
      <c r="BW1064" s="808"/>
      <c r="BX1064" s="1737"/>
      <c r="BY1064" s="808"/>
      <c r="BZ1064" s="1737"/>
      <c r="CA1064" s="808"/>
      <c r="CB1064" s="1737"/>
      <c r="CC1064" s="808"/>
      <c r="CD1064" s="1737"/>
      <c r="CE1064" s="808"/>
      <c r="CF1064" s="1737"/>
      <c r="CG1064" s="808"/>
      <c r="CH1064" s="1737"/>
      <c r="CI1064" s="808"/>
      <c r="CJ1064" s="1737"/>
      <c r="CK1064" s="808"/>
      <c r="CL1064" s="1737"/>
      <c r="CM1064" s="808"/>
      <c r="CN1064" s="1737"/>
      <c r="CO1064" s="808"/>
      <c r="CP1064" s="1737"/>
      <c r="CQ1064" s="808"/>
      <c r="CR1064" s="1737"/>
      <c r="CS1064" s="808"/>
      <c r="CT1064" s="1737"/>
      <c r="CU1064" s="808"/>
      <c r="CV1064" s="1737"/>
      <c r="CW1064" s="808"/>
      <c r="CX1064" s="1737"/>
      <c r="CY1064" s="808"/>
      <c r="CZ1064" s="1737"/>
      <c r="DA1064" s="808"/>
      <c r="DB1064" s="1737"/>
      <c r="DC1064" s="808"/>
      <c r="DD1064" s="1737"/>
      <c r="DE1064" s="808"/>
      <c r="DF1064" s="1737"/>
      <c r="DG1064" s="808"/>
      <c r="DH1064" s="1737"/>
      <c r="DI1064" s="808"/>
      <c r="DJ1064" s="1737"/>
      <c r="DK1064" s="808"/>
      <c r="DL1064" s="1737"/>
      <c r="DM1064" s="808"/>
      <c r="DN1064" s="1737"/>
      <c r="DO1064" s="808"/>
      <c r="DP1064" s="1737"/>
      <c r="DQ1064" s="808"/>
      <c r="DR1064" s="1737"/>
      <c r="DS1064" s="808"/>
      <c r="DT1064" s="1737"/>
      <c r="DU1064" s="808"/>
      <c r="DV1064" s="1737"/>
      <c r="DW1064" s="808"/>
      <c r="DX1064" s="1737"/>
      <c r="DY1064" s="808"/>
      <c r="DZ1064" s="1737"/>
      <c r="EA1064" s="808"/>
      <c r="EB1064" s="1737"/>
      <c r="EC1064" s="808"/>
      <c r="ED1064" s="1737"/>
      <c r="EE1064" s="808"/>
      <c r="EF1064" s="1737"/>
      <c r="EG1064" s="808"/>
      <c r="EH1064" s="1737"/>
      <c r="EI1064" s="808"/>
      <c r="EJ1064" s="1737"/>
      <c r="EK1064" s="808"/>
      <c r="EL1064" s="1737"/>
      <c r="EM1064" s="808"/>
      <c r="EN1064" s="1737"/>
      <c r="EO1064" s="808"/>
      <c r="EP1064" s="1737"/>
      <c r="EQ1064" s="808"/>
      <c r="ER1064" s="1737"/>
      <c r="ES1064" s="808"/>
      <c r="ET1064" s="1737"/>
      <c r="EU1064" s="808"/>
      <c r="EV1064" s="1737"/>
      <c r="EW1064" s="808"/>
      <c r="EX1064" s="1737"/>
      <c r="EY1064" s="808"/>
      <c r="EZ1064" s="1737"/>
      <c r="FA1064" s="808"/>
      <c r="FB1064" s="1737"/>
      <c r="FC1064" s="808"/>
      <c r="FD1064" s="1737"/>
      <c r="FE1064" s="808"/>
      <c r="FF1064" s="1737"/>
      <c r="FG1064" s="808"/>
      <c r="FH1064" s="1737"/>
      <c r="FI1064" s="808"/>
      <c r="FJ1064" s="1737"/>
      <c r="FK1064" s="808"/>
      <c r="FL1064" s="1737"/>
      <c r="FM1064" s="808"/>
      <c r="FN1064" s="1737"/>
      <c r="FO1064" s="808"/>
      <c r="FP1064" s="1737"/>
      <c r="FQ1064" s="808"/>
      <c r="FR1064" s="1737"/>
      <c r="FS1064" s="808"/>
      <c r="FT1064" s="1737"/>
      <c r="FU1064" s="808"/>
      <c r="FV1064" s="1737"/>
      <c r="FW1064" s="808"/>
      <c r="FX1064" s="1737"/>
      <c r="FY1064" s="808"/>
      <c r="FZ1064" s="1737"/>
      <c r="GA1064" s="808"/>
      <c r="GB1064" s="1737"/>
      <c r="GC1064" s="808"/>
      <c r="GD1064" s="1737"/>
      <c r="GE1064" s="808"/>
      <c r="GF1064" s="1737"/>
      <c r="GG1064" s="808"/>
      <c r="GH1064" s="1737"/>
      <c r="GI1064" s="808"/>
      <c r="GJ1064" s="1737"/>
      <c r="GK1064" s="808"/>
      <c r="GL1064" s="1737"/>
      <c r="GM1064" s="808"/>
      <c r="GN1064" s="1737"/>
      <c r="GO1064" s="808"/>
      <c r="GP1064" s="1737"/>
      <c r="GQ1064" s="808"/>
      <c r="GR1064" s="1737"/>
      <c r="GS1064" s="808"/>
      <c r="GT1064" s="1737"/>
      <c r="GU1064" s="808"/>
      <c r="GV1064" s="1737"/>
      <c r="GW1064" s="808"/>
      <c r="GX1064" s="1737"/>
      <c r="GY1064" s="808"/>
      <c r="GZ1064" s="1737"/>
      <c r="HA1064" s="808"/>
      <c r="HB1064" s="1737"/>
      <c r="HC1064" s="808"/>
      <c r="HD1064" s="1737"/>
      <c r="HE1064" s="808"/>
      <c r="HF1064" s="1737"/>
      <c r="HG1064" s="808"/>
      <c r="HH1064" s="1737"/>
      <c r="HI1064" s="808"/>
      <c r="HJ1064" s="1737"/>
      <c r="HK1064" s="808"/>
      <c r="HL1064" s="1737"/>
      <c r="HM1064" s="808"/>
      <c r="HN1064" s="1737"/>
      <c r="HO1064" s="808"/>
      <c r="HP1064" s="1737"/>
      <c r="HQ1064" s="808"/>
      <c r="HR1064" s="1737"/>
      <c r="HS1064" s="808"/>
      <c r="HT1064" s="1737"/>
      <c r="HU1064" s="808"/>
      <c r="HV1064" s="1737"/>
      <c r="HW1064" s="808"/>
      <c r="HX1064" s="1737"/>
      <c r="HY1064" s="808"/>
      <c r="HZ1064" s="1737"/>
      <c r="IA1064" s="808"/>
      <c r="IB1064" s="1737"/>
      <c r="IC1064" s="808"/>
      <c r="ID1064" s="1737"/>
      <c r="IE1064" s="808"/>
      <c r="IF1064" s="1737"/>
      <c r="IG1064" s="808"/>
      <c r="IH1064" s="1737"/>
      <c r="II1064" s="808"/>
      <c r="IJ1064" s="1737"/>
      <c r="IK1064" s="808"/>
      <c r="IL1064" s="1737"/>
      <c r="IM1064" s="808"/>
      <c r="IN1064" s="1737"/>
      <c r="IO1064" s="808"/>
      <c r="IP1064" s="1737"/>
      <c r="IQ1064" s="808"/>
      <c r="IR1064" s="1737"/>
      <c r="IS1064" s="808"/>
      <c r="IT1064" s="1737"/>
      <c r="IU1064" s="808"/>
      <c r="IV1064" s="1737"/>
    </row>
    <row r="1065" spans="1:256" ht="25.5">
      <c r="A1065" s="1860">
        <v>5.0999999999999996</v>
      </c>
      <c r="B1065" s="1746" t="s">
        <v>1190</v>
      </c>
      <c r="C1065" s="31">
        <v>58</v>
      </c>
      <c r="D1065" s="713" t="s">
        <v>3</v>
      </c>
      <c r="E1065" s="32">
        <v>8809.77</v>
      </c>
      <c r="F1065" s="1864">
        <f>ROUND(C1065*E1065,2)</f>
        <v>510966.66</v>
      </c>
      <c r="G1065" s="510"/>
    </row>
    <row r="1066" spans="1:256" ht="25.5">
      <c r="A1066" s="1860">
        <v>5.2</v>
      </c>
      <c r="B1066" s="1746" t="s">
        <v>1191</v>
      </c>
      <c r="C1066" s="31">
        <v>7</v>
      </c>
      <c r="D1066" s="713" t="s">
        <v>3</v>
      </c>
      <c r="E1066" s="32">
        <v>11665.37</v>
      </c>
      <c r="F1066" s="1864">
        <f>ROUND(C1066*E1066,2)</f>
        <v>81657.59</v>
      </c>
      <c r="G1066" s="510"/>
    </row>
    <row r="1067" spans="1:256">
      <c r="A1067" s="1860">
        <v>5.3</v>
      </c>
      <c r="B1067" s="1746" t="s">
        <v>1214</v>
      </c>
      <c r="C1067" s="31">
        <v>130</v>
      </c>
      <c r="D1067" s="713" t="s">
        <v>3</v>
      </c>
      <c r="E1067" s="32">
        <v>4516.01</v>
      </c>
      <c r="F1067" s="1864">
        <f>ROUND(C1067*E1067,2)</f>
        <v>587081.30000000005</v>
      </c>
      <c r="G1067" s="510"/>
    </row>
    <row r="1068" spans="1:256" ht="25.5">
      <c r="A1068" s="1860">
        <v>5.4</v>
      </c>
      <c r="B1068" s="745" t="s">
        <v>2255</v>
      </c>
      <c r="C1068" s="31">
        <v>65</v>
      </c>
      <c r="D1068" s="713" t="s">
        <v>3</v>
      </c>
      <c r="E1068" s="1582">
        <v>16415.560000000001</v>
      </c>
      <c r="F1068" s="1864">
        <f>ROUND(C1068*E1068,2)</f>
        <v>1067011.3999999999</v>
      </c>
      <c r="G1068" s="510"/>
    </row>
    <row r="1069" spans="1:256" s="1739" customFormat="1" ht="38.25">
      <c r="A1069" s="1860">
        <v>5.5</v>
      </c>
      <c r="B1069" s="1746" t="s">
        <v>413</v>
      </c>
      <c r="C1069" s="31">
        <v>1</v>
      </c>
      <c r="D1069" s="713" t="s">
        <v>3</v>
      </c>
      <c r="E1069" s="31">
        <v>1500</v>
      </c>
      <c r="F1069" s="1864">
        <f>+ROUND(C1069*E1069,2)</f>
        <v>1500</v>
      </c>
      <c r="G1069" s="44"/>
      <c r="H1069" s="842"/>
      <c r="I1069" s="842"/>
      <c r="J1069" s="842"/>
      <c r="K1069" s="842"/>
      <c r="L1069" s="842"/>
    </row>
    <row r="1070" spans="1:256">
      <c r="A1070" s="1860">
        <v>5.6</v>
      </c>
      <c r="B1070" s="18" t="s">
        <v>2335</v>
      </c>
      <c r="C1070" s="31">
        <v>4</v>
      </c>
      <c r="D1070" s="713" t="s">
        <v>47</v>
      </c>
      <c r="E1070" s="1794">
        <v>397.75</v>
      </c>
      <c r="F1070" s="1864">
        <f>+ROUND(C1070*E1070,2)</f>
        <v>1591</v>
      </c>
      <c r="G1070" s="510"/>
    </row>
    <row r="1071" spans="1:256">
      <c r="A1071" s="1860"/>
      <c r="B1071" s="18"/>
      <c r="C1071" s="31"/>
      <c r="D1071" s="713"/>
      <c r="E1071" s="714"/>
      <c r="F1071" s="1864"/>
      <c r="G1071" s="510"/>
    </row>
    <row r="1072" spans="1:256">
      <c r="A1072" s="1867">
        <v>6</v>
      </c>
      <c r="B1072" s="1804" t="s">
        <v>39</v>
      </c>
      <c r="C1072" s="808"/>
      <c r="D1072" s="1804"/>
      <c r="E1072" s="1755"/>
      <c r="F1072">
        <f t="shared" ref="F1072:F1077" si="47">+ROUND(C1072*E1072,2)</f>
        <v>0</v>
      </c>
      <c r="G1072" s="1754"/>
      <c r="H1072" s="1846"/>
      <c r="I1072" s="1754"/>
      <c r="J1072" s="1846"/>
      <c r="K1072" s="1754"/>
      <c r="L1072" s="1846"/>
      <c r="M1072" s="1803"/>
      <c r="N1072" s="1737"/>
      <c r="O1072" s="808"/>
      <c r="P1072" s="1737"/>
      <c r="Q1072" s="808"/>
      <c r="R1072" s="1737"/>
      <c r="S1072" s="808"/>
      <c r="T1072" s="1737"/>
      <c r="U1072" s="808"/>
      <c r="V1072" s="1737"/>
      <c r="W1072" s="808"/>
      <c r="X1072" s="1737"/>
      <c r="Y1072" s="808"/>
      <c r="Z1072" s="1737"/>
      <c r="AA1072" s="808"/>
      <c r="AB1072" s="1737"/>
      <c r="AC1072" s="808"/>
      <c r="AD1072" s="1737"/>
      <c r="AE1072" s="808"/>
      <c r="AF1072" s="1737"/>
      <c r="AG1072" s="808"/>
      <c r="AH1072" s="1737"/>
      <c r="AI1072" s="808"/>
      <c r="AJ1072" s="1737"/>
      <c r="AK1072" s="808"/>
      <c r="AL1072" s="1737"/>
      <c r="AM1072" s="808"/>
      <c r="AN1072" s="1737"/>
      <c r="AO1072" s="808"/>
      <c r="AP1072" s="1737"/>
      <c r="AQ1072" s="808"/>
      <c r="AR1072" s="1737"/>
      <c r="AS1072" s="808"/>
      <c r="AT1072" s="1737"/>
      <c r="AU1072" s="808"/>
      <c r="AV1072" s="1737"/>
      <c r="AW1072" s="808"/>
      <c r="AX1072" s="1737"/>
      <c r="AY1072" s="808"/>
      <c r="AZ1072" s="1737"/>
      <c r="BA1072" s="808"/>
      <c r="BB1072" s="1737"/>
      <c r="BC1072" s="808"/>
      <c r="BD1072" s="1737"/>
      <c r="BE1072" s="808"/>
      <c r="BF1072" s="1737"/>
      <c r="BG1072" s="808"/>
      <c r="BH1072" s="1737"/>
      <c r="BI1072" s="808"/>
      <c r="BJ1072" s="1737"/>
      <c r="BK1072" s="808"/>
      <c r="BL1072" s="1737"/>
      <c r="BM1072" s="808"/>
      <c r="BN1072" s="1737"/>
      <c r="BO1072" s="808"/>
      <c r="BP1072" s="1737"/>
      <c r="BQ1072" s="808"/>
      <c r="BR1072" s="1737"/>
      <c r="BS1072" s="808"/>
      <c r="BT1072" s="1737"/>
      <c r="BU1072" s="808"/>
      <c r="BV1072" s="1737"/>
      <c r="BW1072" s="808"/>
      <c r="BX1072" s="1737"/>
      <c r="BY1072" s="808"/>
      <c r="BZ1072" s="1737"/>
      <c r="CA1072" s="808"/>
      <c r="CB1072" s="1737"/>
      <c r="CC1072" s="808"/>
      <c r="CD1072" s="1737"/>
      <c r="CE1072" s="808"/>
      <c r="CF1072" s="1737"/>
      <c r="CG1072" s="808"/>
      <c r="CH1072" s="1737"/>
      <c r="CI1072" s="808"/>
      <c r="CJ1072" s="1737"/>
      <c r="CK1072" s="808"/>
      <c r="CL1072" s="1737"/>
      <c r="CM1072" s="808"/>
      <c r="CN1072" s="1737"/>
      <c r="CO1072" s="808"/>
      <c r="CP1072" s="1737"/>
      <c r="CQ1072" s="808"/>
      <c r="CR1072" s="1737"/>
      <c r="CS1072" s="808"/>
      <c r="CT1072" s="1737"/>
      <c r="CU1072" s="808"/>
      <c r="CV1072" s="1737"/>
      <c r="CW1072" s="808"/>
      <c r="CX1072" s="1737"/>
      <c r="CY1072" s="808"/>
      <c r="CZ1072" s="1737"/>
      <c r="DA1072" s="808"/>
      <c r="DB1072" s="1737"/>
      <c r="DC1072" s="808"/>
      <c r="DD1072" s="1737"/>
      <c r="DE1072" s="808"/>
      <c r="DF1072" s="1737"/>
      <c r="DG1072" s="808"/>
      <c r="DH1072" s="1737"/>
      <c r="DI1072" s="808"/>
      <c r="DJ1072" s="1737"/>
      <c r="DK1072" s="808"/>
      <c r="DL1072" s="1737"/>
      <c r="DM1072" s="808"/>
      <c r="DN1072" s="1737"/>
      <c r="DO1072" s="808"/>
      <c r="DP1072" s="1737"/>
      <c r="DQ1072" s="808"/>
      <c r="DR1072" s="1737"/>
      <c r="DS1072" s="808"/>
      <c r="DT1072" s="1737"/>
      <c r="DU1072" s="808"/>
      <c r="DV1072" s="1737"/>
      <c r="DW1072" s="808"/>
      <c r="DX1072" s="1737"/>
      <c r="DY1072" s="808"/>
      <c r="DZ1072" s="1737"/>
      <c r="EA1072" s="808"/>
      <c r="EB1072" s="1737"/>
      <c r="EC1072" s="808"/>
      <c r="ED1072" s="1737"/>
      <c r="EE1072" s="808"/>
      <c r="EF1072" s="1737"/>
      <c r="EG1072" s="808"/>
      <c r="EH1072" s="1737"/>
      <c r="EI1072" s="808"/>
      <c r="EJ1072" s="1737"/>
      <c r="EK1072" s="808"/>
      <c r="EL1072" s="1737"/>
      <c r="EM1072" s="808"/>
      <c r="EN1072" s="1737"/>
      <c r="EO1072" s="808"/>
      <c r="EP1072" s="1737"/>
      <c r="EQ1072" s="808"/>
      <c r="ER1072" s="1737"/>
      <c r="ES1072" s="808"/>
      <c r="ET1072" s="1737"/>
      <c r="EU1072" s="808"/>
      <c r="EV1072" s="1737"/>
      <c r="EW1072" s="808"/>
      <c r="EX1072" s="1737"/>
      <c r="EY1072" s="808"/>
      <c r="EZ1072" s="1737"/>
      <c r="FA1072" s="808"/>
      <c r="FB1072" s="1737"/>
      <c r="FC1072" s="808"/>
      <c r="FD1072" s="1737"/>
      <c r="FE1072" s="808"/>
      <c r="FF1072" s="1737"/>
      <c r="FG1072" s="808"/>
      <c r="FH1072" s="1737"/>
      <c r="FI1072" s="808"/>
      <c r="FJ1072" s="1737"/>
      <c r="FK1072" s="808"/>
      <c r="FL1072" s="1737"/>
      <c r="FM1072" s="808"/>
      <c r="FN1072" s="1737"/>
      <c r="FO1072" s="808"/>
      <c r="FP1072" s="1737"/>
      <c r="FQ1072" s="808"/>
      <c r="FR1072" s="1737"/>
      <c r="FS1072" s="808"/>
      <c r="FT1072" s="1737"/>
      <c r="FU1072" s="808"/>
      <c r="FV1072" s="1737"/>
      <c r="FW1072" s="808"/>
      <c r="FX1072" s="1737"/>
      <c r="FY1072" s="808"/>
      <c r="FZ1072" s="1737"/>
      <c r="GA1072" s="808"/>
      <c r="GB1072" s="1737"/>
      <c r="GC1072" s="808"/>
      <c r="GD1072" s="1737"/>
      <c r="GE1072" s="808"/>
      <c r="GF1072" s="1737"/>
      <c r="GG1072" s="808"/>
      <c r="GH1072" s="1737"/>
      <c r="GI1072" s="808"/>
      <c r="GJ1072" s="1737"/>
      <c r="GK1072" s="808"/>
      <c r="GL1072" s="1737"/>
      <c r="GM1072" s="808"/>
      <c r="GN1072" s="1737"/>
      <c r="GO1072" s="808"/>
      <c r="GP1072" s="1737"/>
      <c r="GQ1072" s="808"/>
      <c r="GR1072" s="1737"/>
      <c r="GS1072" s="808"/>
      <c r="GT1072" s="1737"/>
      <c r="GU1072" s="808"/>
      <c r="GV1072" s="1737"/>
      <c r="GW1072" s="808"/>
      <c r="GX1072" s="1737"/>
      <c r="GY1072" s="808"/>
      <c r="GZ1072" s="1737"/>
      <c r="HA1072" s="808"/>
      <c r="HB1072" s="1737"/>
      <c r="HC1072" s="808"/>
      <c r="HD1072" s="1737"/>
      <c r="HE1072" s="808"/>
      <c r="HF1072" s="1737"/>
      <c r="HG1072" s="808"/>
      <c r="HH1072" s="1737"/>
      <c r="HI1072" s="808"/>
      <c r="HJ1072" s="1737"/>
      <c r="HK1072" s="808"/>
      <c r="HL1072" s="1737"/>
      <c r="HM1072" s="808"/>
      <c r="HN1072" s="1737"/>
      <c r="HO1072" s="808"/>
      <c r="HP1072" s="1737"/>
      <c r="HQ1072" s="808"/>
      <c r="HR1072" s="1737"/>
      <c r="HS1072" s="808"/>
      <c r="HT1072" s="1737"/>
      <c r="HU1072" s="808"/>
      <c r="HV1072" s="1737"/>
      <c r="HW1072" s="808"/>
      <c r="HX1072" s="1737"/>
      <c r="HY1072" s="808"/>
      <c r="HZ1072" s="1737"/>
      <c r="IA1072" s="808"/>
      <c r="IB1072" s="1737"/>
      <c r="IC1072" s="808"/>
      <c r="ID1072" s="1737"/>
      <c r="IE1072" s="808"/>
      <c r="IF1072" s="1737"/>
      <c r="IG1072" s="808"/>
      <c r="IH1072" s="1737"/>
      <c r="II1072" s="808"/>
      <c r="IJ1072" s="1737"/>
      <c r="IK1072" s="808"/>
      <c r="IL1072" s="1737"/>
      <c r="IM1072" s="808"/>
      <c r="IN1072" s="1737"/>
      <c r="IO1072" s="808"/>
      <c r="IP1072" s="1737"/>
      <c r="IQ1072" s="808"/>
      <c r="IR1072" s="1737"/>
      <c r="IS1072" s="808"/>
      <c r="IT1072" s="1737"/>
      <c r="IU1072" s="808"/>
      <c r="IV1072" s="1737"/>
    </row>
    <row r="1073" spans="1:256">
      <c r="A1073" s="1860">
        <v>6.1</v>
      </c>
      <c r="B1073" s="18" t="s">
        <v>994</v>
      </c>
      <c r="C1073" s="31">
        <v>23</v>
      </c>
      <c r="D1073" s="713" t="s">
        <v>3</v>
      </c>
      <c r="E1073" s="714">
        <v>38964.559999999998</v>
      </c>
      <c r="F1073" s="1864">
        <f t="shared" si="47"/>
        <v>896184.88</v>
      </c>
      <c r="G1073" s="510"/>
    </row>
    <row r="1074" spans="1:256">
      <c r="A1074" s="1860">
        <v>6.2</v>
      </c>
      <c r="B1074" s="1794" t="s">
        <v>1215</v>
      </c>
      <c r="C1074" s="510">
        <v>4</v>
      </c>
      <c r="D1074" s="510" t="s">
        <v>3</v>
      </c>
      <c r="E1074" s="510">
        <v>23500</v>
      </c>
      <c r="F1074" s="1899">
        <f t="shared" si="47"/>
        <v>94000</v>
      </c>
      <c r="G1074" s="510"/>
    </row>
    <row r="1075" spans="1:256">
      <c r="A1075" s="1860">
        <v>6.3</v>
      </c>
      <c r="B1075" s="18" t="s">
        <v>983</v>
      </c>
      <c r="C1075" s="1838">
        <v>21</v>
      </c>
      <c r="D1075" s="713" t="s">
        <v>3</v>
      </c>
      <c r="E1075" s="714">
        <v>50772.81</v>
      </c>
      <c r="F1075" s="1864">
        <f t="shared" si="47"/>
        <v>1066229.01</v>
      </c>
      <c r="G1075" s="510"/>
    </row>
    <row r="1076" spans="1:256">
      <c r="A1076" s="1860">
        <v>6.4</v>
      </c>
      <c r="B1076" s="18" t="s">
        <v>414</v>
      </c>
      <c r="C1076" s="31">
        <v>21</v>
      </c>
      <c r="D1076" s="713" t="s">
        <v>3</v>
      </c>
      <c r="E1076" s="714">
        <v>3500</v>
      </c>
      <c r="F1076" s="1864">
        <f t="shared" si="47"/>
        <v>73500</v>
      </c>
      <c r="G1076" s="510"/>
    </row>
    <row r="1077" spans="1:256">
      <c r="A1077" s="1868">
        <v>6.5</v>
      </c>
      <c r="B1077" s="1824" t="s">
        <v>2256</v>
      </c>
      <c r="C1077" s="1813">
        <v>27</v>
      </c>
      <c r="D1077" s="1821" t="s">
        <v>3</v>
      </c>
      <c r="E1077" s="1825">
        <v>22500</v>
      </c>
      <c r="F1077" s="1879">
        <f t="shared" si="47"/>
        <v>607500</v>
      </c>
      <c r="G1077" s="510"/>
    </row>
    <row r="1078" spans="1:256">
      <c r="A1078" s="1860"/>
      <c r="B1078" s="28"/>
      <c r="C1078" s="31"/>
      <c r="D1078" s="713"/>
      <c r="E1078" s="31"/>
      <c r="F1078" s="1864"/>
      <c r="G1078" s="510"/>
    </row>
    <row r="1079" spans="1:256">
      <c r="A1079" s="1867">
        <v>7</v>
      </c>
      <c r="B1079" s="1804" t="s">
        <v>59</v>
      </c>
      <c r="C1079" s="808"/>
      <c r="D1079" s="1804"/>
      <c r="E1079" s="1755"/>
      <c r="F1079">
        <f>+ROUND(C1079*E1079,2)</f>
        <v>0</v>
      </c>
      <c r="G1079" s="1754"/>
      <c r="H1079" s="1846"/>
      <c r="I1079" s="1754"/>
      <c r="J1079" s="1846"/>
      <c r="K1079" s="1754"/>
      <c r="L1079" s="1846"/>
      <c r="M1079" s="1803"/>
      <c r="N1079" s="1737"/>
      <c r="O1079" s="808"/>
      <c r="P1079" s="1737"/>
      <c r="Q1079" s="808"/>
      <c r="R1079" s="1737"/>
      <c r="S1079" s="808"/>
      <c r="T1079" s="1737"/>
      <c r="U1079" s="808"/>
      <c r="V1079" s="1737"/>
      <c r="W1079" s="808"/>
      <c r="X1079" s="1737"/>
      <c r="Y1079" s="808"/>
      <c r="Z1079" s="1737"/>
      <c r="AA1079" s="808"/>
      <c r="AB1079" s="1737"/>
      <c r="AC1079" s="808"/>
      <c r="AD1079" s="1737"/>
      <c r="AE1079" s="808"/>
      <c r="AF1079" s="1737"/>
      <c r="AG1079" s="808"/>
      <c r="AH1079" s="1737"/>
      <c r="AI1079" s="808"/>
      <c r="AJ1079" s="1737"/>
      <c r="AK1079" s="808"/>
      <c r="AL1079" s="1737"/>
      <c r="AM1079" s="808"/>
      <c r="AN1079" s="1737"/>
      <c r="AO1079" s="808"/>
      <c r="AP1079" s="1737"/>
      <c r="AQ1079" s="808"/>
      <c r="AR1079" s="1737"/>
      <c r="AS1079" s="808"/>
      <c r="AT1079" s="1737"/>
      <c r="AU1079" s="808"/>
      <c r="AV1079" s="1737"/>
      <c r="AW1079" s="808"/>
      <c r="AX1079" s="1737"/>
      <c r="AY1079" s="808"/>
      <c r="AZ1079" s="1737"/>
      <c r="BA1079" s="808"/>
      <c r="BB1079" s="1737"/>
      <c r="BC1079" s="808"/>
      <c r="BD1079" s="1737"/>
      <c r="BE1079" s="808"/>
      <c r="BF1079" s="1737"/>
      <c r="BG1079" s="808"/>
      <c r="BH1079" s="1737"/>
      <c r="BI1079" s="808"/>
      <c r="BJ1079" s="1737"/>
      <c r="BK1079" s="808"/>
      <c r="BL1079" s="1737"/>
      <c r="BM1079" s="808"/>
      <c r="BN1079" s="1737"/>
      <c r="BO1079" s="808"/>
      <c r="BP1079" s="1737"/>
      <c r="BQ1079" s="808"/>
      <c r="BR1079" s="1737"/>
      <c r="BS1079" s="808"/>
      <c r="BT1079" s="1737"/>
      <c r="BU1079" s="808"/>
      <c r="BV1079" s="1737"/>
      <c r="BW1079" s="808"/>
      <c r="BX1079" s="1737"/>
      <c r="BY1079" s="808"/>
      <c r="BZ1079" s="1737"/>
      <c r="CA1079" s="808"/>
      <c r="CB1079" s="1737"/>
      <c r="CC1079" s="808"/>
      <c r="CD1079" s="1737"/>
      <c r="CE1079" s="808"/>
      <c r="CF1079" s="1737"/>
      <c r="CG1079" s="808"/>
      <c r="CH1079" s="1737"/>
      <c r="CI1079" s="808"/>
      <c r="CJ1079" s="1737"/>
      <c r="CK1079" s="808"/>
      <c r="CL1079" s="1737"/>
      <c r="CM1079" s="808"/>
      <c r="CN1079" s="1737"/>
      <c r="CO1079" s="808"/>
      <c r="CP1079" s="1737"/>
      <c r="CQ1079" s="808"/>
      <c r="CR1079" s="1737"/>
      <c r="CS1079" s="808"/>
      <c r="CT1079" s="1737"/>
      <c r="CU1079" s="808"/>
      <c r="CV1079" s="1737"/>
      <c r="CW1079" s="808"/>
      <c r="CX1079" s="1737"/>
      <c r="CY1079" s="808"/>
      <c r="CZ1079" s="1737"/>
      <c r="DA1079" s="808"/>
      <c r="DB1079" s="1737"/>
      <c r="DC1079" s="808"/>
      <c r="DD1079" s="1737"/>
      <c r="DE1079" s="808"/>
      <c r="DF1079" s="1737"/>
      <c r="DG1079" s="808"/>
      <c r="DH1079" s="1737"/>
      <c r="DI1079" s="808"/>
      <c r="DJ1079" s="1737"/>
      <c r="DK1079" s="808"/>
      <c r="DL1079" s="1737"/>
      <c r="DM1079" s="808"/>
      <c r="DN1079" s="1737"/>
      <c r="DO1079" s="808"/>
      <c r="DP1079" s="1737"/>
      <c r="DQ1079" s="808"/>
      <c r="DR1079" s="1737"/>
      <c r="DS1079" s="808"/>
      <c r="DT1079" s="1737"/>
      <c r="DU1079" s="808"/>
      <c r="DV1079" s="1737"/>
      <c r="DW1079" s="808"/>
      <c r="DX1079" s="1737"/>
      <c r="DY1079" s="808"/>
      <c r="DZ1079" s="1737"/>
      <c r="EA1079" s="808"/>
      <c r="EB1079" s="1737"/>
      <c r="EC1079" s="808"/>
      <c r="ED1079" s="1737"/>
      <c r="EE1079" s="808"/>
      <c r="EF1079" s="1737"/>
      <c r="EG1079" s="808"/>
      <c r="EH1079" s="1737"/>
      <c r="EI1079" s="808"/>
      <c r="EJ1079" s="1737"/>
      <c r="EK1079" s="808"/>
      <c r="EL1079" s="1737"/>
      <c r="EM1079" s="808"/>
      <c r="EN1079" s="1737"/>
      <c r="EO1079" s="808"/>
      <c r="EP1079" s="1737"/>
      <c r="EQ1079" s="808"/>
      <c r="ER1079" s="1737"/>
      <c r="ES1079" s="808"/>
      <c r="ET1079" s="1737"/>
      <c r="EU1079" s="808"/>
      <c r="EV1079" s="1737"/>
      <c r="EW1079" s="808"/>
      <c r="EX1079" s="1737"/>
      <c r="EY1079" s="808"/>
      <c r="EZ1079" s="1737"/>
      <c r="FA1079" s="808"/>
      <c r="FB1079" s="1737"/>
      <c r="FC1079" s="808"/>
      <c r="FD1079" s="1737"/>
      <c r="FE1079" s="808"/>
      <c r="FF1079" s="1737"/>
      <c r="FG1079" s="808"/>
      <c r="FH1079" s="1737"/>
      <c r="FI1079" s="808"/>
      <c r="FJ1079" s="1737"/>
      <c r="FK1079" s="808"/>
      <c r="FL1079" s="1737"/>
      <c r="FM1079" s="808"/>
      <c r="FN1079" s="1737"/>
      <c r="FO1079" s="808"/>
      <c r="FP1079" s="1737"/>
      <c r="FQ1079" s="808"/>
      <c r="FR1079" s="1737"/>
      <c r="FS1079" s="808"/>
      <c r="FT1079" s="1737"/>
      <c r="FU1079" s="808"/>
      <c r="FV1079" s="1737"/>
      <c r="FW1079" s="808"/>
      <c r="FX1079" s="1737"/>
      <c r="FY1079" s="808"/>
      <c r="FZ1079" s="1737"/>
      <c r="GA1079" s="808"/>
      <c r="GB1079" s="1737"/>
      <c r="GC1079" s="808"/>
      <c r="GD1079" s="1737"/>
      <c r="GE1079" s="808"/>
      <c r="GF1079" s="1737"/>
      <c r="GG1079" s="808"/>
      <c r="GH1079" s="1737"/>
      <c r="GI1079" s="808"/>
      <c r="GJ1079" s="1737"/>
      <c r="GK1079" s="808"/>
      <c r="GL1079" s="1737"/>
      <c r="GM1079" s="808"/>
      <c r="GN1079" s="1737"/>
      <c r="GO1079" s="808"/>
      <c r="GP1079" s="1737"/>
      <c r="GQ1079" s="808"/>
      <c r="GR1079" s="1737"/>
      <c r="GS1079" s="808"/>
      <c r="GT1079" s="1737"/>
      <c r="GU1079" s="808"/>
      <c r="GV1079" s="1737"/>
      <c r="GW1079" s="808"/>
      <c r="GX1079" s="1737"/>
      <c r="GY1079" s="808"/>
      <c r="GZ1079" s="1737"/>
      <c r="HA1079" s="808"/>
      <c r="HB1079" s="1737"/>
      <c r="HC1079" s="808"/>
      <c r="HD1079" s="1737"/>
      <c r="HE1079" s="808"/>
      <c r="HF1079" s="1737"/>
      <c r="HG1079" s="808"/>
      <c r="HH1079" s="1737"/>
      <c r="HI1079" s="808"/>
      <c r="HJ1079" s="1737"/>
      <c r="HK1079" s="808"/>
      <c r="HL1079" s="1737"/>
      <c r="HM1079" s="808"/>
      <c r="HN1079" s="1737"/>
      <c r="HO1079" s="808"/>
      <c r="HP1079" s="1737"/>
      <c r="HQ1079" s="808"/>
      <c r="HR1079" s="1737"/>
      <c r="HS1079" s="808"/>
      <c r="HT1079" s="1737"/>
      <c r="HU1079" s="808"/>
      <c r="HV1079" s="1737"/>
      <c r="HW1079" s="808"/>
      <c r="HX1079" s="1737"/>
      <c r="HY1079" s="808"/>
      <c r="HZ1079" s="1737"/>
      <c r="IA1079" s="808"/>
      <c r="IB1079" s="1737"/>
      <c r="IC1079" s="808"/>
      <c r="ID1079" s="1737"/>
      <c r="IE1079" s="808"/>
      <c r="IF1079" s="1737"/>
      <c r="IG1079" s="808"/>
      <c r="IH1079" s="1737"/>
      <c r="II1079" s="808"/>
      <c r="IJ1079" s="1737"/>
      <c r="IK1079" s="808"/>
      <c r="IL1079" s="1737"/>
      <c r="IM1079" s="808"/>
      <c r="IN1079" s="1737"/>
      <c r="IO1079" s="808"/>
      <c r="IP1079" s="1737"/>
      <c r="IQ1079" s="808"/>
      <c r="IR1079" s="1737"/>
      <c r="IS1079" s="808"/>
      <c r="IT1079" s="1737"/>
      <c r="IU1079" s="808"/>
      <c r="IV1079" s="1737"/>
    </row>
    <row r="1080" spans="1:256">
      <c r="A1080" s="1860">
        <v>7.1</v>
      </c>
      <c r="B1080" s="18" t="s">
        <v>2254</v>
      </c>
      <c r="C1080" s="31">
        <v>4812</v>
      </c>
      <c r="D1080" s="713" t="s">
        <v>1</v>
      </c>
      <c r="E1080" s="714">
        <v>53.28</v>
      </c>
      <c r="F1080" s="1864">
        <f>+ROUND(C1080*E1080,2)</f>
        <v>256383.35999999999</v>
      </c>
      <c r="G1080" s="510"/>
    </row>
    <row r="1081" spans="1:256">
      <c r="A1081" s="1860"/>
      <c r="B1081" s="18"/>
      <c r="C1081" s="31"/>
      <c r="D1081" s="713"/>
      <c r="E1081" s="714"/>
      <c r="F1081" s="1864"/>
      <c r="G1081" s="510"/>
    </row>
    <row r="1082" spans="1:256" ht="38.25">
      <c r="A1082" s="1865">
        <v>8</v>
      </c>
      <c r="B1082" s="745" t="s">
        <v>520</v>
      </c>
      <c r="C1082" s="31">
        <v>4812</v>
      </c>
      <c r="D1082" s="713" t="s">
        <v>1</v>
      </c>
      <c r="E1082" s="1582">
        <v>50.15</v>
      </c>
      <c r="F1082" s="1864">
        <f>ROUND(C1082*E1082,2)</f>
        <v>241321.8</v>
      </c>
      <c r="G1082" s="510"/>
    </row>
    <row r="1083" spans="1:256">
      <c r="A1083" s="1860"/>
      <c r="B1083" s="1794"/>
      <c r="C1083" s="31"/>
      <c r="D1083" s="713"/>
      <c r="E1083" s="31"/>
      <c r="F1083" s="1864"/>
      <c r="G1083" s="510"/>
    </row>
    <row r="1084" spans="1:256">
      <c r="A1084" s="1860">
        <v>9</v>
      </c>
      <c r="B1084" s="1794" t="s">
        <v>462</v>
      </c>
      <c r="C1084" s="31">
        <v>4812</v>
      </c>
      <c r="D1084" s="713" t="s">
        <v>1</v>
      </c>
      <c r="E1084" s="31">
        <v>21</v>
      </c>
      <c r="F1084" s="1864">
        <f>ROUND(C1084*E1084,2)</f>
        <v>101052</v>
      </c>
      <c r="G1084" s="510"/>
    </row>
    <row r="1085" spans="1:256" s="1539" customFormat="1" ht="16.5" customHeight="1">
      <c r="A1085" s="1873"/>
      <c r="B1085" s="1827" t="s">
        <v>2260</v>
      </c>
      <c r="C1085" s="1827"/>
      <c r="D1085" s="1827"/>
      <c r="E1085" s="1828"/>
      <c r="F1085" s="1874">
        <f>SUM(F1046:F1084)</f>
        <v>25619167.699999999</v>
      </c>
      <c r="G1085" s="1741"/>
    </row>
    <row r="1086" spans="1:256">
      <c r="A1086" s="1859"/>
      <c r="B1086" s="1794"/>
      <c r="C1086" s="31"/>
      <c r="D1086" s="713"/>
      <c r="E1086" s="31"/>
      <c r="F1086" s="1864"/>
      <c r="G1086" s="510"/>
    </row>
    <row r="1087" spans="1:256">
      <c r="A1087" s="1867" t="s">
        <v>32</v>
      </c>
      <c r="B1087" s="1804" t="s">
        <v>33</v>
      </c>
      <c r="C1087" s="808"/>
      <c r="D1087" s="1804"/>
      <c r="E1087" s="1755"/>
      <c r="F1087"/>
      <c r="G1087" s="1754"/>
      <c r="H1087" s="1846"/>
      <c r="I1087" s="1754"/>
      <c r="J1087" s="1846"/>
      <c r="K1087" s="1754"/>
      <c r="L1087" s="1846"/>
      <c r="M1087" s="1803"/>
      <c r="N1087" s="1737"/>
      <c r="O1087" s="808"/>
      <c r="P1087" s="1737"/>
      <c r="Q1087" s="808"/>
      <c r="R1087" s="1737"/>
      <c r="S1087" s="808"/>
      <c r="T1087" s="1737"/>
      <c r="U1087" s="808"/>
      <c r="V1087" s="1737"/>
      <c r="W1087" s="808"/>
      <c r="X1087" s="1737"/>
      <c r="Y1087" s="808"/>
      <c r="Z1087" s="1737"/>
      <c r="AA1087" s="808"/>
      <c r="AB1087" s="1737"/>
      <c r="AC1087" s="808"/>
      <c r="AD1087" s="1737"/>
      <c r="AE1087" s="808"/>
      <c r="AF1087" s="1737"/>
      <c r="AG1087" s="808"/>
      <c r="AH1087" s="1737"/>
      <c r="AI1087" s="808"/>
      <c r="AJ1087" s="1737"/>
      <c r="AK1087" s="808"/>
      <c r="AL1087" s="1737"/>
      <c r="AM1087" s="808"/>
      <c r="AN1087" s="1737"/>
      <c r="AO1087" s="808"/>
      <c r="AP1087" s="1737"/>
      <c r="AQ1087" s="808"/>
      <c r="AR1087" s="1737"/>
      <c r="AS1087" s="808"/>
      <c r="AT1087" s="1737"/>
      <c r="AU1087" s="808"/>
      <c r="AV1087" s="1737"/>
      <c r="AW1087" s="808"/>
      <c r="AX1087" s="1737"/>
      <c r="AY1087" s="808"/>
      <c r="AZ1087" s="1737"/>
      <c r="BA1087" s="808"/>
      <c r="BB1087" s="1737"/>
      <c r="BC1087" s="808"/>
      <c r="BD1087" s="1737"/>
      <c r="BE1087" s="808"/>
      <c r="BF1087" s="1737"/>
      <c r="BG1087" s="808"/>
      <c r="BH1087" s="1737"/>
      <c r="BI1087" s="808"/>
      <c r="BJ1087" s="1737"/>
      <c r="BK1087" s="808"/>
      <c r="BL1087" s="1737"/>
      <c r="BM1087" s="808"/>
      <c r="BN1087" s="1737"/>
      <c r="BO1087" s="808"/>
      <c r="BP1087" s="1737"/>
      <c r="BQ1087" s="808"/>
      <c r="BR1087" s="1737"/>
      <c r="BS1087" s="808"/>
      <c r="BT1087" s="1737"/>
      <c r="BU1087" s="808"/>
      <c r="BV1087" s="1737"/>
      <c r="BW1087" s="808"/>
      <c r="BX1087" s="1737"/>
      <c r="BY1087" s="808"/>
      <c r="BZ1087" s="1737"/>
      <c r="CA1087" s="808"/>
      <c r="CB1087" s="1737"/>
      <c r="CC1087" s="808"/>
      <c r="CD1087" s="1737"/>
      <c r="CE1087" s="808"/>
      <c r="CF1087" s="1737"/>
      <c r="CG1087" s="808"/>
      <c r="CH1087" s="1737"/>
      <c r="CI1087" s="808"/>
      <c r="CJ1087" s="1737"/>
      <c r="CK1087" s="808"/>
      <c r="CL1087" s="1737"/>
      <c r="CM1087" s="808"/>
      <c r="CN1087" s="1737"/>
      <c r="CO1087" s="808"/>
      <c r="CP1087" s="1737"/>
      <c r="CQ1087" s="808"/>
      <c r="CR1087" s="1737"/>
      <c r="CS1087" s="808"/>
      <c r="CT1087" s="1737"/>
      <c r="CU1087" s="808"/>
      <c r="CV1087" s="1737"/>
      <c r="CW1087" s="808"/>
      <c r="CX1087" s="1737"/>
      <c r="CY1087" s="808"/>
      <c r="CZ1087" s="1737"/>
      <c r="DA1087" s="808"/>
      <c r="DB1087" s="1737"/>
      <c r="DC1087" s="808"/>
      <c r="DD1087" s="1737"/>
      <c r="DE1087" s="808"/>
      <c r="DF1087" s="1737"/>
      <c r="DG1087" s="808"/>
      <c r="DH1087" s="1737"/>
      <c r="DI1087" s="808"/>
      <c r="DJ1087" s="1737"/>
      <c r="DK1087" s="808"/>
      <c r="DL1087" s="1737"/>
      <c r="DM1087" s="808"/>
      <c r="DN1087" s="1737"/>
      <c r="DO1087" s="808"/>
      <c r="DP1087" s="1737"/>
      <c r="DQ1087" s="808"/>
      <c r="DR1087" s="1737"/>
      <c r="DS1087" s="808"/>
      <c r="DT1087" s="1737"/>
      <c r="DU1087" s="808"/>
      <c r="DV1087" s="1737"/>
      <c r="DW1087" s="808"/>
      <c r="DX1087" s="1737"/>
      <c r="DY1087" s="808"/>
      <c r="DZ1087" s="1737"/>
      <c r="EA1087" s="808"/>
      <c r="EB1087" s="1737"/>
      <c r="EC1087" s="808"/>
      <c r="ED1087" s="1737"/>
      <c r="EE1087" s="808"/>
      <c r="EF1087" s="1737"/>
      <c r="EG1087" s="808"/>
      <c r="EH1087" s="1737"/>
      <c r="EI1087" s="808"/>
      <c r="EJ1087" s="1737"/>
      <c r="EK1087" s="808"/>
      <c r="EL1087" s="1737"/>
      <c r="EM1087" s="808"/>
      <c r="EN1087" s="1737"/>
      <c r="EO1087" s="808"/>
      <c r="EP1087" s="1737"/>
      <c r="EQ1087" s="808"/>
      <c r="ER1087" s="1737"/>
      <c r="ES1087" s="808"/>
      <c r="ET1087" s="1737"/>
      <c r="EU1087" s="808"/>
      <c r="EV1087" s="1737"/>
      <c r="EW1087" s="808"/>
      <c r="EX1087" s="1737"/>
      <c r="EY1087" s="808"/>
      <c r="EZ1087" s="1737"/>
      <c r="FA1087" s="808"/>
      <c r="FB1087" s="1737"/>
      <c r="FC1087" s="808"/>
      <c r="FD1087" s="1737"/>
      <c r="FE1087" s="808"/>
      <c r="FF1087" s="1737"/>
      <c r="FG1087" s="808"/>
      <c r="FH1087" s="1737"/>
      <c r="FI1087" s="808"/>
      <c r="FJ1087" s="1737"/>
      <c r="FK1087" s="808"/>
      <c r="FL1087" s="1737"/>
      <c r="FM1087" s="808"/>
      <c r="FN1087" s="1737"/>
      <c r="FO1087" s="808"/>
      <c r="FP1087" s="1737"/>
      <c r="FQ1087" s="808"/>
      <c r="FR1087" s="1737"/>
      <c r="FS1087" s="808"/>
      <c r="FT1087" s="1737"/>
      <c r="FU1087" s="808"/>
      <c r="FV1087" s="1737"/>
      <c r="FW1087" s="808"/>
      <c r="FX1087" s="1737"/>
      <c r="FY1087" s="808"/>
      <c r="FZ1087" s="1737"/>
      <c r="GA1087" s="808"/>
      <c r="GB1087" s="1737"/>
      <c r="GC1087" s="808"/>
      <c r="GD1087" s="1737"/>
      <c r="GE1087" s="808"/>
      <c r="GF1087" s="1737"/>
      <c r="GG1087" s="808"/>
      <c r="GH1087" s="1737"/>
      <c r="GI1087" s="808"/>
      <c r="GJ1087" s="1737"/>
      <c r="GK1087" s="808"/>
      <c r="GL1087" s="1737"/>
      <c r="GM1087" s="808"/>
      <c r="GN1087" s="1737"/>
      <c r="GO1087" s="808"/>
      <c r="GP1087" s="1737"/>
      <c r="GQ1087" s="808"/>
      <c r="GR1087" s="1737"/>
      <c r="GS1087" s="808"/>
      <c r="GT1087" s="1737"/>
      <c r="GU1087" s="808"/>
      <c r="GV1087" s="1737"/>
      <c r="GW1087" s="808"/>
      <c r="GX1087" s="1737"/>
      <c r="GY1087" s="808"/>
      <c r="GZ1087" s="1737"/>
      <c r="HA1087" s="808"/>
      <c r="HB1087" s="1737"/>
      <c r="HC1087" s="808"/>
      <c r="HD1087" s="1737"/>
      <c r="HE1087" s="808"/>
      <c r="HF1087" s="1737"/>
      <c r="HG1087" s="808"/>
      <c r="HH1087" s="1737"/>
      <c r="HI1087" s="808"/>
      <c r="HJ1087" s="1737"/>
      <c r="HK1087" s="808"/>
      <c r="HL1087" s="1737"/>
      <c r="HM1087" s="808"/>
      <c r="HN1087" s="1737"/>
      <c r="HO1087" s="808"/>
      <c r="HP1087" s="1737"/>
      <c r="HQ1087" s="808"/>
      <c r="HR1087" s="1737"/>
      <c r="HS1087" s="808"/>
      <c r="HT1087" s="1737"/>
      <c r="HU1087" s="808"/>
      <c r="HV1087" s="1737"/>
      <c r="HW1087" s="808"/>
      <c r="HX1087" s="1737"/>
      <c r="HY1087" s="808"/>
      <c r="HZ1087" s="1737"/>
      <c r="IA1087" s="808"/>
      <c r="IB1087" s="1737"/>
      <c r="IC1087" s="808"/>
      <c r="ID1087" s="1737"/>
      <c r="IE1087" s="808"/>
      <c r="IF1087" s="1737"/>
      <c r="IG1087" s="808"/>
      <c r="IH1087" s="1737"/>
      <c r="II1087" s="808"/>
      <c r="IJ1087" s="1737"/>
      <c r="IK1087" s="808"/>
      <c r="IL1087" s="1737"/>
      <c r="IM1087" s="808"/>
      <c r="IN1087" s="1737"/>
      <c r="IO1087" s="808"/>
      <c r="IP1087" s="1737"/>
      <c r="IQ1087" s="808"/>
      <c r="IR1087" s="1737"/>
      <c r="IS1087" s="808"/>
      <c r="IT1087" s="1737"/>
      <c r="IU1087" s="808"/>
      <c r="IV1087" s="1737"/>
    </row>
    <row r="1088" spans="1:256" ht="63.75">
      <c r="A1088" s="1865">
        <v>1</v>
      </c>
      <c r="B1088" s="18" t="s">
        <v>1177</v>
      </c>
      <c r="C1088" s="31">
        <v>1</v>
      </c>
      <c r="D1088" s="713" t="s">
        <v>3</v>
      </c>
      <c r="E1088" s="714">
        <v>42316.79</v>
      </c>
      <c r="F1088" s="1864">
        <f>+ROUND(C1088*E1088,2)</f>
        <v>42316.79</v>
      </c>
      <c r="G1088" s="510"/>
    </row>
    <row r="1089" spans="1:12" ht="38.25">
      <c r="A1089" s="1865">
        <v>2</v>
      </c>
      <c r="B1089" s="1201" t="s">
        <v>1960</v>
      </c>
      <c r="C1089" s="31">
        <v>10</v>
      </c>
      <c r="D1089" s="713" t="s">
        <v>521</v>
      </c>
      <c r="E1089" s="714">
        <v>52500</v>
      </c>
      <c r="F1089" s="1864">
        <f>+ROUND(C1089*E1089,2)</f>
        <v>525000</v>
      </c>
      <c r="G1089" s="510"/>
    </row>
    <row r="1090" spans="1:12" s="1539" customFormat="1" ht="16.5" customHeight="1">
      <c r="A1090" s="1873"/>
      <c r="B1090" s="1827" t="s">
        <v>34</v>
      </c>
      <c r="C1090" s="1827"/>
      <c r="D1090" s="1827"/>
      <c r="E1090" s="1828"/>
      <c r="F1090" s="1874">
        <f>SUM(F1088:F1089)</f>
        <v>567316.79</v>
      </c>
      <c r="G1090" s="1741"/>
    </row>
    <row r="1091" spans="1:12">
      <c r="A1091" s="1859"/>
      <c r="B1091" s="18"/>
      <c r="C1091" s="712"/>
      <c r="D1091" s="713"/>
      <c r="E1091" s="714"/>
      <c r="F1091" s="1864"/>
      <c r="G1091" s="510"/>
    </row>
    <row r="1092" spans="1:12" s="1539" customFormat="1" ht="16.5" customHeight="1">
      <c r="A1092"/>
      <c r="B1092" s="1835" t="s">
        <v>15</v>
      </c>
      <c r="C1092" s="1835"/>
      <c r="D1092" s="1835"/>
      <c r="E1092" s="1836"/>
      <c r="F1092" s="1874">
        <f>+F1090+F1085+F1042+F919+F882+F830+F731+F692+F61</f>
        <v>104757334.73999999</v>
      </c>
      <c r="G1092" s="1741"/>
    </row>
    <row r="1093" spans="1:12" s="1539" customFormat="1" ht="16.5" customHeight="1">
      <c r="A1093" s="1873"/>
      <c r="B1093" s="1827" t="s">
        <v>15</v>
      </c>
      <c r="C1093" s="1827"/>
      <c r="D1093" s="1827"/>
      <c r="E1093" s="1828"/>
      <c r="F1093" s="1874">
        <f>+F1092</f>
        <v>104757334.73999999</v>
      </c>
      <c r="G1093" s="1741"/>
    </row>
    <row r="1094" spans="1:12">
      <c r="A1094" s="1859"/>
      <c r="B1094" s="1794"/>
      <c r="C1094" s="31"/>
      <c r="D1094" s="1794"/>
      <c r="E1094" s="31"/>
      <c r="F1094" s="1856"/>
      <c r="G1094" s="44"/>
    </row>
    <row r="1095" spans="1:12" s="1739" customFormat="1">
      <c r="A1095" s="1859"/>
      <c r="B1095" s="1806" t="s">
        <v>16</v>
      </c>
      <c r="C1095" s="522"/>
      <c r="D1095" s="1798"/>
      <c r="E1095" s="1799"/>
      <c r="F1095" s="1872"/>
      <c r="G1095" s="842"/>
      <c r="H1095" s="842"/>
      <c r="I1095" s="842"/>
      <c r="J1095" s="842"/>
      <c r="K1095" s="842"/>
      <c r="L1095" s="842"/>
    </row>
    <row r="1096" spans="1:12" s="1739" customFormat="1">
      <c r="A1096" s="1859"/>
      <c r="B1096" s="1808" t="s">
        <v>17</v>
      </c>
      <c r="C1096" s="1801">
        <v>0.1</v>
      </c>
      <c r="D1096" s="1798"/>
      <c r="E1096" s="1799"/>
      <c r="F1096" s="1864">
        <f t="shared" ref="F1096:F1102" si="48">+ROUND(C1096*$F$1093,2)</f>
        <v>10475733.470000001</v>
      </c>
      <c r="G1096" s="842"/>
      <c r="H1096" s="842"/>
      <c r="I1096" s="842"/>
      <c r="J1096" s="842"/>
      <c r="K1096" s="842"/>
      <c r="L1096" s="842"/>
    </row>
    <row r="1097" spans="1:12" s="1739" customFormat="1">
      <c r="A1097" s="1859"/>
      <c r="B1097" s="1808" t="s">
        <v>8</v>
      </c>
      <c r="C1097" s="1801">
        <v>0.03</v>
      </c>
      <c r="D1097" s="1798"/>
      <c r="E1097" s="1799"/>
      <c r="F1097" s="1864">
        <f t="shared" si="48"/>
        <v>3142720.04</v>
      </c>
      <c r="G1097" s="842"/>
      <c r="H1097" s="842"/>
      <c r="I1097" s="842"/>
      <c r="J1097" s="842"/>
      <c r="K1097" s="842"/>
      <c r="L1097" s="842"/>
    </row>
    <row r="1098" spans="1:12" s="1739" customFormat="1">
      <c r="A1098" s="1859"/>
      <c r="B1098" s="1808" t="s">
        <v>18</v>
      </c>
      <c r="C1098" s="1801">
        <v>0.04</v>
      </c>
      <c r="D1098" s="1798"/>
      <c r="E1098" s="1799"/>
      <c r="F1098" s="1864">
        <f t="shared" si="48"/>
        <v>4190293.39</v>
      </c>
      <c r="G1098" s="842"/>
      <c r="H1098" s="842"/>
      <c r="I1098" s="842"/>
      <c r="J1098" s="842"/>
      <c r="K1098" s="842"/>
      <c r="L1098" s="842"/>
    </row>
    <row r="1099" spans="1:12" s="1739" customFormat="1">
      <c r="A1099" s="1859"/>
      <c r="B1099" s="1808" t="s">
        <v>19</v>
      </c>
      <c r="C1099" s="1801">
        <v>0.04</v>
      </c>
      <c r="D1099" s="1798"/>
      <c r="E1099" s="1799"/>
      <c r="F1099" s="1864">
        <f t="shared" si="48"/>
        <v>4190293.39</v>
      </c>
      <c r="G1099" s="842"/>
      <c r="H1099" s="842"/>
      <c r="I1099" s="842"/>
      <c r="J1099" s="842"/>
      <c r="K1099" s="842"/>
      <c r="L1099" s="842"/>
    </row>
    <row r="1100" spans="1:12" s="1739" customFormat="1">
      <c r="A1100" s="1859"/>
      <c r="B1100" s="1808" t="s">
        <v>2160</v>
      </c>
      <c r="C1100" s="1801">
        <v>0.1</v>
      </c>
      <c r="D1100" s="1798"/>
      <c r="E1100" s="1799"/>
      <c r="F1100" s="1864">
        <f t="shared" si="48"/>
        <v>10475733.470000001</v>
      </c>
      <c r="G1100" s="842"/>
      <c r="H1100" s="842"/>
      <c r="I1100" s="842"/>
      <c r="J1100" s="842"/>
      <c r="K1100" s="842"/>
      <c r="L1100" s="842"/>
    </row>
    <row r="1101" spans="1:12" s="1739" customFormat="1">
      <c r="A1101" s="1859"/>
      <c r="B1101" t="s">
        <v>2161</v>
      </c>
      <c r="C1101" s="1802">
        <v>0.03</v>
      </c>
      <c r="D1101" s="1798"/>
      <c r="E1101" s="1799"/>
      <c r="F1101" s="1864">
        <f t="shared" si="48"/>
        <v>3142720.04</v>
      </c>
      <c r="G1101" s="842"/>
      <c r="H1101" s="842"/>
      <c r="I1101" s="842"/>
      <c r="J1101" s="842"/>
      <c r="K1101" s="842"/>
      <c r="L1101" s="842"/>
    </row>
    <row r="1102" spans="1:12" s="1739" customFormat="1">
      <c r="A1102" s="1865"/>
      <c r="B1102" s="1808" t="s">
        <v>21</v>
      </c>
      <c r="C1102" s="1801">
        <v>0.01</v>
      </c>
      <c r="D1102" s="1798"/>
      <c r="E1102" s="1799"/>
      <c r="F1102" s="1864">
        <f t="shared" si="48"/>
        <v>1047573.35</v>
      </c>
      <c r="G1102" s="842"/>
      <c r="H1102" s="842"/>
      <c r="I1102" s="842"/>
      <c r="J1102" s="842"/>
      <c r="K1102" s="842"/>
      <c r="L1102" s="842"/>
    </row>
    <row r="1103" spans="1:12" s="1739" customFormat="1">
      <c r="A1103" s="1865"/>
      <c r="B1103" s="1808" t="s">
        <v>22</v>
      </c>
      <c r="C1103" s="1801">
        <v>0.18</v>
      </c>
      <c r="D1103" s="1798"/>
      <c r="E1103" s="1799"/>
      <c r="F1103" s="1864">
        <f>+ROUND(C1103*$F$1096,2)</f>
        <v>1885632.02</v>
      </c>
      <c r="G1103" s="44"/>
      <c r="H1103" s="842"/>
      <c r="I1103" s="842"/>
      <c r="J1103" s="842"/>
      <c r="K1103" s="842"/>
      <c r="L1103" s="842"/>
    </row>
    <row r="1104" spans="1:12" s="1739" customFormat="1">
      <c r="A1104" s="1865"/>
      <c r="B1104" s="1808" t="s">
        <v>459</v>
      </c>
      <c r="C1104" s="1801">
        <v>1E-3</v>
      </c>
      <c r="D1104" s="1798"/>
      <c r="E1104" s="1799"/>
      <c r="F1104" s="1864">
        <f>+ROUND(C1104*$F$1093,2)</f>
        <v>104757.33</v>
      </c>
      <c r="G1104" s="44"/>
      <c r="H1104" s="842"/>
      <c r="I1104" s="842"/>
      <c r="J1104" s="842"/>
      <c r="K1104" s="842"/>
      <c r="L1104" s="842"/>
    </row>
    <row r="1105" spans="1:12" s="1739" customFormat="1">
      <c r="A1105" s="1865"/>
      <c r="B1105" s="1808" t="s">
        <v>24</v>
      </c>
      <c r="C1105" s="1801">
        <v>0.1</v>
      </c>
      <c r="D1105" s="1798"/>
      <c r="E1105" s="1799"/>
      <c r="F1105" s="1864">
        <f>+ROUND(C1105*$F$1093,2)</f>
        <v>10475733.470000001</v>
      </c>
      <c r="G1105" s="44"/>
      <c r="H1105" s="842"/>
      <c r="I1105" s="842"/>
      <c r="J1105" s="842"/>
      <c r="K1105" s="842"/>
      <c r="L1105" s="842"/>
    </row>
    <row r="1106" spans="1:12" s="1739" customFormat="1">
      <c r="A1106" s="1865"/>
      <c r="B1106" s="1808" t="s">
        <v>2162</v>
      </c>
      <c r="C1106" s="1801">
        <v>0.1</v>
      </c>
      <c r="D1106" s="1798"/>
      <c r="E1106" s="1799"/>
      <c r="F1106" s="1864">
        <f>+ROUND(C1106*$F$1093,2)</f>
        <v>10475733.470000001</v>
      </c>
      <c r="G1106" s="44"/>
      <c r="H1106" s="842"/>
      <c r="I1106" s="842"/>
      <c r="J1106" s="842"/>
      <c r="K1106" s="842"/>
      <c r="L1106" s="842"/>
    </row>
    <row r="1107" spans="1:12" s="1739" customFormat="1">
      <c r="A1107" s="1799"/>
      <c r="B1107" s="1808" t="s">
        <v>2163</v>
      </c>
      <c r="C1107" s="1801">
        <v>1.4999999999999999E-2</v>
      </c>
      <c r="D1107" s="1798"/>
      <c r="E1107" s="1799"/>
      <c r="F1107" s="1582">
        <f>+ROUND(C1107*$F$1093,2)</f>
        <v>1571360.02</v>
      </c>
      <c r="G1107" s="44"/>
      <c r="H1107" s="842"/>
      <c r="I1107" s="842"/>
      <c r="J1107" s="842"/>
      <c r="K1107" s="842"/>
      <c r="L1107" s="842"/>
    </row>
    <row r="1108" spans="1:12" s="1539" customFormat="1" ht="16.5" customHeight="1">
      <c r="A1108" s="1901"/>
      <c r="B1108" s="1827" t="s">
        <v>23</v>
      </c>
      <c r="C1108" s="1827"/>
      <c r="D1108" s="1827"/>
      <c r="E1108" s="1828"/>
      <c r="F1108" s="1902">
        <f>SUM(F1096:F1107)</f>
        <v>61178283.460000001</v>
      </c>
      <c r="G1108" s="1741"/>
    </row>
    <row r="1109" spans="1:12">
      <c r="A1109" s="651"/>
      <c r="B1109" s="1794"/>
      <c r="C1109" s="31"/>
      <c r="D1109" s="1794"/>
      <c r="E1109" s="31"/>
      <c r="F1109" s="1794"/>
      <c r="G1109" s="44"/>
    </row>
    <row r="1110" spans="1:12" s="1539" customFormat="1" ht="16.5" customHeight="1">
      <c r="A1110" s="1903"/>
      <c r="B1110" s="1903" t="s">
        <v>460</v>
      </c>
      <c r="C1110" s="1903"/>
      <c r="D1110" s="1903"/>
      <c r="E1110" s="1903"/>
      <c r="F1110" s="1902">
        <f>+F1093+F1108</f>
        <v>165935618.19999999</v>
      </c>
      <c r="G1110" s="1741"/>
    </row>
    <row r="1111" spans="1:12">
      <c r="A1111" s="7"/>
      <c r="B1111"/>
      <c r="E1111" s="7"/>
      <c r="F1111" s="7"/>
    </row>
    <row r="1112" spans="1:12">
      <c r="A1112" s="7"/>
      <c r="B1112"/>
      <c r="E1112" s="7"/>
      <c r="F1112" s="7"/>
    </row>
    <row r="1113" spans="1:12">
      <c r="A1113" s="7"/>
      <c r="B1113"/>
      <c r="E1113" s="7"/>
      <c r="F1113" s="7"/>
    </row>
    <row r="1114" spans="1:12">
      <c r="A1114" s="5065" t="s">
        <v>463</v>
      </c>
      <c r="B1114" s="5065"/>
      <c r="C1114" s="5065" t="s">
        <v>464</v>
      </c>
      <c r="D1114" s="5065"/>
      <c r="E1114" s="5065"/>
      <c r="F1114" s="5065"/>
    </row>
    <row r="1115" spans="1:12">
      <c r="A1115" s="7"/>
      <c r="B1115" s="6"/>
      <c r="E1115" s="7"/>
      <c r="F1115" s="7"/>
    </row>
    <row r="1116" spans="1:12">
      <c r="A1116" s="7"/>
      <c r="B1116" s="6"/>
      <c r="E1116" s="7"/>
      <c r="F1116" s="7"/>
    </row>
    <row r="1117" spans="1:12">
      <c r="A1117" s="7"/>
      <c r="B1117" s="6"/>
      <c r="E1117" s="7"/>
      <c r="F1117" s="7"/>
    </row>
    <row r="1118" spans="1:12">
      <c r="A1118" s="5065" t="s">
        <v>1003</v>
      </c>
      <c r="B1118" s="5065"/>
      <c r="C1118" s="5065" t="s">
        <v>2305</v>
      </c>
      <c r="D1118" s="5065"/>
      <c r="E1118" s="5065"/>
      <c r="F1118" s="5065"/>
    </row>
    <row r="1119" spans="1:12">
      <c r="A1119" s="7" t="s">
        <v>465</v>
      </c>
      <c r="B1119" s="6"/>
      <c r="C1119" s="5065" t="s">
        <v>466</v>
      </c>
      <c r="D1119" s="5065"/>
      <c r="E1119" s="5065"/>
      <c r="F1119" s="5065"/>
    </row>
    <row r="1120" spans="1:12">
      <c r="A1120" s="7"/>
      <c r="B1120" s="6"/>
      <c r="E1120" s="7"/>
      <c r="F1120" s="7"/>
    </row>
    <row r="1121" spans="1:6">
      <c r="A1121" s="7"/>
      <c r="B1121" s="6"/>
      <c r="E1121" s="7"/>
      <c r="F1121" s="7"/>
    </row>
    <row r="1122" spans="1:6">
      <c r="A1122" s="7"/>
      <c r="B1122" s="6"/>
      <c r="E1122" s="7"/>
      <c r="F1122" s="7"/>
    </row>
    <row r="1123" spans="1:6">
      <c r="A1123" s="7"/>
      <c r="B1123" s="6"/>
      <c r="E1123" s="7"/>
      <c r="F1123" s="7"/>
    </row>
    <row r="1124" spans="1:6">
      <c r="A1124" s="7"/>
      <c r="B1124" s="6"/>
      <c r="E1124" s="7"/>
      <c r="F1124" s="7"/>
    </row>
    <row r="1125" spans="1:6">
      <c r="A1125" s="5065" t="s">
        <v>467</v>
      </c>
      <c r="B1125" s="5065"/>
      <c r="C1125" s="5065" t="s">
        <v>468</v>
      </c>
      <c r="D1125" s="5065"/>
      <c r="E1125" s="5065"/>
      <c r="F1125" s="5065"/>
    </row>
    <row r="1126" spans="1:6">
      <c r="A1126" s="7"/>
      <c r="B1126" s="6"/>
      <c r="E1126" s="7"/>
      <c r="F1126" s="7"/>
    </row>
    <row r="1127" spans="1:6">
      <c r="A1127" s="7"/>
      <c r="B1127" s="6"/>
      <c r="E1127" s="7"/>
      <c r="F1127" s="7"/>
    </row>
    <row r="1128" spans="1:6">
      <c r="A1128" s="7"/>
      <c r="B1128" s="6"/>
      <c r="E1128" s="7"/>
      <c r="F1128" s="7"/>
    </row>
    <row r="1129" spans="1:6">
      <c r="A1129" s="5065" t="s">
        <v>2304</v>
      </c>
      <c r="B1129" s="5065"/>
      <c r="C1129" s="5065" t="s">
        <v>2306</v>
      </c>
      <c r="D1129" s="5065"/>
      <c r="E1129" s="5065"/>
      <c r="F1129" s="5065"/>
    </row>
    <row r="1130" spans="1:6">
      <c r="A1130" s="7" t="s">
        <v>471</v>
      </c>
      <c r="B1130" s="6"/>
      <c r="C1130" s="5065" t="s">
        <v>472</v>
      </c>
      <c r="D1130" s="5065"/>
      <c r="E1130" s="5065"/>
      <c r="F1130" s="5065"/>
    </row>
    <row r="1131" spans="1:6">
      <c r="A1131" s="7"/>
      <c r="B1131" s="6"/>
      <c r="E1131" s="7"/>
      <c r="F1131" s="7"/>
    </row>
    <row r="1132" spans="1:6">
      <c r="A1132" s="7"/>
      <c r="B1132" s="6"/>
      <c r="E1132" s="7"/>
      <c r="F1132" s="7"/>
    </row>
    <row r="1133" spans="1:6">
      <c r="A1133" s="7"/>
      <c r="B1133" s="6"/>
      <c r="E1133" s="7"/>
      <c r="F1133" s="7"/>
    </row>
    <row r="1134" spans="1:6">
      <c r="A1134" s="7"/>
      <c r="E1134" s="7"/>
      <c r="F1134" s="7"/>
    </row>
    <row r="1135" spans="1:6">
      <c r="A1135" s="7"/>
      <c r="E1135" s="7"/>
      <c r="F1135" s="7"/>
    </row>
    <row r="1136" spans="1:6">
      <c r="E1136" s="7"/>
      <c r="F1136" s="7"/>
    </row>
  </sheetData>
  <autoFilter ref="A12:F1110" xr:uid="{00000000-0009-0000-0000-000001000000}"/>
  <customSheetViews>
    <customSheetView guid="{43BC9397-3E8C-478C-B548-E4A845A7F82B}" showPageBreaks="1" printArea="1" showAutoFilter="1" state="hidden">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pageMargins left="0.19685039370078741" right="0.19685039370078741" top="0.19685039370078741" bottom="0.19685039370078741" header="0.19685039370078741" footer="0.19685039370078741"/>
      <printOptions horizontalCentered="1"/>
      <pageSetup fitToHeight="100" orientation="portrait" r:id="rId1"/>
      <autoFilter ref="A12:F1110" xr:uid="{C928524A-5243-4B1C-B77E-DF99E0A61C96}"/>
    </customSheetView>
  </customSheetViews>
  <mergeCells count="15">
    <mergeCell ref="A2:F2"/>
    <mergeCell ref="A3:F3"/>
    <mergeCell ref="A4:F4"/>
    <mergeCell ref="A5:F5"/>
    <mergeCell ref="C1119:F1119"/>
    <mergeCell ref="B8:E8"/>
    <mergeCell ref="A1114:B1114"/>
    <mergeCell ref="C1114:F1114"/>
    <mergeCell ref="A1118:B1118"/>
    <mergeCell ref="C1118:F1118"/>
    <mergeCell ref="A1125:B1125"/>
    <mergeCell ref="C1125:F1125"/>
    <mergeCell ref="C1129:F1129"/>
    <mergeCell ref="A1129:B1129"/>
    <mergeCell ref="C1130:F1130"/>
  </mergeCells>
  <printOptions horizontalCentered="1"/>
  <pageMargins left="0.19685039370078741" right="0.19685039370078741" top="0.19685039370078741" bottom="0.19685039370078741" header="0.19685039370078741" footer="0.19685039370078741"/>
  <pageSetup fitToHeight="100" orientation="portrait" r:id="rId2"/>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44"/>
  <sheetViews>
    <sheetView topLeftCell="A61" workbookViewId="0">
      <selection activeCell="J105" sqref="J105"/>
    </sheetView>
  </sheetViews>
  <sheetFormatPr baseColWidth="10" defaultColWidth="11.42578125" defaultRowHeight="12.75"/>
  <cols>
    <col min="1" max="4" width="11.42578125" style="4196"/>
    <col min="5" max="8" width="11.42578125" style="4193"/>
    <col min="9" max="15" width="11.42578125" style="4196"/>
    <col min="16" max="16384" width="11.42578125" style="4193"/>
  </cols>
  <sheetData>
    <row r="2" spans="1:12">
      <c r="A2" s="5066" t="s">
        <v>3556</v>
      </c>
      <c r="B2" s="5066"/>
      <c r="C2" s="5066"/>
      <c r="D2" s="5066"/>
      <c r="I2" s="5066" t="s">
        <v>3560</v>
      </c>
      <c r="J2" s="5066"/>
      <c r="K2" s="5066"/>
      <c r="L2" s="5066"/>
    </row>
    <row r="3" spans="1:12" ht="13.5" thickBot="1">
      <c r="A3" s="4197"/>
      <c r="B3" s="4197"/>
      <c r="I3" s="4197"/>
      <c r="J3" s="4197"/>
    </row>
    <row r="4" spans="1:12" ht="13.5" thickBot="1">
      <c r="A4" s="3761" t="s">
        <v>3129</v>
      </c>
      <c r="B4" s="3762">
        <v>1</v>
      </c>
      <c r="C4" s="3763"/>
      <c r="D4" s="3764"/>
      <c r="I4" s="3761" t="s">
        <v>3129</v>
      </c>
      <c r="J4" s="3762">
        <v>1</v>
      </c>
      <c r="K4" s="3763"/>
      <c r="L4" s="3764"/>
    </row>
    <row r="5" spans="1:12">
      <c r="A5" s="3748" t="s">
        <v>3133</v>
      </c>
      <c r="B5" s="3758">
        <v>3.45</v>
      </c>
      <c r="C5" s="510"/>
      <c r="D5" s="1899"/>
      <c r="I5" s="3748" t="s">
        <v>3133</v>
      </c>
      <c r="J5" s="3758">
        <v>3.45</v>
      </c>
      <c r="K5" s="510"/>
      <c r="L5" s="1899"/>
    </row>
    <row r="6" spans="1:12" ht="13.5" thickBot="1">
      <c r="A6" s="3756" t="s">
        <v>3134</v>
      </c>
      <c r="B6" s="3757">
        <v>2.95</v>
      </c>
      <c r="C6" s="510"/>
      <c r="D6" s="1899"/>
      <c r="I6" s="3756" t="s">
        <v>3134</v>
      </c>
      <c r="J6" s="3757">
        <v>2.95</v>
      </c>
      <c r="K6" s="510"/>
      <c r="L6" s="1899"/>
    </row>
    <row r="7" spans="1:12">
      <c r="A7" s="3745" t="s">
        <v>3130</v>
      </c>
      <c r="B7" s="3755">
        <v>0</v>
      </c>
      <c r="C7" s="510"/>
      <c r="D7" s="1899"/>
      <c r="I7" s="3745" t="s">
        <v>3130</v>
      </c>
      <c r="J7" s="3755">
        <v>0</v>
      </c>
      <c r="K7" s="510"/>
      <c r="L7" s="1899"/>
    </row>
    <row r="8" spans="1:12">
      <c r="A8" s="3748" t="s">
        <v>3131</v>
      </c>
      <c r="B8" s="3758">
        <v>3.75</v>
      </c>
      <c r="C8" s="510"/>
      <c r="D8" s="1899"/>
      <c r="I8" s="3748" t="s">
        <v>3131</v>
      </c>
      <c r="J8" s="3758">
        <v>5.43</v>
      </c>
      <c r="K8" s="510"/>
      <c r="L8" s="1899"/>
    </row>
    <row r="9" spans="1:12">
      <c r="A9" s="3748" t="s">
        <v>540</v>
      </c>
      <c r="B9" s="3758">
        <v>1.77</v>
      </c>
      <c r="C9" s="510"/>
      <c r="D9" s="1899"/>
      <c r="I9" s="3748" t="s">
        <v>540</v>
      </c>
      <c r="J9" s="3758">
        <v>1.78</v>
      </c>
      <c r="K9" s="510"/>
      <c r="L9" s="1899"/>
    </row>
    <row r="10" spans="1:12" ht="13.5" thickBot="1">
      <c r="A10" s="3756" t="s">
        <v>3132</v>
      </c>
      <c r="B10" s="3757">
        <v>0</v>
      </c>
      <c r="C10" s="510"/>
      <c r="D10" s="1899"/>
      <c r="I10" s="3756" t="s">
        <v>3132</v>
      </c>
      <c r="J10" s="3757">
        <v>0</v>
      </c>
      <c r="K10" s="510"/>
      <c r="L10" s="1899"/>
    </row>
    <row r="11" spans="1:12">
      <c r="A11" s="3745" t="s">
        <v>3139</v>
      </c>
      <c r="B11" s="3755">
        <v>0</v>
      </c>
      <c r="C11" s="510"/>
      <c r="D11" s="1899"/>
      <c r="I11" s="3745" t="s">
        <v>3139</v>
      </c>
      <c r="J11" s="3755">
        <v>0</v>
      </c>
      <c r="K11" s="510"/>
      <c r="L11" s="1899"/>
    </row>
    <row r="12" spans="1:12">
      <c r="A12" s="3748" t="s">
        <v>3140</v>
      </c>
      <c r="B12" s="3758">
        <v>0</v>
      </c>
      <c r="C12" s="510"/>
      <c r="D12" s="1899"/>
      <c r="I12" s="3748" t="s">
        <v>3140</v>
      </c>
      <c r="J12" s="3758">
        <v>0</v>
      </c>
      <c r="K12" s="510"/>
      <c r="L12" s="1899"/>
    </row>
    <row r="13" spans="1:12">
      <c r="A13" s="3748" t="s">
        <v>3141</v>
      </c>
      <c r="B13" s="3758">
        <v>0</v>
      </c>
      <c r="C13" s="510"/>
      <c r="D13" s="1899"/>
      <c r="I13" s="3748" t="s">
        <v>3141</v>
      </c>
      <c r="J13" s="3758">
        <v>0</v>
      </c>
      <c r="K13" s="510"/>
      <c r="L13" s="1899"/>
    </row>
    <row r="14" spans="1:12" ht="13.5" thickBot="1">
      <c r="A14" s="3748" t="s">
        <v>3142</v>
      </c>
      <c r="B14" s="3758">
        <v>0</v>
      </c>
      <c r="C14" s="510"/>
      <c r="D14" s="1899"/>
      <c r="I14" s="3748" t="s">
        <v>3142</v>
      </c>
      <c r="J14" s="3758">
        <v>0</v>
      </c>
      <c r="K14" s="510"/>
      <c r="L14" s="1899"/>
    </row>
    <row r="15" spans="1:12">
      <c r="A15" s="3759" t="s">
        <v>3135</v>
      </c>
      <c r="B15" s="3746">
        <f>ROUNDUP(B6/0.2,0)/2</f>
        <v>7.5</v>
      </c>
      <c r="C15" s="3760">
        <f>B5+B13+0.2*2+B14+B9/4</f>
        <v>4.29</v>
      </c>
      <c r="D15" s="3747">
        <f>B15*C15*0.0123</f>
        <v>0.39575250000000001</v>
      </c>
      <c r="I15" s="3759" t="s">
        <v>3135</v>
      </c>
      <c r="J15" s="3746">
        <v>8</v>
      </c>
      <c r="K15" s="3760">
        <f>J5+J13+0.2*2+J14+J9/4</f>
        <v>4.3</v>
      </c>
      <c r="L15" s="3747">
        <f>J15*K15*0.0123</f>
        <v>0.42312</v>
      </c>
    </row>
    <row r="16" spans="1:12">
      <c r="A16" s="3749" t="s">
        <v>3136</v>
      </c>
      <c r="B16" s="3155">
        <f>ROUNDUP(B6/0.2,0)/2</f>
        <v>7.5</v>
      </c>
      <c r="C16" s="3750">
        <f>B5+B13+0.2*2+B14+B10/4</f>
        <v>3.85</v>
      </c>
      <c r="D16" s="1899">
        <f t="shared" ref="D16:D18" si="0">B16*C16*0.0123</f>
        <v>0.35516249999999999</v>
      </c>
      <c r="I16" s="3749" t="s">
        <v>3136</v>
      </c>
      <c r="J16" s="3155">
        <v>8</v>
      </c>
      <c r="K16" s="3750">
        <f>J5+J13+0.2*2+J14+J10/4</f>
        <v>3.85</v>
      </c>
      <c r="L16" s="1899">
        <f t="shared" ref="L16:L18" si="1">J16*K16*0.0123</f>
        <v>0.37884000000000001</v>
      </c>
    </row>
    <row r="17" spans="1:12">
      <c r="A17" s="3749" t="s">
        <v>3137</v>
      </c>
      <c r="B17" s="3155">
        <f>ROUNDUP(B5/0.2,0)/2</f>
        <v>9</v>
      </c>
      <c r="C17" s="510">
        <f>0.2*2+B11+B12+B6+B7/4</f>
        <v>3.35</v>
      </c>
      <c r="D17" s="1899">
        <f t="shared" si="0"/>
        <v>0.37084499999999998</v>
      </c>
      <c r="I17" s="3749" t="s">
        <v>3137</v>
      </c>
      <c r="J17" s="3155">
        <f>ROUNDUP(J5/0.2,0)/2</f>
        <v>9</v>
      </c>
      <c r="K17" s="510">
        <f>0.2*2+J11+J12+J6+J7/4</f>
        <v>3.35</v>
      </c>
      <c r="L17" s="1899">
        <f t="shared" si="1"/>
        <v>0.37084499999999998</v>
      </c>
    </row>
    <row r="18" spans="1:12" ht="13.5" thickBot="1">
      <c r="A18" s="3751" t="s">
        <v>3138</v>
      </c>
      <c r="B18" s="3752">
        <f>ROUNDUP(B5/0.2,0)/2</f>
        <v>9</v>
      </c>
      <c r="C18" s="3753">
        <f>0.2*2+B11+B12+B6+B8/4</f>
        <v>4.29</v>
      </c>
      <c r="D18" s="3754">
        <f t="shared" si="0"/>
        <v>0.47490300000000002</v>
      </c>
      <c r="I18" s="3751" t="s">
        <v>3138</v>
      </c>
      <c r="J18" s="3752">
        <f>ROUNDUP(J5/0.2,0)/2</f>
        <v>9</v>
      </c>
      <c r="K18" s="3753">
        <f>0.2*2+J11+J12+J6+J8/4</f>
        <v>4.71</v>
      </c>
      <c r="L18" s="3754">
        <f t="shared" si="1"/>
        <v>0.521397</v>
      </c>
    </row>
    <row r="19" spans="1:12" ht="15.75" thickBot="1">
      <c r="A19" s="4197"/>
      <c r="B19" s="4197"/>
      <c r="D19" s="4198">
        <f>SUBTOTAL(9,D15:D18)</f>
        <v>1.5966629999999999</v>
      </c>
      <c r="I19" s="4197"/>
      <c r="J19" s="4197"/>
      <c r="L19" s="4198">
        <f>SUBTOTAL(9,L15:L18)</f>
        <v>1.694202</v>
      </c>
    </row>
    <row r="20" spans="1:12" ht="13.5" thickBot="1">
      <c r="A20" s="3761" t="s">
        <v>3129</v>
      </c>
      <c r="B20" s="3762">
        <v>2</v>
      </c>
      <c r="C20" s="3763"/>
      <c r="D20" s="3764"/>
      <c r="I20" s="3761" t="s">
        <v>3129</v>
      </c>
      <c r="J20" s="3762">
        <v>2</v>
      </c>
      <c r="K20" s="3763"/>
      <c r="L20" s="3764"/>
    </row>
    <row r="21" spans="1:12">
      <c r="A21" s="3748" t="s">
        <v>3133</v>
      </c>
      <c r="B21" s="3758">
        <v>3.45</v>
      </c>
      <c r="C21" s="510"/>
      <c r="D21" s="1899"/>
      <c r="I21" s="3748" t="s">
        <v>3133</v>
      </c>
      <c r="J21" s="3758">
        <v>3.45</v>
      </c>
      <c r="K21" s="510"/>
      <c r="L21" s="1899"/>
    </row>
    <row r="22" spans="1:12" ht="13.5" thickBot="1">
      <c r="A22" s="3756" t="s">
        <v>3134</v>
      </c>
      <c r="B22" s="3757">
        <v>3.75</v>
      </c>
      <c r="C22" s="510"/>
      <c r="D22" s="1899"/>
      <c r="I22" s="3756" t="s">
        <v>3134</v>
      </c>
      <c r="J22" s="3757">
        <v>5.43</v>
      </c>
      <c r="K22" s="510"/>
      <c r="L22" s="1899"/>
    </row>
    <row r="23" spans="1:12">
      <c r="A23" s="3745" t="s">
        <v>3130</v>
      </c>
      <c r="B23" s="3755">
        <v>2.95</v>
      </c>
      <c r="C23" s="510"/>
      <c r="D23" s="1899"/>
      <c r="I23" s="3745" t="s">
        <v>3130</v>
      </c>
      <c r="J23" s="3755">
        <v>2.95</v>
      </c>
      <c r="K23" s="510"/>
      <c r="L23" s="1899"/>
    </row>
    <row r="24" spans="1:12">
      <c r="A24" s="3748" t="s">
        <v>3131</v>
      </c>
      <c r="B24" s="3758">
        <v>3.75</v>
      </c>
      <c r="C24" s="510"/>
      <c r="D24" s="1899"/>
      <c r="I24" s="3748" t="s">
        <v>3131</v>
      </c>
      <c r="J24" s="3758">
        <v>0</v>
      </c>
      <c r="K24" s="510"/>
      <c r="L24" s="1899"/>
    </row>
    <row r="25" spans="1:12">
      <c r="A25" s="3748" t="s">
        <v>540</v>
      </c>
      <c r="B25" s="3758">
        <v>3.63</v>
      </c>
      <c r="C25" s="510"/>
      <c r="D25" s="1899"/>
      <c r="I25" s="3748" t="s">
        <v>540</v>
      </c>
      <c r="J25" s="3758">
        <v>3.63</v>
      </c>
      <c r="K25" s="510"/>
      <c r="L25" s="1899"/>
    </row>
    <row r="26" spans="1:12" ht="13.5" thickBot="1">
      <c r="A26" s="3756" t="s">
        <v>3132</v>
      </c>
      <c r="B26" s="3757">
        <v>0</v>
      </c>
      <c r="C26" s="510"/>
      <c r="D26" s="1899"/>
      <c r="I26" s="3756" t="s">
        <v>3132</v>
      </c>
      <c r="J26" s="3757">
        <v>0</v>
      </c>
      <c r="K26" s="510"/>
      <c r="L26" s="1899"/>
    </row>
    <row r="27" spans="1:12">
      <c r="A27" s="3745" t="s">
        <v>3139</v>
      </c>
      <c r="B27" s="3755">
        <v>0</v>
      </c>
      <c r="C27" s="510"/>
      <c r="D27" s="1899"/>
      <c r="I27" s="3745" t="s">
        <v>3139</v>
      </c>
      <c r="J27" s="3755">
        <v>0</v>
      </c>
      <c r="K27" s="510"/>
      <c r="L27" s="1899"/>
    </row>
    <row r="28" spans="1:12">
      <c r="A28" s="3748" t="s">
        <v>3140</v>
      </c>
      <c r="B28" s="3758">
        <v>0</v>
      </c>
      <c r="C28" s="510"/>
      <c r="D28" s="1899"/>
      <c r="I28" s="3748" t="s">
        <v>3140</v>
      </c>
      <c r="J28" s="3758">
        <v>0</v>
      </c>
      <c r="K28" s="510"/>
      <c r="L28" s="1899"/>
    </row>
    <row r="29" spans="1:12">
      <c r="A29" s="3748" t="s">
        <v>3141</v>
      </c>
      <c r="B29" s="3758">
        <v>0</v>
      </c>
      <c r="C29" s="510"/>
      <c r="D29" s="1899"/>
      <c r="I29" s="3748" t="s">
        <v>3141</v>
      </c>
      <c r="J29" s="3758">
        <v>0</v>
      </c>
      <c r="K29" s="510"/>
      <c r="L29" s="1899"/>
    </row>
    <row r="30" spans="1:12" ht="13.5" thickBot="1">
      <c r="A30" s="3748" t="s">
        <v>3142</v>
      </c>
      <c r="B30" s="3758">
        <v>0</v>
      </c>
      <c r="C30" s="510"/>
      <c r="D30" s="1899"/>
      <c r="I30" s="3748" t="s">
        <v>3142</v>
      </c>
      <c r="J30" s="3758">
        <v>0</v>
      </c>
      <c r="K30" s="510"/>
      <c r="L30" s="1899"/>
    </row>
    <row r="31" spans="1:12">
      <c r="A31" s="3759" t="s">
        <v>3135</v>
      </c>
      <c r="B31" s="3746">
        <f>ROUNDUP(B22/0.2,0)/2</f>
        <v>9.5</v>
      </c>
      <c r="C31" s="3760">
        <f>B21+B29+0.2*2+B30+B25/4</f>
        <v>4.76</v>
      </c>
      <c r="D31" s="3747">
        <f>B31*C31*0.0123</f>
        <v>0.55620599999999998</v>
      </c>
      <c r="I31" s="3759" t="s">
        <v>3135</v>
      </c>
      <c r="J31" s="3746">
        <f>ROUNDUP(J22/0.2,0)/2</f>
        <v>14</v>
      </c>
      <c r="K31" s="3760">
        <f>J21+J29+0.2*2+J30+J25/4</f>
        <v>4.76</v>
      </c>
      <c r="L31" s="3747">
        <f>J31*K31*0.0123</f>
        <v>0.81967199999999996</v>
      </c>
    </row>
    <row r="32" spans="1:12">
      <c r="A32" s="3749" t="s">
        <v>3136</v>
      </c>
      <c r="B32" s="3155">
        <f>ROUNDUP(B22/0.2,0)/2</f>
        <v>9.5</v>
      </c>
      <c r="C32" s="3750">
        <f>B21+B29+0.2*2+B30+B26/4</f>
        <v>3.85</v>
      </c>
      <c r="D32" s="1899">
        <f t="shared" ref="D32:D34" si="2">B32*C32*0.0123</f>
        <v>0.44987250000000001</v>
      </c>
      <c r="I32" s="3749" t="s">
        <v>3136</v>
      </c>
      <c r="J32" s="3155">
        <f>ROUNDUP(J22/0.2,0)/2</f>
        <v>14</v>
      </c>
      <c r="K32" s="3750">
        <f>J21+J29+0.2*2+J30+J26/4</f>
        <v>3.85</v>
      </c>
      <c r="L32" s="1899">
        <f t="shared" ref="L32:L34" si="3">J32*K32*0.0123</f>
        <v>0.66296999999999995</v>
      </c>
    </row>
    <row r="33" spans="1:12">
      <c r="A33" s="3749" t="s">
        <v>3137</v>
      </c>
      <c r="B33" s="3155">
        <f>ROUNDUP(B21/0.2,0)/2</f>
        <v>9</v>
      </c>
      <c r="C33" s="510">
        <f>0.2*2+B27+B28+B22+B23/4</f>
        <v>4.8875000000000002</v>
      </c>
      <c r="D33" s="1899">
        <f t="shared" si="2"/>
        <v>0.54104624999999995</v>
      </c>
      <c r="I33" s="3749" t="s">
        <v>3137</v>
      </c>
      <c r="J33" s="3155">
        <f>ROUNDUP(J21/0.2,0)/2</f>
        <v>9</v>
      </c>
      <c r="K33" s="510">
        <f>0.2*2+J27+J28+J22+J23/4</f>
        <v>6.5674999999999999</v>
      </c>
      <c r="L33" s="1899">
        <f t="shared" si="3"/>
        <v>0.72702224999999998</v>
      </c>
    </row>
    <row r="34" spans="1:12" ht="13.5" thickBot="1">
      <c r="A34" s="3751" t="s">
        <v>3138</v>
      </c>
      <c r="B34" s="3752">
        <f>ROUNDUP(B21/0.2,0)/2</f>
        <v>9</v>
      </c>
      <c r="C34" s="3753">
        <f>0.2*2+B27+B28+B22+B24/4</f>
        <v>5.09</v>
      </c>
      <c r="D34" s="3754">
        <f t="shared" si="2"/>
        <v>0.56346300000000005</v>
      </c>
      <c r="I34" s="3751" t="s">
        <v>3138</v>
      </c>
      <c r="J34" s="3752">
        <f>ROUNDUP(J21/0.2,0)/2</f>
        <v>9</v>
      </c>
      <c r="K34" s="3753">
        <f>0.2*2+J27+J28+J22+J24/4</f>
        <v>5.83</v>
      </c>
      <c r="L34" s="3754">
        <f t="shared" si="3"/>
        <v>0.64538099999999998</v>
      </c>
    </row>
    <row r="35" spans="1:12" ht="15.75" thickBot="1">
      <c r="A35" s="4197"/>
      <c r="B35" s="4197"/>
      <c r="D35" s="4198">
        <f>SUBTOTAL(9,D31:D34)</f>
        <v>2.1105877500000001</v>
      </c>
      <c r="I35" s="4197"/>
      <c r="J35" s="4197"/>
      <c r="L35" s="4198">
        <f>SUBTOTAL(9,L31:L34)</f>
        <v>2.8550452499999999</v>
      </c>
    </row>
    <row r="36" spans="1:12" ht="13.5" thickBot="1">
      <c r="A36" s="3761" t="s">
        <v>3129</v>
      </c>
      <c r="B36" s="3762">
        <v>3</v>
      </c>
      <c r="C36" s="3763"/>
      <c r="D36" s="3764"/>
      <c r="I36" s="3761" t="s">
        <v>3129</v>
      </c>
      <c r="J36" s="3762">
        <v>3</v>
      </c>
      <c r="K36" s="3763"/>
      <c r="L36" s="3764"/>
    </row>
    <row r="37" spans="1:12">
      <c r="A37" s="3748" t="s">
        <v>3133</v>
      </c>
      <c r="B37" s="3758">
        <v>3.45</v>
      </c>
      <c r="C37" s="510"/>
      <c r="D37" s="1899"/>
      <c r="I37" s="3748" t="s">
        <v>3133</v>
      </c>
      <c r="J37" s="3758">
        <v>1.78</v>
      </c>
      <c r="K37" s="510"/>
      <c r="L37" s="1899"/>
    </row>
    <row r="38" spans="1:12" ht="13.5" thickBot="1">
      <c r="A38" s="3756" t="s">
        <v>3134</v>
      </c>
      <c r="B38" s="3757">
        <v>1.42</v>
      </c>
      <c r="C38" s="510"/>
      <c r="D38" s="1899"/>
      <c r="I38" s="3756" t="s">
        <v>3134</v>
      </c>
      <c r="J38" s="3757">
        <v>2.92</v>
      </c>
      <c r="K38" s="510"/>
      <c r="L38" s="1899"/>
    </row>
    <row r="39" spans="1:12">
      <c r="A39" s="3745" t="s">
        <v>3130</v>
      </c>
      <c r="B39" s="3755">
        <v>3.75</v>
      </c>
      <c r="C39" s="510"/>
      <c r="D39" s="1899"/>
      <c r="I39" s="3745" t="s">
        <v>3130</v>
      </c>
      <c r="J39" s="3755">
        <v>3.75</v>
      </c>
      <c r="K39" s="510"/>
      <c r="L39" s="1899"/>
    </row>
    <row r="40" spans="1:12">
      <c r="A40" s="3748" t="s">
        <v>3131</v>
      </c>
      <c r="B40" s="3758">
        <v>0</v>
      </c>
      <c r="C40" s="510"/>
      <c r="D40" s="1899"/>
      <c r="I40" s="3748" t="s">
        <v>3131</v>
      </c>
      <c r="J40" s="3758">
        <v>0</v>
      </c>
      <c r="K40" s="510"/>
      <c r="L40" s="1899"/>
    </row>
    <row r="41" spans="1:12">
      <c r="A41" s="3748" t="s">
        <v>540</v>
      </c>
      <c r="B41" s="3758">
        <v>3.63</v>
      </c>
      <c r="C41" s="510"/>
      <c r="D41" s="1899"/>
      <c r="I41" s="3748" t="s">
        <v>540</v>
      </c>
      <c r="J41" s="3758">
        <v>3.63</v>
      </c>
      <c r="K41" s="510"/>
      <c r="L41" s="1899"/>
    </row>
    <row r="42" spans="1:12" ht="13.5" thickBot="1">
      <c r="A42" s="3756" t="s">
        <v>3132</v>
      </c>
      <c r="B42" s="3757">
        <v>0</v>
      </c>
      <c r="C42" s="510"/>
      <c r="D42" s="1899"/>
      <c r="I42" s="3756" t="s">
        <v>3132</v>
      </c>
      <c r="J42" s="3757">
        <v>0</v>
      </c>
      <c r="K42" s="510"/>
      <c r="L42" s="1899"/>
    </row>
    <row r="43" spans="1:12">
      <c r="A43" s="3745" t="s">
        <v>3139</v>
      </c>
      <c r="B43" s="3755">
        <v>0</v>
      </c>
      <c r="C43" s="510"/>
      <c r="D43" s="1899"/>
      <c r="I43" s="3745" t="s">
        <v>3139</v>
      </c>
      <c r="J43" s="3755">
        <v>0</v>
      </c>
      <c r="K43" s="510"/>
      <c r="L43" s="1899"/>
    </row>
    <row r="44" spans="1:12">
      <c r="A44" s="3748" t="s">
        <v>3140</v>
      </c>
      <c r="B44" s="3758">
        <v>0</v>
      </c>
      <c r="C44" s="510"/>
      <c r="D44" s="1899"/>
      <c r="I44" s="3748" t="s">
        <v>3140</v>
      </c>
      <c r="J44" s="3758">
        <v>0</v>
      </c>
      <c r="K44" s="510"/>
      <c r="L44" s="1899"/>
    </row>
    <row r="45" spans="1:12">
      <c r="A45" s="3748" t="s">
        <v>3141</v>
      </c>
      <c r="B45" s="3758">
        <v>0</v>
      </c>
      <c r="C45" s="510"/>
      <c r="D45" s="1899"/>
      <c r="I45" s="3748" t="s">
        <v>3141</v>
      </c>
      <c r="J45" s="3758">
        <v>0</v>
      </c>
      <c r="K45" s="510"/>
      <c r="L45" s="1899"/>
    </row>
    <row r="46" spans="1:12" ht="13.5" thickBot="1">
      <c r="A46" s="3748" t="s">
        <v>3142</v>
      </c>
      <c r="B46" s="3758">
        <v>0</v>
      </c>
      <c r="C46" s="510"/>
      <c r="D46" s="1899"/>
      <c r="I46" s="3748" t="s">
        <v>3142</v>
      </c>
      <c r="J46" s="3758">
        <v>0</v>
      </c>
      <c r="K46" s="510"/>
      <c r="L46" s="1899"/>
    </row>
    <row r="47" spans="1:12">
      <c r="A47" s="3759" t="s">
        <v>3135</v>
      </c>
      <c r="B47" s="3746">
        <f>ROUNDUP(B38/0.2,0)/2</f>
        <v>4</v>
      </c>
      <c r="C47" s="3760">
        <f>B37+B45+0.2*2+B46+B41/4</f>
        <v>4.76</v>
      </c>
      <c r="D47" s="3747">
        <f>B47*C47*0.0123</f>
        <v>0.23419200000000001</v>
      </c>
      <c r="I47" s="3759" t="s">
        <v>3135</v>
      </c>
      <c r="J47" s="3746">
        <f>ROUNDUP(J38/0.2,0)/2</f>
        <v>7.5</v>
      </c>
      <c r="K47" s="3760">
        <f>J37+J45+0.2*2+J46+J41/4</f>
        <v>3.09</v>
      </c>
      <c r="L47" s="3747">
        <f>J47*K47*0.0123</f>
        <v>0.28505249999999999</v>
      </c>
    </row>
    <row r="48" spans="1:12">
      <c r="A48" s="3749" t="s">
        <v>3136</v>
      </c>
      <c r="B48" s="3155">
        <f>ROUNDUP(B38/0.2,0)/2</f>
        <v>4</v>
      </c>
      <c r="C48" s="3750">
        <f>B37+B45+0.2*2+B46+B42/4</f>
        <v>3.85</v>
      </c>
      <c r="D48" s="1899">
        <f t="shared" ref="D48:D50" si="4">B48*C48*0.0123</f>
        <v>0.18942000000000001</v>
      </c>
      <c r="I48" s="3749" t="s">
        <v>3136</v>
      </c>
      <c r="J48" s="3155">
        <f>ROUNDUP(J38/0.2,0)/2</f>
        <v>7.5</v>
      </c>
      <c r="K48" s="3750">
        <f>J37+J45+0.2*2+J46+J42/4</f>
        <v>2.1800000000000002</v>
      </c>
      <c r="L48" s="1899">
        <f t="shared" ref="L48:L50" si="5">J48*K48*0.0123</f>
        <v>0.20110500000000001</v>
      </c>
    </row>
    <row r="49" spans="1:12">
      <c r="A49" s="3749" t="s">
        <v>3137</v>
      </c>
      <c r="B49" s="3155">
        <f>ROUNDUP(B37/0.2,0)/2</f>
        <v>9</v>
      </c>
      <c r="C49" s="510">
        <f>0.2*2+B43+B44+B38+B39/4</f>
        <v>2.7574999999999998</v>
      </c>
      <c r="D49" s="1899">
        <f t="shared" si="4"/>
        <v>0.30525524999999998</v>
      </c>
      <c r="I49" s="3749" t="s">
        <v>3137</v>
      </c>
      <c r="J49" s="3155">
        <f>ROUNDUP(J37/0.2,0)/2</f>
        <v>4.5</v>
      </c>
      <c r="K49" s="510">
        <f>0.2*2+J43+J44+J38+J39/4</f>
        <v>4.2575000000000003</v>
      </c>
      <c r="L49" s="1899">
        <f t="shared" si="5"/>
        <v>0.235652625</v>
      </c>
    </row>
    <row r="50" spans="1:12" ht="13.5" thickBot="1">
      <c r="A50" s="3751" t="s">
        <v>3138</v>
      </c>
      <c r="B50" s="3752">
        <f>ROUNDUP(B37/0.2,0)/2</f>
        <v>9</v>
      </c>
      <c r="C50" s="3753">
        <f>0.2*2+B43+B44+B38+B40/4</f>
        <v>1.82</v>
      </c>
      <c r="D50" s="3754">
        <f t="shared" si="4"/>
        <v>0.20147399999999999</v>
      </c>
      <c r="I50" s="3751" t="s">
        <v>3138</v>
      </c>
      <c r="J50" s="3752">
        <f>ROUNDUP(J37/0.2,0)/2</f>
        <v>4.5</v>
      </c>
      <c r="K50" s="3753">
        <f>0.2*2+J43+J44+J38+J40/4</f>
        <v>3.32</v>
      </c>
      <c r="L50" s="3754">
        <f t="shared" si="5"/>
        <v>0.18376200000000001</v>
      </c>
    </row>
    <row r="51" spans="1:12" ht="15.75" thickBot="1">
      <c r="A51" s="4197"/>
      <c r="B51" s="4197"/>
      <c r="D51" s="4198">
        <f>SUBTOTAL(9,D47:D50)</f>
        <v>0.93034125000000001</v>
      </c>
      <c r="I51" s="4197"/>
      <c r="J51" s="4197"/>
      <c r="L51" s="4198">
        <f>SUBTOTAL(9,L47:L50)</f>
        <v>0.90557212499999995</v>
      </c>
    </row>
    <row r="52" spans="1:12" ht="13.5" thickBot="1">
      <c r="A52" s="3761" t="s">
        <v>3129</v>
      </c>
      <c r="B52" s="3762">
        <v>4</v>
      </c>
      <c r="C52" s="3763"/>
      <c r="D52" s="3764"/>
      <c r="I52" s="3761" t="s">
        <v>3129</v>
      </c>
      <c r="J52" s="3762">
        <v>4</v>
      </c>
      <c r="K52" s="3763"/>
      <c r="L52" s="3764"/>
    </row>
    <row r="53" spans="1:12">
      <c r="A53" s="3748" t="s">
        <v>3133</v>
      </c>
      <c r="B53" s="3758">
        <v>1.77</v>
      </c>
      <c r="C53" s="510"/>
      <c r="D53" s="1899"/>
      <c r="I53" s="3748" t="s">
        <v>3133</v>
      </c>
      <c r="J53" s="3758">
        <v>3.63</v>
      </c>
      <c r="K53" s="510"/>
      <c r="L53" s="1899"/>
    </row>
    <row r="54" spans="1:12" ht="13.5" thickBot="1">
      <c r="A54" s="3756" t="s">
        <v>3134</v>
      </c>
      <c r="B54" s="3757">
        <v>3.12</v>
      </c>
      <c r="C54" s="510"/>
      <c r="D54" s="1899"/>
      <c r="I54" s="3756" t="s">
        <v>3134</v>
      </c>
      <c r="J54" s="3757">
        <v>5.4</v>
      </c>
      <c r="K54" s="510"/>
      <c r="L54" s="1899"/>
    </row>
    <row r="55" spans="1:12">
      <c r="A55" s="3745" t="s">
        <v>3130</v>
      </c>
      <c r="B55" s="3755">
        <v>0</v>
      </c>
      <c r="C55" s="510"/>
      <c r="D55" s="1899"/>
      <c r="I55" s="3745" t="s">
        <v>3130</v>
      </c>
      <c r="J55" s="3755">
        <v>2.92</v>
      </c>
      <c r="K55" s="510"/>
      <c r="L55" s="1899"/>
    </row>
    <row r="56" spans="1:12">
      <c r="A56" s="3748" t="s">
        <v>3131</v>
      </c>
      <c r="B56" s="3758">
        <v>5.67</v>
      </c>
      <c r="C56" s="510"/>
      <c r="D56" s="1899"/>
      <c r="I56" s="3748" t="s">
        <v>3131</v>
      </c>
      <c r="J56" s="3758">
        <v>0</v>
      </c>
      <c r="K56" s="510"/>
      <c r="L56" s="1899"/>
    </row>
    <row r="57" spans="1:12">
      <c r="A57" s="3748" t="s">
        <v>540</v>
      </c>
      <c r="B57" s="3758">
        <v>0</v>
      </c>
      <c r="C57" s="510"/>
      <c r="D57" s="1899"/>
      <c r="I57" s="3748" t="s">
        <v>540</v>
      </c>
      <c r="J57" s="3758">
        <v>0</v>
      </c>
      <c r="K57" s="510"/>
      <c r="L57" s="1899"/>
    </row>
    <row r="58" spans="1:12" ht="13.5" thickBot="1">
      <c r="A58" s="3756" t="s">
        <v>3132</v>
      </c>
      <c r="B58" s="3757">
        <v>3.45</v>
      </c>
      <c r="C58" s="510"/>
      <c r="D58" s="1899"/>
      <c r="I58" s="3756" t="s">
        <v>3132</v>
      </c>
      <c r="J58" s="3757">
        <v>3.45</v>
      </c>
      <c r="K58" s="510"/>
      <c r="L58" s="1899"/>
    </row>
    <row r="59" spans="1:12">
      <c r="A59" s="3745" t="s">
        <v>3139</v>
      </c>
      <c r="B59" s="3755">
        <v>0</v>
      </c>
      <c r="C59" s="510"/>
      <c r="D59" s="1899"/>
      <c r="I59" s="3745" t="s">
        <v>3139</v>
      </c>
      <c r="J59" s="3755">
        <v>0</v>
      </c>
      <c r="K59" s="510"/>
      <c r="L59" s="1899"/>
    </row>
    <row r="60" spans="1:12">
      <c r="A60" s="3748" t="s">
        <v>3140</v>
      </c>
      <c r="B60" s="3758">
        <v>0</v>
      </c>
      <c r="C60" s="510"/>
      <c r="D60" s="1899"/>
      <c r="I60" s="3748" t="s">
        <v>3140</v>
      </c>
      <c r="J60" s="3758">
        <v>0</v>
      </c>
      <c r="K60" s="510"/>
      <c r="L60" s="1899"/>
    </row>
    <row r="61" spans="1:12">
      <c r="A61" s="3748" t="s">
        <v>3141</v>
      </c>
      <c r="B61" s="3758">
        <v>0</v>
      </c>
      <c r="C61" s="510"/>
      <c r="D61" s="1899"/>
      <c r="I61" s="3748" t="s">
        <v>3141</v>
      </c>
      <c r="J61" s="3758">
        <v>0</v>
      </c>
      <c r="K61" s="510"/>
      <c r="L61" s="1899"/>
    </row>
    <row r="62" spans="1:12" ht="13.5" thickBot="1">
      <c r="A62" s="3748" t="s">
        <v>3142</v>
      </c>
      <c r="B62" s="3758">
        <v>0</v>
      </c>
      <c r="C62" s="510"/>
      <c r="D62" s="1899"/>
      <c r="I62" s="3748" t="s">
        <v>3142</v>
      </c>
      <c r="J62" s="3758">
        <v>0</v>
      </c>
      <c r="K62" s="510"/>
      <c r="L62" s="1899"/>
    </row>
    <row r="63" spans="1:12">
      <c r="A63" s="3759" t="s">
        <v>3135</v>
      </c>
      <c r="B63" s="3746">
        <f>ROUNDUP(B54/0.2,0)/2</f>
        <v>8</v>
      </c>
      <c r="C63" s="3760">
        <f>B53+B61+0.2*2+B62+B57/4</f>
        <v>2.17</v>
      </c>
      <c r="D63" s="3747">
        <f>B63*C63*0.0123</f>
        <v>0.213528</v>
      </c>
      <c r="I63" s="3759" t="s">
        <v>3135</v>
      </c>
      <c r="J63" s="3746">
        <f>ROUNDUP(J54/0.2,0)/2</f>
        <v>13.5</v>
      </c>
      <c r="K63" s="3760">
        <f>J53+J61+0.2*2+J62+J57/4</f>
        <v>4.03</v>
      </c>
      <c r="L63" s="3747">
        <f>J63*K63*0.0123</f>
        <v>0.66918149999999998</v>
      </c>
    </row>
    <row r="64" spans="1:12">
      <c r="A64" s="3749" t="s">
        <v>3136</v>
      </c>
      <c r="B64" s="3155">
        <f>ROUNDUP(B54/0.2,0)/2</f>
        <v>8</v>
      </c>
      <c r="C64" s="3750">
        <f>B53+B61+0.2*2+B62+B58/4</f>
        <v>3.03</v>
      </c>
      <c r="D64" s="1899">
        <f t="shared" ref="D64:D66" si="6">B64*C64*0.0123</f>
        <v>0.29815199999999997</v>
      </c>
      <c r="I64" s="3749" t="s">
        <v>3136</v>
      </c>
      <c r="J64" s="3155">
        <f>ROUNDUP(J54/0.2,0)/2</f>
        <v>13.5</v>
      </c>
      <c r="K64" s="3750">
        <f>J53+J61+0.2*2+J62+J58/4</f>
        <v>4.8899999999999997</v>
      </c>
      <c r="L64" s="1899">
        <f t="shared" ref="L64:L66" si="7">J64*K64*0.0123</f>
        <v>0.8119845</v>
      </c>
    </row>
    <row r="65" spans="1:15">
      <c r="A65" s="3749" t="s">
        <v>3137</v>
      </c>
      <c r="B65" s="3155">
        <f>ROUNDUP(B53/0.2,0)/2</f>
        <v>4.5</v>
      </c>
      <c r="C65" s="510">
        <f>0.2*2+B59+B60+B54+B55/4</f>
        <v>3.52</v>
      </c>
      <c r="D65" s="1899">
        <f t="shared" si="6"/>
        <v>0.19483200000000001</v>
      </c>
      <c r="I65" s="3749" t="s">
        <v>3137</v>
      </c>
      <c r="J65" s="3155">
        <f>ROUNDUP(J53/0.2,0)/2</f>
        <v>9.5</v>
      </c>
      <c r="K65" s="510">
        <f>0.2*2+J59+J60+J54+J55/4</f>
        <v>6.53</v>
      </c>
      <c r="L65" s="1899">
        <f t="shared" si="7"/>
        <v>0.76303049999999994</v>
      </c>
    </row>
    <row r="66" spans="1:15" ht="13.5" thickBot="1">
      <c r="A66" s="3751" t="s">
        <v>3138</v>
      </c>
      <c r="B66" s="3752">
        <f>ROUNDUP(B53/0.2,0)/2</f>
        <v>4.5</v>
      </c>
      <c r="C66" s="3753">
        <f>0.2*2+B59+B60+B54+B56/4</f>
        <v>4.9400000000000004</v>
      </c>
      <c r="D66" s="3754">
        <f t="shared" si="6"/>
        <v>0.27342899999999998</v>
      </c>
      <c r="I66" s="3751" t="s">
        <v>3138</v>
      </c>
      <c r="J66" s="3752">
        <f>ROUNDUP(J53/0.2,0)/2</f>
        <v>9.5</v>
      </c>
      <c r="K66" s="3753">
        <f>0.2*2+J59+J60+J54+J56/4</f>
        <v>5.8</v>
      </c>
      <c r="L66" s="3754">
        <f t="shared" si="7"/>
        <v>0.67773000000000005</v>
      </c>
    </row>
    <row r="67" spans="1:15" ht="15.75" thickBot="1">
      <c r="A67" s="4197"/>
      <c r="B67" s="4197"/>
      <c r="D67" s="4198">
        <f>SUBTOTAL(9,D63:D66)</f>
        <v>0.97994099999999995</v>
      </c>
      <c r="I67" s="4197"/>
      <c r="J67" s="4197"/>
      <c r="L67" s="4198">
        <f>SUBTOTAL(9,L63:L66)</f>
        <v>2.9219265000000001</v>
      </c>
    </row>
    <row r="68" spans="1:15" ht="13.5" thickBot="1">
      <c r="A68" s="3761" t="s">
        <v>3129</v>
      </c>
      <c r="B68" s="3762">
        <v>5</v>
      </c>
      <c r="C68" s="3763"/>
      <c r="D68" s="3764"/>
      <c r="I68" s="4201"/>
      <c r="J68" s="4201"/>
      <c r="K68" s="4201"/>
      <c r="L68" s="4201"/>
      <c r="M68" s="4201"/>
      <c r="N68" s="4201"/>
      <c r="O68" s="4201"/>
    </row>
    <row r="69" spans="1:15">
      <c r="A69" s="3748" t="s">
        <v>3133</v>
      </c>
      <c r="B69" s="3758">
        <v>3.63</v>
      </c>
      <c r="C69" s="510"/>
      <c r="D69" s="1899"/>
      <c r="I69" s="4201"/>
      <c r="J69" s="4201"/>
      <c r="K69" s="4201"/>
      <c r="L69" s="4201"/>
      <c r="M69" s="4201"/>
      <c r="N69" s="4201"/>
      <c r="O69" s="4201"/>
    </row>
    <row r="70" spans="1:15" ht="13.5" thickBot="1">
      <c r="A70" s="3756" t="s">
        <v>3134</v>
      </c>
      <c r="B70" s="3757">
        <v>5.65</v>
      </c>
      <c r="C70" s="510"/>
      <c r="D70" s="1899"/>
      <c r="I70" s="4201"/>
      <c r="J70" s="4201"/>
      <c r="K70" s="4201"/>
      <c r="L70" s="4201"/>
      <c r="M70" s="4201"/>
      <c r="N70" s="4201"/>
      <c r="O70" s="4201"/>
    </row>
    <row r="71" spans="1:15">
      <c r="A71" s="3745" t="s">
        <v>3130</v>
      </c>
      <c r="B71" s="3755">
        <v>3.12</v>
      </c>
      <c r="C71" s="510"/>
      <c r="D71" s="1899"/>
      <c r="I71" s="4201"/>
      <c r="J71" s="4201"/>
      <c r="K71" s="4201"/>
      <c r="L71" s="4201"/>
      <c r="M71" s="4201"/>
      <c r="N71" s="4201"/>
      <c r="O71" s="4201"/>
    </row>
    <row r="72" spans="1:15">
      <c r="A72" s="3748" t="s">
        <v>3131</v>
      </c>
      <c r="B72" s="3758">
        <v>0</v>
      </c>
      <c r="C72" s="510"/>
      <c r="D72" s="1899"/>
      <c r="I72" s="4201"/>
      <c r="J72" s="4201"/>
      <c r="K72" s="4201"/>
      <c r="L72" s="4201"/>
      <c r="M72" s="4201"/>
      <c r="N72" s="4201"/>
      <c r="O72" s="4201"/>
    </row>
    <row r="73" spans="1:15">
      <c r="A73" s="3748" t="s">
        <v>540</v>
      </c>
      <c r="B73" s="3758">
        <v>0</v>
      </c>
      <c r="C73" s="510"/>
      <c r="D73" s="1899"/>
      <c r="I73" s="4201"/>
      <c r="J73" s="4201"/>
      <c r="K73" s="4201"/>
      <c r="L73" s="4201"/>
      <c r="M73" s="4201"/>
      <c r="N73" s="4201"/>
      <c r="O73" s="4201"/>
    </row>
    <row r="74" spans="1:15" ht="13.5" thickBot="1">
      <c r="A74" s="3756" t="s">
        <v>3132</v>
      </c>
      <c r="B74" s="3757">
        <v>3.42</v>
      </c>
      <c r="C74" s="510"/>
      <c r="D74" s="1899"/>
      <c r="I74" s="4201"/>
      <c r="J74" s="4201"/>
      <c r="K74" s="4201"/>
      <c r="L74" s="4201"/>
      <c r="M74" s="4201"/>
      <c r="N74" s="4201"/>
      <c r="O74" s="4201"/>
    </row>
    <row r="75" spans="1:15">
      <c r="A75" s="3745" t="s">
        <v>3139</v>
      </c>
      <c r="B75" s="3755">
        <v>0</v>
      </c>
      <c r="C75" s="510"/>
      <c r="D75" s="1899"/>
      <c r="I75" s="4201"/>
      <c r="J75" s="4201"/>
      <c r="K75" s="4201"/>
      <c r="L75" s="4201"/>
      <c r="M75" s="4201"/>
      <c r="N75" s="4201"/>
      <c r="O75" s="4201"/>
    </row>
    <row r="76" spans="1:15">
      <c r="A76" s="3748" t="s">
        <v>3140</v>
      </c>
      <c r="B76" s="3758">
        <v>0</v>
      </c>
      <c r="C76" s="510"/>
      <c r="D76" s="1899"/>
      <c r="I76" s="4201"/>
      <c r="J76" s="4201"/>
      <c r="K76" s="4201"/>
      <c r="L76" s="4201"/>
      <c r="M76" s="4201"/>
      <c r="N76" s="4201"/>
      <c r="O76" s="4201"/>
    </row>
    <row r="77" spans="1:15">
      <c r="A77" s="3748" t="s">
        <v>3141</v>
      </c>
      <c r="B77" s="3758">
        <v>0</v>
      </c>
      <c r="C77" s="510"/>
      <c r="D77" s="1899"/>
      <c r="I77" s="4201"/>
      <c r="J77" s="4201"/>
      <c r="K77" s="4201"/>
      <c r="L77" s="4201"/>
      <c r="M77" s="4201"/>
      <c r="N77" s="4201"/>
      <c r="O77" s="4201"/>
    </row>
    <row r="78" spans="1:15" ht="13.5" thickBot="1">
      <c r="A78" s="3748" t="s">
        <v>3142</v>
      </c>
      <c r="B78" s="3758">
        <v>0</v>
      </c>
      <c r="C78" s="510"/>
      <c r="D78" s="1899"/>
      <c r="I78" s="4201"/>
      <c r="J78" s="4201"/>
      <c r="K78" s="4201"/>
      <c r="L78" s="4201"/>
      <c r="M78" s="4201"/>
      <c r="N78" s="4201"/>
      <c r="O78" s="4201"/>
    </row>
    <row r="79" spans="1:15">
      <c r="A79" s="3759" t="s">
        <v>3135</v>
      </c>
      <c r="B79" s="3746">
        <f>ROUNDUP(B70/0.2,0)/2</f>
        <v>14.5</v>
      </c>
      <c r="C79" s="3760">
        <f>B69+B77+0.2*2+B78+B73/4</f>
        <v>4.03</v>
      </c>
      <c r="D79" s="3747">
        <f>B79*C79*0.0123</f>
        <v>0.71875049999999996</v>
      </c>
      <c r="I79" s="4201"/>
      <c r="J79" s="4201"/>
      <c r="K79" s="4201"/>
      <c r="L79" s="4201"/>
      <c r="M79" s="4201"/>
      <c r="N79" s="4201"/>
      <c r="O79" s="4201"/>
    </row>
    <row r="80" spans="1:15">
      <c r="A80" s="3749" t="s">
        <v>3136</v>
      </c>
      <c r="B80" s="3155">
        <f>ROUNDUP(B70/0.2,0)/2</f>
        <v>14.5</v>
      </c>
      <c r="C80" s="3750">
        <f>B69+B77+0.2*2+B78+B74/4</f>
        <v>4.8899999999999997</v>
      </c>
      <c r="D80" s="1899">
        <f t="shared" ref="D80:D82" si="8">B80*C80*0.0123</f>
        <v>0.87213149999999995</v>
      </c>
      <c r="I80" s="4201"/>
      <c r="J80" s="4201"/>
      <c r="K80" s="4201"/>
      <c r="L80" s="4201"/>
      <c r="M80" s="4201"/>
      <c r="N80" s="4201"/>
      <c r="O80" s="4201"/>
    </row>
    <row r="81" spans="1:15">
      <c r="A81" s="3749" t="s">
        <v>3137</v>
      </c>
      <c r="B81" s="3155">
        <f>ROUNDUP(B69/0.2,0)/2</f>
        <v>9.5</v>
      </c>
      <c r="C81" s="510">
        <f>0.2*2+B75+B76+B70+B71/4</f>
        <v>6.83</v>
      </c>
      <c r="D81" s="1899">
        <f t="shared" si="8"/>
        <v>0.7980855</v>
      </c>
      <c r="I81" s="4201"/>
      <c r="J81" s="4201"/>
      <c r="K81" s="4201"/>
      <c r="L81" s="4201"/>
      <c r="M81" s="4201"/>
      <c r="N81" s="4201"/>
      <c r="O81" s="4201"/>
    </row>
    <row r="82" spans="1:15" ht="13.5" thickBot="1">
      <c r="A82" s="3751" t="s">
        <v>3138</v>
      </c>
      <c r="B82" s="3752">
        <f>ROUNDUP(B69/0.2,0)/2</f>
        <v>9.5</v>
      </c>
      <c r="C82" s="3753">
        <f>0.2*2+B75+B76+B70+B72/4</f>
        <v>6.05</v>
      </c>
      <c r="D82" s="3754">
        <f t="shared" si="8"/>
        <v>0.70694250000000003</v>
      </c>
      <c r="I82" s="4201"/>
      <c r="J82" s="4201"/>
      <c r="K82" s="4201"/>
      <c r="L82" s="4201"/>
      <c r="M82" s="4201"/>
      <c r="N82" s="4201"/>
      <c r="O82" s="4201"/>
    </row>
    <row r="83" spans="1:15" ht="15">
      <c r="A83" s="4197"/>
      <c r="B83" s="4197"/>
      <c r="D83" s="4198">
        <f>SUBTOTAL(9,D79:D82)</f>
        <v>3.0959099999999999</v>
      </c>
      <c r="I83" s="4197"/>
      <c r="J83" s="4197"/>
      <c r="K83" s="4201"/>
      <c r="L83" s="4201"/>
    </row>
    <row r="84" spans="1:15">
      <c r="A84" s="4197"/>
      <c r="B84" s="4197"/>
      <c r="G84" s="4196"/>
      <c r="I84" s="4197"/>
      <c r="J84" s="4197"/>
    </row>
    <row r="85" spans="1:15">
      <c r="A85" s="4197"/>
      <c r="B85" s="4197"/>
      <c r="G85" s="4196">
        <f>1*3*0.0123*1.15</f>
        <v>4.2435E-2</v>
      </c>
      <c r="I85" s="4197"/>
      <c r="J85" s="4197"/>
      <c r="O85" s="4196">
        <f>1*3*0.0123*1.15</f>
        <v>4.2435E-2</v>
      </c>
    </row>
    <row r="86" spans="1:15">
      <c r="A86" s="4197" t="s">
        <v>3143</v>
      </c>
      <c r="B86" s="4197"/>
      <c r="G86" s="4196">
        <f>1*4*0.0219*1.15</f>
        <v>0.10074</v>
      </c>
      <c r="I86" s="4197" t="s">
        <v>3143</v>
      </c>
      <c r="J86" s="4197"/>
      <c r="O86" s="4196">
        <f>1*4*0.0219*1.15</f>
        <v>0.10074</v>
      </c>
    </row>
    <row r="87" spans="1:15">
      <c r="A87" s="4197" t="s">
        <v>3144</v>
      </c>
      <c r="B87" s="4197">
        <f>ROUNDUP(3.45/0.4,0)</f>
        <v>9</v>
      </c>
      <c r="C87" s="4196">
        <f>2.95/3+0.2+3.75/3</f>
        <v>2.43333333333333</v>
      </c>
      <c r="D87" s="4196">
        <f>0.0123*C87*B87</f>
        <v>0.26937</v>
      </c>
      <c r="G87" s="4196">
        <f>6.67*(0.4*2+0.12+0.11*2)*0.0123*1.15</f>
        <v>0.107555751</v>
      </c>
      <c r="I87" s="4197" t="s">
        <v>3144</v>
      </c>
      <c r="J87" s="4197">
        <f>ROUNDUP(3.45/0.4,0)</f>
        <v>9</v>
      </c>
      <c r="K87" s="4196">
        <f>2.95/3+0.2+3.75/3</f>
        <v>2.43333333333333</v>
      </c>
      <c r="O87" s="4196">
        <f>6.67*(0.4*2+0.12+0.11*2)*0.0123*1.15</f>
        <v>0.107555751</v>
      </c>
    </row>
    <row r="88" spans="1:15">
      <c r="A88" s="4197" t="s">
        <v>3145</v>
      </c>
      <c r="B88" s="4197">
        <f>ROUNDUP(3.9/0.3,0)</f>
        <v>13</v>
      </c>
      <c r="C88" s="4196">
        <f>0.2+1.5+0.2+3.75/3</f>
        <v>3.15</v>
      </c>
      <c r="D88" s="4196">
        <f t="shared" ref="D88" si="9">0.0123*C88*B88</f>
        <v>0.50368500000000005</v>
      </c>
      <c r="G88" s="4196">
        <f>SUM(G85:G87)</f>
        <v>0.25073075099999997</v>
      </c>
      <c r="I88" s="4197" t="s">
        <v>3145</v>
      </c>
      <c r="J88" s="4197">
        <f>ROUNDUP(3.9/0.3,0)</f>
        <v>13</v>
      </c>
      <c r="K88" s="4196">
        <f>0.2+1.5+0.2+3.75/3</f>
        <v>3.15</v>
      </c>
      <c r="O88" s="4196">
        <f>SUM(O85:O87)</f>
        <v>0.25073075099999997</v>
      </c>
    </row>
    <row r="89" spans="1:15">
      <c r="A89" s="4199" t="s">
        <v>3557</v>
      </c>
      <c r="B89" s="4197"/>
      <c r="I89" s="4199" t="s">
        <v>3557</v>
      </c>
      <c r="J89" s="4197"/>
    </row>
    <row r="90" spans="1:15">
      <c r="A90" s="4197" t="s">
        <v>2580</v>
      </c>
      <c r="B90" s="4197">
        <v>4</v>
      </c>
      <c r="C90" s="4196">
        <f>G88</f>
        <v>0.25073075099999997</v>
      </c>
      <c r="D90" s="4196">
        <f>C90*B90</f>
        <v>1.0029230039999999</v>
      </c>
      <c r="I90" s="4197" t="s">
        <v>2580</v>
      </c>
      <c r="J90" s="4197">
        <f>2.92+0.4</f>
        <v>3.32</v>
      </c>
      <c r="K90" s="4196">
        <f>O88</f>
        <v>0.25073075099999997</v>
      </c>
      <c r="L90" s="4196">
        <f>K90*J90</f>
        <v>0.83242609331999995</v>
      </c>
    </row>
    <row r="91" spans="1:15">
      <c r="A91" s="4197"/>
      <c r="B91" s="4197"/>
      <c r="I91" s="4197"/>
      <c r="J91" s="4197"/>
    </row>
    <row r="92" spans="1:15" ht="15">
      <c r="A92" s="4197"/>
      <c r="B92" s="4197"/>
      <c r="D92" s="4200">
        <f>SUBTOTAL(9,D4:D90)</f>
        <v>10.489421004</v>
      </c>
      <c r="I92" s="4197"/>
      <c r="J92" s="4197"/>
      <c r="L92" s="4200">
        <f>SUBTOTAL(9,L4:L90)</f>
        <v>9.2091719683199997</v>
      </c>
    </row>
    <row r="93" spans="1:15">
      <c r="A93" s="4197"/>
      <c r="B93" s="4197"/>
      <c r="I93" s="4197"/>
      <c r="J93" s="4197"/>
    </row>
    <row r="94" spans="1:15">
      <c r="A94" s="4197"/>
      <c r="B94" s="4197"/>
      <c r="I94" s="4197"/>
      <c r="J94" s="4197"/>
    </row>
    <row r="95" spans="1:15">
      <c r="A95" s="4197" t="s">
        <v>3558</v>
      </c>
      <c r="B95" s="4197"/>
      <c r="C95" s="4196">
        <f>0.12</f>
        <v>0.12</v>
      </c>
      <c r="D95" s="4196">
        <f>17.012+10.17+25.7</f>
        <v>52.881999999999998</v>
      </c>
      <c r="I95" s="4197" t="s">
        <v>3558</v>
      </c>
      <c r="J95" s="4197"/>
      <c r="K95" s="4196">
        <f>0.12</f>
        <v>0.12</v>
      </c>
      <c r="L95" s="4196">
        <f>10.17+18.59+5.2+21.18</f>
        <v>55.14</v>
      </c>
      <c r="N95" s="4196">
        <f>55*0.12</f>
        <v>6.6</v>
      </c>
    </row>
    <row r="96" spans="1:15" ht="15">
      <c r="A96" s="4197"/>
      <c r="B96" s="4197"/>
      <c r="D96" s="4200">
        <f>C95*D95</f>
        <v>6.3458399999999999</v>
      </c>
      <c r="I96" s="4197"/>
      <c r="J96" s="4197"/>
      <c r="L96" s="4200">
        <f>K95*L95</f>
        <v>6.6167999999999996</v>
      </c>
    </row>
    <row r="97" spans="1:12">
      <c r="A97" s="4197"/>
      <c r="B97" s="4197"/>
      <c r="I97" s="4197"/>
      <c r="J97" s="4197"/>
    </row>
    <row r="98" spans="1:12">
      <c r="A98" s="4197"/>
      <c r="B98" s="4197"/>
      <c r="C98" s="4196" t="s">
        <v>3559</v>
      </c>
      <c r="D98" s="4196">
        <f>D92/D96</f>
        <v>1.65296020763209</v>
      </c>
      <c r="I98" s="4197"/>
      <c r="J98" s="4197"/>
      <c r="K98" s="4196" t="s">
        <v>3559</v>
      </c>
      <c r="L98" s="4196">
        <f>L92/L96</f>
        <v>1.3917863571998501</v>
      </c>
    </row>
    <row r="99" spans="1:12">
      <c r="A99" s="4197"/>
      <c r="B99" s="4197"/>
      <c r="C99" s="4196" t="s">
        <v>3561</v>
      </c>
      <c r="D99" s="4196">
        <f>D98*1.15</f>
        <v>1.9009042387769</v>
      </c>
      <c r="I99" s="4197"/>
      <c r="J99" s="4197"/>
      <c r="K99" s="4201" t="s">
        <v>3561</v>
      </c>
      <c r="L99" s="4201">
        <f>L98*1.15</f>
        <v>1.6005543107798299</v>
      </c>
    </row>
    <row r="100" spans="1:12">
      <c r="A100" s="4197"/>
      <c r="B100" s="4197"/>
      <c r="I100" s="4197"/>
      <c r="J100" s="4197"/>
    </row>
    <row r="144" spans="5:13">
      <c r="E144" s="4193" t="s">
        <v>242</v>
      </c>
      <c r="M144" s="4196" t="s">
        <v>242</v>
      </c>
    </row>
  </sheetData>
  <mergeCells count="2">
    <mergeCell ref="A2:D2"/>
    <mergeCell ref="I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228"/>
  <sheetViews>
    <sheetView topLeftCell="A211" zoomScale="130" workbookViewId="0">
      <selection activeCell="B131" sqref="B131"/>
    </sheetView>
  </sheetViews>
  <sheetFormatPr baseColWidth="10" defaultColWidth="11.42578125" defaultRowHeight="12.75"/>
  <cols>
    <col min="1" max="1" width="4" style="4117" customWidth="1"/>
    <col min="2" max="2" width="70.85546875" style="4117" customWidth="1"/>
    <col min="3" max="3" width="13" style="4117" customWidth="1"/>
    <col min="4" max="4" width="8.7109375" style="4117" customWidth="1"/>
    <col min="5" max="5" width="30.140625" style="4117" customWidth="1"/>
    <col min="6" max="16384" width="11.42578125" style="4117"/>
  </cols>
  <sheetData>
    <row r="1" spans="1:7" ht="12.75" customHeight="1">
      <c r="A1" s="5069" t="s">
        <v>5</v>
      </c>
      <c r="B1" s="5069"/>
      <c r="C1" s="5069"/>
      <c r="D1" s="5069"/>
      <c r="E1" s="5069"/>
      <c r="F1" s="4116"/>
    </row>
    <row r="2" spans="1:7" ht="12.75" customHeight="1">
      <c r="A2" s="5069" t="s">
        <v>3204</v>
      </c>
      <c r="B2" s="5069"/>
      <c r="C2" s="5069"/>
      <c r="D2" s="5069"/>
      <c r="E2" s="5069"/>
      <c r="F2" s="4116"/>
    </row>
    <row r="3" spans="1:7" ht="12.75" customHeight="1">
      <c r="A3" s="5069" t="s">
        <v>3205</v>
      </c>
      <c r="B3" s="5069"/>
      <c r="C3" s="5069"/>
      <c r="D3" s="5069"/>
      <c r="E3" s="5069"/>
      <c r="F3" s="4116"/>
    </row>
    <row r="4" spans="1:7" ht="12.75" customHeight="1">
      <c r="A4" s="5069" t="s">
        <v>60</v>
      </c>
      <c r="B4" s="5069"/>
      <c r="C4" s="5069"/>
      <c r="D4" s="5069"/>
      <c r="E4" s="5069"/>
      <c r="F4" s="4116"/>
    </row>
    <row r="5" spans="1:7" ht="5.0999999999999996" customHeight="1">
      <c r="A5" s="4118"/>
      <c r="B5" s="4118"/>
      <c r="C5" s="4119"/>
      <c r="D5" s="4118"/>
      <c r="E5" s="4120"/>
      <c r="F5" s="4121"/>
    </row>
    <row r="6" spans="1:7" ht="12.75" customHeight="1">
      <c r="A6" s="5070" t="s">
        <v>3206</v>
      </c>
      <c r="B6" s="5070"/>
      <c r="C6" s="5070"/>
      <c r="D6" s="5070"/>
      <c r="E6" s="5070"/>
      <c r="F6" s="4122"/>
    </row>
    <row r="7" spans="1:7" ht="13.5" customHeight="1">
      <c r="A7" s="4123" t="s">
        <v>3207</v>
      </c>
      <c r="B7" s="4123"/>
      <c r="C7" s="4123"/>
      <c r="D7" s="4123"/>
      <c r="E7" s="4123"/>
      <c r="F7" s="4122"/>
    </row>
    <row r="8" spans="1:7">
      <c r="A8" s="5067" t="s">
        <v>3208</v>
      </c>
      <c r="B8" s="5068"/>
      <c r="C8" s="4124"/>
      <c r="D8" s="4125"/>
      <c r="E8" s="4126" t="s">
        <v>2212</v>
      </c>
      <c r="F8" s="4127"/>
    </row>
    <row r="9" spans="1:7" ht="5.0999999999999996" customHeight="1" thickBot="1"/>
    <row r="10" spans="1:7" ht="13.5" thickBot="1">
      <c r="A10" s="4128" t="s">
        <v>3209</v>
      </c>
      <c r="B10" s="4129" t="s">
        <v>3210</v>
      </c>
      <c r="C10" s="4129" t="s">
        <v>3211</v>
      </c>
      <c r="D10" s="4129" t="s">
        <v>340</v>
      </c>
      <c r="E10" s="4130" t="s">
        <v>3212</v>
      </c>
    </row>
    <row r="11" spans="1:7" ht="5.0999999999999996" customHeight="1">
      <c r="A11" s="4131"/>
      <c r="B11" s="4131"/>
      <c r="C11" s="4131"/>
      <c r="D11" s="4131"/>
      <c r="E11" s="4131"/>
    </row>
    <row r="12" spans="1:7">
      <c r="A12" s="4132">
        <v>1</v>
      </c>
      <c r="B12" s="4133" t="s">
        <v>3213</v>
      </c>
      <c r="C12" s="4134">
        <v>1977</v>
      </c>
      <c r="D12" s="4132" t="s">
        <v>148</v>
      </c>
      <c r="E12" s="4133" t="s">
        <v>3214</v>
      </c>
      <c r="G12" s="4135"/>
    </row>
    <row r="13" spans="1:7">
      <c r="A13" s="4132">
        <v>2</v>
      </c>
      <c r="B13" s="4133" t="s">
        <v>3215</v>
      </c>
      <c r="C13" s="4134">
        <v>1659</v>
      </c>
      <c r="D13" s="4132" t="s">
        <v>148</v>
      </c>
      <c r="E13" s="4133" t="s">
        <v>3214</v>
      </c>
      <c r="F13" s="4135"/>
    </row>
    <row r="14" spans="1:7">
      <c r="A14" s="4132">
        <v>3</v>
      </c>
      <c r="B14" s="4133" t="s">
        <v>3216</v>
      </c>
      <c r="C14" s="4134">
        <v>1255</v>
      </c>
      <c r="D14" s="4132" t="s">
        <v>148</v>
      </c>
      <c r="E14" s="4133" t="s">
        <v>3214</v>
      </c>
      <c r="F14" s="4135"/>
    </row>
    <row r="15" spans="1:7">
      <c r="A15" s="4132">
        <v>4</v>
      </c>
      <c r="B15" s="4133" t="s">
        <v>3217</v>
      </c>
      <c r="C15" s="4134">
        <v>1100</v>
      </c>
      <c r="D15" s="4132" t="s">
        <v>148</v>
      </c>
      <c r="E15" s="4133" t="s">
        <v>3214</v>
      </c>
      <c r="F15" s="4135"/>
    </row>
    <row r="16" spans="1:7">
      <c r="A16" s="4132">
        <v>5</v>
      </c>
      <c r="B16" s="4133" t="s">
        <v>3218</v>
      </c>
      <c r="C16" s="4134">
        <v>847</v>
      </c>
      <c r="D16" s="4132" t="s">
        <v>148</v>
      </c>
      <c r="E16" s="4133" t="s">
        <v>3214</v>
      </c>
      <c r="F16" s="4135"/>
    </row>
    <row r="17" spans="1:7">
      <c r="A17" s="4132">
        <v>6</v>
      </c>
      <c r="B17" s="4133" t="s">
        <v>3219</v>
      </c>
      <c r="C17" s="4134">
        <v>721</v>
      </c>
      <c r="D17" s="4132" t="s">
        <v>148</v>
      </c>
      <c r="E17" s="4133" t="s">
        <v>3214</v>
      </c>
      <c r="F17" s="4135"/>
      <c r="G17" s="4117">
        <v>22</v>
      </c>
    </row>
    <row r="18" spans="1:7">
      <c r="A18" s="4132">
        <v>7</v>
      </c>
      <c r="B18" s="4133" t="s">
        <v>3220</v>
      </c>
      <c r="C18" s="4134">
        <v>659</v>
      </c>
      <c r="D18" s="4132" t="s">
        <v>148</v>
      </c>
      <c r="E18" s="4133" t="s">
        <v>3214</v>
      </c>
      <c r="F18" s="4135"/>
    </row>
    <row r="19" spans="1:7">
      <c r="A19" s="4132">
        <v>8</v>
      </c>
      <c r="B19" s="4133" t="s">
        <v>3221</v>
      </c>
      <c r="C19" s="4134">
        <v>6937</v>
      </c>
      <c r="D19" s="4132" t="s">
        <v>148</v>
      </c>
      <c r="E19" s="4133" t="s">
        <v>3214</v>
      </c>
      <c r="G19" s="4135"/>
    </row>
    <row r="20" spans="1:7">
      <c r="A20" s="4132">
        <v>9</v>
      </c>
      <c r="B20" s="4133" t="s">
        <v>3222</v>
      </c>
      <c r="C20" s="4136">
        <f>2714</f>
        <v>2714</v>
      </c>
      <c r="D20" s="4132" t="s">
        <v>148</v>
      </c>
      <c r="E20" s="4133" t="s">
        <v>3223</v>
      </c>
    </row>
    <row r="21" spans="1:7">
      <c r="A21" s="4132">
        <v>10</v>
      </c>
      <c r="B21" s="4133" t="s">
        <v>3224</v>
      </c>
      <c r="C21" s="4134">
        <v>1534</v>
      </c>
      <c r="D21" s="4132" t="s">
        <v>47</v>
      </c>
      <c r="E21" s="4133" t="s">
        <v>3225</v>
      </c>
    </row>
    <row r="22" spans="1:7">
      <c r="A22" s="4132">
        <v>11</v>
      </c>
      <c r="B22" s="4133" t="s">
        <v>3226</v>
      </c>
      <c r="C22" s="4134">
        <v>1770</v>
      </c>
      <c r="D22" s="4132" t="s">
        <v>47</v>
      </c>
      <c r="E22" s="4133" t="s">
        <v>3225</v>
      </c>
    </row>
    <row r="23" spans="1:7" ht="12.75" customHeight="1">
      <c r="A23" s="4132">
        <v>12</v>
      </c>
      <c r="B23" s="4117" t="s">
        <v>3227</v>
      </c>
      <c r="C23" s="4134">
        <v>250</v>
      </c>
      <c r="D23" s="4137" t="s">
        <v>3</v>
      </c>
      <c r="E23" s="4117" t="s">
        <v>3228</v>
      </c>
    </row>
    <row r="24" spans="1:7">
      <c r="A24" s="4132">
        <v>13</v>
      </c>
      <c r="B24" s="4117" t="s">
        <v>3229</v>
      </c>
      <c r="C24" s="4134">
        <v>300</v>
      </c>
      <c r="D24" s="4137" t="s">
        <v>3</v>
      </c>
      <c r="E24" s="4117" t="s">
        <v>3228</v>
      </c>
    </row>
    <row r="25" spans="1:7">
      <c r="A25" s="4132">
        <v>14</v>
      </c>
      <c r="B25" s="4133" t="s">
        <v>3230</v>
      </c>
      <c r="C25" s="4138">
        <v>107.87</v>
      </c>
      <c r="D25" s="4132" t="s">
        <v>1</v>
      </c>
      <c r="E25" s="4133" t="s">
        <v>3231</v>
      </c>
    </row>
    <row r="26" spans="1:7">
      <c r="A26" s="4132">
        <v>15</v>
      </c>
      <c r="B26" s="4133" t="s">
        <v>3232</v>
      </c>
      <c r="C26" s="4138">
        <v>323.63</v>
      </c>
      <c r="D26" s="4132" t="s">
        <v>242</v>
      </c>
      <c r="E26" s="4133" t="s">
        <v>3231</v>
      </c>
    </row>
    <row r="27" spans="1:7">
      <c r="A27" s="4132">
        <v>16</v>
      </c>
      <c r="B27" s="4133" t="s">
        <v>3233</v>
      </c>
      <c r="C27" s="4138">
        <v>54.26</v>
      </c>
      <c r="D27" s="4132" t="s">
        <v>2432</v>
      </c>
      <c r="E27" s="4133" t="s">
        <v>3234</v>
      </c>
    </row>
    <row r="28" spans="1:7">
      <c r="A28" s="4132">
        <v>17</v>
      </c>
      <c r="B28" s="4133" t="s">
        <v>3235</v>
      </c>
      <c r="C28" s="4134">
        <v>45.6</v>
      </c>
      <c r="D28" s="4132" t="s">
        <v>2432</v>
      </c>
      <c r="E28" s="4133" t="s">
        <v>3234</v>
      </c>
    </row>
    <row r="29" spans="1:7">
      <c r="A29" s="4132">
        <v>18</v>
      </c>
      <c r="B29" s="4139" t="s">
        <v>3495</v>
      </c>
      <c r="C29" s="4134">
        <v>187.47</v>
      </c>
      <c r="D29" s="4140" t="s">
        <v>3</v>
      </c>
      <c r="E29" s="4133" t="s">
        <v>3236</v>
      </c>
    </row>
    <row r="30" spans="1:7">
      <c r="A30" s="4132">
        <v>19</v>
      </c>
      <c r="B30" s="4139" t="s">
        <v>3496</v>
      </c>
      <c r="C30" s="4134">
        <v>246.83</v>
      </c>
      <c r="D30" s="4140" t="s">
        <v>3</v>
      </c>
      <c r="E30" s="4133" t="s">
        <v>3236</v>
      </c>
    </row>
    <row r="31" spans="1:7">
      <c r="A31" s="4132">
        <v>20</v>
      </c>
      <c r="B31" s="4139" t="s">
        <v>3497</v>
      </c>
      <c r="C31" s="4134">
        <v>246.83</v>
      </c>
      <c r="D31" s="4140" t="s">
        <v>3</v>
      </c>
      <c r="E31" s="4133" t="s">
        <v>3236</v>
      </c>
    </row>
    <row r="32" spans="1:7">
      <c r="A32" s="4132">
        <v>21</v>
      </c>
      <c r="B32" s="4139" t="s">
        <v>3498</v>
      </c>
      <c r="C32" s="4134">
        <v>491.84</v>
      </c>
      <c r="D32" s="4140" t="s">
        <v>3</v>
      </c>
      <c r="E32" s="4133" t="s">
        <v>3236</v>
      </c>
    </row>
    <row r="33" spans="1:8">
      <c r="A33" s="4132">
        <v>22</v>
      </c>
      <c r="B33" s="4139" t="s">
        <v>3237</v>
      </c>
      <c r="C33" s="4134">
        <v>187.47</v>
      </c>
      <c r="D33" s="4140" t="s">
        <v>3</v>
      </c>
      <c r="E33" s="4133" t="s">
        <v>3236</v>
      </c>
    </row>
    <row r="34" spans="1:8">
      <c r="A34" s="4132">
        <v>23</v>
      </c>
      <c r="B34" s="4139" t="s">
        <v>3238</v>
      </c>
      <c r="C34" s="4134">
        <v>246.83</v>
      </c>
      <c r="D34" s="4140" t="s">
        <v>3</v>
      </c>
      <c r="E34" s="4133" t="s">
        <v>3236</v>
      </c>
    </row>
    <row r="35" spans="1:8">
      <c r="A35" s="4132">
        <v>24</v>
      </c>
      <c r="B35" s="4139" t="s">
        <v>3239</v>
      </c>
      <c r="C35" s="4134">
        <v>491.84</v>
      </c>
      <c r="D35" s="4140" t="s">
        <v>3</v>
      </c>
      <c r="E35" s="4133" t="s">
        <v>3236</v>
      </c>
    </row>
    <row r="36" spans="1:8">
      <c r="A36" s="4132">
        <v>25</v>
      </c>
      <c r="B36" s="4139" t="s">
        <v>3240</v>
      </c>
      <c r="C36" s="4141">
        <v>1640.06</v>
      </c>
      <c r="D36" s="4140" t="s">
        <v>3</v>
      </c>
      <c r="E36" s="4133" t="s">
        <v>3236</v>
      </c>
    </row>
    <row r="37" spans="1:8">
      <c r="A37" s="4132">
        <v>26</v>
      </c>
      <c r="B37" s="4139" t="s">
        <v>3499</v>
      </c>
      <c r="C37" s="4134">
        <v>210.06</v>
      </c>
      <c r="D37" s="4140" t="s">
        <v>3</v>
      </c>
      <c r="E37" s="4133" t="s">
        <v>3236</v>
      </c>
      <c r="H37" s="4135"/>
    </row>
    <row r="38" spans="1:8">
      <c r="A38" s="4132">
        <v>27</v>
      </c>
      <c r="B38" s="4139" t="s">
        <v>3241</v>
      </c>
      <c r="C38" s="4134">
        <v>1858.21</v>
      </c>
      <c r="D38" s="4140" t="s">
        <v>3</v>
      </c>
      <c r="E38" s="4133" t="s">
        <v>3236</v>
      </c>
    </row>
    <row r="39" spans="1:8">
      <c r="A39" s="4132">
        <v>28</v>
      </c>
      <c r="B39" s="4139" t="s">
        <v>3500</v>
      </c>
      <c r="C39" s="4134">
        <v>328.21</v>
      </c>
      <c r="D39" s="4140" t="s">
        <v>3</v>
      </c>
      <c r="E39" s="4133" t="s">
        <v>3236</v>
      </c>
    </row>
    <row r="40" spans="1:8">
      <c r="A40" s="4132">
        <v>29</v>
      </c>
      <c r="B40" s="4139" t="s">
        <v>3501</v>
      </c>
      <c r="C40" s="4134">
        <v>437.62</v>
      </c>
      <c r="D40" s="4140" t="s">
        <v>3</v>
      </c>
      <c r="E40" s="4133" t="s">
        <v>3236</v>
      </c>
    </row>
    <row r="41" spans="1:8">
      <c r="A41" s="4132">
        <v>30</v>
      </c>
      <c r="B41" s="4139" t="s">
        <v>3242</v>
      </c>
      <c r="C41" s="4134">
        <v>2067.62</v>
      </c>
      <c r="D41" s="4140" t="s">
        <v>3</v>
      </c>
      <c r="E41" s="4133" t="s">
        <v>3236</v>
      </c>
    </row>
    <row r="42" spans="1:8">
      <c r="A42" s="4132">
        <v>31</v>
      </c>
      <c r="B42" s="4139" t="s">
        <v>3243</v>
      </c>
      <c r="C42" s="4134">
        <v>2805.23</v>
      </c>
      <c r="D42" s="4140" t="s">
        <v>3</v>
      </c>
      <c r="E42" s="4133" t="s">
        <v>3236</v>
      </c>
    </row>
    <row r="43" spans="1:8">
      <c r="A43" s="4132">
        <v>32</v>
      </c>
      <c r="B43" s="4139" t="s">
        <v>3502</v>
      </c>
      <c r="C43" s="4134">
        <v>875.23</v>
      </c>
      <c r="D43" s="4140" t="s">
        <v>3</v>
      </c>
      <c r="E43" s="4133" t="s">
        <v>3236</v>
      </c>
      <c r="F43" s="4135"/>
    </row>
    <row r="44" spans="1:8" ht="12.75" customHeight="1">
      <c r="A44" s="4132">
        <v>33</v>
      </c>
      <c r="B44" s="4139" t="s">
        <v>3244</v>
      </c>
      <c r="C44" s="4134">
        <v>27.98</v>
      </c>
      <c r="D44" s="4140" t="s">
        <v>1</v>
      </c>
      <c r="E44" s="4133" t="s">
        <v>3245</v>
      </c>
    </row>
    <row r="45" spans="1:8">
      <c r="A45" s="4132">
        <v>34</v>
      </c>
      <c r="B45" s="4139" t="s">
        <v>3246</v>
      </c>
      <c r="C45" s="4134">
        <v>32.270000000000003</v>
      </c>
      <c r="D45" s="4140" t="s">
        <v>1</v>
      </c>
      <c r="E45" s="4133" t="s">
        <v>3245</v>
      </c>
    </row>
    <row r="46" spans="1:8">
      <c r="A46" s="4132">
        <v>35</v>
      </c>
      <c r="B46" s="4142" t="s">
        <v>3247</v>
      </c>
      <c r="C46" s="4134">
        <v>251.48</v>
      </c>
      <c r="D46" s="4140" t="s">
        <v>1</v>
      </c>
      <c r="E46" s="4133" t="s">
        <v>3248</v>
      </c>
    </row>
    <row r="47" spans="1:8">
      <c r="A47" s="4132">
        <v>36</v>
      </c>
      <c r="B47" s="4139" t="s">
        <v>3249</v>
      </c>
      <c r="C47" s="4134">
        <v>39.299999999999997</v>
      </c>
      <c r="D47" s="4140" t="s">
        <v>1</v>
      </c>
      <c r="E47" s="4133" t="s">
        <v>3245</v>
      </c>
    </row>
    <row r="48" spans="1:8" ht="12.75" customHeight="1">
      <c r="A48" s="4132">
        <v>37</v>
      </c>
      <c r="B48" s="4142" t="s">
        <v>3250</v>
      </c>
      <c r="C48" s="4138">
        <v>482.88</v>
      </c>
      <c r="D48" s="4140" t="s">
        <v>1</v>
      </c>
      <c r="E48" s="4133" t="s">
        <v>3248</v>
      </c>
    </row>
    <row r="49" spans="1:5">
      <c r="A49" s="4132">
        <v>38</v>
      </c>
      <c r="B49" s="4139" t="s">
        <v>3251</v>
      </c>
      <c r="C49" s="4138">
        <v>51.65</v>
      </c>
      <c r="D49" s="4140" t="s">
        <v>1</v>
      </c>
      <c r="E49" s="4133" t="s">
        <v>3245</v>
      </c>
    </row>
    <row r="50" spans="1:5">
      <c r="A50" s="4132">
        <v>39</v>
      </c>
      <c r="B50" s="4143" t="s">
        <v>3252</v>
      </c>
      <c r="C50" s="4134">
        <v>740</v>
      </c>
      <c r="D50" s="4140" t="s">
        <v>3</v>
      </c>
      <c r="E50" s="4133" t="s">
        <v>3253</v>
      </c>
    </row>
    <row r="51" spans="1:5">
      <c r="A51" s="4132">
        <v>40</v>
      </c>
      <c r="B51" s="4143" t="s">
        <v>3254</v>
      </c>
      <c r="C51" s="4134">
        <v>910</v>
      </c>
      <c r="D51" s="4140" t="s">
        <v>3</v>
      </c>
      <c r="E51" s="4133" t="s">
        <v>3253</v>
      </c>
    </row>
    <row r="52" spans="1:5">
      <c r="A52" s="4132">
        <v>41</v>
      </c>
      <c r="B52" s="4143" t="s">
        <v>3255</v>
      </c>
      <c r="C52" s="4134">
        <v>1060</v>
      </c>
      <c r="D52" s="4140" t="s">
        <v>3</v>
      </c>
      <c r="E52" s="4133" t="s">
        <v>3253</v>
      </c>
    </row>
    <row r="53" spans="1:5">
      <c r="A53" s="4132">
        <v>42</v>
      </c>
      <c r="B53" s="4143" t="s">
        <v>3256</v>
      </c>
      <c r="C53" s="4134">
        <v>1860</v>
      </c>
      <c r="D53" s="4140" t="s">
        <v>3</v>
      </c>
      <c r="E53" s="4133" t="s">
        <v>3253</v>
      </c>
    </row>
    <row r="54" spans="1:5">
      <c r="A54" s="4132">
        <v>43</v>
      </c>
      <c r="B54" s="4117" t="s">
        <v>3257</v>
      </c>
      <c r="C54" s="4138">
        <v>7.85</v>
      </c>
      <c r="D54" s="4137" t="s">
        <v>1</v>
      </c>
      <c r="E54" s="4133" t="s">
        <v>3245</v>
      </c>
    </row>
    <row r="55" spans="1:5">
      <c r="A55" s="4132">
        <v>44</v>
      </c>
      <c r="B55" s="4133" t="s">
        <v>3258</v>
      </c>
      <c r="C55" s="4134">
        <v>2370</v>
      </c>
      <c r="D55" s="4132" t="s">
        <v>242</v>
      </c>
      <c r="E55" s="4133" t="s">
        <v>3259</v>
      </c>
    </row>
    <row r="56" spans="1:5">
      <c r="A56" s="4132">
        <v>45</v>
      </c>
      <c r="B56" s="4144" t="s">
        <v>3260</v>
      </c>
      <c r="C56" s="4134">
        <v>53.1</v>
      </c>
      <c r="D56" s="4140" t="s">
        <v>3</v>
      </c>
      <c r="E56" s="4138" t="s">
        <v>3228</v>
      </c>
    </row>
    <row r="57" spans="1:5">
      <c r="A57" s="4132">
        <v>46</v>
      </c>
      <c r="B57" s="4144" t="s">
        <v>3261</v>
      </c>
      <c r="C57" s="4134">
        <v>54.1</v>
      </c>
      <c r="D57" s="4140" t="s">
        <v>3</v>
      </c>
      <c r="E57" s="4138" t="s">
        <v>3228</v>
      </c>
    </row>
    <row r="58" spans="1:5">
      <c r="A58" s="4132">
        <v>47</v>
      </c>
      <c r="B58" s="4144" t="s">
        <v>3262</v>
      </c>
      <c r="C58" s="4134">
        <v>53.1</v>
      </c>
      <c r="D58" s="4140" t="s">
        <v>3</v>
      </c>
      <c r="E58" s="4138" t="s">
        <v>3228</v>
      </c>
    </row>
    <row r="59" spans="1:5">
      <c r="A59" s="4132">
        <v>48</v>
      </c>
      <c r="B59" s="4133" t="s">
        <v>3263</v>
      </c>
      <c r="C59" s="4134">
        <f>ROUND(7.52*1.18*60,2)</f>
        <v>532.41999999999996</v>
      </c>
      <c r="D59" s="4132" t="s">
        <v>118</v>
      </c>
      <c r="E59" s="4133" t="s">
        <v>3264</v>
      </c>
    </row>
    <row r="60" spans="1:5">
      <c r="A60" s="4132">
        <v>49</v>
      </c>
      <c r="B60" s="4133" t="s">
        <v>3265</v>
      </c>
      <c r="C60" s="4134">
        <v>2.5</v>
      </c>
      <c r="D60" s="4132" t="s">
        <v>118</v>
      </c>
      <c r="E60" s="4145"/>
    </row>
    <row r="61" spans="1:5">
      <c r="A61" s="4132">
        <v>50</v>
      </c>
      <c r="B61" s="4133" t="s">
        <v>3266</v>
      </c>
      <c r="C61" s="4134">
        <v>61</v>
      </c>
      <c r="D61" s="4132" t="s">
        <v>183</v>
      </c>
      <c r="E61" s="4133" t="s">
        <v>3259</v>
      </c>
    </row>
    <row r="62" spans="1:5">
      <c r="A62" s="4132">
        <v>51</v>
      </c>
      <c r="B62" s="4144" t="s">
        <v>3267</v>
      </c>
      <c r="C62" s="4134">
        <v>200</v>
      </c>
      <c r="D62" s="4137" t="s">
        <v>3</v>
      </c>
      <c r="E62" s="4117" t="s">
        <v>3228</v>
      </c>
    </row>
    <row r="63" spans="1:5" ht="12.75" customHeight="1">
      <c r="A63" s="4132">
        <v>52</v>
      </c>
      <c r="B63" s="4133" t="s">
        <v>2565</v>
      </c>
      <c r="C63" s="4134">
        <v>1100</v>
      </c>
      <c r="D63" s="4132" t="s">
        <v>2430</v>
      </c>
      <c r="E63" s="4133" t="s">
        <v>3259</v>
      </c>
    </row>
    <row r="64" spans="1:5">
      <c r="A64" s="4132">
        <v>53</v>
      </c>
      <c r="B64" s="4133" t="s">
        <v>3268</v>
      </c>
      <c r="C64" s="4134">
        <v>1250</v>
      </c>
      <c r="D64" s="4132" t="s">
        <v>2430</v>
      </c>
      <c r="E64" s="4133" t="s">
        <v>3259</v>
      </c>
    </row>
    <row r="65" spans="1:5">
      <c r="A65" s="4132">
        <v>54</v>
      </c>
      <c r="B65" s="4138" t="s">
        <v>3269</v>
      </c>
      <c r="C65" s="4134">
        <v>33</v>
      </c>
      <c r="D65" s="4132" t="s">
        <v>3</v>
      </c>
      <c r="E65" s="4133" t="s">
        <v>3259</v>
      </c>
    </row>
    <row r="66" spans="1:5">
      <c r="A66" s="4132">
        <v>55</v>
      </c>
      <c r="B66" s="4133" t="s">
        <v>3270</v>
      </c>
      <c r="C66" s="4134">
        <v>33</v>
      </c>
      <c r="D66" s="4132" t="s">
        <v>3</v>
      </c>
      <c r="E66" s="4133" t="s">
        <v>3259</v>
      </c>
    </row>
    <row r="67" spans="1:5">
      <c r="A67" s="4132">
        <v>56</v>
      </c>
      <c r="B67" s="4133" t="s">
        <v>3271</v>
      </c>
      <c r="C67" s="4134">
        <v>40</v>
      </c>
      <c r="D67" s="4132" t="s">
        <v>3</v>
      </c>
      <c r="E67" s="4133" t="s">
        <v>3259</v>
      </c>
    </row>
    <row r="68" spans="1:5">
      <c r="A68" s="4132">
        <v>57</v>
      </c>
      <c r="B68" s="4133" t="s">
        <v>3272</v>
      </c>
      <c r="C68" s="4134">
        <v>65</v>
      </c>
      <c r="D68" s="4132" t="s">
        <v>3</v>
      </c>
      <c r="E68" s="4133" t="s">
        <v>3259</v>
      </c>
    </row>
    <row r="69" spans="1:5">
      <c r="A69" s="4132">
        <v>58</v>
      </c>
      <c r="B69" s="4144" t="s">
        <v>3273</v>
      </c>
      <c r="C69" s="4134">
        <v>1850</v>
      </c>
      <c r="D69" s="4137" t="s">
        <v>3</v>
      </c>
      <c r="E69" s="4117" t="s">
        <v>3228</v>
      </c>
    </row>
    <row r="70" spans="1:5">
      <c r="A70" s="4132">
        <v>59</v>
      </c>
      <c r="B70" s="4143" t="s">
        <v>3274</v>
      </c>
      <c r="C70" s="4134">
        <f>2300*1.18</f>
        <v>2714</v>
      </c>
      <c r="D70" s="4132" t="s">
        <v>3</v>
      </c>
      <c r="E70" s="4133" t="s">
        <v>3275</v>
      </c>
    </row>
    <row r="71" spans="1:5" ht="12.75" customHeight="1">
      <c r="A71" s="4132">
        <v>60</v>
      </c>
      <c r="B71" s="4146" t="s">
        <v>3276</v>
      </c>
      <c r="C71" s="4147">
        <f>533.93*7</f>
        <v>3737.51</v>
      </c>
      <c r="D71" s="4137" t="s">
        <v>3</v>
      </c>
      <c r="E71" s="4133"/>
    </row>
    <row r="72" spans="1:5">
      <c r="A72" s="4132">
        <v>61</v>
      </c>
      <c r="B72" s="4133" t="s">
        <v>3277</v>
      </c>
      <c r="C72" s="4134">
        <v>900</v>
      </c>
      <c r="D72" s="4132" t="s">
        <v>120</v>
      </c>
      <c r="E72" s="4133" t="s">
        <v>3259</v>
      </c>
    </row>
    <row r="73" spans="1:5">
      <c r="A73" s="4132">
        <v>62</v>
      </c>
      <c r="B73" s="4133" t="s">
        <v>3278</v>
      </c>
      <c r="C73" s="4134">
        <v>385</v>
      </c>
      <c r="D73" s="4132" t="s">
        <v>120</v>
      </c>
      <c r="E73" s="4133" t="s">
        <v>3259</v>
      </c>
    </row>
    <row r="74" spans="1:5">
      <c r="A74" s="4132">
        <v>63</v>
      </c>
      <c r="B74" s="4133" t="s">
        <v>3279</v>
      </c>
      <c r="C74" s="4136">
        <v>350</v>
      </c>
      <c r="D74" s="4148" t="s">
        <v>3280</v>
      </c>
      <c r="E74" s="4133" t="s">
        <v>3281</v>
      </c>
    </row>
    <row r="75" spans="1:5">
      <c r="A75" s="4132">
        <v>64</v>
      </c>
      <c r="B75" s="4144" t="s">
        <v>3282</v>
      </c>
      <c r="C75" s="4134">
        <v>12.89</v>
      </c>
      <c r="D75" s="4137" t="s">
        <v>3</v>
      </c>
      <c r="E75" s="4117" t="s">
        <v>3228</v>
      </c>
    </row>
    <row r="76" spans="1:5">
      <c r="A76" s="4132">
        <v>65</v>
      </c>
      <c r="B76" s="4117" t="s">
        <v>3283</v>
      </c>
      <c r="C76" s="4134">
        <v>43</v>
      </c>
      <c r="D76" s="4137" t="s">
        <v>183</v>
      </c>
      <c r="E76" s="4133" t="s">
        <v>3259</v>
      </c>
    </row>
    <row r="77" spans="1:5">
      <c r="A77" s="4132">
        <v>66</v>
      </c>
      <c r="B77" s="4139" t="s">
        <v>3284</v>
      </c>
      <c r="C77" s="4134">
        <v>1032.5</v>
      </c>
      <c r="D77" s="4140" t="s">
        <v>3</v>
      </c>
      <c r="E77" s="4133" t="s">
        <v>3285</v>
      </c>
    </row>
    <row r="78" spans="1:5">
      <c r="A78" s="4132">
        <v>67</v>
      </c>
      <c r="B78" s="4139" t="s">
        <v>3286</v>
      </c>
      <c r="C78" s="4134">
        <v>1121</v>
      </c>
      <c r="D78" s="4140" t="s">
        <v>3</v>
      </c>
      <c r="E78" s="4133" t="s">
        <v>3285</v>
      </c>
    </row>
    <row r="79" spans="1:5">
      <c r="A79" s="4132">
        <v>68</v>
      </c>
      <c r="B79" s="4139" t="s">
        <v>3287</v>
      </c>
      <c r="C79" s="4134">
        <v>1392.4</v>
      </c>
      <c r="D79" s="4140" t="s">
        <v>3</v>
      </c>
      <c r="E79" s="4133" t="s">
        <v>3285</v>
      </c>
    </row>
    <row r="80" spans="1:5">
      <c r="A80" s="4132">
        <v>69</v>
      </c>
      <c r="B80" s="4139" t="s">
        <v>3288</v>
      </c>
      <c r="C80" s="4134">
        <v>1362.9</v>
      </c>
      <c r="D80" s="4140" t="s">
        <v>3</v>
      </c>
      <c r="E80" s="4133" t="s">
        <v>3285</v>
      </c>
    </row>
    <row r="81" spans="1:5">
      <c r="A81" s="4132">
        <v>70</v>
      </c>
      <c r="B81" s="4139" t="s">
        <v>3289</v>
      </c>
      <c r="C81" s="4134">
        <v>1793.6</v>
      </c>
      <c r="D81" s="4140" t="s">
        <v>3</v>
      </c>
      <c r="E81" s="4133" t="s">
        <v>3285</v>
      </c>
    </row>
    <row r="82" spans="1:5">
      <c r="A82" s="4132">
        <v>71</v>
      </c>
      <c r="B82" s="4139" t="s">
        <v>3290</v>
      </c>
      <c r="C82" s="4134">
        <v>2106.3000000000002</v>
      </c>
      <c r="D82" s="4140" t="s">
        <v>3</v>
      </c>
      <c r="E82" s="4133" t="s">
        <v>3285</v>
      </c>
    </row>
    <row r="83" spans="1:5">
      <c r="A83" s="4132">
        <v>72</v>
      </c>
      <c r="B83" s="4139" t="s">
        <v>3291</v>
      </c>
      <c r="C83" s="4141">
        <v>3351.2</v>
      </c>
      <c r="D83" s="4140" t="s">
        <v>3</v>
      </c>
      <c r="E83" s="4133" t="s">
        <v>3285</v>
      </c>
    </row>
    <row r="84" spans="1:5">
      <c r="A84" s="4132">
        <v>73</v>
      </c>
      <c r="B84" s="4139" t="s">
        <v>3292</v>
      </c>
      <c r="C84" s="4141">
        <v>3469.2</v>
      </c>
      <c r="D84" s="4140" t="s">
        <v>3</v>
      </c>
      <c r="E84" s="4133" t="s">
        <v>3285</v>
      </c>
    </row>
    <row r="85" spans="1:5">
      <c r="A85" s="4132">
        <v>74</v>
      </c>
      <c r="B85" s="4139" t="s">
        <v>3293</v>
      </c>
      <c r="C85" s="4141">
        <v>4088.7</v>
      </c>
      <c r="D85" s="4140" t="s">
        <v>3</v>
      </c>
      <c r="E85" s="4133" t="s">
        <v>3285</v>
      </c>
    </row>
    <row r="86" spans="1:5">
      <c r="A86" s="4132">
        <v>75</v>
      </c>
      <c r="B86" s="4139" t="s">
        <v>3294</v>
      </c>
      <c r="C86" s="4141">
        <v>5699.4</v>
      </c>
      <c r="D86" s="4140" t="s">
        <v>3</v>
      </c>
      <c r="E86" s="4133" t="s">
        <v>3285</v>
      </c>
    </row>
    <row r="87" spans="1:5">
      <c r="A87" s="4132">
        <v>76</v>
      </c>
      <c r="B87" s="4139" t="s">
        <v>3295</v>
      </c>
      <c r="C87" s="4141">
        <v>6796.8</v>
      </c>
      <c r="D87" s="4140" t="s">
        <v>3</v>
      </c>
      <c r="E87" s="4133" t="s">
        <v>3285</v>
      </c>
    </row>
    <row r="88" spans="1:5">
      <c r="A88" s="4132">
        <v>77</v>
      </c>
      <c r="B88" s="4139" t="s">
        <v>3296</v>
      </c>
      <c r="C88" s="4141">
        <v>7976.8</v>
      </c>
      <c r="D88" s="4140" t="s">
        <v>3</v>
      </c>
      <c r="E88" s="4133" t="s">
        <v>3285</v>
      </c>
    </row>
    <row r="89" spans="1:5">
      <c r="A89" s="4132">
        <v>78</v>
      </c>
      <c r="B89" s="4144" t="s">
        <v>3297</v>
      </c>
      <c r="C89" s="4134">
        <v>26.5</v>
      </c>
      <c r="D89" s="4137" t="s">
        <v>3</v>
      </c>
      <c r="E89" s="4117" t="s">
        <v>3228</v>
      </c>
    </row>
    <row r="90" spans="1:5">
      <c r="A90" s="4132">
        <v>79</v>
      </c>
      <c r="B90" s="4144" t="s">
        <v>3298</v>
      </c>
      <c r="C90" s="4134">
        <v>230.1</v>
      </c>
      <c r="D90" s="4137" t="s">
        <v>3</v>
      </c>
      <c r="E90" s="4117" t="s">
        <v>3228</v>
      </c>
    </row>
    <row r="91" spans="1:5">
      <c r="A91" s="4132">
        <v>80</v>
      </c>
      <c r="B91" s="4144" t="s">
        <v>3299</v>
      </c>
      <c r="C91" s="4134">
        <v>306.8</v>
      </c>
      <c r="D91" s="4137" t="s">
        <v>3</v>
      </c>
      <c r="E91" s="4117" t="s">
        <v>3228</v>
      </c>
    </row>
    <row r="92" spans="1:5">
      <c r="A92" s="4132">
        <v>81</v>
      </c>
      <c r="B92" s="4144" t="s">
        <v>3300</v>
      </c>
      <c r="C92" s="4134">
        <v>28.32</v>
      </c>
      <c r="D92" s="4137" t="s">
        <v>3</v>
      </c>
      <c r="E92" s="4117" t="s">
        <v>3228</v>
      </c>
    </row>
    <row r="93" spans="1:5">
      <c r="A93" s="4132">
        <v>82</v>
      </c>
      <c r="B93" s="4139" t="s">
        <v>3301</v>
      </c>
      <c r="C93" s="4134">
        <v>1652</v>
      </c>
      <c r="D93" s="4140" t="s">
        <v>3</v>
      </c>
      <c r="E93" s="4133" t="s">
        <v>3285</v>
      </c>
    </row>
    <row r="94" spans="1:5">
      <c r="A94" s="4132">
        <v>83</v>
      </c>
      <c r="B94" s="4139" t="s">
        <v>3302</v>
      </c>
      <c r="C94" s="4134">
        <v>2124</v>
      </c>
      <c r="D94" s="4140" t="s">
        <v>3</v>
      </c>
      <c r="E94" s="4133" t="s">
        <v>3285</v>
      </c>
    </row>
    <row r="95" spans="1:5">
      <c r="A95" s="4132">
        <v>84</v>
      </c>
      <c r="B95" s="4139" t="s">
        <v>3303</v>
      </c>
      <c r="C95" s="4134">
        <v>5664</v>
      </c>
      <c r="D95" s="4140" t="s">
        <v>3</v>
      </c>
      <c r="E95" s="4133" t="s">
        <v>3285</v>
      </c>
    </row>
    <row r="96" spans="1:5">
      <c r="A96" s="4132">
        <v>85</v>
      </c>
      <c r="B96" s="4146" t="s">
        <v>3304</v>
      </c>
      <c r="C96" s="4147">
        <f>48.57*7</f>
        <v>339.99</v>
      </c>
      <c r="D96" s="4137" t="s">
        <v>3</v>
      </c>
      <c r="E96" s="4145"/>
    </row>
    <row r="97" spans="1:5">
      <c r="A97" s="4132">
        <v>86</v>
      </c>
      <c r="B97" s="4133" t="s">
        <v>3305</v>
      </c>
      <c r="C97" s="4134">
        <v>1100</v>
      </c>
      <c r="D97" s="4132" t="s">
        <v>2430</v>
      </c>
      <c r="E97" s="4133" t="s">
        <v>3259</v>
      </c>
    </row>
    <row r="98" spans="1:5">
      <c r="A98" s="4132">
        <v>87</v>
      </c>
      <c r="B98" s="4133" t="s">
        <v>3306</v>
      </c>
      <c r="C98" s="4134">
        <v>1100</v>
      </c>
      <c r="D98" s="4132" t="s">
        <v>2430</v>
      </c>
      <c r="E98" s="4133" t="s">
        <v>3259</v>
      </c>
    </row>
    <row r="99" spans="1:5">
      <c r="A99" s="4132">
        <v>88</v>
      </c>
      <c r="B99" s="4139" t="s">
        <v>3503</v>
      </c>
      <c r="C99" s="4134">
        <v>1168.2</v>
      </c>
      <c r="D99" s="4140" t="s">
        <v>3</v>
      </c>
      <c r="E99" s="4133" t="s">
        <v>3285</v>
      </c>
    </row>
    <row r="100" spans="1:5">
      <c r="A100" s="4132">
        <v>89</v>
      </c>
      <c r="B100" s="4139" t="s">
        <v>3504</v>
      </c>
      <c r="C100" s="4134">
        <v>1357</v>
      </c>
      <c r="D100" s="4140" t="s">
        <v>3</v>
      </c>
      <c r="E100" s="4133" t="s">
        <v>3285</v>
      </c>
    </row>
    <row r="101" spans="1:5">
      <c r="A101" s="4132">
        <v>90</v>
      </c>
      <c r="B101" s="4139" t="s">
        <v>3505</v>
      </c>
      <c r="C101" s="4134">
        <v>2100.4</v>
      </c>
      <c r="D101" s="4140" t="s">
        <v>3</v>
      </c>
      <c r="E101" s="4133" t="s">
        <v>3285</v>
      </c>
    </row>
    <row r="102" spans="1:5">
      <c r="A102" s="4132">
        <v>91</v>
      </c>
      <c r="B102" s="4139" t="s">
        <v>3506</v>
      </c>
      <c r="C102" s="4134">
        <v>3097.5</v>
      </c>
      <c r="D102" s="4140" t="s">
        <v>3</v>
      </c>
      <c r="E102" s="4133" t="s">
        <v>3285</v>
      </c>
    </row>
    <row r="103" spans="1:5">
      <c r="A103" s="4132">
        <v>92</v>
      </c>
      <c r="B103" s="4139" t="s">
        <v>3307</v>
      </c>
      <c r="C103" s="4134">
        <v>1239</v>
      </c>
      <c r="D103" s="4140" t="s">
        <v>3</v>
      </c>
      <c r="E103" s="4133" t="s">
        <v>3285</v>
      </c>
    </row>
    <row r="104" spans="1:5">
      <c r="A104" s="4132">
        <v>93</v>
      </c>
      <c r="B104" s="4139" t="s">
        <v>3308</v>
      </c>
      <c r="C104" s="4134">
        <v>1486.8</v>
      </c>
      <c r="D104" s="4140" t="s">
        <v>3</v>
      </c>
      <c r="E104" s="4133" t="s">
        <v>3285</v>
      </c>
    </row>
    <row r="105" spans="1:5">
      <c r="A105" s="4132">
        <v>94</v>
      </c>
      <c r="B105" s="4139" t="s">
        <v>3309</v>
      </c>
      <c r="C105" s="4134">
        <v>4012</v>
      </c>
      <c r="D105" s="4140" t="s">
        <v>3</v>
      </c>
      <c r="E105" s="4133" t="s">
        <v>3285</v>
      </c>
    </row>
    <row r="106" spans="1:5">
      <c r="A106" s="4132">
        <v>95</v>
      </c>
      <c r="B106" s="4133" t="s">
        <v>3310</v>
      </c>
      <c r="C106" s="4136">
        <f>ROUND((7500*1.18)/15.24,2)</f>
        <v>580.71</v>
      </c>
      <c r="D106" s="4132" t="s">
        <v>1</v>
      </c>
      <c r="E106" s="4133" t="s">
        <v>3311</v>
      </c>
    </row>
    <row r="107" spans="1:5">
      <c r="A107" s="4132">
        <v>96</v>
      </c>
      <c r="B107" s="4144" t="s">
        <v>3312</v>
      </c>
      <c r="C107" s="4134">
        <v>286.36</v>
      </c>
      <c r="D107" s="4137" t="s">
        <v>3</v>
      </c>
      <c r="E107" s="4117" t="s">
        <v>3228</v>
      </c>
    </row>
    <row r="108" spans="1:5">
      <c r="A108" s="4132">
        <v>97</v>
      </c>
      <c r="B108" s="4144" t="s">
        <v>3313</v>
      </c>
      <c r="C108" s="4134">
        <v>286.36</v>
      </c>
      <c r="D108" s="4137" t="s">
        <v>3</v>
      </c>
      <c r="E108" s="4117" t="s">
        <v>3228</v>
      </c>
    </row>
    <row r="109" spans="1:5">
      <c r="A109" s="4132">
        <v>98</v>
      </c>
      <c r="B109" s="4146" t="s">
        <v>3314</v>
      </c>
      <c r="C109" s="4149">
        <v>95</v>
      </c>
      <c r="D109" s="4132" t="s">
        <v>279</v>
      </c>
      <c r="E109" s="4133" t="s">
        <v>3259</v>
      </c>
    </row>
    <row r="110" spans="1:5">
      <c r="A110" s="4132">
        <v>99</v>
      </c>
      <c r="B110" s="4133" t="s">
        <v>3315</v>
      </c>
      <c r="C110" s="4136">
        <v>550</v>
      </c>
      <c r="D110" s="4132" t="s">
        <v>2430</v>
      </c>
      <c r="E110" s="4133" t="s">
        <v>3316</v>
      </c>
    </row>
    <row r="111" spans="1:5">
      <c r="A111" s="4132">
        <v>100</v>
      </c>
      <c r="B111" s="4144" t="s">
        <v>3317</v>
      </c>
      <c r="C111" s="4134">
        <v>35.4</v>
      </c>
      <c r="D111" s="4137" t="s">
        <v>3</v>
      </c>
      <c r="E111" s="4117" t="s">
        <v>3228</v>
      </c>
    </row>
    <row r="112" spans="1:5">
      <c r="A112" s="4132">
        <v>101</v>
      </c>
      <c r="B112" s="4146" t="s">
        <v>3318</v>
      </c>
      <c r="C112" s="4150">
        <f>47.25*7</f>
        <v>330.75</v>
      </c>
      <c r="D112" s="4132" t="s">
        <v>3</v>
      </c>
      <c r="E112" s="4145"/>
    </row>
    <row r="113" spans="1:5">
      <c r="A113" s="4132">
        <v>102</v>
      </c>
      <c r="B113" s="4144" t="s">
        <v>3319</v>
      </c>
      <c r="C113" s="4134">
        <v>200</v>
      </c>
      <c r="D113" s="4137" t="s">
        <v>3</v>
      </c>
      <c r="E113" s="4117" t="s">
        <v>3228</v>
      </c>
    </row>
    <row r="114" spans="1:5">
      <c r="A114" s="4132">
        <v>103</v>
      </c>
      <c r="B114" s="4133" t="s">
        <v>3320</v>
      </c>
      <c r="C114" s="4136">
        <v>730</v>
      </c>
      <c r="D114" s="4132" t="s">
        <v>118</v>
      </c>
      <c r="E114" s="4133" t="s">
        <v>3223</v>
      </c>
    </row>
    <row r="115" spans="1:5">
      <c r="A115" s="4132">
        <v>104</v>
      </c>
      <c r="B115" s="4133" t="s">
        <v>3321</v>
      </c>
      <c r="C115" s="4136">
        <v>210</v>
      </c>
      <c r="D115" s="4132" t="s">
        <v>118</v>
      </c>
      <c r="E115" s="4133" t="s">
        <v>3223</v>
      </c>
    </row>
    <row r="116" spans="1:5">
      <c r="A116" s="4132">
        <v>105</v>
      </c>
      <c r="B116" s="4133" t="s">
        <v>3322</v>
      </c>
      <c r="C116" s="4136">
        <v>725</v>
      </c>
      <c r="D116" s="4148" t="s">
        <v>118</v>
      </c>
      <c r="E116" s="4133" t="s">
        <v>3223</v>
      </c>
    </row>
    <row r="117" spans="1:5">
      <c r="A117" s="4132">
        <v>106</v>
      </c>
      <c r="B117" s="4139" t="s">
        <v>3323</v>
      </c>
      <c r="C117" s="4134">
        <v>1062</v>
      </c>
      <c r="D117" s="4140" t="s">
        <v>3</v>
      </c>
      <c r="E117" s="4133" t="s">
        <v>3285</v>
      </c>
    </row>
    <row r="118" spans="1:5">
      <c r="A118" s="4132">
        <v>107</v>
      </c>
      <c r="B118" s="4139" t="s">
        <v>3324</v>
      </c>
      <c r="C118" s="4134">
        <v>2301</v>
      </c>
      <c r="D118" s="4140" t="s">
        <v>3</v>
      </c>
      <c r="E118" s="4133" t="s">
        <v>3285</v>
      </c>
    </row>
    <row r="119" spans="1:5">
      <c r="A119" s="4132">
        <v>108</v>
      </c>
      <c r="B119" s="4139" t="s">
        <v>3325</v>
      </c>
      <c r="C119" s="4134">
        <v>2230.1999999999998</v>
      </c>
      <c r="D119" s="4140" t="s">
        <v>3</v>
      </c>
      <c r="E119" s="4133" t="s">
        <v>3285</v>
      </c>
    </row>
    <row r="120" spans="1:5">
      <c r="A120" s="4132">
        <v>109</v>
      </c>
      <c r="B120" s="4146" t="s">
        <v>3326</v>
      </c>
      <c r="C120" s="4150">
        <f>126.43*7</f>
        <v>885.01</v>
      </c>
      <c r="D120" s="4132" t="s">
        <v>3</v>
      </c>
      <c r="E120" s="4133" t="s">
        <v>3327</v>
      </c>
    </row>
    <row r="121" spans="1:5">
      <c r="A121" s="4132">
        <v>110</v>
      </c>
      <c r="B121" s="4144" t="s">
        <v>3328</v>
      </c>
      <c r="C121" s="4134">
        <v>6.9</v>
      </c>
      <c r="D121" s="4137" t="s">
        <v>3</v>
      </c>
      <c r="E121" s="4117" t="s">
        <v>3228</v>
      </c>
    </row>
    <row r="122" spans="1:5">
      <c r="A122" s="4132">
        <v>111</v>
      </c>
      <c r="B122" s="4139" t="s">
        <v>3329</v>
      </c>
      <c r="C122" s="4134">
        <v>1239</v>
      </c>
      <c r="D122" s="4140" t="s">
        <v>3</v>
      </c>
      <c r="E122" s="4133" t="s">
        <v>3285</v>
      </c>
    </row>
    <row r="123" spans="1:5">
      <c r="A123" s="4132">
        <v>112</v>
      </c>
      <c r="B123" s="4139" t="s">
        <v>3330</v>
      </c>
      <c r="C123" s="4134">
        <v>1652</v>
      </c>
      <c r="D123" s="4140" t="s">
        <v>3</v>
      </c>
      <c r="E123" s="4133" t="s">
        <v>3285</v>
      </c>
    </row>
    <row r="124" spans="1:5">
      <c r="A124" s="4132">
        <v>113</v>
      </c>
      <c r="B124" s="4139" t="s">
        <v>3331</v>
      </c>
      <c r="C124" s="4134">
        <v>1829</v>
      </c>
      <c r="D124" s="4140" t="s">
        <v>3</v>
      </c>
      <c r="E124" s="4133" t="s">
        <v>3285</v>
      </c>
    </row>
    <row r="125" spans="1:5">
      <c r="A125" s="4132">
        <v>114</v>
      </c>
      <c r="B125" s="4139" t="s">
        <v>3332</v>
      </c>
      <c r="C125" s="4134">
        <v>3091.6</v>
      </c>
      <c r="D125" s="4140" t="s">
        <v>3</v>
      </c>
      <c r="E125" s="4133" t="s">
        <v>3285</v>
      </c>
    </row>
    <row r="126" spans="1:5">
      <c r="A126" s="4132">
        <v>115</v>
      </c>
      <c r="B126" s="4139" t="s">
        <v>3333</v>
      </c>
      <c r="C126" s="4134">
        <v>4307</v>
      </c>
      <c r="D126" s="4140" t="s">
        <v>3</v>
      </c>
      <c r="E126" s="4133" t="s">
        <v>3285</v>
      </c>
    </row>
    <row r="127" spans="1:5">
      <c r="A127" s="4132">
        <v>116</v>
      </c>
      <c r="B127" s="4133" t="s">
        <v>3334</v>
      </c>
      <c r="C127" s="4134">
        <v>15</v>
      </c>
      <c r="D127" s="4148" t="s">
        <v>3006</v>
      </c>
      <c r="E127" s="4133" t="s">
        <v>3281</v>
      </c>
    </row>
    <row r="128" spans="1:5">
      <c r="A128" s="4132">
        <v>117</v>
      </c>
      <c r="B128" s="4144" t="s">
        <v>3335</v>
      </c>
      <c r="C128" s="4134">
        <v>292.05</v>
      </c>
      <c r="D128" s="4137" t="s">
        <v>3</v>
      </c>
      <c r="E128" s="4117" t="s">
        <v>3228</v>
      </c>
    </row>
    <row r="129" spans="1:5">
      <c r="A129" s="4132">
        <v>118</v>
      </c>
      <c r="B129" s="4144" t="s">
        <v>3336</v>
      </c>
      <c r="C129" s="4134">
        <v>32.06</v>
      </c>
      <c r="D129" s="4137" t="s">
        <v>1</v>
      </c>
      <c r="E129" s="4117" t="s">
        <v>3228</v>
      </c>
    </row>
    <row r="130" spans="1:5">
      <c r="A130" s="4132">
        <v>119</v>
      </c>
      <c r="B130" s="4151" t="s">
        <v>3337</v>
      </c>
      <c r="C130" s="4134">
        <v>32.1</v>
      </c>
      <c r="D130" s="4137" t="s">
        <v>1</v>
      </c>
      <c r="E130" s="4117" t="s">
        <v>3228</v>
      </c>
    </row>
    <row r="131" spans="1:5">
      <c r="A131" s="4132">
        <v>120</v>
      </c>
      <c r="B131" s="4139" t="s">
        <v>3338</v>
      </c>
      <c r="C131" s="4134">
        <v>463.77</v>
      </c>
      <c r="D131" s="4140" t="s">
        <v>1</v>
      </c>
      <c r="E131" s="4117" t="s">
        <v>3339</v>
      </c>
    </row>
    <row r="132" spans="1:5">
      <c r="A132" s="4132">
        <v>121</v>
      </c>
      <c r="B132" s="4139" t="s">
        <v>3340</v>
      </c>
      <c r="C132" s="4134">
        <v>763.5</v>
      </c>
      <c r="D132" s="4140" t="s">
        <v>1</v>
      </c>
      <c r="E132" s="4117" t="s">
        <v>3339</v>
      </c>
    </row>
    <row r="133" spans="1:5">
      <c r="A133" s="4132">
        <v>122</v>
      </c>
      <c r="B133" s="4142" t="s">
        <v>3341</v>
      </c>
      <c r="C133" s="4134">
        <v>1515.17</v>
      </c>
      <c r="D133" s="4140" t="s">
        <v>1</v>
      </c>
      <c r="E133" s="4117" t="s">
        <v>3342</v>
      </c>
    </row>
    <row r="134" spans="1:5">
      <c r="A134" s="4132">
        <v>123</v>
      </c>
      <c r="B134" s="4139" t="s">
        <v>3343</v>
      </c>
      <c r="C134" s="4134">
        <v>1655.85</v>
      </c>
      <c r="D134" s="4140" t="s">
        <v>1</v>
      </c>
      <c r="E134" s="4117" t="s">
        <v>3339</v>
      </c>
    </row>
    <row r="135" spans="1:5">
      <c r="A135" s="4132">
        <v>124</v>
      </c>
      <c r="B135" s="4117" t="s">
        <v>3344</v>
      </c>
      <c r="C135" s="4134">
        <v>98.3</v>
      </c>
      <c r="D135" s="4140" t="s">
        <v>1</v>
      </c>
      <c r="E135" s="4117" t="s">
        <v>3342</v>
      </c>
    </row>
    <row r="136" spans="1:5">
      <c r="A136" s="4132">
        <v>125</v>
      </c>
      <c r="B136" s="4142" t="s">
        <v>3345</v>
      </c>
      <c r="C136" s="4134">
        <v>3685.08</v>
      </c>
      <c r="D136" s="4140" t="s">
        <v>1</v>
      </c>
      <c r="E136" s="4117" t="s">
        <v>3342</v>
      </c>
    </row>
    <row r="137" spans="1:5">
      <c r="A137" s="4132">
        <v>126</v>
      </c>
      <c r="B137" s="4139" t="s">
        <v>3346</v>
      </c>
      <c r="C137" s="4134">
        <v>6336.96</v>
      </c>
      <c r="D137" s="4140" t="s">
        <v>1</v>
      </c>
      <c r="E137" s="4117" t="s">
        <v>3339</v>
      </c>
    </row>
    <row r="138" spans="1:5">
      <c r="A138" s="4132">
        <v>127</v>
      </c>
      <c r="B138" s="4144" t="s">
        <v>3347</v>
      </c>
      <c r="C138" s="4134">
        <v>380</v>
      </c>
      <c r="D138" s="4137" t="s">
        <v>3</v>
      </c>
      <c r="E138" s="4117" t="s">
        <v>3228</v>
      </c>
    </row>
    <row r="139" spans="1:5">
      <c r="A139" s="4132">
        <v>128</v>
      </c>
      <c r="B139" s="4143" t="s">
        <v>3348</v>
      </c>
      <c r="C139" s="4136">
        <v>24874.400000000001</v>
      </c>
      <c r="D139" s="4140" t="s">
        <v>3</v>
      </c>
      <c r="E139" s="4133" t="s">
        <v>3253</v>
      </c>
    </row>
    <row r="140" spans="1:5">
      <c r="A140" s="4132">
        <v>129</v>
      </c>
      <c r="B140" s="4143" t="s">
        <v>3349</v>
      </c>
      <c r="C140" s="4136">
        <v>31078.37</v>
      </c>
      <c r="D140" s="4140" t="s">
        <v>3</v>
      </c>
      <c r="E140" s="4133" t="s">
        <v>3253</v>
      </c>
    </row>
    <row r="141" spans="1:5">
      <c r="A141" s="4132">
        <v>130</v>
      </c>
      <c r="B141" s="4143" t="s">
        <v>3350</v>
      </c>
      <c r="C141" s="4136">
        <v>41671.94</v>
      </c>
      <c r="D141" s="4140" t="s">
        <v>3</v>
      </c>
      <c r="E141" s="4133" t="s">
        <v>3253</v>
      </c>
    </row>
    <row r="142" spans="1:5">
      <c r="A142" s="4132">
        <v>131</v>
      </c>
      <c r="B142" s="4143" t="s">
        <v>3351</v>
      </c>
      <c r="C142" s="4136">
        <v>77315.490000000005</v>
      </c>
      <c r="D142" s="4140" t="s">
        <v>3</v>
      </c>
      <c r="E142" s="4138" t="s">
        <v>3223</v>
      </c>
    </row>
    <row r="143" spans="1:5">
      <c r="A143" s="4140">
        <v>132</v>
      </c>
      <c r="B143" s="4138" t="s">
        <v>3352</v>
      </c>
      <c r="C143" s="4134">
        <v>337.49</v>
      </c>
      <c r="D143" s="4140" t="s">
        <v>3</v>
      </c>
      <c r="E143" s="4138" t="s">
        <v>3353</v>
      </c>
    </row>
    <row r="144" spans="1:5">
      <c r="A144" s="4140">
        <v>133</v>
      </c>
      <c r="B144" s="4138" t="s">
        <v>3354</v>
      </c>
      <c r="C144" s="4152">
        <v>299</v>
      </c>
      <c r="D144" s="4140" t="s">
        <v>120</v>
      </c>
      <c r="E144" s="4138" t="s">
        <v>3259</v>
      </c>
    </row>
    <row r="145" spans="1:6">
      <c r="A145" s="4138">
        <v>134</v>
      </c>
      <c r="B145" s="4138" t="str">
        <f>"SUM. DIESSEL REGULAR ("&amp;F145&amp;")"</f>
        <v>SUM. DIESSEL REGULAR (del 16-03-21 al 19-03-2021)</v>
      </c>
      <c r="C145" s="4138">
        <v>181.6</v>
      </c>
      <c r="D145" s="4140" t="s">
        <v>118</v>
      </c>
      <c r="E145" s="4138" t="s">
        <v>3355</v>
      </c>
      <c r="F145" s="4117" t="s">
        <v>3356</v>
      </c>
    </row>
    <row r="146" spans="1:6">
      <c r="A146" s="4138">
        <v>135</v>
      </c>
      <c r="B146" s="4138" t="s">
        <v>3357</v>
      </c>
      <c r="C146" s="4138">
        <v>117.06</v>
      </c>
      <c r="D146" s="4140" t="s">
        <v>47</v>
      </c>
      <c r="E146" s="4138" t="s">
        <v>3358</v>
      </c>
    </row>
    <row r="147" spans="1:6">
      <c r="A147" s="4138">
        <v>136</v>
      </c>
      <c r="B147" s="4138" t="s">
        <v>3359</v>
      </c>
      <c r="C147" s="4138">
        <v>126.42</v>
      </c>
      <c r="D147" s="4140" t="s">
        <v>47</v>
      </c>
      <c r="E147" s="4138" t="s">
        <v>3358</v>
      </c>
    </row>
    <row r="148" spans="1:6">
      <c r="A148" s="4138">
        <v>137</v>
      </c>
      <c r="B148" s="4138" t="s">
        <v>3360</v>
      </c>
      <c r="C148" s="4138">
        <v>121.28</v>
      </c>
      <c r="D148" s="4140" t="s">
        <v>1</v>
      </c>
      <c r="E148" s="4138" t="s">
        <v>3361</v>
      </c>
    </row>
    <row r="149" spans="1:6">
      <c r="A149" s="4138">
        <v>138</v>
      </c>
      <c r="B149" s="4138" t="s">
        <v>3362</v>
      </c>
      <c r="C149" s="4138">
        <v>119.62</v>
      </c>
      <c r="D149" s="4140" t="s">
        <v>1</v>
      </c>
      <c r="E149" s="4138" t="s">
        <v>3361</v>
      </c>
    </row>
    <row r="150" spans="1:6">
      <c r="A150" s="4138">
        <v>139</v>
      </c>
      <c r="B150" s="4138" t="s">
        <v>3363</v>
      </c>
      <c r="C150" s="4138">
        <v>50.23</v>
      </c>
      <c r="D150" s="4140" t="s">
        <v>1</v>
      </c>
      <c r="E150" s="4138" t="s">
        <v>3361</v>
      </c>
    </row>
    <row r="151" spans="1:6">
      <c r="A151" s="4138">
        <v>140</v>
      </c>
      <c r="B151" s="4138" t="s">
        <v>3364</v>
      </c>
      <c r="C151" s="4138">
        <v>71.790000000000006</v>
      </c>
      <c r="D151" s="4140" t="s">
        <v>1</v>
      </c>
      <c r="E151" s="4138" t="s">
        <v>3361</v>
      </c>
    </row>
    <row r="152" spans="1:6">
      <c r="A152" s="4138">
        <v>141</v>
      </c>
      <c r="B152" s="4138" t="s">
        <v>3365</v>
      </c>
      <c r="C152" s="4134">
        <v>2200</v>
      </c>
      <c r="D152" s="4140" t="s">
        <v>148</v>
      </c>
      <c r="E152" s="4138"/>
      <c r="F152" s="4138"/>
    </row>
    <row r="153" spans="1:6">
      <c r="A153" s="4138">
        <v>142</v>
      </c>
      <c r="B153" s="4138" t="s">
        <v>3366</v>
      </c>
      <c r="C153" s="4134">
        <f>1500*1.18</f>
        <v>1770</v>
      </c>
      <c r="D153" s="4140" t="s">
        <v>47</v>
      </c>
      <c r="E153" s="4138" t="s">
        <v>3225</v>
      </c>
      <c r="F153" s="4138"/>
    </row>
    <row r="154" spans="1:6">
      <c r="A154" s="4138">
        <v>143</v>
      </c>
      <c r="B154" s="4138" t="s">
        <v>3367</v>
      </c>
      <c r="C154" s="4134">
        <v>4700</v>
      </c>
      <c r="D154" s="4140" t="s">
        <v>47</v>
      </c>
      <c r="E154" s="4138"/>
      <c r="F154" s="4138"/>
    </row>
    <row r="155" spans="1:6">
      <c r="A155" s="4138">
        <v>144</v>
      </c>
      <c r="B155" s="4138" t="s">
        <v>3368</v>
      </c>
      <c r="C155" s="4153">
        <v>2500</v>
      </c>
      <c r="D155" s="4140" t="s">
        <v>3</v>
      </c>
      <c r="E155" s="4138" t="s">
        <v>3369</v>
      </c>
      <c r="F155" s="4138"/>
    </row>
    <row r="156" spans="1:6">
      <c r="A156" s="4138">
        <v>145</v>
      </c>
      <c r="B156" s="4138" t="str">
        <f>"SUM. GASOLINA REGULAR ("&amp;F156&amp;")"</f>
        <v>SUM. GASOLINA REGULAR (del 16-03-21 al 19-03-2021)</v>
      </c>
      <c r="C156" s="4134">
        <v>228.5</v>
      </c>
      <c r="D156" s="4140" t="s">
        <v>118</v>
      </c>
      <c r="E156" s="4138" t="s">
        <v>3355</v>
      </c>
      <c r="F156" s="4138" t="s">
        <v>3356</v>
      </c>
    </row>
    <row r="157" spans="1:6">
      <c r="A157" s="4138">
        <v>146</v>
      </c>
      <c r="B157" s="4154" t="s">
        <v>3370</v>
      </c>
      <c r="C157" s="4134">
        <f>12200*1.18</f>
        <v>14396</v>
      </c>
      <c r="D157" s="4140" t="s">
        <v>3</v>
      </c>
      <c r="E157" s="4138" t="s">
        <v>3371</v>
      </c>
      <c r="F157" s="4138"/>
    </row>
    <row r="158" spans="1:6">
      <c r="A158" s="4138">
        <v>147</v>
      </c>
      <c r="B158" s="4139" t="s">
        <v>3372</v>
      </c>
      <c r="C158" s="4134">
        <v>1793.6</v>
      </c>
      <c r="D158" s="4140" t="s">
        <v>3</v>
      </c>
      <c r="E158" s="4138" t="s">
        <v>3285</v>
      </c>
      <c r="F158" s="4138"/>
    </row>
    <row r="159" spans="1:6">
      <c r="A159" s="4138">
        <v>148</v>
      </c>
      <c r="B159" s="4154" t="s">
        <v>3373</v>
      </c>
      <c r="C159" s="4134">
        <v>869.63</v>
      </c>
      <c r="D159" s="4140" t="s">
        <v>3</v>
      </c>
      <c r="E159" s="4138" t="s">
        <v>3253</v>
      </c>
      <c r="F159" s="4138"/>
    </row>
    <row r="160" spans="1:6">
      <c r="A160" s="4138">
        <v>149</v>
      </c>
      <c r="B160" s="4138" t="s">
        <v>3374</v>
      </c>
      <c r="C160" s="4134">
        <v>1210</v>
      </c>
      <c r="D160" s="4140" t="s">
        <v>118</v>
      </c>
      <c r="E160" s="4138" t="s">
        <v>3223</v>
      </c>
      <c r="F160" s="4138"/>
    </row>
    <row r="161" spans="1:7">
      <c r="A161" s="4138">
        <v>150</v>
      </c>
      <c r="B161" s="4138" t="s">
        <v>3375</v>
      </c>
      <c r="C161" s="4134">
        <v>67.180000000000007</v>
      </c>
      <c r="D161" s="4140" t="s">
        <v>2432</v>
      </c>
      <c r="E161" s="4138" t="s">
        <v>3234</v>
      </c>
      <c r="F161" s="4138"/>
    </row>
    <row r="162" spans="1:7">
      <c r="A162" s="4138">
        <v>151</v>
      </c>
      <c r="B162" s="4138" t="s">
        <v>3376</v>
      </c>
      <c r="C162" s="4134">
        <v>350</v>
      </c>
      <c r="D162" s="4140" t="s">
        <v>118</v>
      </c>
      <c r="E162" s="4138"/>
      <c r="F162" s="4138"/>
    </row>
    <row r="163" spans="1:7">
      <c r="A163" s="4138">
        <v>152</v>
      </c>
      <c r="B163" s="4138" t="s">
        <v>3377</v>
      </c>
      <c r="C163" s="4152">
        <f>17*1.18</f>
        <v>20.059999999999999</v>
      </c>
      <c r="D163" s="4140" t="s">
        <v>118</v>
      </c>
      <c r="E163" s="4138" t="s">
        <v>3378</v>
      </c>
      <c r="F163" s="4138"/>
    </row>
    <row r="164" spans="1:7">
      <c r="A164" s="4138">
        <v>153</v>
      </c>
      <c r="B164" s="4139" t="s">
        <v>3379</v>
      </c>
      <c r="C164" s="4134">
        <v>1818.54</v>
      </c>
      <c r="D164" s="4140" t="s">
        <v>1</v>
      </c>
      <c r="E164" s="4138" t="s">
        <v>3342</v>
      </c>
      <c r="F164" s="4138"/>
    </row>
    <row r="165" spans="1:7">
      <c r="A165" s="4138">
        <v>154</v>
      </c>
      <c r="B165" s="4139" t="s">
        <v>3380</v>
      </c>
      <c r="C165" s="4138">
        <v>207.68</v>
      </c>
      <c r="D165" s="4140" t="s">
        <v>1</v>
      </c>
      <c r="E165" s="4138" t="s">
        <v>3248</v>
      </c>
      <c r="F165" s="4138"/>
    </row>
    <row r="166" spans="1:7">
      <c r="A166" s="4117">
        <v>155</v>
      </c>
      <c r="B166" s="4144" t="s">
        <v>3381</v>
      </c>
      <c r="C166" s="4134">
        <v>584.1</v>
      </c>
      <c r="D166" s="4140" t="s">
        <v>3</v>
      </c>
      <c r="E166" s="4138" t="s">
        <v>3382</v>
      </c>
      <c r="F166" s="4138"/>
      <c r="G166" s="4138"/>
    </row>
    <row r="167" spans="1:7">
      <c r="A167" s="4117">
        <v>156</v>
      </c>
      <c r="B167" s="4117" t="s">
        <v>3383</v>
      </c>
      <c r="C167" s="4134">
        <v>1800</v>
      </c>
      <c r="D167" s="4140" t="s">
        <v>148</v>
      </c>
      <c r="E167" s="4138" t="s">
        <v>3384</v>
      </c>
      <c r="F167" s="4138"/>
      <c r="G167" s="4138"/>
    </row>
    <row r="168" spans="1:7">
      <c r="A168" s="4117">
        <v>157</v>
      </c>
      <c r="B168" s="4138" t="s">
        <v>3385</v>
      </c>
      <c r="C168" s="4134">
        <v>110</v>
      </c>
      <c r="D168" s="4140" t="s">
        <v>183</v>
      </c>
      <c r="E168" s="4138"/>
      <c r="F168" s="4138"/>
      <c r="G168" s="4138"/>
    </row>
    <row r="169" spans="1:7">
      <c r="A169" s="4117">
        <v>158</v>
      </c>
      <c r="B169" s="4138" t="s">
        <v>3386</v>
      </c>
      <c r="C169" s="4134">
        <v>750</v>
      </c>
      <c r="D169" s="4140" t="s">
        <v>148</v>
      </c>
      <c r="E169" s="4138" t="s">
        <v>3384</v>
      </c>
      <c r="F169" s="4138"/>
      <c r="G169" s="4138"/>
    </row>
    <row r="170" spans="1:7">
      <c r="A170" s="4117">
        <v>159</v>
      </c>
      <c r="B170" s="4138" t="s">
        <v>3387</v>
      </c>
      <c r="C170" s="4134">
        <v>1600</v>
      </c>
      <c r="D170" s="4140" t="s">
        <v>148</v>
      </c>
      <c r="E170" s="4138" t="s">
        <v>3384</v>
      </c>
      <c r="F170" s="4138"/>
      <c r="G170" s="4138"/>
    </row>
    <row r="171" spans="1:7">
      <c r="A171" s="4117">
        <v>160</v>
      </c>
      <c r="B171" s="4138" t="s">
        <v>3388</v>
      </c>
      <c r="C171" s="4135">
        <v>425</v>
      </c>
      <c r="D171" s="4137" t="s">
        <v>3</v>
      </c>
      <c r="E171" s="4117" t="s">
        <v>3389</v>
      </c>
    </row>
    <row r="172" spans="1:7">
      <c r="A172" s="4117">
        <v>161</v>
      </c>
      <c r="B172" s="4155" t="s">
        <v>3390</v>
      </c>
      <c r="C172" s="4134">
        <v>620.21</v>
      </c>
      <c r="D172" s="4140" t="s">
        <v>3</v>
      </c>
      <c r="E172" s="4138" t="s">
        <v>3382</v>
      </c>
      <c r="F172" s="4138"/>
      <c r="G172" s="4138"/>
    </row>
    <row r="173" spans="1:7">
      <c r="A173" s="4117">
        <v>162</v>
      </c>
      <c r="B173" s="4156" t="s">
        <v>3391</v>
      </c>
      <c r="C173" s="4134">
        <v>55.04</v>
      </c>
      <c r="D173" s="4140" t="s">
        <v>183</v>
      </c>
      <c r="E173" s="4138" t="s">
        <v>3382</v>
      </c>
      <c r="F173" s="4138"/>
      <c r="G173" s="4138"/>
    </row>
    <row r="174" spans="1:7">
      <c r="A174" s="4117">
        <v>163</v>
      </c>
      <c r="B174" s="4156" t="s">
        <v>3392</v>
      </c>
      <c r="C174" s="4134">
        <v>72.569999999999993</v>
      </c>
      <c r="D174" s="4140" t="s">
        <v>3203</v>
      </c>
      <c r="E174" s="4138" t="s">
        <v>3382</v>
      </c>
      <c r="F174" s="4138"/>
      <c r="G174" s="4138"/>
    </row>
    <row r="175" spans="1:7">
      <c r="A175" s="4117">
        <v>164</v>
      </c>
      <c r="B175" s="4155" t="s">
        <v>3393</v>
      </c>
      <c r="C175" s="4134">
        <v>63.83</v>
      </c>
      <c r="D175" s="4140" t="s">
        <v>3</v>
      </c>
      <c r="E175" s="4138" t="s">
        <v>3382</v>
      </c>
      <c r="F175" s="4138"/>
      <c r="G175" s="4138"/>
    </row>
    <row r="176" spans="1:7">
      <c r="A176" s="4117">
        <v>165</v>
      </c>
      <c r="B176" s="4155" t="s">
        <v>3394</v>
      </c>
      <c r="C176" s="4145">
        <v>89.53</v>
      </c>
      <c r="D176" s="4140" t="s">
        <v>3</v>
      </c>
      <c r="E176" s="4138" t="s">
        <v>3382</v>
      </c>
      <c r="F176" s="4138"/>
      <c r="G176" s="4138"/>
    </row>
    <row r="177" spans="1:7">
      <c r="A177" s="4138">
        <v>166</v>
      </c>
      <c r="B177" s="4155" t="s">
        <v>3395</v>
      </c>
      <c r="C177" s="4138">
        <v>287.92</v>
      </c>
      <c r="D177" s="4140" t="s">
        <v>3</v>
      </c>
      <c r="E177" s="4138" t="s">
        <v>3382</v>
      </c>
      <c r="F177" s="4138"/>
      <c r="G177" s="4138"/>
    </row>
    <row r="178" spans="1:7">
      <c r="A178" s="4138">
        <v>167</v>
      </c>
      <c r="B178" s="4138" t="s">
        <v>3396</v>
      </c>
      <c r="C178" s="4157">
        <v>351.58</v>
      </c>
      <c r="D178" s="4140" t="s">
        <v>3</v>
      </c>
      <c r="E178" s="4138" t="s">
        <v>3223</v>
      </c>
      <c r="F178" s="4138"/>
      <c r="G178" s="4138"/>
    </row>
    <row r="179" spans="1:7">
      <c r="A179" s="4138">
        <v>168</v>
      </c>
      <c r="B179" s="4158" t="s">
        <v>3397</v>
      </c>
      <c r="C179" s="4157">
        <v>331.23</v>
      </c>
      <c r="D179" s="4140" t="s">
        <v>3</v>
      </c>
      <c r="E179" s="4138" t="s">
        <v>3223</v>
      </c>
      <c r="F179" s="4138"/>
      <c r="G179" s="4138"/>
    </row>
    <row r="180" spans="1:7">
      <c r="A180" s="4138">
        <v>169</v>
      </c>
      <c r="B180" s="4159" t="s">
        <v>3398</v>
      </c>
      <c r="C180" s="4134">
        <v>352.77</v>
      </c>
      <c r="D180" s="4140" t="s">
        <v>3</v>
      </c>
      <c r="E180" s="4138" t="s">
        <v>3223</v>
      </c>
    </row>
    <row r="181" spans="1:7">
      <c r="A181" s="4138">
        <v>170</v>
      </c>
      <c r="B181" s="4160" t="s">
        <v>3399</v>
      </c>
      <c r="C181" s="4157">
        <v>135.80000000000001</v>
      </c>
      <c r="D181" s="4161" t="s">
        <v>3</v>
      </c>
      <c r="E181" s="4138" t="s">
        <v>3400</v>
      </c>
    </row>
    <row r="182" spans="1:7">
      <c r="A182" s="4138">
        <v>171</v>
      </c>
      <c r="B182" s="4159" t="s">
        <v>3401</v>
      </c>
      <c r="C182" s="4134">
        <v>120.64</v>
      </c>
      <c r="D182" s="4161" t="s">
        <v>3</v>
      </c>
      <c r="E182" s="4138" t="s">
        <v>3400</v>
      </c>
    </row>
    <row r="183" spans="1:7">
      <c r="A183" s="4138">
        <v>172</v>
      </c>
      <c r="B183" s="4158" t="s">
        <v>3402</v>
      </c>
      <c r="C183" s="4157">
        <v>8.65</v>
      </c>
      <c r="D183" s="4140" t="s">
        <v>1665</v>
      </c>
      <c r="E183" s="4138" t="s">
        <v>3400</v>
      </c>
    </row>
    <row r="184" spans="1:7">
      <c r="A184" s="4138">
        <v>173</v>
      </c>
      <c r="B184" s="4158" t="s">
        <v>3403</v>
      </c>
      <c r="C184" s="4157">
        <v>45.39</v>
      </c>
      <c r="D184" s="4140" t="s">
        <v>3</v>
      </c>
      <c r="E184" s="4138" t="s">
        <v>3400</v>
      </c>
    </row>
    <row r="185" spans="1:7">
      <c r="A185" s="4138">
        <v>174</v>
      </c>
      <c r="B185" s="4159" t="s">
        <v>3404</v>
      </c>
      <c r="C185" s="4134">
        <v>39.28</v>
      </c>
      <c r="D185" s="4140" t="s">
        <v>3</v>
      </c>
      <c r="E185" s="4138" t="s">
        <v>3400</v>
      </c>
    </row>
    <row r="186" spans="1:7">
      <c r="A186" s="4138">
        <v>175</v>
      </c>
      <c r="B186" s="4158" t="s">
        <v>3405</v>
      </c>
      <c r="C186" s="4157">
        <v>300</v>
      </c>
      <c r="D186" s="4140" t="s">
        <v>3</v>
      </c>
      <c r="E186" s="4138" t="s">
        <v>3400</v>
      </c>
    </row>
    <row r="187" spans="1:7">
      <c r="A187" s="4138">
        <v>176</v>
      </c>
      <c r="B187" s="4158" t="s">
        <v>3406</v>
      </c>
      <c r="C187" s="4157">
        <v>281.76</v>
      </c>
      <c r="D187" s="4140" t="s">
        <v>3</v>
      </c>
      <c r="E187" s="4138" t="s">
        <v>3400</v>
      </c>
    </row>
    <row r="188" spans="1:7">
      <c r="A188" s="4138">
        <v>177</v>
      </c>
      <c r="B188" s="4160" t="s">
        <v>3407</v>
      </c>
      <c r="C188" s="4157">
        <v>3.2</v>
      </c>
      <c r="D188" s="4140" t="s">
        <v>3</v>
      </c>
      <c r="E188" s="4138" t="s">
        <v>3400</v>
      </c>
    </row>
    <row r="189" spans="1:7">
      <c r="A189" s="4138">
        <v>178</v>
      </c>
      <c r="B189" s="4158" t="s">
        <v>3408</v>
      </c>
      <c r="C189" s="4157">
        <v>79.52</v>
      </c>
      <c r="D189" s="4140" t="s">
        <v>3</v>
      </c>
      <c r="E189" s="4138" t="s">
        <v>3400</v>
      </c>
    </row>
    <row r="190" spans="1:7">
      <c r="A190" s="4138">
        <v>179</v>
      </c>
      <c r="B190" s="4158" t="s">
        <v>3409</v>
      </c>
      <c r="C190" s="4157">
        <v>82.45</v>
      </c>
      <c r="D190" s="4140" t="s">
        <v>3</v>
      </c>
      <c r="E190" s="4138" t="s">
        <v>3400</v>
      </c>
    </row>
    <row r="191" spans="1:7">
      <c r="A191" s="4138">
        <v>180</v>
      </c>
      <c r="B191" s="4138" t="s">
        <v>3410</v>
      </c>
      <c r="C191" s="4134">
        <v>860.2</v>
      </c>
      <c r="D191" s="4140" t="s">
        <v>3</v>
      </c>
      <c r="E191" s="4138" t="s">
        <v>3389</v>
      </c>
    </row>
    <row r="192" spans="1:7">
      <c r="A192" s="4138">
        <v>181</v>
      </c>
      <c r="B192" s="4138" t="s">
        <v>3411</v>
      </c>
      <c r="C192" s="4134">
        <v>387.44</v>
      </c>
      <c r="D192" s="4140" t="s">
        <v>3</v>
      </c>
      <c r="E192" s="4138" t="s">
        <v>3389</v>
      </c>
      <c r="F192" s="4162"/>
    </row>
    <row r="193" spans="1:6">
      <c r="A193" s="4138">
        <v>182</v>
      </c>
      <c r="B193" s="4138" t="s">
        <v>3412</v>
      </c>
      <c r="C193" s="4138">
        <v>189.54</v>
      </c>
      <c r="D193" s="4140" t="s">
        <v>1</v>
      </c>
      <c r="E193" s="4138" t="s">
        <v>3413</v>
      </c>
    </row>
    <row r="194" spans="1:6">
      <c r="A194" s="4138">
        <v>183</v>
      </c>
      <c r="B194" s="4138" t="s">
        <v>3414</v>
      </c>
      <c r="C194" s="4138">
        <v>245.18</v>
      </c>
      <c r="D194" s="4140" t="s">
        <v>1</v>
      </c>
      <c r="E194" s="4138" t="s">
        <v>3413</v>
      </c>
      <c r="F194" s="4135"/>
    </row>
    <row r="195" spans="1:6">
      <c r="A195" s="4138">
        <v>184</v>
      </c>
      <c r="B195" s="4138" t="s">
        <v>3415</v>
      </c>
      <c r="C195" s="4138">
        <v>28.72</v>
      </c>
      <c r="D195" s="4140" t="s">
        <v>11</v>
      </c>
      <c r="E195" s="4138" t="s">
        <v>3413</v>
      </c>
    </row>
    <row r="196" spans="1:6">
      <c r="A196" s="4138">
        <v>185</v>
      </c>
      <c r="B196" s="4138" t="s">
        <v>3416</v>
      </c>
      <c r="C196" s="4134">
        <v>2500</v>
      </c>
      <c r="D196" s="4140" t="s">
        <v>3417</v>
      </c>
      <c r="E196" s="4138" t="s">
        <v>3418</v>
      </c>
    </row>
    <row r="197" spans="1:6">
      <c r="A197" s="4138">
        <v>186</v>
      </c>
      <c r="B197" s="4138" t="s">
        <v>3419</v>
      </c>
      <c r="C197" s="4138">
        <v>198.8</v>
      </c>
      <c r="D197" s="4140" t="s">
        <v>11</v>
      </c>
      <c r="E197" s="4138" t="s">
        <v>3413</v>
      </c>
    </row>
    <row r="198" spans="1:6">
      <c r="A198" s="4138">
        <v>187</v>
      </c>
      <c r="B198" s="4138" t="s">
        <v>3420</v>
      </c>
      <c r="C198" s="4138">
        <v>249.6</v>
      </c>
      <c r="D198" s="4140" t="s">
        <v>11</v>
      </c>
      <c r="E198" s="4138" t="s">
        <v>3413</v>
      </c>
    </row>
    <row r="199" spans="1:6">
      <c r="A199" s="4138">
        <v>188</v>
      </c>
      <c r="B199" s="4138" t="s">
        <v>3421</v>
      </c>
      <c r="C199" s="4138">
        <v>28.72</v>
      </c>
      <c r="D199" s="4140" t="s">
        <v>11</v>
      </c>
      <c r="E199" s="4138" t="s">
        <v>3413</v>
      </c>
    </row>
    <row r="200" spans="1:6">
      <c r="A200" s="4138">
        <v>189</v>
      </c>
      <c r="B200" s="4138" t="s">
        <v>3195</v>
      </c>
      <c r="C200" s="4134">
        <v>750</v>
      </c>
      <c r="D200" s="4140" t="s">
        <v>148</v>
      </c>
      <c r="E200" s="4138" t="s">
        <v>3384</v>
      </c>
    </row>
    <row r="201" spans="1:6">
      <c r="A201" s="4138">
        <v>190</v>
      </c>
      <c r="B201" s="4138" t="s">
        <v>3422</v>
      </c>
      <c r="C201" s="4138">
        <v>33.14</v>
      </c>
      <c r="D201" s="4140" t="s">
        <v>11</v>
      </c>
      <c r="E201" s="4138" t="s">
        <v>3413</v>
      </c>
    </row>
    <row r="202" spans="1:6">
      <c r="A202" s="4138">
        <v>191</v>
      </c>
      <c r="B202" s="4138" t="s">
        <v>3423</v>
      </c>
      <c r="C202" s="4138">
        <v>309.22000000000003</v>
      </c>
      <c r="D202" s="4140" t="s">
        <v>1</v>
      </c>
      <c r="E202" s="4138" t="s">
        <v>3413</v>
      </c>
    </row>
    <row r="203" spans="1:6">
      <c r="A203" s="4138">
        <v>192</v>
      </c>
      <c r="B203" s="4138" t="s">
        <v>3424</v>
      </c>
      <c r="C203" s="4138">
        <v>189.96</v>
      </c>
      <c r="D203" s="4140" t="s">
        <v>11</v>
      </c>
      <c r="E203" s="4138" t="s">
        <v>3413</v>
      </c>
    </row>
    <row r="204" spans="1:6">
      <c r="A204" s="4138">
        <v>193</v>
      </c>
      <c r="B204" s="4138" t="s">
        <v>3425</v>
      </c>
      <c r="C204" s="4138">
        <v>35.33</v>
      </c>
      <c r="D204" s="4140" t="s">
        <v>11</v>
      </c>
      <c r="E204" s="4138" t="s">
        <v>3413</v>
      </c>
    </row>
    <row r="205" spans="1:6">
      <c r="A205" s="4138">
        <v>194</v>
      </c>
      <c r="B205" s="4138" t="s">
        <v>3426</v>
      </c>
      <c r="C205" s="4138">
        <v>165.66</v>
      </c>
      <c r="D205" s="4140" t="s">
        <v>11</v>
      </c>
      <c r="E205" s="4138" t="s">
        <v>3413</v>
      </c>
    </row>
    <row r="206" spans="1:6">
      <c r="A206" s="4138">
        <v>195</v>
      </c>
      <c r="B206" s="4138" t="s">
        <v>3427</v>
      </c>
      <c r="C206" s="4134">
        <v>2391.58</v>
      </c>
      <c r="D206" s="4140" t="s">
        <v>118</v>
      </c>
      <c r="E206" s="4138" t="s">
        <v>3223</v>
      </c>
    </row>
    <row r="207" spans="1:6">
      <c r="A207" s="4138">
        <v>196</v>
      </c>
      <c r="B207" s="4138" t="s">
        <v>3428</v>
      </c>
      <c r="C207" s="4134">
        <v>2300</v>
      </c>
      <c r="D207" s="4140" t="s">
        <v>148</v>
      </c>
      <c r="E207" s="4138" t="s">
        <v>3429</v>
      </c>
    </row>
    <row r="208" spans="1:6">
      <c r="A208" s="4138">
        <v>197</v>
      </c>
      <c r="B208" s="4154" t="s">
        <v>3430</v>
      </c>
      <c r="C208" s="4134">
        <f>18000*1.18</f>
        <v>21240</v>
      </c>
      <c r="D208" s="4140" t="s">
        <v>3</v>
      </c>
      <c r="E208" s="4138" t="s">
        <v>3431</v>
      </c>
    </row>
    <row r="209" spans="1:5">
      <c r="A209" s="4138">
        <v>198</v>
      </c>
      <c r="B209" s="4139" t="s">
        <v>3432</v>
      </c>
      <c r="C209" s="4134">
        <v>2041.4</v>
      </c>
      <c r="D209" s="4140" t="s">
        <v>3</v>
      </c>
      <c r="E209" s="4138" t="s">
        <v>3285</v>
      </c>
    </row>
    <row r="210" spans="1:5">
      <c r="A210" s="4138">
        <v>199</v>
      </c>
      <c r="B210" s="4154" t="s">
        <v>3433</v>
      </c>
      <c r="C210" s="4134">
        <v>1293.4100000000001</v>
      </c>
      <c r="D210" s="4140" t="s">
        <v>3</v>
      </c>
      <c r="E210" s="4138" t="s">
        <v>3431</v>
      </c>
    </row>
    <row r="211" spans="1:5">
      <c r="A211" s="4138">
        <v>200</v>
      </c>
      <c r="B211" s="4163" t="s">
        <v>3193</v>
      </c>
      <c r="C211" s="4134">
        <v>2631.4</v>
      </c>
      <c r="D211" s="4140" t="s">
        <v>3</v>
      </c>
      <c r="E211" s="4138" t="s">
        <v>3431</v>
      </c>
    </row>
    <row r="212" spans="1:5">
      <c r="A212" s="4138">
        <v>201</v>
      </c>
      <c r="B212" s="4139" t="s">
        <v>3434</v>
      </c>
      <c r="C212" s="4134">
        <v>616.75</v>
      </c>
      <c r="D212" s="4140" t="s">
        <v>1</v>
      </c>
      <c r="E212" s="4138" t="s">
        <v>3339</v>
      </c>
    </row>
    <row r="213" spans="1:5">
      <c r="A213" s="4138">
        <v>202</v>
      </c>
      <c r="B213" s="4138" t="s">
        <v>3435</v>
      </c>
      <c r="C213" s="4134">
        <f>1371.98*1.18</f>
        <v>1618.94</v>
      </c>
      <c r="D213" s="4140" t="s">
        <v>3</v>
      </c>
      <c r="E213" s="4138" t="s">
        <v>3436</v>
      </c>
    </row>
    <row r="214" spans="1:5">
      <c r="A214" s="4138">
        <v>203</v>
      </c>
      <c r="B214" s="4138" t="s">
        <v>3437</v>
      </c>
      <c r="C214" s="4134">
        <f>4416*1.18</f>
        <v>5210.88</v>
      </c>
      <c r="D214" s="4140" t="s">
        <v>3</v>
      </c>
      <c r="E214" s="4138" t="s">
        <v>3436</v>
      </c>
    </row>
    <row r="215" spans="1:5">
      <c r="A215" s="4138">
        <v>204</v>
      </c>
      <c r="B215" s="4138" t="s">
        <v>3438</v>
      </c>
      <c r="C215" s="4138">
        <v>115.03</v>
      </c>
      <c r="D215" s="4140" t="s">
        <v>3</v>
      </c>
      <c r="E215" s="4138" t="s">
        <v>3439</v>
      </c>
    </row>
    <row r="216" spans="1:5">
      <c r="A216" s="4138">
        <v>205</v>
      </c>
      <c r="B216" s="4138" t="s">
        <v>3440</v>
      </c>
      <c r="C216" s="4138">
        <v>165.66</v>
      </c>
      <c r="D216" s="4140" t="s">
        <v>1</v>
      </c>
      <c r="E216" s="4138" t="s">
        <v>3413</v>
      </c>
    </row>
    <row r="217" spans="1:5">
      <c r="A217" s="4117">
        <v>206</v>
      </c>
      <c r="B217" s="4138" t="s">
        <v>3441</v>
      </c>
      <c r="C217" s="4117">
        <v>33.14</v>
      </c>
      <c r="D217" s="4137" t="s">
        <v>11</v>
      </c>
      <c r="E217" s="4138" t="s">
        <v>3413</v>
      </c>
    </row>
    <row r="218" spans="1:5">
      <c r="A218" s="4117">
        <v>207</v>
      </c>
      <c r="B218" s="4138" t="s">
        <v>3442</v>
      </c>
      <c r="C218" s="4117">
        <v>1.76</v>
      </c>
      <c r="D218" s="4137" t="s">
        <v>3</v>
      </c>
      <c r="E218" s="4138" t="s">
        <v>3443</v>
      </c>
    </row>
    <row r="219" spans="1:5">
      <c r="A219" s="4117">
        <v>208</v>
      </c>
      <c r="B219" s="4139" t="s">
        <v>3444</v>
      </c>
      <c r="C219" s="4134">
        <v>3754.08</v>
      </c>
      <c r="D219" s="4140" t="s">
        <v>1</v>
      </c>
      <c r="E219" s="4117" t="s">
        <v>3339</v>
      </c>
    </row>
    <row r="220" spans="1:5">
      <c r="A220" s="4117">
        <v>209</v>
      </c>
      <c r="B220" s="4139" t="s">
        <v>3445</v>
      </c>
      <c r="C220" s="4134">
        <v>43.04</v>
      </c>
      <c r="D220" s="4140" t="s">
        <v>1</v>
      </c>
      <c r="E220" s="4133" t="s">
        <v>3245</v>
      </c>
    </row>
    <row r="221" spans="1:5">
      <c r="A221" s="4117">
        <v>210</v>
      </c>
      <c r="B221" s="4117" t="s">
        <v>3446</v>
      </c>
      <c r="C221" s="4134">
        <f>19895*1.18</f>
        <v>23476.1</v>
      </c>
      <c r="D221" s="4164" t="s">
        <v>3</v>
      </c>
      <c r="E221" s="4138" t="s">
        <v>3447</v>
      </c>
    </row>
    <row r="222" spans="1:5">
      <c r="A222" s="4117">
        <v>211</v>
      </c>
      <c r="B222" s="4117" t="s">
        <v>3448</v>
      </c>
      <c r="C222" s="4135">
        <v>115</v>
      </c>
      <c r="D222" s="4137" t="s">
        <v>1665</v>
      </c>
      <c r="E222" s="4117" t="s">
        <v>3228</v>
      </c>
    </row>
    <row r="223" spans="1:5">
      <c r="A223" s="4117">
        <v>212</v>
      </c>
      <c r="B223" s="4117" t="s">
        <v>3449</v>
      </c>
      <c r="C223" s="4138">
        <v>131.86000000000001</v>
      </c>
      <c r="D223" s="4164" t="s">
        <v>3</v>
      </c>
      <c r="E223" s="4117" t="s">
        <v>3450</v>
      </c>
    </row>
    <row r="224" spans="1:5">
      <c r="A224" s="4117">
        <v>213</v>
      </c>
      <c r="B224" s="4117" t="s">
        <v>3451</v>
      </c>
      <c r="C224" s="4138">
        <v>43.04</v>
      </c>
      <c r="D224" s="4164" t="s">
        <v>3</v>
      </c>
      <c r="E224" s="4133" t="s">
        <v>3245</v>
      </c>
    </row>
    <row r="225" spans="1:5">
      <c r="A225" s="4117">
        <v>214</v>
      </c>
      <c r="B225" s="4117" t="s">
        <v>3452</v>
      </c>
      <c r="C225" s="4135">
        <f>22550*1.18</f>
        <v>26609</v>
      </c>
      <c r="D225" s="4137" t="s">
        <v>1</v>
      </c>
      <c r="E225" s="4138" t="s">
        <v>3453</v>
      </c>
    </row>
    <row r="226" spans="1:5">
      <c r="A226" s="4117">
        <v>215</v>
      </c>
      <c r="B226" s="4117" t="s">
        <v>3454</v>
      </c>
      <c r="C226" s="4135">
        <v>2600</v>
      </c>
      <c r="D226" s="4137" t="s">
        <v>3</v>
      </c>
      <c r="E226" s="4138" t="s">
        <v>3455</v>
      </c>
    </row>
    <row r="227" spans="1:5">
      <c r="A227" s="4117">
        <v>216</v>
      </c>
      <c r="B227" s="4117" t="s">
        <v>3456</v>
      </c>
      <c r="C227" s="4135">
        <v>5500</v>
      </c>
      <c r="D227" s="4137" t="s">
        <v>3</v>
      </c>
      <c r="E227" s="4138" t="s">
        <v>3455</v>
      </c>
    </row>
    <row r="228" spans="1:5">
      <c r="A228" s="4117">
        <v>217</v>
      </c>
      <c r="B228" s="4117" t="s">
        <v>3457</v>
      </c>
      <c r="C228" s="4135">
        <v>80</v>
      </c>
      <c r="D228" s="4137" t="s">
        <v>3</v>
      </c>
      <c r="E228" s="4138" t="s">
        <v>3458</v>
      </c>
    </row>
  </sheetData>
  <customSheetViews>
    <customSheetView guid="{43BC9397-3E8C-478C-B548-E4A845A7F82B}" scale="130" topLeftCell="A211">
      <selection activeCell="B131" sqref="B131"/>
      <pageMargins left="0.7" right="0.7" top="0.75" bottom="0.75" header="0.3" footer="0.3"/>
      <pageSetup orientation="portrait" r:id="rId1"/>
    </customSheetView>
  </customSheetViews>
  <mergeCells count="6">
    <mergeCell ref="A8:B8"/>
    <mergeCell ref="A1:E1"/>
    <mergeCell ref="A2:E2"/>
    <mergeCell ref="A3:E3"/>
    <mergeCell ref="A4:E4"/>
    <mergeCell ref="A6:E6"/>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Z167"/>
  <sheetViews>
    <sheetView topLeftCell="A117" workbookViewId="0">
      <selection activeCell="I137" sqref="I137"/>
    </sheetView>
  </sheetViews>
  <sheetFormatPr baseColWidth="10" defaultColWidth="11.42578125" defaultRowHeight="12.75"/>
  <cols>
    <col min="1" max="1" width="7.5703125" style="3581" customWidth="1"/>
    <col min="2" max="2" width="8" style="3581" customWidth="1"/>
    <col min="3" max="3" width="8.7109375" style="3581" customWidth="1"/>
    <col min="4" max="4" width="8.28515625" style="3581" customWidth="1"/>
    <col min="5" max="5" width="11" style="3581" customWidth="1"/>
    <col min="6" max="6" width="9.7109375" style="3581" customWidth="1"/>
    <col min="7" max="7" width="9.85546875" style="3581" customWidth="1"/>
    <col min="8" max="8" width="9.5703125" style="3581" customWidth="1"/>
    <col min="9" max="9" width="11.42578125" style="3581"/>
    <col min="10" max="10" width="8.140625" style="3581" customWidth="1"/>
    <col min="11" max="11" width="9.28515625" style="3581" customWidth="1"/>
    <col min="12" max="12" width="10.28515625" style="3581" customWidth="1"/>
    <col min="13" max="13" width="11.85546875" style="3581" bestFit="1" customWidth="1"/>
    <col min="14" max="14" width="9.5703125" style="3581" customWidth="1"/>
    <col min="15" max="18" width="11.5703125" style="3581" bestFit="1" customWidth="1"/>
    <col min="19" max="19" width="13.7109375" style="3581" customWidth="1"/>
    <col min="20" max="20" width="13.5703125" style="3581" customWidth="1"/>
    <col min="21" max="22" width="11.42578125" style="3581"/>
    <col min="23" max="23" width="9.42578125" style="3581" customWidth="1"/>
    <col min="24" max="24" width="10" style="3581" customWidth="1"/>
    <col min="25" max="256" width="11.42578125" style="3581"/>
    <col min="257" max="257" width="7.5703125" style="3581" customWidth="1"/>
    <col min="258" max="258" width="8" style="3581" customWidth="1"/>
    <col min="259" max="259" width="8.7109375" style="3581" customWidth="1"/>
    <col min="260" max="260" width="8.28515625" style="3581" customWidth="1"/>
    <col min="261" max="261" width="11" style="3581" customWidth="1"/>
    <col min="262" max="262" width="9.7109375" style="3581" customWidth="1"/>
    <col min="263" max="263" width="9.85546875" style="3581" customWidth="1"/>
    <col min="264" max="264" width="9.5703125" style="3581" customWidth="1"/>
    <col min="265" max="265" width="11.42578125" style="3581"/>
    <col min="266" max="266" width="8.140625" style="3581" customWidth="1"/>
    <col min="267" max="267" width="9.28515625" style="3581" customWidth="1"/>
    <col min="268" max="268" width="10.28515625" style="3581" customWidth="1"/>
    <col min="269" max="269" width="11.85546875" style="3581" bestFit="1" customWidth="1"/>
    <col min="270" max="270" width="9.5703125" style="3581" customWidth="1"/>
    <col min="271" max="274" width="11.5703125" style="3581" bestFit="1" customWidth="1"/>
    <col min="275" max="275" width="13.7109375" style="3581" customWidth="1"/>
    <col min="276" max="276" width="13.5703125" style="3581" customWidth="1"/>
    <col min="277" max="278" width="11.42578125" style="3581"/>
    <col min="279" max="279" width="9.42578125" style="3581" customWidth="1"/>
    <col min="280" max="280" width="10" style="3581" customWidth="1"/>
    <col min="281" max="512" width="11.42578125" style="3581"/>
    <col min="513" max="513" width="7.5703125" style="3581" customWidth="1"/>
    <col min="514" max="514" width="8" style="3581" customWidth="1"/>
    <col min="515" max="515" width="8.7109375" style="3581" customWidth="1"/>
    <col min="516" max="516" width="8.28515625" style="3581" customWidth="1"/>
    <col min="517" max="517" width="11" style="3581" customWidth="1"/>
    <col min="518" max="518" width="9.7109375" style="3581" customWidth="1"/>
    <col min="519" max="519" width="9.85546875" style="3581" customWidth="1"/>
    <col min="520" max="520" width="9.5703125" style="3581" customWidth="1"/>
    <col min="521" max="521" width="11.42578125" style="3581"/>
    <col min="522" max="522" width="8.140625" style="3581" customWidth="1"/>
    <col min="523" max="523" width="9.28515625" style="3581" customWidth="1"/>
    <col min="524" max="524" width="10.28515625" style="3581" customWidth="1"/>
    <col min="525" max="525" width="11.85546875" style="3581" bestFit="1" customWidth="1"/>
    <col min="526" max="526" width="9.5703125" style="3581" customWidth="1"/>
    <col min="527" max="530" width="11.5703125" style="3581" bestFit="1" customWidth="1"/>
    <col min="531" max="531" width="13.7109375" style="3581" customWidth="1"/>
    <col min="532" max="532" width="13.5703125" style="3581" customWidth="1"/>
    <col min="533" max="534" width="11.42578125" style="3581"/>
    <col min="535" max="535" width="9.42578125" style="3581" customWidth="1"/>
    <col min="536" max="536" width="10" style="3581" customWidth="1"/>
    <col min="537" max="768" width="11.42578125" style="3581"/>
    <col min="769" max="769" width="7.5703125" style="3581" customWidth="1"/>
    <col min="770" max="770" width="8" style="3581" customWidth="1"/>
    <col min="771" max="771" width="8.7109375" style="3581" customWidth="1"/>
    <col min="772" max="772" width="8.28515625" style="3581" customWidth="1"/>
    <col min="773" max="773" width="11" style="3581" customWidth="1"/>
    <col min="774" max="774" width="9.7109375" style="3581" customWidth="1"/>
    <col min="775" max="775" width="9.85546875" style="3581" customWidth="1"/>
    <col min="776" max="776" width="9.5703125" style="3581" customWidth="1"/>
    <col min="777" max="777" width="11.42578125" style="3581"/>
    <col min="778" max="778" width="8.140625" style="3581" customWidth="1"/>
    <col min="779" max="779" width="9.28515625" style="3581" customWidth="1"/>
    <col min="780" max="780" width="10.28515625" style="3581" customWidth="1"/>
    <col min="781" max="781" width="11.85546875" style="3581" bestFit="1" customWidth="1"/>
    <col min="782" max="782" width="9.5703125" style="3581" customWidth="1"/>
    <col min="783" max="786" width="11.5703125" style="3581" bestFit="1" customWidth="1"/>
    <col min="787" max="787" width="13.7109375" style="3581" customWidth="1"/>
    <col min="788" max="788" width="13.5703125" style="3581" customWidth="1"/>
    <col min="789" max="790" width="11.42578125" style="3581"/>
    <col min="791" max="791" width="9.42578125" style="3581" customWidth="1"/>
    <col min="792" max="792" width="10" style="3581" customWidth="1"/>
    <col min="793" max="1024" width="11.42578125" style="3581"/>
    <col min="1025" max="1025" width="7.5703125" style="3581" customWidth="1"/>
    <col min="1026" max="1026" width="8" style="3581" customWidth="1"/>
    <col min="1027" max="1027" width="8.7109375" style="3581" customWidth="1"/>
    <col min="1028" max="1028" width="8.28515625" style="3581" customWidth="1"/>
    <col min="1029" max="1029" width="11" style="3581" customWidth="1"/>
    <col min="1030" max="1030" width="9.7109375" style="3581" customWidth="1"/>
    <col min="1031" max="1031" width="9.85546875" style="3581" customWidth="1"/>
    <col min="1032" max="1032" width="9.5703125" style="3581" customWidth="1"/>
    <col min="1033" max="1033" width="11.42578125" style="3581"/>
    <col min="1034" max="1034" width="8.140625" style="3581" customWidth="1"/>
    <col min="1035" max="1035" width="9.28515625" style="3581" customWidth="1"/>
    <col min="1036" max="1036" width="10.28515625" style="3581" customWidth="1"/>
    <col min="1037" max="1037" width="11.85546875" style="3581" bestFit="1" customWidth="1"/>
    <col min="1038" max="1038" width="9.5703125" style="3581" customWidth="1"/>
    <col min="1039" max="1042" width="11.5703125" style="3581" bestFit="1" customWidth="1"/>
    <col min="1043" max="1043" width="13.7109375" style="3581" customWidth="1"/>
    <col min="1044" max="1044" width="13.5703125" style="3581" customWidth="1"/>
    <col min="1045" max="1046" width="11.42578125" style="3581"/>
    <col min="1047" max="1047" width="9.42578125" style="3581" customWidth="1"/>
    <col min="1048" max="1048" width="10" style="3581" customWidth="1"/>
    <col min="1049" max="1280" width="11.42578125" style="3581"/>
    <col min="1281" max="1281" width="7.5703125" style="3581" customWidth="1"/>
    <col min="1282" max="1282" width="8" style="3581" customWidth="1"/>
    <col min="1283" max="1283" width="8.7109375" style="3581" customWidth="1"/>
    <col min="1284" max="1284" width="8.28515625" style="3581" customWidth="1"/>
    <col min="1285" max="1285" width="11" style="3581" customWidth="1"/>
    <col min="1286" max="1286" width="9.7109375" style="3581" customWidth="1"/>
    <col min="1287" max="1287" width="9.85546875" style="3581" customWidth="1"/>
    <col min="1288" max="1288" width="9.5703125" style="3581" customWidth="1"/>
    <col min="1289" max="1289" width="11.42578125" style="3581"/>
    <col min="1290" max="1290" width="8.140625" style="3581" customWidth="1"/>
    <col min="1291" max="1291" width="9.28515625" style="3581" customWidth="1"/>
    <col min="1292" max="1292" width="10.28515625" style="3581" customWidth="1"/>
    <col min="1293" max="1293" width="11.85546875" style="3581" bestFit="1" customWidth="1"/>
    <col min="1294" max="1294" width="9.5703125" style="3581" customWidth="1"/>
    <col min="1295" max="1298" width="11.5703125" style="3581" bestFit="1" customWidth="1"/>
    <col min="1299" max="1299" width="13.7109375" style="3581" customWidth="1"/>
    <col min="1300" max="1300" width="13.5703125" style="3581" customWidth="1"/>
    <col min="1301" max="1302" width="11.42578125" style="3581"/>
    <col min="1303" max="1303" width="9.42578125" style="3581" customWidth="1"/>
    <col min="1304" max="1304" width="10" style="3581" customWidth="1"/>
    <col min="1305" max="1536" width="11.42578125" style="3581"/>
    <col min="1537" max="1537" width="7.5703125" style="3581" customWidth="1"/>
    <col min="1538" max="1538" width="8" style="3581" customWidth="1"/>
    <col min="1539" max="1539" width="8.7109375" style="3581" customWidth="1"/>
    <col min="1540" max="1540" width="8.28515625" style="3581" customWidth="1"/>
    <col min="1541" max="1541" width="11" style="3581" customWidth="1"/>
    <col min="1542" max="1542" width="9.7109375" style="3581" customWidth="1"/>
    <col min="1543" max="1543" width="9.85546875" style="3581" customWidth="1"/>
    <col min="1544" max="1544" width="9.5703125" style="3581" customWidth="1"/>
    <col min="1545" max="1545" width="11.42578125" style="3581"/>
    <col min="1546" max="1546" width="8.140625" style="3581" customWidth="1"/>
    <col min="1547" max="1547" width="9.28515625" style="3581" customWidth="1"/>
    <col min="1548" max="1548" width="10.28515625" style="3581" customWidth="1"/>
    <col min="1549" max="1549" width="11.85546875" style="3581" bestFit="1" customWidth="1"/>
    <col min="1550" max="1550" width="9.5703125" style="3581" customWidth="1"/>
    <col min="1551" max="1554" width="11.5703125" style="3581" bestFit="1" customWidth="1"/>
    <col min="1555" max="1555" width="13.7109375" style="3581" customWidth="1"/>
    <col min="1556" max="1556" width="13.5703125" style="3581" customWidth="1"/>
    <col min="1557" max="1558" width="11.42578125" style="3581"/>
    <col min="1559" max="1559" width="9.42578125" style="3581" customWidth="1"/>
    <col min="1560" max="1560" width="10" style="3581" customWidth="1"/>
    <col min="1561" max="1792" width="11.42578125" style="3581"/>
    <col min="1793" max="1793" width="7.5703125" style="3581" customWidth="1"/>
    <col min="1794" max="1794" width="8" style="3581" customWidth="1"/>
    <col min="1795" max="1795" width="8.7109375" style="3581" customWidth="1"/>
    <col min="1796" max="1796" width="8.28515625" style="3581" customWidth="1"/>
    <col min="1797" max="1797" width="11" style="3581" customWidth="1"/>
    <col min="1798" max="1798" width="9.7109375" style="3581" customWidth="1"/>
    <col min="1799" max="1799" width="9.85546875" style="3581" customWidth="1"/>
    <col min="1800" max="1800" width="9.5703125" style="3581" customWidth="1"/>
    <col min="1801" max="1801" width="11.42578125" style="3581"/>
    <col min="1802" max="1802" width="8.140625" style="3581" customWidth="1"/>
    <col min="1803" max="1803" width="9.28515625" style="3581" customWidth="1"/>
    <col min="1804" max="1804" width="10.28515625" style="3581" customWidth="1"/>
    <col min="1805" max="1805" width="11.85546875" style="3581" bestFit="1" customWidth="1"/>
    <col min="1806" max="1806" width="9.5703125" style="3581" customWidth="1"/>
    <col min="1807" max="1810" width="11.5703125" style="3581" bestFit="1" customWidth="1"/>
    <col min="1811" max="1811" width="13.7109375" style="3581" customWidth="1"/>
    <col min="1812" max="1812" width="13.5703125" style="3581" customWidth="1"/>
    <col min="1813" max="1814" width="11.42578125" style="3581"/>
    <col min="1815" max="1815" width="9.42578125" style="3581" customWidth="1"/>
    <col min="1816" max="1816" width="10" style="3581" customWidth="1"/>
    <col min="1817" max="2048" width="11.42578125" style="3581"/>
    <col min="2049" max="2049" width="7.5703125" style="3581" customWidth="1"/>
    <col min="2050" max="2050" width="8" style="3581" customWidth="1"/>
    <col min="2051" max="2051" width="8.7109375" style="3581" customWidth="1"/>
    <col min="2052" max="2052" width="8.28515625" style="3581" customWidth="1"/>
    <col min="2053" max="2053" width="11" style="3581" customWidth="1"/>
    <col min="2054" max="2054" width="9.7109375" style="3581" customWidth="1"/>
    <col min="2055" max="2055" width="9.85546875" style="3581" customWidth="1"/>
    <col min="2056" max="2056" width="9.5703125" style="3581" customWidth="1"/>
    <col min="2057" max="2057" width="11.42578125" style="3581"/>
    <col min="2058" max="2058" width="8.140625" style="3581" customWidth="1"/>
    <col min="2059" max="2059" width="9.28515625" style="3581" customWidth="1"/>
    <col min="2060" max="2060" width="10.28515625" style="3581" customWidth="1"/>
    <col min="2061" max="2061" width="11.85546875" style="3581" bestFit="1" customWidth="1"/>
    <col min="2062" max="2062" width="9.5703125" style="3581" customWidth="1"/>
    <col min="2063" max="2066" width="11.5703125" style="3581" bestFit="1" customWidth="1"/>
    <col min="2067" max="2067" width="13.7109375" style="3581" customWidth="1"/>
    <col min="2068" max="2068" width="13.5703125" style="3581" customWidth="1"/>
    <col min="2069" max="2070" width="11.42578125" style="3581"/>
    <col min="2071" max="2071" width="9.42578125" style="3581" customWidth="1"/>
    <col min="2072" max="2072" width="10" style="3581" customWidth="1"/>
    <col min="2073" max="2304" width="11.42578125" style="3581"/>
    <col min="2305" max="2305" width="7.5703125" style="3581" customWidth="1"/>
    <col min="2306" max="2306" width="8" style="3581" customWidth="1"/>
    <col min="2307" max="2307" width="8.7109375" style="3581" customWidth="1"/>
    <col min="2308" max="2308" width="8.28515625" style="3581" customWidth="1"/>
    <col min="2309" max="2309" width="11" style="3581" customWidth="1"/>
    <col min="2310" max="2310" width="9.7109375" style="3581" customWidth="1"/>
    <col min="2311" max="2311" width="9.85546875" style="3581" customWidth="1"/>
    <col min="2312" max="2312" width="9.5703125" style="3581" customWidth="1"/>
    <col min="2313" max="2313" width="11.42578125" style="3581"/>
    <col min="2314" max="2314" width="8.140625" style="3581" customWidth="1"/>
    <col min="2315" max="2315" width="9.28515625" style="3581" customWidth="1"/>
    <col min="2316" max="2316" width="10.28515625" style="3581" customWidth="1"/>
    <col min="2317" max="2317" width="11.85546875" style="3581" bestFit="1" customWidth="1"/>
    <col min="2318" max="2318" width="9.5703125" style="3581" customWidth="1"/>
    <col min="2319" max="2322" width="11.5703125" style="3581" bestFit="1" customWidth="1"/>
    <col min="2323" max="2323" width="13.7109375" style="3581" customWidth="1"/>
    <col min="2324" max="2324" width="13.5703125" style="3581" customWidth="1"/>
    <col min="2325" max="2326" width="11.42578125" style="3581"/>
    <col min="2327" max="2327" width="9.42578125" style="3581" customWidth="1"/>
    <col min="2328" max="2328" width="10" style="3581" customWidth="1"/>
    <col min="2329" max="2560" width="11.42578125" style="3581"/>
    <col min="2561" max="2561" width="7.5703125" style="3581" customWidth="1"/>
    <col min="2562" max="2562" width="8" style="3581" customWidth="1"/>
    <col min="2563" max="2563" width="8.7109375" style="3581" customWidth="1"/>
    <col min="2564" max="2564" width="8.28515625" style="3581" customWidth="1"/>
    <col min="2565" max="2565" width="11" style="3581" customWidth="1"/>
    <col min="2566" max="2566" width="9.7109375" style="3581" customWidth="1"/>
    <col min="2567" max="2567" width="9.85546875" style="3581" customWidth="1"/>
    <col min="2568" max="2568" width="9.5703125" style="3581" customWidth="1"/>
    <col min="2569" max="2569" width="11.42578125" style="3581"/>
    <col min="2570" max="2570" width="8.140625" style="3581" customWidth="1"/>
    <col min="2571" max="2571" width="9.28515625" style="3581" customWidth="1"/>
    <col min="2572" max="2572" width="10.28515625" style="3581" customWidth="1"/>
    <col min="2573" max="2573" width="11.85546875" style="3581" bestFit="1" customWidth="1"/>
    <col min="2574" max="2574" width="9.5703125" style="3581" customWidth="1"/>
    <col min="2575" max="2578" width="11.5703125" style="3581" bestFit="1" customWidth="1"/>
    <col min="2579" max="2579" width="13.7109375" style="3581" customWidth="1"/>
    <col min="2580" max="2580" width="13.5703125" style="3581" customWidth="1"/>
    <col min="2581" max="2582" width="11.42578125" style="3581"/>
    <col min="2583" max="2583" width="9.42578125" style="3581" customWidth="1"/>
    <col min="2584" max="2584" width="10" style="3581" customWidth="1"/>
    <col min="2585" max="2816" width="11.42578125" style="3581"/>
    <col min="2817" max="2817" width="7.5703125" style="3581" customWidth="1"/>
    <col min="2818" max="2818" width="8" style="3581" customWidth="1"/>
    <col min="2819" max="2819" width="8.7109375" style="3581" customWidth="1"/>
    <col min="2820" max="2820" width="8.28515625" style="3581" customWidth="1"/>
    <col min="2821" max="2821" width="11" style="3581" customWidth="1"/>
    <col min="2822" max="2822" width="9.7109375" style="3581" customWidth="1"/>
    <col min="2823" max="2823" width="9.85546875" style="3581" customWidth="1"/>
    <col min="2824" max="2824" width="9.5703125" style="3581" customWidth="1"/>
    <col min="2825" max="2825" width="11.42578125" style="3581"/>
    <col min="2826" max="2826" width="8.140625" style="3581" customWidth="1"/>
    <col min="2827" max="2827" width="9.28515625" style="3581" customWidth="1"/>
    <col min="2828" max="2828" width="10.28515625" style="3581" customWidth="1"/>
    <col min="2829" max="2829" width="11.85546875" style="3581" bestFit="1" customWidth="1"/>
    <col min="2830" max="2830" width="9.5703125" style="3581" customWidth="1"/>
    <col min="2831" max="2834" width="11.5703125" style="3581" bestFit="1" customWidth="1"/>
    <col min="2835" max="2835" width="13.7109375" style="3581" customWidth="1"/>
    <col min="2836" max="2836" width="13.5703125" style="3581" customWidth="1"/>
    <col min="2837" max="2838" width="11.42578125" style="3581"/>
    <col min="2839" max="2839" width="9.42578125" style="3581" customWidth="1"/>
    <col min="2840" max="2840" width="10" style="3581" customWidth="1"/>
    <col min="2841" max="3072" width="11.42578125" style="3581"/>
    <col min="3073" max="3073" width="7.5703125" style="3581" customWidth="1"/>
    <col min="3074" max="3074" width="8" style="3581" customWidth="1"/>
    <col min="3075" max="3075" width="8.7109375" style="3581" customWidth="1"/>
    <col min="3076" max="3076" width="8.28515625" style="3581" customWidth="1"/>
    <col min="3077" max="3077" width="11" style="3581" customWidth="1"/>
    <col min="3078" max="3078" width="9.7109375" style="3581" customWidth="1"/>
    <col min="3079" max="3079" width="9.85546875" style="3581" customWidth="1"/>
    <col min="3080" max="3080" width="9.5703125" style="3581" customWidth="1"/>
    <col min="3081" max="3081" width="11.42578125" style="3581"/>
    <col min="3082" max="3082" width="8.140625" style="3581" customWidth="1"/>
    <col min="3083" max="3083" width="9.28515625" style="3581" customWidth="1"/>
    <col min="3084" max="3084" width="10.28515625" style="3581" customWidth="1"/>
    <col min="3085" max="3085" width="11.85546875" style="3581" bestFit="1" customWidth="1"/>
    <col min="3086" max="3086" width="9.5703125" style="3581" customWidth="1"/>
    <col min="3087" max="3090" width="11.5703125" style="3581" bestFit="1" customWidth="1"/>
    <col min="3091" max="3091" width="13.7109375" style="3581" customWidth="1"/>
    <col min="3092" max="3092" width="13.5703125" style="3581" customWidth="1"/>
    <col min="3093" max="3094" width="11.42578125" style="3581"/>
    <col min="3095" max="3095" width="9.42578125" style="3581" customWidth="1"/>
    <col min="3096" max="3096" width="10" style="3581" customWidth="1"/>
    <col min="3097" max="3328" width="11.42578125" style="3581"/>
    <col min="3329" max="3329" width="7.5703125" style="3581" customWidth="1"/>
    <col min="3330" max="3330" width="8" style="3581" customWidth="1"/>
    <col min="3331" max="3331" width="8.7109375" style="3581" customWidth="1"/>
    <col min="3332" max="3332" width="8.28515625" style="3581" customWidth="1"/>
    <col min="3333" max="3333" width="11" style="3581" customWidth="1"/>
    <col min="3334" max="3334" width="9.7109375" style="3581" customWidth="1"/>
    <col min="3335" max="3335" width="9.85546875" style="3581" customWidth="1"/>
    <col min="3336" max="3336" width="9.5703125" style="3581" customWidth="1"/>
    <col min="3337" max="3337" width="11.42578125" style="3581"/>
    <col min="3338" max="3338" width="8.140625" style="3581" customWidth="1"/>
    <col min="3339" max="3339" width="9.28515625" style="3581" customWidth="1"/>
    <col min="3340" max="3340" width="10.28515625" style="3581" customWidth="1"/>
    <col min="3341" max="3341" width="11.85546875" style="3581" bestFit="1" customWidth="1"/>
    <col min="3342" max="3342" width="9.5703125" style="3581" customWidth="1"/>
    <col min="3343" max="3346" width="11.5703125" style="3581" bestFit="1" customWidth="1"/>
    <col min="3347" max="3347" width="13.7109375" style="3581" customWidth="1"/>
    <col min="3348" max="3348" width="13.5703125" style="3581" customWidth="1"/>
    <col min="3349" max="3350" width="11.42578125" style="3581"/>
    <col min="3351" max="3351" width="9.42578125" style="3581" customWidth="1"/>
    <col min="3352" max="3352" width="10" style="3581" customWidth="1"/>
    <col min="3353" max="3584" width="11.42578125" style="3581"/>
    <col min="3585" max="3585" width="7.5703125" style="3581" customWidth="1"/>
    <col min="3586" max="3586" width="8" style="3581" customWidth="1"/>
    <col min="3587" max="3587" width="8.7109375" style="3581" customWidth="1"/>
    <col min="3588" max="3588" width="8.28515625" style="3581" customWidth="1"/>
    <col min="3589" max="3589" width="11" style="3581" customWidth="1"/>
    <col min="3590" max="3590" width="9.7109375" style="3581" customWidth="1"/>
    <col min="3591" max="3591" width="9.85546875" style="3581" customWidth="1"/>
    <col min="3592" max="3592" width="9.5703125" style="3581" customWidth="1"/>
    <col min="3593" max="3593" width="11.42578125" style="3581"/>
    <col min="3594" max="3594" width="8.140625" style="3581" customWidth="1"/>
    <col min="3595" max="3595" width="9.28515625" style="3581" customWidth="1"/>
    <col min="3596" max="3596" width="10.28515625" style="3581" customWidth="1"/>
    <col min="3597" max="3597" width="11.85546875" style="3581" bestFit="1" customWidth="1"/>
    <col min="3598" max="3598" width="9.5703125" style="3581" customWidth="1"/>
    <col min="3599" max="3602" width="11.5703125" style="3581" bestFit="1" customWidth="1"/>
    <col min="3603" max="3603" width="13.7109375" style="3581" customWidth="1"/>
    <col min="3604" max="3604" width="13.5703125" style="3581" customWidth="1"/>
    <col min="3605" max="3606" width="11.42578125" style="3581"/>
    <col min="3607" max="3607" width="9.42578125" style="3581" customWidth="1"/>
    <col min="3608" max="3608" width="10" style="3581" customWidth="1"/>
    <col min="3609" max="3840" width="11.42578125" style="3581"/>
    <col min="3841" max="3841" width="7.5703125" style="3581" customWidth="1"/>
    <col min="3842" max="3842" width="8" style="3581" customWidth="1"/>
    <col min="3843" max="3843" width="8.7109375" style="3581" customWidth="1"/>
    <col min="3844" max="3844" width="8.28515625" style="3581" customWidth="1"/>
    <col min="3845" max="3845" width="11" style="3581" customWidth="1"/>
    <col min="3846" max="3846" width="9.7109375" style="3581" customWidth="1"/>
    <col min="3847" max="3847" width="9.85546875" style="3581" customWidth="1"/>
    <col min="3848" max="3848" width="9.5703125" style="3581" customWidth="1"/>
    <col min="3849" max="3849" width="11.42578125" style="3581"/>
    <col min="3850" max="3850" width="8.140625" style="3581" customWidth="1"/>
    <col min="3851" max="3851" width="9.28515625" style="3581" customWidth="1"/>
    <col min="3852" max="3852" width="10.28515625" style="3581" customWidth="1"/>
    <col min="3853" max="3853" width="11.85546875" style="3581" bestFit="1" customWidth="1"/>
    <col min="3854" max="3854" width="9.5703125" style="3581" customWidth="1"/>
    <col min="3855" max="3858" width="11.5703125" style="3581" bestFit="1" customWidth="1"/>
    <col min="3859" max="3859" width="13.7109375" style="3581" customWidth="1"/>
    <col min="3860" max="3860" width="13.5703125" style="3581" customWidth="1"/>
    <col min="3861" max="3862" width="11.42578125" style="3581"/>
    <col min="3863" max="3863" width="9.42578125" style="3581" customWidth="1"/>
    <col min="3864" max="3864" width="10" style="3581" customWidth="1"/>
    <col min="3865" max="4096" width="11.42578125" style="3581"/>
    <col min="4097" max="4097" width="7.5703125" style="3581" customWidth="1"/>
    <col min="4098" max="4098" width="8" style="3581" customWidth="1"/>
    <col min="4099" max="4099" width="8.7109375" style="3581" customWidth="1"/>
    <col min="4100" max="4100" width="8.28515625" style="3581" customWidth="1"/>
    <col min="4101" max="4101" width="11" style="3581" customWidth="1"/>
    <col min="4102" max="4102" width="9.7109375" style="3581" customWidth="1"/>
    <col min="4103" max="4103" width="9.85546875" style="3581" customWidth="1"/>
    <col min="4104" max="4104" width="9.5703125" style="3581" customWidth="1"/>
    <col min="4105" max="4105" width="11.42578125" style="3581"/>
    <col min="4106" max="4106" width="8.140625" style="3581" customWidth="1"/>
    <col min="4107" max="4107" width="9.28515625" style="3581" customWidth="1"/>
    <col min="4108" max="4108" width="10.28515625" style="3581" customWidth="1"/>
    <col min="4109" max="4109" width="11.85546875" style="3581" bestFit="1" customWidth="1"/>
    <col min="4110" max="4110" width="9.5703125" style="3581" customWidth="1"/>
    <col min="4111" max="4114" width="11.5703125" style="3581" bestFit="1" customWidth="1"/>
    <col min="4115" max="4115" width="13.7109375" style="3581" customWidth="1"/>
    <col min="4116" max="4116" width="13.5703125" style="3581" customWidth="1"/>
    <col min="4117" max="4118" width="11.42578125" style="3581"/>
    <col min="4119" max="4119" width="9.42578125" style="3581" customWidth="1"/>
    <col min="4120" max="4120" width="10" style="3581" customWidth="1"/>
    <col min="4121" max="4352" width="11.42578125" style="3581"/>
    <col min="4353" max="4353" width="7.5703125" style="3581" customWidth="1"/>
    <col min="4354" max="4354" width="8" style="3581" customWidth="1"/>
    <col min="4355" max="4355" width="8.7109375" style="3581" customWidth="1"/>
    <col min="4356" max="4356" width="8.28515625" style="3581" customWidth="1"/>
    <col min="4357" max="4357" width="11" style="3581" customWidth="1"/>
    <col min="4358" max="4358" width="9.7109375" style="3581" customWidth="1"/>
    <col min="4359" max="4359" width="9.85546875" style="3581" customWidth="1"/>
    <col min="4360" max="4360" width="9.5703125" style="3581" customWidth="1"/>
    <col min="4361" max="4361" width="11.42578125" style="3581"/>
    <col min="4362" max="4362" width="8.140625" style="3581" customWidth="1"/>
    <col min="4363" max="4363" width="9.28515625" style="3581" customWidth="1"/>
    <col min="4364" max="4364" width="10.28515625" style="3581" customWidth="1"/>
    <col min="4365" max="4365" width="11.85546875" style="3581" bestFit="1" customWidth="1"/>
    <col min="4366" max="4366" width="9.5703125" style="3581" customWidth="1"/>
    <col min="4367" max="4370" width="11.5703125" style="3581" bestFit="1" customWidth="1"/>
    <col min="4371" max="4371" width="13.7109375" style="3581" customWidth="1"/>
    <col min="4372" max="4372" width="13.5703125" style="3581" customWidth="1"/>
    <col min="4373" max="4374" width="11.42578125" style="3581"/>
    <col min="4375" max="4375" width="9.42578125" style="3581" customWidth="1"/>
    <col min="4376" max="4376" width="10" style="3581" customWidth="1"/>
    <col min="4377" max="4608" width="11.42578125" style="3581"/>
    <col min="4609" max="4609" width="7.5703125" style="3581" customWidth="1"/>
    <col min="4610" max="4610" width="8" style="3581" customWidth="1"/>
    <col min="4611" max="4611" width="8.7109375" style="3581" customWidth="1"/>
    <col min="4612" max="4612" width="8.28515625" style="3581" customWidth="1"/>
    <col min="4613" max="4613" width="11" style="3581" customWidth="1"/>
    <col min="4614" max="4614" width="9.7109375" style="3581" customWidth="1"/>
    <col min="4615" max="4615" width="9.85546875" style="3581" customWidth="1"/>
    <col min="4616" max="4616" width="9.5703125" style="3581" customWidth="1"/>
    <col min="4617" max="4617" width="11.42578125" style="3581"/>
    <col min="4618" max="4618" width="8.140625" style="3581" customWidth="1"/>
    <col min="4619" max="4619" width="9.28515625" style="3581" customWidth="1"/>
    <col min="4620" max="4620" width="10.28515625" style="3581" customWidth="1"/>
    <col min="4621" max="4621" width="11.85546875" style="3581" bestFit="1" customWidth="1"/>
    <col min="4622" max="4622" width="9.5703125" style="3581" customWidth="1"/>
    <col min="4623" max="4626" width="11.5703125" style="3581" bestFit="1" customWidth="1"/>
    <col min="4627" max="4627" width="13.7109375" style="3581" customWidth="1"/>
    <col min="4628" max="4628" width="13.5703125" style="3581" customWidth="1"/>
    <col min="4629" max="4630" width="11.42578125" style="3581"/>
    <col min="4631" max="4631" width="9.42578125" style="3581" customWidth="1"/>
    <col min="4632" max="4632" width="10" style="3581" customWidth="1"/>
    <col min="4633" max="4864" width="11.42578125" style="3581"/>
    <col min="4865" max="4865" width="7.5703125" style="3581" customWidth="1"/>
    <col min="4866" max="4866" width="8" style="3581" customWidth="1"/>
    <col min="4867" max="4867" width="8.7109375" style="3581" customWidth="1"/>
    <col min="4868" max="4868" width="8.28515625" style="3581" customWidth="1"/>
    <col min="4869" max="4869" width="11" style="3581" customWidth="1"/>
    <col min="4870" max="4870" width="9.7109375" style="3581" customWidth="1"/>
    <col min="4871" max="4871" width="9.85546875" style="3581" customWidth="1"/>
    <col min="4872" max="4872" width="9.5703125" style="3581" customWidth="1"/>
    <col min="4873" max="4873" width="11.42578125" style="3581"/>
    <col min="4874" max="4874" width="8.140625" style="3581" customWidth="1"/>
    <col min="4875" max="4875" width="9.28515625" style="3581" customWidth="1"/>
    <col min="4876" max="4876" width="10.28515625" style="3581" customWidth="1"/>
    <col min="4877" max="4877" width="11.85546875" style="3581" bestFit="1" customWidth="1"/>
    <col min="4878" max="4878" width="9.5703125" style="3581" customWidth="1"/>
    <col min="4879" max="4882" width="11.5703125" style="3581" bestFit="1" customWidth="1"/>
    <col min="4883" max="4883" width="13.7109375" style="3581" customWidth="1"/>
    <col min="4884" max="4884" width="13.5703125" style="3581" customWidth="1"/>
    <col min="4885" max="4886" width="11.42578125" style="3581"/>
    <col min="4887" max="4887" width="9.42578125" style="3581" customWidth="1"/>
    <col min="4888" max="4888" width="10" style="3581" customWidth="1"/>
    <col min="4889" max="5120" width="11.42578125" style="3581"/>
    <col min="5121" max="5121" width="7.5703125" style="3581" customWidth="1"/>
    <col min="5122" max="5122" width="8" style="3581" customWidth="1"/>
    <col min="5123" max="5123" width="8.7109375" style="3581" customWidth="1"/>
    <col min="5124" max="5124" width="8.28515625" style="3581" customWidth="1"/>
    <col min="5125" max="5125" width="11" style="3581" customWidth="1"/>
    <col min="5126" max="5126" width="9.7109375" style="3581" customWidth="1"/>
    <col min="5127" max="5127" width="9.85546875" style="3581" customWidth="1"/>
    <col min="5128" max="5128" width="9.5703125" style="3581" customWidth="1"/>
    <col min="5129" max="5129" width="11.42578125" style="3581"/>
    <col min="5130" max="5130" width="8.140625" style="3581" customWidth="1"/>
    <col min="5131" max="5131" width="9.28515625" style="3581" customWidth="1"/>
    <col min="5132" max="5132" width="10.28515625" style="3581" customWidth="1"/>
    <col min="5133" max="5133" width="11.85546875" style="3581" bestFit="1" customWidth="1"/>
    <col min="5134" max="5134" width="9.5703125" style="3581" customWidth="1"/>
    <col min="5135" max="5138" width="11.5703125" style="3581" bestFit="1" customWidth="1"/>
    <col min="5139" max="5139" width="13.7109375" style="3581" customWidth="1"/>
    <col min="5140" max="5140" width="13.5703125" style="3581" customWidth="1"/>
    <col min="5141" max="5142" width="11.42578125" style="3581"/>
    <col min="5143" max="5143" width="9.42578125" style="3581" customWidth="1"/>
    <col min="5144" max="5144" width="10" style="3581" customWidth="1"/>
    <col min="5145" max="5376" width="11.42578125" style="3581"/>
    <col min="5377" max="5377" width="7.5703125" style="3581" customWidth="1"/>
    <col min="5378" max="5378" width="8" style="3581" customWidth="1"/>
    <col min="5379" max="5379" width="8.7109375" style="3581" customWidth="1"/>
    <col min="5380" max="5380" width="8.28515625" style="3581" customWidth="1"/>
    <col min="5381" max="5381" width="11" style="3581" customWidth="1"/>
    <col min="5382" max="5382" width="9.7109375" style="3581" customWidth="1"/>
    <col min="5383" max="5383" width="9.85546875" style="3581" customWidth="1"/>
    <col min="5384" max="5384" width="9.5703125" style="3581" customWidth="1"/>
    <col min="5385" max="5385" width="11.42578125" style="3581"/>
    <col min="5386" max="5386" width="8.140625" style="3581" customWidth="1"/>
    <col min="5387" max="5387" width="9.28515625" style="3581" customWidth="1"/>
    <col min="5388" max="5388" width="10.28515625" style="3581" customWidth="1"/>
    <col min="5389" max="5389" width="11.85546875" style="3581" bestFit="1" customWidth="1"/>
    <col min="5390" max="5390" width="9.5703125" style="3581" customWidth="1"/>
    <col min="5391" max="5394" width="11.5703125" style="3581" bestFit="1" customWidth="1"/>
    <col min="5395" max="5395" width="13.7109375" style="3581" customWidth="1"/>
    <col min="5396" max="5396" width="13.5703125" style="3581" customWidth="1"/>
    <col min="5397" max="5398" width="11.42578125" style="3581"/>
    <col min="5399" max="5399" width="9.42578125" style="3581" customWidth="1"/>
    <col min="5400" max="5400" width="10" style="3581" customWidth="1"/>
    <col min="5401" max="5632" width="11.42578125" style="3581"/>
    <col min="5633" max="5633" width="7.5703125" style="3581" customWidth="1"/>
    <col min="5634" max="5634" width="8" style="3581" customWidth="1"/>
    <col min="5635" max="5635" width="8.7109375" style="3581" customWidth="1"/>
    <col min="5636" max="5636" width="8.28515625" style="3581" customWidth="1"/>
    <col min="5637" max="5637" width="11" style="3581" customWidth="1"/>
    <col min="5638" max="5638" width="9.7109375" style="3581" customWidth="1"/>
    <col min="5639" max="5639" width="9.85546875" style="3581" customWidth="1"/>
    <col min="5640" max="5640" width="9.5703125" style="3581" customWidth="1"/>
    <col min="5641" max="5641" width="11.42578125" style="3581"/>
    <col min="5642" max="5642" width="8.140625" style="3581" customWidth="1"/>
    <col min="5643" max="5643" width="9.28515625" style="3581" customWidth="1"/>
    <col min="5644" max="5644" width="10.28515625" style="3581" customWidth="1"/>
    <col min="5645" max="5645" width="11.85546875" style="3581" bestFit="1" customWidth="1"/>
    <col min="5646" max="5646" width="9.5703125" style="3581" customWidth="1"/>
    <col min="5647" max="5650" width="11.5703125" style="3581" bestFit="1" customWidth="1"/>
    <col min="5651" max="5651" width="13.7109375" style="3581" customWidth="1"/>
    <col min="5652" max="5652" width="13.5703125" style="3581" customWidth="1"/>
    <col min="5653" max="5654" width="11.42578125" style="3581"/>
    <col min="5655" max="5655" width="9.42578125" style="3581" customWidth="1"/>
    <col min="5656" max="5656" width="10" style="3581" customWidth="1"/>
    <col min="5657" max="5888" width="11.42578125" style="3581"/>
    <col min="5889" max="5889" width="7.5703125" style="3581" customWidth="1"/>
    <col min="5890" max="5890" width="8" style="3581" customWidth="1"/>
    <col min="5891" max="5891" width="8.7109375" style="3581" customWidth="1"/>
    <col min="5892" max="5892" width="8.28515625" style="3581" customWidth="1"/>
    <col min="5893" max="5893" width="11" style="3581" customWidth="1"/>
    <col min="5894" max="5894" width="9.7109375" style="3581" customWidth="1"/>
    <col min="5895" max="5895" width="9.85546875" style="3581" customWidth="1"/>
    <col min="5896" max="5896" width="9.5703125" style="3581" customWidth="1"/>
    <col min="5897" max="5897" width="11.42578125" style="3581"/>
    <col min="5898" max="5898" width="8.140625" style="3581" customWidth="1"/>
    <col min="5899" max="5899" width="9.28515625" style="3581" customWidth="1"/>
    <col min="5900" max="5900" width="10.28515625" style="3581" customWidth="1"/>
    <col min="5901" max="5901" width="11.85546875" style="3581" bestFit="1" customWidth="1"/>
    <col min="5902" max="5902" width="9.5703125" style="3581" customWidth="1"/>
    <col min="5903" max="5906" width="11.5703125" style="3581" bestFit="1" customWidth="1"/>
    <col min="5907" max="5907" width="13.7109375" style="3581" customWidth="1"/>
    <col min="5908" max="5908" width="13.5703125" style="3581" customWidth="1"/>
    <col min="5909" max="5910" width="11.42578125" style="3581"/>
    <col min="5911" max="5911" width="9.42578125" style="3581" customWidth="1"/>
    <col min="5912" max="5912" width="10" style="3581" customWidth="1"/>
    <col min="5913" max="6144" width="11.42578125" style="3581"/>
    <col min="6145" max="6145" width="7.5703125" style="3581" customWidth="1"/>
    <col min="6146" max="6146" width="8" style="3581" customWidth="1"/>
    <col min="6147" max="6147" width="8.7109375" style="3581" customWidth="1"/>
    <col min="6148" max="6148" width="8.28515625" style="3581" customWidth="1"/>
    <col min="6149" max="6149" width="11" style="3581" customWidth="1"/>
    <col min="6150" max="6150" width="9.7109375" style="3581" customWidth="1"/>
    <col min="6151" max="6151" width="9.85546875" style="3581" customWidth="1"/>
    <col min="6152" max="6152" width="9.5703125" style="3581" customWidth="1"/>
    <col min="6153" max="6153" width="11.42578125" style="3581"/>
    <col min="6154" max="6154" width="8.140625" style="3581" customWidth="1"/>
    <col min="6155" max="6155" width="9.28515625" style="3581" customWidth="1"/>
    <col min="6156" max="6156" width="10.28515625" style="3581" customWidth="1"/>
    <col min="6157" max="6157" width="11.85546875" style="3581" bestFit="1" customWidth="1"/>
    <col min="6158" max="6158" width="9.5703125" style="3581" customWidth="1"/>
    <col min="6159" max="6162" width="11.5703125" style="3581" bestFit="1" customWidth="1"/>
    <col min="6163" max="6163" width="13.7109375" style="3581" customWidth="1"/>
    <col min="6164" max="6164" width="13.5703125" style="3581" customWidth="1"/>
    <col min="6165" max="6166" width="11.42578125" style="3581"/>
    <col min="6167" max="6167" width="9.42578125" style="3581" customWidth="1"/>
    <col min="6168" max="6168" width="10" style="3581" customWidth="1"/>
    <col min="6169" max="6400" width="11.42578125" style="3581"/>
    <col min="6401" max="6401" width="7.5703125" style="3581" customWidth="1"/>
    <col min="6402" max="6402" width="8" style="3581" customWidth="1"/>
    <col min="6403" max="6403" width="8.7109375" style="3581" customWidth="1"/>
    <col min="6404" max="6404" width="8.28515625" style="3581" customWidth="1"/>
    <col min="6405" max="6405" width="11" style="3581" customWidth="1"/>
    <col min="6406" max="6406" width="9.7109375" style="3581" customWidth="1"/>
    <col min="6407" max="6407" width="9.85546875" style="3581" customWidth="1"/>
    <col min="6408" max="6408" width="9.5703125" style="3581" customWidth="1"/>
    <col min="6409" max="6409" width="11.42578125" style="3581"/>
    <col min="6410" max="6410" width="8.140625" style="3581" customWidth="1"/>
    <col min="6411" max="6411" width="9.28515625" style="3581" customWidth="1"/>
    <col min="6412" max="6412" width="10.28515625" style="3581" customWidth="1"/>
    <col min="6413" max="6413" width="11.85546875" style="3581" bestFit="1" customWidth="1"/>
    <col min="6414" max="6414" width="9.5703125" style="3581" customWidth="1"/>
    <col min="6415" max="6418" width="11.5703125" style="3581" bestFit="1" customWidth="1"/>
    <col min="6419" max="6419" width="13.7109375" style="3581" customWidth="1"/>
    <col min="6420" max="6420" width="13.5703125" style="3581" customWidth="1"/>
    <col min="6421" max="6422" width="11.42578125" style="3581"/>
    <col min="6423" max="6423" width="9.42578125" style="3581" customWidth="1"/>
    <col min="6424" max="6424" width="10" style="3581" customWidth="1"/>
    <col min="6425" max="6656" width="11.42578125" style="3581"/>
    <col min="6657" max="6657" width="7.5703125" style="3581" customWidth="1"/>
    <col min="6658" max="6658" width="8" style="3581" customWidth="1"/>
    <col min="6659" max="6659" width="8.7109375" style="3581" customWidth="1"/>
    <col min="6660" max="6660" width="8.28515625" style="3581" customWidth="1"/>
    <col min="6661" max="6661" width="11" style="3581" customWidth="1"/>
    <col min="6662" max="6662" width="9.7109375" style="3581" customWidth="1"/>
    <col min="6663" max="6663" width="9.85546875" style="3581" customWidth="1"/>
    <col min="6664" max="6664" width="9.5703125" style="3581" customWidth="1"/>
    <col min="6665" max="6665" width="11.42578125" style="3581"/>
    <col min="6666" max="6666" width="8.140625" style="3581" customWidth="1"/>
    <col min="6667" max="6667" width="9.28515625" style="3581" customWidth="1"/>
    <col min="6668" max="6668" width="10.28515625" style="3581" customWidth="1"/>
    <col min="6669" max="6669" width="11.85546875" style="3581" bestFit="1" customWidth="1"/>
    <col min="6670" max="6670" width="9.5703125" style="3581" customWidth="1"/>
    <col min="6671" max="6674" width="11.5703125" style="3581" bestFit="1" customWidth="1"/>
    <col min="6675" max="6675" width="13.7109375" style="3581" customWidth="1"/>
    <col min="6676" max="6676" width="13.5703125" style="3581" customWidth="1"/>
    <col min="6677" max="6678" width="11.42578125" style="3581"/>
    <col min="6679" max="6679" width="9.42578125" style="3581" customWidth="1"/>
    <col min="6680" max="6680" width="10" style="3581" customWidth="1"/>
    <col min="6681" max="6912" width="11.42578125" style="3581"/>
    <col min="6913" max="6913" width="7.5703125" style="3581" customWidth="1"/>
    <col min="6914" max="6914" width="8" style="3581" customWidth="1"/>
    <col min="6915" max="6915" width="8.7109375" style="3581" customWidth="1"/>
    <col min="6916" max="6916" width="8.28515625" style="3581" customWidth="1"/>
    <col min="6917" max="6917" width="11" style="3581" customWidth="1"/>
    <col min="6918" max="6918" width="9.7109375" style="3581" customWidth="1"/>
    <col min="6919" max="6919" width="9.85546875" style="3581" customWidth="1"/>
    <col min="6920" max="6920" width="9.5703125" style="3581" customWidth="1"/>
    <col min="6921" max="6921" width="11.42578125" style="3581"/>
    <col min="6922" max="6922" width="8.140625" style="3581" customWidth="1"/>
    <col min="6923" max="6923" width="9.28515625" style="3581" customWidth="1"/>
    <col min="6924" max="6924" width="10.28515625" style="3581" customWidth="1"/>
    <col min="6925" max="6925" width="11.85546875" style="3581" bestFit="1" customWidth="1"/>
    <col min="6926" max="6926" width="9.5703125" style="3581" customWidth="1"/>
    <col min="6927" max="6930" width="11.5703125" style="3581" bestFit="1" customWidth="1"/>
    <col min="6931" max="6931" width="13.7109375" style="3581" customWidth="1"/>
    <col min="6932" max="6932" width="13.5703125" style="3581" customWidth="1"/>
    <col min="6933" max="6934" width="11.42578125" style="3581"/>
    <col min="6935" max="6935" width="9.42578125" style="3581" customWidth="1"/>
    <col min="6936" max="6936" width="10" style="3581" customWidth="1"/>
    <col min="6937" max="7168" width="11.42578125" style="3581"/>
    <col min="7169" max="7169" width="7.5703125" style="3581" customWidth="1"/>
    <col min="7170" max="7170" width="8" style="3581" customWidth="1"/>
    <col min="7171" max="7171" width="8.7109375" style="3581" customWidth="1"/>
    <col min="7172" max="7172" width="8.28515625" style="3581" customWidth="1"/>
    <col min="7173" max="7173" width="11" style="3581" customWidth="1"/>
    <col min="7174" max="7174" width="9.7109375" style="3581" customWidth="1"/>
    <col min="7175" max="7175" width="9.85546875" style="3581" customWidth="1"/>
    <col min="7176" max="7176" width="9.5703125" style="3581" customWidth="1"/>
    <col min="7177" max="7177" width="11.42578125" style="3581"/>
    <col min="7178" max="7178" width="8.140625" style="3581" customWidth="1"/>
    <col min="7179" max="7179" width="9.28515625" style="3581" customWidth="1"/>
    <col min="7180" max="7180" width="10.28515625" style="3581" customWidth="1"/>
    <col min="7181" max="7181" width="11.85546875" style="3581" bestFit="1" customWidth="1"/>
    <col min="7182" max="7182" width="9.5703125" style="3581" customWidth="1"/>
    <col min="7183" max="7186" width="11.5703125" style="3581" bestFit="1" customWidth="1"/>
    <col min="7187" max="7187" width="13.7109375" style="3581" customWidth="1"/>
    <col min="7188" max="7188" width="13.5703125" style="3581" customWidth="1"/>
    <col min="7189" max="7190" width="11.42578125" style="3581"/>
    <col min="7191" max="7191" width="9.42578125" style="3581" customWidth="1"/>
    <col min="7192" max="7192" width="10" style="3581" customWidth="1"/>
    <col min="7193" max="7424" width="11.42578125" style="3581"/>
    <col min="7425" max="7425" width="7.5703125" style="3581" customWidth="1"/>
    <col min="7426" max="7426" width="8" style="3581" customWidth="1"/>
    <col min="7427" max="7427" width="8.7109375" style="3581" customWidth="1"/>
    <col min="7428" max="7428" width="8.28515625" style="3581" customWidth="1"/>
    <col min="7429" max="7429" width="11" style="3581" customWidth="1"/>
    <col min="7430" max="7430" width="9.7109375" style="3581" customWidth="1"/>
    <col min="7431" max="7431" width="9.85546875" style="3581" customWidth="1"/>
    <col min="7432" max="7432" width="9.5703125" style="3581" customWidth="1"/>
    <col min="7433" max="7433" width="11.42578125" style="3581"/>
    <col min="7434" max="7434" width="8.140625" style="3581" customWidth="1"/>
    <col min="7435" max="7435" width="9.28515625" style="3581" customWidth="1"/>
    <col min="7436" max="7436" width="10.28515625" style="3581" customWidth="1"/>
    <col min="7437" max="7437" width="11.85546875" style="3581" bestFit="1" customWidth="1"/>
    <col min="7438" max="7438" width="9.5703125" style="3581" customWidth="1"/>
    <col min="7439" max="7442" width="11.5703125" style="3581" bestFit="1" customWidth="1"/>
    <col min="7443" max="7443" width="13.7109375" style="3581" customWidth="1"/>
    <col min="7444" max="7444" width="13.5703125" style="3581" customWidth="1"/>
    <col min="7445" max="7446" width="11.42578125" style="3581"/>
    <col min="7447" max="7447" width="9.42578125" style="3581" customWidth="1"/>
    <col min="7448" max="7448" width="10" style="3581" customWidth="1"/>
    <col min="7449" max="7680" width="11.42578125" style="3581"/>
    <col min="7681" max="7681" width="7.5703125" style="3581" customWidth="1"/>
    <col min="7682" max="7682" width="8" style="3581" customWidth="1"/>
    <col min="7683" max="7683" width="8.7109375" style="3581" customWidth="1"/>
    <col min="7684" max="7684" width="8.28515625" style="3581" customWidth="1"/>
    <col min="7685" max="7685" width="11" style="3581" customWidth="1"/>
    <col min="7686" max="7686" width="9.7109375" style="3581" customWidth="1"/>
    <col min="7687" max="7687" width="9.85546875" style="3581" customWidth="1"/>
    <col min="7688" max="7688" width="9.5703125" style="3581" customWidth="1"/>
    <col min="7689" max="7689" width="11.42578125" style="3581"/>
    <col min="7690" max="7690" width="8.140625" style="3581" customWidth="1"/>
    <col min="7691" max="7691" width="9.28515625" style="3581" customWidth="1"/>
    <col min="7692" max="7692" width="10.28515625" style="3581" customWidth="1"/>
    <col min="7693" max="7693" width="11.85546875" style="3581" bestFit="1" customWidth="1"/>
    <col min="7694" max="7694" width="9.5703125" style="3581" customWidth="1"/>
    <col min="7695" max="7698" width="11.5703125" style="3581" bestFit="1" customWidth="1"/>
    <col min="7699" max="7699" width="13.7109375" style="3581" customWidth="1"/>
    <col min="7700" max="7700" width="13.5703125" style="3581" customWidth="1"/>
    <col min="7701" max="7702" width="11.42578125" style="3581"/>
    <col min="7703" max="7703" width="9.42578125" style="3581" customWidth="1"/>
    <col min="7704" max="7704" width="10" style="3581" customWidth="1"/>
    <col min="7705" max="7936" width="11.42578125" style="3581"/>
    <col min="7937" max="7937" width="7.5703125" style="3581" customWidth="1"/>
    <col min="7938" max="7938" width="8" style="3581" customWidth="1"/>
    <col min="7939" max="7939" width="8.7109375" style="3581" customWidth="1"/>
    <col min="7940" max="7940" width="8.28515625" style="3581" customWidth="1"/>
    <col min="7941" max="7941" width="11" style="3581" customWidth="1"/>
    <col min="7942" max="7942" width="9.7109375" style="3581" customWidth="1"/>
    <col min="7943" max="7943" width="9.85546875" style="3581" customWidth="1"/>
    <col min="7944" max="7944" width="9.5703125" style="3581" customWidth="1"/>
    <col min="7945" max="7945" width="11.42578125" style="3581"/>
    <col min="7946" max="7946" width="8.140625" style="3581" customWidth="1"/>
    <col min="7947" max="7947" width="9.28515625" style="3581" customWidth="1"/>
    <col min="7948" max="7948" width="10.28515625" style="3581" customWidth="1"/>
    <col min="7949" max="7949" width="11.85546875" style="3581" bestFit="1" customWidth="1"/>
    <col min="7950" max="7950" width="9.5703125" style="3581" customWidth="1"/>
    <col min="7951" max="7954" width="11.5703125" style="3581" bestFit="1" customWidth="1"/>
    <col min="7955" max="7955" width="13.7109375" style="3581" customWidth="1"/>
    <col min="7956" max="7956" width="13.5703125" style="3581" customWidth="1"/>
    <col min="7957" max="7958" width="11.42578125" style="3581"/>
    <col min="7959" max="7959" width="9.42578125" style="3581" customWidth="1"/>
    <col min="7960" max="7960" width="10" style="3581" customWidth="1"/>
    <col min="7961" max="8192" width="11.42578125" style="3581"/>
    <col min="8193" max="8193" width="7.5703125" style="3581" customWidth="1"/>
    <col min="8194" max="8194" width="8" style="3581" customWidth="1"/>
    <col min="8195" max="8195" width="8.7109375" style="3581" customWidth="1"/>
    <col min="8196" max="8196" width="8.28515625" style="3581" customWidth="1"/>
    <col min="8197" max="8197" width="11" style="3581" customWidth="1"/>
    <col min="8198" max="8198" width="9.7109375" style="3581" customWidth="1"/>
    <col min="8199" max="8199" width="9.85546875" style="3581" customWidth="1"/>
    <col min="8200" max="8200" width="9.5703125" style="3581" customWidth="1"/>
    <col min="8201" max="8201" width="11.42578125" style="3581"/>
    <col min="8202" max="8202" width="8.140625" style="3581" customWidth="1"/>
    <col min="8203" max="8203" width="9.28515625" style="3581" customWidth="1"/>
    <col min="8204" max="8204" width="10.28515625" style="3581" customWidth="1"/>
    <col min="8205" max="8205" width="11.85546875" style="3581" bestFit="1" customWidth="1"/>
    <col min="8206" max="8206" width="9.5703125" style="3581" customWidth="1"/>
    <col min="8207" max="8210" width="11.5703125" style="3581" bestFit="1" customWidth="1"/>
    <col min="8211" max="8211" width="13.7109375" style="3581" customWidth="1"/>
    <col min="8212" max="8212" width="13.5703125" style="3581" customWidth="1"/>
    <col min="8213" max="8214" width="11.42578125" style="3581"/>
    <col min="8215" max="8215" width="9.42578125" style="3581" customWidth="1"/>
    <col min="8216" max="8216" width="10" style="3581" customWidth="1"/>
    <col min="8217" max="8448" width="11.42578125" style="3581"/>
    <col min="8449" max="8449" width="7.5703125" style="3581" customWidth="1"/>
    <col min="8450" max="8450" width="8" style="3581" customWidth="1"/>
    <col min="8451" max="8451" width="8.7109375" style="3581" customWidth="1"/>
    <col min="8452" max="8452" width="8.28515625" style="3581" customWidth="1"/>
    <col min="8453" max="8453" width="11" style="3581" customWidth="1"/>
    <col min="8454" max="8454" width="9.7109375" style="3581" customWidth="1"/>
    <col min="8455" max="8455" width="9.85546875" style="3581" customWidth="1"/>
    <col min="8456" max="8456" width="9.5703125" style="3581" customWidth="1"/>
    <col min="8457" max="8457" width="11.42578125" style="3581"/>
    <col min="8458" max="8458" width="8.140625" style="3581" customWidth="1"/>
    <col min="8459" max="8459" width="9.28515625" style="3581" customWidth="1"/>
    <col min="8460" max="8460" width="10.28515625" style="3581" customWidth="1"/>
    <col min="8461" max="8461" width="11.85546875" style="3581" bestFit="1" customWidth="1"/>
    <col min="8462" max="8462" width="9.5703125" style="3581" customWidth="1"/>
    <col min="8463" max="8466" width="11.5703125" style="3581" bestFit="1" customWidth="1"/>
    <col min="8467" max="8467" width="13.7109375" style="3581" customWidth="1"/>
    <col min="8468" max="8468" width="13.5703125" style="3581" customWidth="1"/>
    <col min="8469" max="8470" width="11.42578125" style="3581"/>
    <col min="8471" max="8471" width="9.42578125" style="3581" customWidth="1"/>
    <col min="8472" max="8472" width="10" style="3581" customWidth="1"/>
    <col min="8473" max="8704" width="11.42578125" style="3581"/>
    <col min="8705" max="8705" width="7.5703125" style="3581" customWidth="1"/>
    <col min="8706" max="8706" width="8" style="3581" customWidth="1"/>
    <col min="8707" max="8707" width="8.7109375" style="3581" customWidth="1"/>
    <col min="8708" max="8708" width="8.28515625" style="3581" customWidth="1"/>
    <col min="8709" max="8709" width="11" style="3581" customWidth="1"/>
    <col min="8710" max="8710" width="9.7109375" style="3581" customWidth="1"/>
    <col min="8711" max="8711" width="9.85546875" style="3581" customWidth="1"/>
    <col min="8712" max="8712" width="9.5703125" style="3581" customWidth="1"/>
    <col min="8713" max="8713" width="11.42578125" style="3581"/>
    <col min="8714" max="8714" width="8.140625" style="3581" customWidth="1"/>
    <col min="8715" max="8715" width="9.28515625" style="3581" customWidth="1"/>
    <col min="8716" max="8716" width="10.28515625" style="3581" customWidth="1"/>
    <col min="8717" max="8717" width="11.85546875" style="3581" bestFit="1" customWidth="1"/>
    <col min="8718" max="8718" width="9.5703125" style="3581" customWidth="1"/>
    <col min="8719" max="8722" width="11.5703125" style="3581" bestFit="1" customWidth="1"/>
    <col min="8723" max="8723" width="13.7109375" style="3581" customWidth="1"/>
    <col min="8724" max="8724" width="13.5703125" style="3581" customWidth="1"/>
    <col min="8725" max="8726" width="11.42578125" style="3581"/>
    <col min="8727" max="8727" width="9.42578125" style="3581" customWidth="1"/>
    <col min="8728" max="8728" width="10" style="3581" customWidth="1"/>
    <col min="8729" max="8960" width="11.42578125" style="3581"/>
    <col min="8961" max="8961" width="7.5703125" style="3581" customWidth="1"/>
    <col min="8962" max="8962" width="8" style="3581" customWidth="1"/>
    <col min="8963" max="8963" width="8.7109375" style="3581" customWidth="1"/>
    <col min="8964" max="8964" width="8.28515625" style="3581" customWidth="1"/>
    <col min="8965" max="8965" width="11" style="3581" customWidth="1"/>
    <col min="8966" max="8966" width="9.7109375" style="3581" customWidth="1"/>
    <col min="8967" max="8967" width="9.85546875" style="3581" customWidth="1"/>
    <col min="8968" max="8968" width="9.5703125" style="3581" customWidth="1"/>
    <col min="8969" max="8969" width="11.42578125" style="3581"/>
    <col min="8970" max="8970" width="8.140625" style="3581" customWidth="1"/>
    <col min="8971" max="8971" width="9.28515625" style="3581" customWidth="1"/>
    <col min="8972" max="8972" width="10.28515625" style="3581" customWidth="1"/>
    <col min="8973" max="8973" width="11.85546875" style="3581" bestFit="1" customWidth="1"/>
    <col min="8974" max="8974" width="9.5703125" style="3581" customWidth="1"/>
    <col min="8975" max="8978" width="11.5703125" style="3581" bestFit="1" customWidth="1"/>
    <col min="8979" max="8979" width="13.7109375" style="3581" customWidth="1"/>
    <col min="8980" max="8980" width="13.5703125" style="3581" customWidth="1"/>
    <col min="8981" max="8982" width="11.42578125" style="3581"/>
    <col min="8983" max="8983" width="9.42578125" style="3581" customWidth="1"/>
    <col min="8984" max="8984" width="10" style="3581" customWidth="1"/>
    <col min="8985" max="9216" width="11.42578125" style="3581"/>
    <col min="9217" max="9217" width="7.5703125" style="3581" customWidth="1"/>
    <col min="9218" max="9218" width="8" style="3581" customWidth="1"/>
    <col min="9219" max="9219" width="8.7109375" style="3581" customWidth="1"/>
    <col min="9220" max="9220" width="8.28515625" style="3581" customWidth="1"/>
    <col min="9221" max="9221" width="11" style="3581" customWidth="1"/>
    <col min="9222" max="9222" width="9.7109375" style="3581" customWidth="1"/>
    <col min="9223" max="9223" width="9.85546875" style="3581" customWidth="1"/>
    <col min="9224" max="9224" width="9.5703125" style="3581" customWidth="1"/>
    <col min="9225" max="9225" width="11.42578125" style="3581"/>
    <col min="9226" max="9226" width="8.140625" style="3581" customWidth="1"/>
    <col min="9227" max="9227" width="9.28515625" style="3581" customWidth="1"/>
    <col min="9228" max="9228" width="10.28515625" style="3581" customWidth="1"/>
    <col min="9229" max="9229" width="11.85546875" style="3581" bestFit="1" customWidth="1"/>
    <col min="9230" max="9230" width="9.5703125" style="3581" customWidth="1"/>
    <col min="9231" max="9234" width="11.5703125" style="3581" bestFit="1" customWidth="1"/>
    <col min="9235" max="9235" width="13.7109375" style="3581" customWidth="1"/>
    <col min="9236" max="9236" width="13.5703125" style="3581" customWidth="1"/>
    <col min="9237" max="9238" width="11.42578125" style="3581"/>
    <col min="9239" max="9239" width="9.42578125" style="3581" customWidth="1"/>
    <col min="9240" max="9240" width="10" style="3581" customWidth="1"/>
    <col min="9241" max="9472" width="11.42578125" style="3581"/>
    <col min="9473" max="9473" width="7.5703125" style="3581" customWidth="1"/>
    <col min="9474" max="9474" width="8" style="3581" customWidth="1"/>
    <col min="9475" max="9475" width="8.7109375" style="3581" customWidth="1"/>
    <col min="9476" max="9476" width="8.28515625" style="3581" customWidth="1"/>
    <col min="9477" max="9477" width="11" style="3581" customWidth="1"/>
    <col min="9478" max="9478" width="9.7109375" style="3581" customWidth="1"/>
    <col min="9479" max="9479" width="9.85546875" style="3581" customWidth="1"/>
    <col min="9480" max="9480" width="9.5703125" style="3581" customWidth="1"/>
    <col min="9481" max="9481" width="11.42578125" style="3581"/>
    <col min="9482" max="9482" width="8.140625" style="3581" customWidth="1"/>
    <col min="9483" max="9483" width="9.28515625" style="3581" customWidth="1"/>
    <col min="9484" max="9484" width="10.28515625" style="3581" customWidth="1"/>
    <col min="9485" max="9485" width="11.85546875" style="3581" bestFit="1" customWidth="1"/>
    <col min="9486" max="9486" width="9.5703125" style="3581" customWidth="1"/>
    <col min="9487" max="9490" width="11.5703125" style="3581" bestFit="1" customWidth="1"/>
    <col min="9491" max="9491" width="13.7109375" style="3581" customWidth="1"/>
    <col min="9492" max="9492" width="13.5703125" style="3581" customWidth="1"/>
    <col min="9493" max="9494" width="11.42578125" style="3581"/>
    <col min="9495" max="9495" width="9.42578125" style="3581" customWidth="1"/>
    <col min="9496" max="9496" width="10" style="3581" customWidth="1"/>
    <col min="9497" max="9728" width="11.42578125" style="3581"/>
    <col min="9729" max="9729" width="7.5703125" style="3581" customWidth="1"/>
    <col min="9730" max="9730" width="8" style="3581" customWidth="1"/>
    <col min="9731" max="9731" width="8.7109375" style="3581" customWidth="1"/>
    <col min="9732" max="9732" width="8.28515625" style="3581" customWidth="1"/>
    <col min="9733" max="9733" width="11" style="3581" customWidth="1"/>
    <col min="9734" max="9734" width="9.7109375" style="3581" customWidth="1"/>
    <col min="9735" max="9735" width="9.85546875" style="3581" customWidth="1"/>
    <col min="9736" max="9736" width="9.5703125" style="3581" customWidth="1"/>
    <col min="9737" max="9737" width="11.42578125" style="3581"/>
    <col min="9738" max="9738" width="8.140625" style="3581" customWidth="1"/>
    <col min="9739" max="9739" width="9.28515625" style="3581" customWidth="1"/>
    <col min="9740" max="9740" width="10.28515625" style="3581" customWidth="1"/>
    <col min="9741" max="9741" width="11.85546875" style="3581" bestFit="1" customWidth="1"/>
    <col min="9742" max="9742" width="9.5703125" style="3581" customWidth="1"/>
    <col min="9743" max="9746" width="11.5703125" style="3581" bestFit="1" customWidth="1"/>
    <col min="9747" max="9747" width="13.7109375" style="3581" customWidth="1"/>
    <col min="9748" max="9748" width="13.5703125" style="3581" customWidth="1"/>
    <col min="9749" max="9750" width="11.42578125" style="3581"/>
    <col min="9751" max="9751" width="9.42578125" style="3581" customWidth="1"/>
    <col min="9752" max="9752" width="10" style="3581" customWidth="1"/>
    <col min="9753" max="9984" width="11.42578125" style="3581"/>
    <col min="9985" max="9985" width="7.5703125" style="3581" customWidth="1"/>
    <col min="9986" max="9986" width="8" style="3581" customWidth="1"/>
    <col min="9987" max="9987" width="8.7109375" style="3581" customWidth="1"/>
    <col min="9988" max="9988" width="8.28515625" style="3581" customWidth="1"/>
    <col min="9989" max="9989" width="11" style="3581" customWidth="1"/>
    <col min="9990" max="9990" width="9.7109375" style="3581" customWidth="1"/>
    <col min="9991" max="9991" width="9.85546875" style="3581" customWidth="1"/>
    <col min="9992" max="9992" width="9.5703125" style="3581" customWidth="1"/>
    <col min="9993" max="9993" width="11.42578125" style="3581"/>
    <col min="9994" max="9994" width="8.140625" style="3581" customWidth="1"/>
    <col min="9995" max="9995" width="9.28515625" style="3581" customWidth="1"/>
    <col min="9996" max="9996" width="10.28515625" style="3581" customWidth="1"/>
    <col min="9997" max="9997" width="11.85546875" style="3581" bestFit="1" customWidth="1"/>
    <col min="9998" max="9998" width="9.5703125" style="3581" customWidth="1"/>
    <col min="9999" max="10002" width="11.5703125" style="3581" bestFit="1" customWidth="1"/>
    <col min="10003" max="10003" width="13.7109375" style="3581" customWidth="1"/>
    <col min="10004" max="10004" width="13.5703125" style="3581" customWidth="1"/>
    <col min="10005" max="10006" width="11.42578125" style="3581"/>
    <col min="10007" max="10007" width="9.42578125" style="3581" customWidth="1"/>
    <col min="10008" max="10008" width="10" style="3581" customWidth="1"/>
    <col min="10009" max="10240" width="11.42578125" style="3581"/>
    <col min="10241" max="10241" width="7.5703125" style="3581" customWidth="1"/>
    <col min="10242" max="10242" width="8" style="3581" customWidth="1"/>
    <col min="10243" max="10243" width="8.7109375" style="3581" customWidth="1"/>
    <col min="10244" max="10244" width="8.28515625" style="3581" customWidth="1"/>
    <col min="10245" max="10245" width="11" style="3581" customWidth="1"/>
    <col min="10246" max="10246" width="9.7109375" style="3581" customWidth="1"/>
    <col min="10247" max="10247" width="9.85546875" style="3581" customWidth="1"/>
    <col min="10248" max="10248" width="9.5703125" style="3581" customWidth="1"/>
    <col min="10249" max="10249" width="11.42578125" style="3581"/>
    <col min="10250" max="10250" width="8.140625" style="3581" customWidth="1"/>
    <col min="10251" max="10251" width="9.28515625" style="3581" customWidth="1"/>
    <col min="10252" max="10252" width="10.28515625" style="3581" customWidth="1"/>
    <col min="10253" max="10253" width="11.85546875" style="3581" bestFit="1" customWidth="1"/>
    <col min="10254" max="10254" width="9.5703125" style="3581" customWidth="1"/>
    <col min="10255" max="10258" width="11.5703125" style="3581" bestFit="1" customWidth="1"/>
    <col min="10259" max="10259" width="13.7109375" style="3581" customWidth="1"/>
    <col min="10260" max="10260" width="13.5703125" style="3581" customWidth="1"/>
    <col min="10261" max="10262" width="11.42578125" style="3581"/>
    <col min="10263" max="10263" width="9.42578125" style="3581" customWidth="1"/>
    <col min="10264" max="10264" width="10" style="3581" customWidth="1"/>
    <col min="10265" max="10496" width="11.42578125" style="3581"/>
    <col min="10497" max="10497" width="7.5703125" style="3581" customWidth="1"/>
    <col min="10498" max="10498" width="8" style="3581" customWidth="1"/>
    <col min="10499" max="10499" width="8.7109375" style="3581" customWidth="1"/>
    <col min="10500" max="10500" width="8.28515625" style="3581" customWidth="1"/>
    <col min="10501" max="10501" width="11" style="3581" customWidth="1"/>
    <col min="10502" max="10502" width="9.7109375" style="3581" customWidth="1"/>
    <col min="10503" max="10503" width="9.85546875" style="3581" customWidth="1"/>
    <col min="10504" max="10504" width="9.5703125" style="3581" customWidth="1"/>
    <col min="10505" max="10505" width="11.42578125" style="3581"/>
    <col min="10506" max="10506" width="8.140625" style="3581" customWidth="1"/>
    <col min="10507" max="10507" width="9.28515625" style="3581" customWidth="1"/>
    <col min="10508" max="10508" width="10.28515625" style="3581" customWidth="1"/>
    <col min="10509" max="10509" width="11.85546875" style="3581" bestFit="1" customWidth="1"/>
    <col min="10510" max="10510" width="9.5703125" style="3581" customWidth="1"/>
    <col min="10511" max="10514" width="11.5703125" style="3581" bestFit="1" customWidth="1"/>
    <col min="10515" max="10515" width="13.7109375" style="3581" customWidth="1"/>
    <col min="10516" max="10516" width="13.5703125" style="3581" customWidth="1"/>
    <col min="10517" max="10518" width="11.42578125" style="3581"/>
    <col min="10519" max="10519" width="9.42578125" style="3581" customWidth="1"/>
    <col min="10520" max="10520" width="10" style="3581" customWidth="1"/>
    <col min="10521" max="10752" width="11.42578125" style="3581"/>
    <col min="10753" max="10753" width="7.5703125" style="3581" customWidth="1"/>
    <col min="10754" max="10754" width="8" style="3581" customWidth="1"/>
    <col min="10755" max="10755" width="8.7109375" style="3581" customWidth="1"/>
    <col min="10756" max="10756" width="8.28515625" style="3581" customWidth="1"/>
    <col min="10757" max="10757" width="11" style="3581" customWidth="1"/>
    <col min="10758" max="10758" width="9.7109375" style="3581" customWidth="1"/>
    <col min="10759" max="10759" width="9.85546875" style="3581" customWidth="1"/>
    <col min="10760" max="10760" width="9.5703125" style="3581" customWidth="1"/>
    <col min="10761" max="10761" width="11.42578125" style="3581"/>
    <col min="10762" max="10762" width="8.140625" style="3581" customWidth="1"/>
    <col min="10763" max="10763" width="9.28515625" style="3581" customWidth="1"/>
    <col min="10764" max="10764" width="10.28515625" style="3581" customWidth="1"/>
    <col min="10765" max="10765" width="11.85546875" style="3581" bestFit="1" customWidth="1"/>
    <col min="10766" max="10766" width="9.5703125" style="3581" customWidth="1"/>
    <col min="10767" max="10770" width="11.5703125" style="3581" bestFit="1" customWidth="1"/>
    <col min="10771" max="10771" width="13.7109375" style="3581" customWidth="1"/>
    <col min="10772" max="10772" width="13.5703125" style="3581" customWidth="1"/>
    <col min="10773" max="10774" width="11.42578125" style="3581"/>
    <col min="10775" max="10775" width="9.42578125" style="3581" customWidth="1"/>
    <col min="10776" max="10776" width="10" style="3581" customWidth="1"/>
    <col min="10777" max="11008" width="11.42578125" style="3581"/>
    <col min="11009" max="11009" width="7.5703125" style="3581" customWidth="1"/>
    <col min="11010" max="11010" width="8" style="3581" customWidth="1"/>
    <col min="11011" max="11011" width="8.7109375" style="3581" customWidth="1"/>
    <col min="11012" max="11012" width="8.28515625" style="3581" customWidth="1"/>
    <col min="11013" max="11013" width="11" style="3581" customWidth="1"/>
    <col min="11014" max="11014" width="9.7109375" style="3581" customWidth="1"/>
    <col min="11015" max="11015" width="9.85546875" style="3581" customWidth="1"/>
    <col min="11016" max="11016" width="9.5703125" style="3581" customWidth="1"/>
    <col min="11017" max="11017" width="11.42578125" style="3581"/>
    <col min="11018" max="11018" width="8.140625" style="3581" customWidth="1"/>
    <col min="11019" max="11019" width="9.28515625" style="3581" customWidth="1"/>
    <col min="11020" max="11020" width="10.28515625" style="3581" customWidth="1"/>
    <col min="11021" max="11021" width="11.85546875" style="3581" bestFit="1" customWidth="1"/>
    <col min="11022" max="11022" width="9.5703125" style="3581" customWidth="1"/>
    <col min="11023" max="11026" width="11.5703125" style="3581" bestFit="1" customWidth="1"/>
    <col min="11027" max="11027" width="13.7109375" style="3581" customWidth="1"/>
    <col min="11028" max="11028" width="13.5703125" style="3581" customWidth="1"/>
    <col min="11029" max="11030" width="11.42578125" style="3581"/>
    <col min="11031" max="11031" width="9.42578125" style="3581" customWidth="1"/>
    <col min="11032" max="11032" width="10" style="3581" customWidth="1"/>
    <col min="11033" max="11264" width="11.42578125" style="3581"/>
    <col min="11265" max="11265" width="7.5703125" style="3581" customWidth="1"/>
    <col min="11266" max="11266" width="8" style="3581" customWidth="1"/>
    <col min="11267" max="11267" width="8.7109375" style="3581" customWidth="1"/>
    <col min="11268" max="11268" width="8.28515625" style="3581" customWidth="1"/>
    <col min="11269" max="11269" width="11" style="3581" customWidth="1"/>
    <col min="11270" max="11270" width="9.7109375" style="3581" customWidth="1"/>
    <col min="11271" max="11271" width="9.85546875" style="3581" customWidth="1"/>
    <col min="11272" max="11272" width="9.5703125" style="3581" customWidth="1"/>
    <col min="11273" max="11273" width="11.42578125" style="3581"/>
    <col min="11274" max="11274" width="8.140625" style="3581" customWidth="1"/>
    <col min="11275" max="11275" width="9.28515625" style="3581" customWidth="1"/>
    <col min="11276" max="11276" width="10.28515625" style="3581" customWidth="1"/>
    <col min="11277" max="11277" width="11.85546875" style="3581" bestFit="1" customWidth="1"/>
    <col min="11278" max="11278" width="9.5703125" style="3581" customWidth="1"/>
    <col min="11279" max="11282" width="11.5703125" style="3581" bestFit="1" customWidth="1"/>
    <col min="11283" max="11283" width="13.7109375" style="3581" customWidth="1"/>
    <col min="11284" max="11284" width="13.5703125" style="3581" customWidth="1"/>
    <col min="11285" max="11286" width="11.42578125" style="3581"/>
    <col min="11287" max="11287" width="9.42578125" style="3581" customWidth="1"/>
    <col min="11288" max="11288" width="10" style="3581" customWidth="1"/>
    <col min="11289" max="11520" width="11.42578125" style="3581"/>
    <col min="11521" max="11521" width="7.5703125" style="3581" customWidth="1"/>
    <col min="11522" max="11522" width="8" style="3581" customWidth="1"/>
    <col min="11523" max="11523" width="8.7109375" style="3581" customWidth="1"/>
    <col min="11524" max="11524" width="8.28515625" style="3581" customWidth="1"/>
    <col min="11525" max="11525" width="11" style="3581" customWidth="1"/>
    <col min="11526" max="11526" width="9.7109375" style="3581" customWidth="1"/>
    <col min="11527" max="11527" width="9.85546875" style="3581" customWidth="1"/>
    <col min="11528" max="11528" width="9.5703125" style="3581" customWidth="1"/>
    <col min="11529" max="11529" width="11.42578125" style="3581"/>
    <col min="11530" max="11530" width="8.140625" style="3581" customWidth="1"/>
    <col min="11531" max="11531" width="9.28515625" style="3581" customWidth="1"/>
    <col min="11532" max="11532" width="10.28515625" style="3581" customWidth="1"/>
    <col min="11533" max="11533" width="11.85546875" style="3581" bestFit="1" customWidth="1"/>
    <col min="11534" max="11534" width="9.5703125" style="3581" customWidth="1"/>
    <col min="11535" max="11538" width="11.5703125" style="3581" bestFit="1" customWidth="1"/>
    <col min="11539" max="11539" width="13.7109375" style="3581" customWidth="1"/>
    <col min="11540" max="11540" width="13.5703125" style="3581" customWidth="1"/>
    <col min="11541" max="11542" width="11.42578125" style="3581"/>
    <col min="11543" max="11543" width="9.42578125" style="3581" customWidth="1"/>
    <col min="11544" max="11544" width="10" style="3581" customWidth="1"/>
    <col min="11545" max="11776" width="11.42578125" style="3581"/>
    <col min="11777" max="11777" width="7.5703125" style="3581" customWidth="1"/>
    <col min="11778" max="11778" width="8" style="3581" customWidth="1"/>
    <col min="11779" max="11779" width="8.7109375" style="3581" customWidth="1"/>
    <col min="11780" max="11780" width="8.28515625" style="3581" customWidth="1"/>
    <col min="11781" max="11781" width="11" style="3581" customWidth="1"/>
    <col min="11782" max="11782" width="9.7109375" style="3581" customWidth="1"/>
    <col min="11783" max="11783" width="9.85546875" style="3581" customWidth="1"/>
    <col min="11784" max="11784" width="9.5703125" style="3581" customWidth="1"/>
    <col min="11785" max="11785" width="11.42578125" style="3581"/>
    <col min="11786" max="11786" width="8.140625" style="3581" customWidth="1"/>
    <col min="11787" max="11787" width="9.28515625" style="3581" customWidth="1"/>
    <col min="11788" max="11788" width="10.28515625" style="3581" customWidth="1"/>
    <col min="11789" max="11789" width="11.85546875" style="3581" bestFit="1" customWidth="1"/>
    <col min="11790" max="11790" width="9.5703125" style="3581" customWidth="1"/>
    <col min="11791" max="11794" width="11.5703125" style="3581" bestFit="1" customWidth="1"/>
    <col min="11795" max="11795" width="13.7109375" style="3581" customWidth="1"/>
    <col min="11796" max="11796" width="13.5703125" style="3581" customWidth="1"/>
    <col min="11797" max="11798" width="11.42578125" style="3581"/>
    <col min="11799" max="11799" width="9.42578125" style="3581" customWidth="1"/>
    <col min="11800" max="11800" width="10" style="3581" customWidth="1"/>
    <col min="11801" max="12032" width="11.42578125" style="3581"/>
    <col min="12033" max="12033" width="7.5703125" style="3581" customWidth="1"/>
    <col min="12034" max="12034" width="8" style="3581" customWidth="1"/>
    <col min="12035" max="12035" width="8.7109375" style="3581" customWidth="1"/>
    <col min="12036" max="12036" width="8.28515625" style="3581" customWidth="1"/>
    <col min="12037" max="12037" width="11" style="3581" customWidth="1"/>
    <col min="12038" max="12038" width="9.7109375" style="3581" customWidth="1"/>
    <col min="12039" max="12039" width="9.85546875" style="3581" customWidth="1"/>
    <col min="12040" max="12040" width="9.5703125" style="3581" customWidth="1"/>
    <col min="12041" max="12041" width="11.42578125" style="3581"/>
    <col min="12042" max="12042" width="8.140625" style="3581" customWidth="1"/>
    <col min="12043" max="12043" width="9.28515625" style="3581" customWidth="1"/>
    <col min="12044" max="12044" width="10.28515625" style="3581" customWidth="1"/>
    <col min="12045" max="12045" width="11.85546875" style="3581" bestFit="1" customWidth="1"/>
    <col min="12046" max="12046" width="9.5703125" style="3581" customWidth="1"/>
    <col min="12047" max="12050" width="11.5703125" style="3581" bestFit="1" customWidth="1"/>
    <col min="12051" max="12051" width="13.7109375" style="3581" customWidth="1"/>
    <col min="12052" max="12052" width="13.5703125" style="3581" customWidth="1"/>
    <col min="12053" max="12054" width="11.42578125" style="3581"/>
    <col min="12055" max="12055" width="9.42578125" style="3581" customWidth="1"/>
    <col min="12056" max="12056" width="10" style="3581" customWidth="1"/>
    <col min="12057" max="12288" width="11.42578125" style="3581"/>
    <col min="12289" max="12289" width="7.5703125" style="3581" customWidth="1"/>
    <col min="12290" max="12290" width="8" style="3581" customWidth="1"/>
    <col min="12291" max="12291" width="8.7109375" style="3581" customWidth="1"/>
    <col min="12292" max="12292" width="8.28515625" style="3581" customWidth="1"/>
    <col min="12293" max="12293" width="11" style="3581" customWidth="1"/>
    <col min="12294" max="12294" width="9.7109375" style="3581" customWidth="1"/>
    <col min="12295" max="12295" width="9.85546875" style="3581" customWidth="1"/>
    <col min="12296" max="12296" width="9.5703125" style="3581" customWidth="1"/>
    <col min="12297" max="12297" width="11.42578125" style="3581"/>
    <col min="12298" max="12298" width="8.140625" style="3581" customWidth="1"/>
    <col min="12299" max="12299" width="9.28515625" style="3581" customWidth="1"/>
    <col min="12300" max="12300" width="10.28515625" style="3581" customWidth="1"/>
    <col min="12301" max="12301" width="11.85546875" style="3581" bestFit="1" customWidth="1"/>
    <col min="12302" max="12302" width="9.5703125" style="3581" customWidth="1"/>
    <col min="12303" max="12306" width="11.5703125" style="3581" bestFit="1" customWidth="1"/>
    <col min="12307" max="12307" width="13.7109375" style="3581" customWidth="1"/>
    <col min="12308" max="12308" width="13.5703125" style="3581" customWidth="1"/>
    <col min="12309" max="12310" width="11.42578125" style="3581"/>
    <col min="12311" max="12311" width="9.42578125" style="3581" customWidth="1"/>
    <col min="12312" max="12312" width="10" style="3581" customWidth="1"/>
    <col min="12313" max="12544" width="11.42578125" style="3581"/>
    <col min="12545" max="12545" width="7.5703125" style="3581" customWidth="1"/>
    <col min="12546" max="12546" width="8" style="3581" customWidth="1"/>
    <col min="12547" max="12547" width="8.7109375" style="3581" customWidth="1"/>
    <col min="12548" max="12548" width="8.28515625" style="3581" customWidth="1"/>
    <col min="12549" max="12549" width="11" style="3581" customWidth="1"/>
    <col min="12550" max="12550" width="9.7109375" style="3581" customWidth="1"/>
    <col min="12551" max="12551" width="9.85546875" style="3581" customWidth="1"/>
    <col min="12552" max="12552" width="9.5703125" style="3581" customWidth="1"/>
    <col min="12553" max="12553" width="11.42578125" style="3581"/>
    <col min="12554" max="12554" width="8.140625" style="3581" customWidth="1"/>
    <col min="12555" max="12555" width="9.28515625" style="3581" customWidth="1"/>
    <col min="12556" max="12556" width="10.28515625" style="3581" customWidth="1"/>
    <col min="12557" max="12557" width="11.85546875" style="3581" bestFit="1" customWidth="1"/>
    <col min="12558" max="12558" width="9.5703125" style="3581" customWidth="1"/>
    <col min="12559" max="12562" width="11.5703125" style="3581" bestFit="1" customWidth="1"/>
    <col min="12563" max="12563" width="13.7109375" style="3581" customWidth="1"/>
    <col min="12564" max="12564" width="13.5703125" style="3581" customWidth="1"/>
    <col min="12565" max="12566" width="11.42578125" style="3581"/>
    <col min="12567" max="12567" width="9.42578125" style="3581" customWidth="1"/>
    <col min="12568" max="12568" width="10" style="3581" customWidth="1"/>
    <col min="12569" max="12800" width="11.42578125" style="3581"/>
    <col min="12801" max="12801" width="7.5703125" style="3581" customWidth="1"/>
    <col min="12802" max="12802" width="8" style="3581" customWidth="1"/>
    <col min="12803" max="12803" width="8.7109375" style="3581" customWidth="1"/>
    <col min="12804" max="12804" width="8.28515625" style="3581" customWidth="1"/>
    <col min="12805" max="12805" width="11" style="3581" customWidth="1"/>
    <col min="12806" max="12806" width="9.7109375" style="3581" customWidth="1"/>
    <col min="12807" max="12807" width="9.85546875" style="3581" customWidth="1"/>
    <col min="12808" max="12808" width="9.5703125" style="3581" customWidth="1"/>
    <col min="12809" max="12809" width="11.42578125" style="3581"/>
    <col min="12810" max="12810" width="8.140625" style="3581" customWidth="1"/>
    <col min="12811" max="12811" width="9.28515625" style="3581" customWidth="1"/>
    <col min="12812" max="12812" width="10.28515625" style="3581" customWidth="1"/>
    <col min="12813" max="12813" width="11.85546875" style="3581" bestFit="1" customWidth="1"/>
    <col min="12814" max="12814" width="9.5703125" style="3581" customWidth="1"/>
    <col min="12815" max="12818" width="11.5703125" style="3581" bestFit="1" customWidth="1"/>
    <col min="12819" max="12819" width="13.7109375" style="3581" customWidth="1"/>
    <col min="12820" max="12820" width="13.5703125" style="3581" customWidth="1"/>
    <col min="12821" max="12822" width="11.42578125" style="3581"/>
    <col min="12823" max="12823" width="9.42578125" style="3581" customWidth="1"/>
    <col min="12824" max="12824" width="10" style="3581" customWidth="1"/>
    <col min="12825" max="13056" width="11.42578125" style="3581"/>
    <col min="13057" max="13057" width="7.5703125" style="3581" customWidth="1"/>
    <col min="13058" max="13058" width="8" style="3581" customWidth="1"/>
    <col min="13059" max="13059" width="8.7109375" style="3581" customWidth="1"/>
    <col min="13060" max="13060" width="8.28515625" style="3581" customWidth="1"/>
    <col min="13061" max="13061" width="11" style="3581" customWidth="1"/>
    <col min="13062" max="13062" width="9.7109375" style="3581" customWidth="1"/>
    <col min="13063" max="13063" width="9.85546875" style="3581" customWidth="1"/>
    <col min="13064" max="13064" width="9.5703125" style="3581" customWidth="1"/>
    <col min="13065" max="13065" width="11.42578125" style="3581"/>
    <col min="13066" max="13066" width="8.140625" style="3581" customWidth="1"/>
    <col min="13067" max="13067" width="9.28515625" style="3581" customWidth="1"/>
    <col min="13068" max="13068" width="10.28515625" style="3581" customWidth="1"/>
    <col min="13069" max="13069" width="11.85546875" style="3581" bestFit="1" customWidth="1"/>
    <col min="13070" max="13070" width="9.5703125" style="3581" customWidth="1"/>
    <col min="13071" max="13074" width="11.5703125" style="3581" bestFit="1" customWidth="1"/>
    <col min="13075" max="13075" width="13.7109375" style="3581" customWidth="1"/>
    <col min="13076" max="13076" width="13.5703125" style="3581" customWidth="1"/>
    <col min="13077" max="13078" width="11.42578125" style="3581"/>
    <col min="13079" max="13079" width="9.42578125" style="3581" customWidth="1"/>
    <col min="13080" max="13080" width="10" style="3581" customWidth="1"/>
    <col min="13081" max="13312" width="11.42578125" style="3581"/>
    <col min="13313" max="13313" width="7.5703125" style="3581" customWidth="1"/>
    <col min="13314" max="13314" width="8" style="3581" customWidth="1"/>
    <col min="13315" max="13315" width="8.7109375" style="3581" customWidth="1"/>
    <col min="13316" max="13316" width="8.28515625" style="3581" customWidth="1"/>
    <col min="13317" max="13317" width="11" style="3581" customWidth="1"/>
    <col min="13318" max="13318" width="9.7109375" style="3581" customWidth="1"/>
    <col min="13319" max="13319" width="9.85546875" style="3581" customWidth="1"/>
    <col min="13320" max="13320" width="9.5703125" style="3581" customWidth="1"/>
    <col min="13321" max="13321" width="11.42578125" style="3581"/>
    <col min="13322" max="13322" width="8.140625" style="3581" customWidth="1"/>
    <col min="13323" max="13323" width="9.28515625" style="3581" customWidth="1"/>
    <col min="13324" max="13324" width="10.28515625" style="3581" customWidth="1"/>
    <col min="13325" max="13325" width="11.85546875" style="3581" bestFit="1" customWidth="1"/>
    <col min="13326" max="13326" width="9.5703125" style="3581" customWidth="1"/>
    <col min="13327" max="13330" width="11.5703125" style="3581" bestFit="1" customWidth="1"/>
    <col min="13331" max="13331" width="13.7109375" style="3581" customWidth="1"/>
    <col min="13332" max="13332" width="13.5703125" style="3581" customWidth="1"/>
    <col min="13333" max="13334" width="11.42578125" style="3581"/>
    <col min="13335" max="13335" width="9.42578125" style="3581" customWidth="1"/>
    <col min="13336" max="13336" width="10" style="3581" customWidth="1"/>
    <col min="13337" max="13568" width="11.42578125" style="3581"/>
    <col min="13569" max="13569" width="7.5703125" style="3581" customWidth="1"/>
    <col min="13570" max="13570" width="8" style="3581" customWidth="1"/>
    <col min="13571" max="13571" width="8.7109375" style="3581" customWidth="1"/>
    <col min="13572" max="13572" width="8.28515625" style="3581" customWidth="1"/>
    <col min="13573" max="13573" width="11" style="3581" customWidth="1"/>
    <col min="13574" max="13574" width="9.7109375" style="3581" customWidth="1"/>
    <col min="13575" max="13575" width="9.85546875" style="3581" customWidth="1"/>
    <col min="13576" max="13576" width="9.5703125" style="3581" customWidth="1"/>
    <col min="13577" max="13577" width="11.42578125" style="3581"/>
    <col min="13578" max="13578" width="8.140625" style="3581" customWidth="1"/>
    <col min="13579" max="13579" width="9.28515625" style="3581" customWidth="1"/>
    <col min="13580" max="13580" width="10.28515625" style="3581" customWidth="1"/>
    <col min="13581" max="13581" width="11.85546875" style="3581" bestFit="1" customWidth="1"/>
    <col min="13582" max="13582" width="9.5703125" style="3581" customWidth="1"/>
    <col min="13583" max="13586" width="11.5703125" style="3581" bestFit="1" customWidth="1"/>
    <col min="13587" max="13587" width="13.7109375" style="3581" customWidth="1"/>
    <col min="13588" max="13588" width="13.5703125" style="3581" customWidth="1"/>
    <col min="13589" max="13590" width="11.42578125" style="3581"/>
    <col min="13591" max="13591" width="9.42578125" style="3581" customWidth="1"/>
    <col min="13592" max="13592" width="10" style="3581" customWidth="1"/>
    <col min="13593" max="13824" width="11.42578125" style="3581"/>
    <col min="13825" max="13825" width="7.5703125" style="3581" customWidth="1"/>
    <col min="13826" max="13826" width="8" style="3581" customWidth="1"/>
    <col min="13827" max="13827" width="8.7109375" style="3581" customWidth="1"/>
    <col min="13828" max="13828" width="8.28515625" style="3581" customWidth="1"/>
    <col min="13829" max="13829" width="11" style="3581" customWidth="1"/>
    <col min="13830" max="13830" width="9.7109375" style="3581" customWidth="1"/>
    <col min="13831" max="13831" width="9.85546875" style="3581" customWidth="1"/>
    <col min="13832" max="13832" width="9.5703125" style="3581" customWidth="1"/>
    <col min="13833" max="13833" width="11.42578125" style="3581"/>
    <col min="13834" max="13834" width="8.140625" style="3581" customWidth="1"/>
    <col min="13835" max="13835" width="9.28515625" style="3581" customWidth="1"/>
    <col min="13836" max="13836" width="10.28515625" style="3581" customWidth="1"/>
    <col min="13837" max="13837" width="11.85546875" style="3581" bestFit="1" customWidth="1"/>
    <col min="13838" max="13838" width="9.5703125" style="3581" customWidth="1"/>
    <col min="13839" max="13842" width="11.5703125" style="3581" bestFit="1" customWidth="1"/>
    <col min="13843" max="13843" width="13.7109375" style="3581" customWidth="1"/>
    <col min="13844" max="13844" width="13.5703125" style="3581" customWidth="1"/>
    <col min="13845" max="13846" width="11.42578125" style="3581"/>
    <col min="13847" max="13847" width="9.42578125" style="3581" customWidth="1"/>
    <col min="13848" max="13848" width="10" style="3581" customWidth="1"/>
    <col min="13849" max="14080" width="11.42578125" style="3581"/>
    <col min="14081" max="14081" width="7.5703125" style="3581" customWidth="1"/>
    <col min="14082" max="14082" width="8" style="3581" customWidth="1"/>
    <col min="14083" max="14083" width="8.7109375" style="3581" customWidth="1"/>
    <col min="14084" max="14084" width="8.28515625" style="3581" customWidth="1"/>
    <col min="14085" max="14085" width="11" style="3581" customWidth="1"/>
    <col min="14086" max="14086" width="9.7109375" style="3581" customWidth="1"/>
    <col min="14087" max="14087" width="9.85546875" style="3581" customWidth="1"/>
    <col min="14088" max="14088" width="9.5703125" style="3581" customWidth="1"/>
    <col min="14089" max="14089" width="11.42578125" style="3581"/>
    <col min="14090" max="14090" width="8.140625" style="3581" customWidth="1"/>
    <col min="14091" max="14091" width="9.28515625" style="3581" customWidth="1"/>
    <col min="14092" max="14092" width="10.28515625" style="3581" customWidth="1"/>
    <col min="14093" max="14093" width="11.85546875" style="3581" bestFit="1" customWidth="1"/>
    <col min="14094" max="14094" width="9.5703125" style="3581" customWidth="1"/>
    <col min="14095" max="14098" width="11.5703125" style="3581" bestFit="1" customWidth="1"/>
    <col min="14099" max="14099" width="13.7109375" style="3581" customWidth="1"/>
    <col min="14100" max="14100" width="13.5703125" style="3581" customWidth="1"/>
    <col min="14101" max="14102" width="11.42578125" style="3581"/>
    <col min="14103" max="14103" width="9.42578125" style="3581" customWidth="1"/>
    <col min="14104" max="14104" width="10" style="3581" customWidth="1"/>
    <col min="14105" max="14336" width="11.42578125" style="3581"/>
    <col min="14337" max="14337" width="7.5703125" style="3581" customWidth="1"/>
    <col min="14338" max="14338" width="8" style="3581" customWidth="1"/>
    <col min="14339" max="14339" width="8.7109375" style="3581" customWidth="1"/>
    <col min="14340" max="14340" width="8.28515625" style="3581" customWidth="1"/>
    <col min="14341" max="14341" width="11" style="3581" customWidth="1"/>
    <col min="14342" max="14342" width="9.7109375" style="3581" customWidth="1"/>
    <col min="14343" max="14343" width="9.85546875" style="3581" customWidth="1"/>
    <col min="14344" max="14344" width="9.5703125" style="3581" customWidth="1"/>
    <col min="14345" max="14345" width="11.42578125" style="3581"/>
    <col min="14346" max="14346" width="8.140625" style="3581" customWidth="1"/>
    <col min="14347" max="14347" width="9.28515625" style="3581" customWidth="1"/>
    <col min="14348" max="14348" width="10.28515625" style="3581" customWidth="1"/>
    <col min="14349" max="14349" width="11.85546875" style="3581" bestFit="1" customWidth="1"/>
    <col min="14350" max="14350" width="9.5703125" style="3581" customWidth="1"/>
    <col min="14351" max="14354" width="11.5703125" style="3581" bestFit="1" customWidth="1"/>
    <col min="14355" max="14355" width="13.7109375" style="3581" customWidth="1"/>
    <col min="14356" max="14356" width="13.5703125" style="3581" customWidth="1"/>
    <col min="14357" max="14358" width="11.42578125" style="3581"/>
    <col min="14359" max="14359" width="9.42578125" style="3581" customWidth="1"/>
    <col min="14360" max="14360" width="10" style="3581" customWidth="1"/>
    <col min="14361" max="14592" width="11.42578125" style="3581"/>
    <col min="14593" max="14593" width="7.5703125" style="3581" customWidth="1"/>
    <col min="14594" max="14594" width="8" style="3581" customWidth="1"/>
    <col min="14595" max="14595" width="8.7109375" style="3581" customWidth="1"/>
    <col min="14596" max="14596" width="8.28515625" style="3581" customWidth="1"/>
    <col min="14597" max="14597" width="11" style="3581" customWidth="1"/>
    <col min="14598" max="14598" width="9.7109375" style="3581" customWidth="1"/>
    <col min="14599" max="14599" width="9.85546875" style="3581" customWidth="1"/>
    <col min="14600" max="14600" width="9.5703125" style="3581" customWidth="1"/>
    <col min="14601" max="14601" width="11.42578125" style="3581"/>
    <col min="14602" max="14602" width="8.140625" style="3581" customWidth="1"/>
    <col min="14603" max="14603" width="9.28515625" style="3581" customWidth="1"/>
    <col min="14604" max="14604" width="10.28515625" style="3581" customWidth="1"/>
    <col min="14605" max="14605" width="11.85546875" style="3581" bestFit="1" customWidth="1"/>
    <col min="14606" max="14606" width="9.5703125" style="3581" customWidth="1"/>
    <col min="14607" max="14610" width="11.5703125" style="3581" bestFit="1" customWidth="1"/>
    <col min="14611" max="14611" width="13.7109375" style="3581" customWidth="1"/>
    <col min="14612" max="14612" width="13.5703125" style="3581" customWidth="1"/>
    <col min="14613" max="14614" width="11.42578125" style="3581"/>
    <col min="14615" max="14615" width="9.42578125" style="3581" customWidth="1"/>
    <col min="14616" max="14616" width="10" style="3581" customWidth="1"/>
    <col min="14617" max="14848" width="11.42578125" style="3581"/>
    <col min="14849" max="14849" width="7.5703125" style="3581" customWidth="1"/>
    <col min="14850" max="14850" width="8" style="3581" customWidth="1"/>
    <col min="14851" max="14851" width="8.7109375" style="3581" customWidth="1"/>
    <col min="14852" max="14852" width="8.28515625" style="3581" customWidth="1"/>
    <col min="14853" max="14853" width="11" style="3581" customWidth="1"/>
    <col min="14854" max="14854" width="9.7109375" style="3581" customWidth="1"/>
    <col min="14855" max="14855" width="9.85546875" style="3581" customWidth="1"/>
    <col min="14856" max="14856" width="9.5703125" style="3581" customWidth="1"/>
    <col min="14857" max="14857" width="11.42578125" style="3581"/>
    <col min="14858" max="14858" width="8.140625" style="3581" customWidth="1"/>
    <col min="14859" max="14859" width="9.28515625" style="3581" customWidth="1"/>
    <col min="14860" max="14860" width="10.28515625" style="3581" customWidth="1"/>
    <col min="14861" max="14861" width="11.85546875" style="3581" bestFit="1" customWidth="1"/>
    <col min="14862" max="14862" width="9.5703125" style="3581" customWidth="1"/>
    <col min="14863" max="14866" width="11.5703125" style="3581" bestFit="1" customWidth="1"/>
    <col min="14867" max="14867" width="13.7109375" style="3581" customWidth="1"/>
    <col min="14868" max="14868" width="13.5703125" style="3581" customWidth="1"/>
    <col min="14869" max="14870" width="11.42578125" style="3581"/>
    <col min="14871" max="14871" width="9.42578125" style="3581" customWidth="1"/>
    <col min="14872" max="14872" width="10" style="3581" customWidth="1"/>
    <col min="14873" max="15104" width="11.42578125" style="3581"/>
    <col min="15105" max="15105" width="7.5703125" style="3581" customWidth="1"/>
    <col min="15106" max="15106" width="8" style="3581" customWidth="1"/>
    <col min="15107" max="15107" width="8.7109375" style="3581" customWidth="1"/>
    <col min="15108" max="15108" width="8.28515625" style="3581" customWidth="1"/>
    <col min="15109" max="15109" width="11" style="3581" customWidth="1"/>
    <col min="15110" max="15110" width="9.7109375" style="3581" customWidth="1"/>
    <col min="15111" max="15111" width="9.85546875" style="3581" customWidth="1"/>
    <col min="15112" max="15112" width="9.5703125" style="3581" customWidth="1"/>
    <col min="15113" max="15113" width="11.42578125" style="3581"/>
    <col min="15114" max="15114" width="8.140625" style="3581" customWidth="1"/>
    <col min="15115" max="15115" width="9.28515625" style="3581" customWidth="1"/>
    <col min="15116" max="15116" width="10.28515625" style="3581" customWidth="1"/>
    <col min="15117" max="15117" width="11.85546875" style="3581" bestFit="1" customWidth="1"/>
    <col min="15118" max="15118" width="9.5703125" style="3581" customWidth="1"/>
    <col min="15119" max="15122" width="11.5703125" style="3581" bestFit="1" customWidth="1"/>
    <col min="15123" max="15123" width="13.7109375" style="3581" customWidth="1"/>
    <col min="15124" max="15124" width="13.5703125" style="3581" customWidth="1"/>
    <col min="15125" max="15126" width="11.42578125" style="3581"/>
    <col min="15127" max="15127" width="9.42578125" style="3581" customWidth="1"/>
    <col min="15128" max="15128" width="10" style="3581" customWidth="1"/>
    <col min="15129" max="15360" width="11.42578125" style="3581"/>
    <col min="15361" max="15361" width="7.5703125" style="3581" customWidth="1"/>
    <col min="15362" max="15362" width="8" style="3581" customWidth="1"/>
    <col min="15363" max="15363" width="8.7109375" style="3581" customWidth="1"/>
    <col min="15364" max="15364" width="8.28515625" style="3581" customWidth="1"/>
    <col min="15365" max="15365" width="11" style="3581" customWidth="1"/>
    <col min="15366" max="15366" width="9.7109375" style="3581" customWidth="1"/>
    <col min="15367" max="15367" width="9.85546875" style="3581" customWidth="1"/>
    <col min="15368" max="15368" width="9.5703125" style="3581" customWidth="1"/>
    <col min="15369" max="15369" width="11.42578125" style="3581"/>
    <col min="15370" max="15370" width="8.140625" style="3581" customWidth="1"/>
    <col min="15371" max="15371" width="9.28515625" style="3581" customWidth="1"/>
    <col min="15372" max="15372" width="10.28515625" style="3581" customWidth="1"/>
    <col min="15373" max="15373" width="11.85546875" style="3581" bestFit="1" customWidth="1"/>
    <col min="15374" max="15374" width="9.5703125" style="3581" customWidth="1"/>
    <col min="15375" max="15378" width="11.5703125" style="3581" bestFit="1" customWidth="1"/>
    <col min="15379" max="15379" width="13.7109375" style="3581" customWidth="1"/>
    <col min="15380" max="15380" width="13.5703125" style="3581" customWidth="1"/>
    <col min="15381" max="15382" width="11.42578125" style="3581"/>
    <col min="15383" max="15383" width="9.42578125" style="3581" customWidth="1"/>
    <col min="15384" max="15384" width="10" style="3581" customWidth="1"/>
    <col min="15385" max="15616" width="11.42578125" style="3581"/>
    <col min="15617" max="15617" width="7.5703125" style="3581" customWidth="1"/>
    <col min="15618" max="15618" width="8" style="3581" customWidth="1"/>
    <col min="15619" max="15619" width="8.7109375" style="3581" customWidth="1"/>
    <col min="15620" max="15620" width="8.28515625" style="3581" customWidth="1"/>
    <col min="15621" max="15621" width="11" style="3581" customWidth="1"/>
    <col min="15622" max="15622" width="9.7109375" style="3581" customWidth="1"/>
    <col min="15623" max="15623" width="9.85546875" style="3581" customWidth="1"/>
    <col min="15624" max="15624" width="9.5703125" style="3581" customWidth="1"/>
    <col min="15625" max="15625" width="11.42578125" style="3581"/>
    <col min="15626" max="15626" width="8.140625" style="3581" customWidth="1"/>
    <col min="15627" max="15627" width="9.28515625" style="3581" customWidth="1"/>
    <col min="15628" max="15628" width="10.28515625" style="3581" customWidth="1"/>
    <col min="15629" max="15629" width="11.85546875" style="3581" bestFit="1" customWidth="1"/>
    <col min="15630" max="15630" width="9.5703125" style="3581" customWidth="1"/>
    <col min="15631" max="15634" width="11.5703125" style="3581" bestFit="1" customWidth="1"/>
    <col min="15635" max="15635" width="13.7109375" style="3581" customWidth="1"/>
    <col min="15636" max="15636" width="13.5703125" style="3581" customWidth="1"/>
    <col min="15637" max="15638" width="11.42578125" style="3581"/>
    <col min="15639" max="15639" width="9.42578125" style="3581" customWidth="1"/>
    <col min="15640" max="15640" width="10" style="3581" customWidth="1"/>
    <col min="15641" max="15872" width="11.42578125" style="3581"/>
    <col min="15873" max="15873" width="7.5703125" style="3581" customWidth="1"/>
    <col min="15874" max="15874" width="8" style="3581" customWidth="1"/>
    <col min="15875" max="15875" width="8.7109375" style="3581" customWidth="1"/>
    <col min="15876" max="15876" width="8.28515625" style="3581" customWidth="1"/>
    <col min="15877" max="15877" width="11" style="3581" customWidth="1"/>
    <col min="15878" max="15878" width="9.7109375" style="3581" customWidth="1"/>
    <col min="15879" max="15879" width="9.85546875" style="3581" customWidth="1"/>
    <col min="15880" max="15880" width="9.5703125" style="3581" customWidth="1"/>
    <col min="15881" max="15881" width="11.42578125" style="3581"/>
    <col min="15882" max="15882" width="8.140625" style="3581" customWidth="1"/>
    <col min="15883" max="15883" width="9.28515625" style="3581" customWidth="1"/>
    <col min="15884" max="15884" width="10.28515625" style="3581" customWidth="1"/>
    <col min="15885" max="15885" width="11.85546875" style="3581" bestFit="1" customWidth="1"/>
    <col min="15886" max="15886" width="9.5703125" style="3581" customWidth="1"/>
    <col min="15887" max="15890" width="11.5703125" style="3581" bestFit="1" customWidth="1"/>
    <col min="15891" max="15891" width="13.7109375" style="3581" customWidth="1"/>
    <col min="15892" max="15892" width="13.5703125" style="3581" customWidth="1"/>
    <col min="15893" max="15894" width="11.42578125" style="3581"/>
    <col min="15895" max="15895" width="9.42578125" style="3581" customWidth="1"/>
    <col min="15896" max="15896" width="10" style="3581" customWidth="1"/>
    <col min="15897" max="16128" width="11.42578125" style="3581"/>
    <col min="16129" max="16129" width="7.5703125" style="3581" customWidth="1"/>
    <col min="16130" max="16130" width="8" style="3581" customWidth="1"/>
    <col min="16131" max="16131" width="8.7109375" style="3581" customWidth="1"/>
    <col min="16132" max="16132" width="8.28515625" style="3581" customWidth="1"/>
    <col min="16133" max="16133" width="11" style="3581" customWidth="1"/>
    <col min="16134" max="16134" width="9.7109375" style="3581" customWidth="1"/>
    <col min="16135" max="16135" width="9.85546875" style="3581" customWidth="1"/>
    <col min="16136" max="16136" width="9.5703125" style="3581" customWidth="1"/>
    <col min="16137" max="16137" width="11.42578125" style="3581"/>
    <col min="16138" max="16138" width="8.140625" style="3581" customWidth="1"/>
    <col min="16139" max="16139" width="9.28515625" style="3581" customWidth="1"/>
    <col min="16140" max="16140" width="10.28515625" style="3581" customWidth="1"/>
    <col min="16141" max="16141" width="11.85546875" style="3581" bestFit="1" customWidth="1"/>
    <col min="16142" max="16142" width="9.5703125" style="3581" customWidth="1"/>
    <col min="16143" max="16146" width="11.5703125" style="3581" bestFit="1" customWidth="1"/>
    <col min="16147" max="16147" width="13.7109375" style="3581" customWidth="1"/>
    <col min="16148" max="16148" width="13.5703125" style="3581" customWidth="1"/>
    <col min="16149" max="16150" width="11.42578125" style="3581"/>
    <col min="16151" max="16151" width="9.42578125" style="3581" customWidth="1"/>
    <col min="16152" max="16152" width="10" style="3581" customWidth="1"/>
    <col min="16153" max="16384" width="11.42578125" style="3581"/>
  </cols>
  <sheetData>
    <row r="1" spans="1:26" ht="15">
      <c r="A1" s="5072" t="s">
        <v>5</v>
      </c>
      <c r="B1" s="5072"/>
      <c r="C1" s="5072"/>
      <c r="D1" s="5072"/>
      <c r="E1" s="5072"/>
      <c r="F1" s="5072"/>
      <c r="G1" s="5072"/>
      <c r="H1" s="5072"/>
      <c r="I1" s="5072"/>
      <c r="J1" s="5072"/>
      <c r="K1" s="5072"/>
      <c r="L1" s="5072"/>
      <c r="M1" s="5072"/>
      <c r="N1" s="5072"/>
      <c r="O1" s="5072"/>
      <c r="P1" s="5072"/>
      <c r="Q1" s="5072"/>
      <c r="R1" s="5072"/>
      <c r="S1" s="5072"/>
      <c r="T1" s="5072"/>
    </row>
    <row r="2" spans="1:26" ht="15">
      <c r="A2" s="5073" t="s">
        <v>2559</v>
      </c>
      <c r="B2" s="5073"/>
      <c r="C2" s="5073"/>
      <c r="D2" s="5073"/>
      <c r="E2" s="5073"/>
      <c r="F2" s="5073"/>
      <c r="G2" s="5073"/>
      <c r="H2" s="5073"/>
      <c r="I2" s="5073"/>
      <c r="J2" s="5073"/>
      <c r="K2" s="5073"/>
      <c r="L2" s="5073"/>
      <c r="M2" s="5073"/>
      <c r="N2" s="5073"/>
      <c r="O2" s="5073"/>
      <c r="P2" s="5073"/>
      <c r="Q2" s="5073"/>
      <c r="R2" s="5073"/>
      <c r="S2" s="5073"/>
      <c r="T2" s="5073"/>
    </row>
    <row r="3" spans="1:26" ht="15">
      <c r="A3" s="5072" t="s">
        <v>7</v>
      </c>
      <c r="B3" s="5072"/>
      <c r="C3" s="5072"/>
      <c r="D3" s="5072"/>
      <c r="E3" s="5072"/>
      <c r="F3" s="5072"/>
      <c r="G3" s="5072"/>
      <c r="H3" s="5072"/>
      <c r="I3" s="5072"/>
      <c r="J3" s="5072"/>
      <c r="K3" s="5072"/>
      <c r="L3" s="5072"/>
      <c r="M3" s="5072"/>
      <c r="N3" s="5072"/>
      <c r="O3" s="5072"/>
      <c r="P3" s="5072"/>
      <c r="Q3" s="5072"/>
      <c r="R3" s="5072"/>
      <c r="S3" s="5072"/>
      <c r="T3" s="5072"/>
    </row>
    <row r="4" spans="1:26" ht="15">
      <c r="A4" s="5072" t="s">
        <v>2560</v>
      </c>
      <c r="B4" s="5072"/>
      <c r="C4" s="5072"/>
      <c r="D4" s="5072"/>
      <c r="E4" s="5072"/>
      <c r="F4" s="5072"/>
      <c r="G4" s="5072"/>
      <c r="H4" s="5072"/>
      <c r="I4" s="5072"/>
      <c r="J4" s="5072"/>
      <c r="K4" s="5072"/>
      <c r="L4" s="5072"/>
      <c r="M4" s="5072"/>
      <c r="N4" s="5072"/>
      <c r="O4" s="5072"/>
      <c r="P4" s="5072"/>
      <c r="Q4" s="5072"/>
      <c r="R4" s="5072"/>
      <c r="S4" s="5072"/>
      <c r="T4" s="5072"/>
    </row>
    <row r="5" spans="1:26" ht="15.75" thickBot="1">
      <c r="A5" s="5074" t="s">
        <v>3061</v>
      </c>
      <c r="B5" s="5074"/>
      <c r="C5" s="5074"/>
      <c r="D5" s="5074"/>
      <c r="E5" s="5074"/>
      <c r="F5" s="5074"/>
      <c r="G5" s="5074"/>
      <c r="H5" s="5074"/>
      <c r="I5" s="5074"/>
      <c r="J5" s="5074"/>
      <c r="K5" s="5074"/>
      <c r="L5" s="5074"/>
      <c r="M5" s="5074"/>
      <c r="N5" s="5074"/>
      <c r="O5" s="5074"/>
      <c r="P5" s="5074"/>
      <c r="Q5" s="5074"/>
      <c r="R5" s="5074"/>
      <c r="S5" s="5074"/>
      <c r="T5" s="5074"/>
      <c r="U5" s="3582"/>
      <c r="V5" s="3582"/>
      <c r="W5" s="3582"/>
      <c r="X5" s="3582"/>
    </row>
    <row r="6" spans="1:26" ht="29.25" customHeight="1" thickBot="1">
      <c r="A6" s="3583" t="s">
        <v>3062</v>
      </c>
      <c r="B6" s="3583" t="s">
        <v>3063</v>
      </c>
      <c r="C6" s="3584" t="s">
        <v>3064</v>
      </c>
      <c r="D6" s="3585" t="s">
        <v>3065</v>
      </c>
      <c r="E6" s="3586" t="s">
        <v>3066</v>
      </c>
      <c r="F6" s="3586" t="s">
        <v>3067</v>
      </c>
      <c r="G6" s="3586" t="s">
        <v>3068</v>
      </c>
      <c r="H6" s="3586" t="s">
        <v>3069</v>
      </c>
      <c r="I6" s="3587" t="s">
        <v>3070</v>
      </c>
      <c r="J6" s="3586" t="s">
        <v>3071</v>
      </c>
      <c r="K6" s="3588" t="s">
        <v>3072</v>
      </c>
      <c r="L6" s="3589" t="s">
        <v>3073</v>
      </c>
      <c r="M6" s="3588" t="s">
        <v>3074</v>
      </c>
      <c r="N6" s="3589" t="s">
        <v>3075</v>
      </c>
      <c r="O6" s="3585" t="s">
        <v>3076</v>
      </c>
      <c r="P6" s="3585" t="s">
        <v>3077</v>
      </c>
      <c r="Q6" s="3585" t="s">
        <v>3078</v>
      </c>
      <c r="R6" s="3585" t="s">
        <v>3079</v>
      </c>
      <c r="S6" s="3589" t="s">
        <v>3080</v>
      </c>
      <c r="T6" s="3589" t="s">
        <v>3081</v>
      </c>
      <c r="U6" s="3590" t="s">
        <v>3082</v>
      </c>
      <c r="V6" s="3591"/>
      <c r="W6" s="3591"/>
      <c r="X6" s="3591" t="s">
        <v>3083</v>
      </c>
      <c r="Y6" s="3592" t="s">
        <v>3066</v>
      </c>
      <c r="Z6" s="3581" t="s">
        <v>3084</v>
      </c>
    </row>
    <row r="7" spans="1:26" s="3604" customFormat="1" ht="15.75" customHeight="1" thickBot="1">
      <c r="A7" s="3593" t="s">
        <v>3085</v>
      </c>
      <c r="B7" s="3594"/>
      <c r="C7" s="3594"/>
      <c r="D7" s="3595"/>
      <c r="E7" s="3595"/>
      <c r="F7" s="3595"/>
      <c r="G7" s="3595"/>
      <c r="H7" s="3595"/>
      <c r="I7" s="3596"/>
      <c r="J7" s="3597"/>
      <c r="K7" s="3598"/>
      <c r="L7" s="3598"/>
      <c r="M7" s="3598"/>
      <c r="N7" s="3599"/>
      <c r="O7" s="3597"/>
      <c r="P7" s="3597"/>
      <c r="Q7" s="3597"/>
      <c r="R7" s="3597"/>
      <c r="S7" s="3600"/>
      <c r="T7" s="3600"/>
      <c r="U7" s="3600"/>
      <c r="V7" s="3591"/>
      <c r="W7" s="3601"/>
      <c r="X7" s="3601">
        <v>4</v>
      </c>
      <c r="Y7" s="3602">
        <v>0.6</v>
      </c>
      <c r="Z7" s="3603">
        <f t="shared" ref="Z7:Z14" si="0">X7^2/1974</f>
        <v>8.0999999999999996E-3</v>
      </c>
    </row>
    <row r="8" spans="1:26" ht="14.25" customHeight="1">
      <c r="A8" s="3605" t="s">
        <v>3086</v>
      </c>
      <c r="B8" s="3606" t="s">
        <v>3087</v>
      </c>
      <c r="C8" s="3607">
        <v>75.569999999999993</v>
      </c>
      <c r="D8" s="3608">
        <v>12</v>
      </c>
      <c r="E8" s="3609">
        <f>IF(D8=0,0,LOOKUP(D8,$X$7:$X$14,$Y$7:$Y$14))</f>
        <v>0.85</v>
      </c>
      <c r="F8" s="3610">
        <f>E8*0.1</f>
        <v>8.5000000000000006E-2</v>
      </c>
      <c r="G8" s="3611">
        <f>O8-P8</f>
        <v>1.39</v>
      </c>
      <c r="H8" s="3611">
        <f>Q8-R8</f>
        <v>1.9</v>
      </c>
      <c r="I8" s="3612">
        <f t="shared" ref="I8:I33" si="1">(G8+H8)/2*E8*C8</f>
        <v>105.67</v>
      </c>
      <c r="J8" s="3609">
        <f>IF(D8=0,0,LOOKUP(D8,$X$7:$X$14,$Z$7:$Z$14)*C8)</f>
        <v>5.51</v>
      </c>
      <c r="K8" s="3613">
        <f t="shared" ref="K8:K32" si="2">C8*F8</f>
        <v>6.42</v>
      </c>
      <c r="L8" s="3613">
        <f>I8+K8</f>
        <v>112.09</v>
      </c>
      <c r="M8" s="3613">
        <f t="shared" ref="M8:M32" si="3">(L8-K8-J8)*0.95</f>
        <v>95.15</v>
      </c>
      <c r="N8" s="3614">
        <f t="shared" ref="N8:N32" si="4">(L8-M8)*1.2</f>
        <v>20.329999999999998</v>
      </c>
      <c r="O8" s="3615">
        <v>30.77</v>
      </c>
      <c r="P8" s="3605">
        <v>29.38</v>
      </c>
      <c r="Q8" s="3605">
        <v>30.4</v>
      </c>
      <c r="R8" s="3616">
        <v>28.5</v>
      </c>
      <c r="S8" s="3615">
        <f>IF(AND(G8&lt;=1.5,H8&lt;=1.5),L8,IF(AND(G8&lt;=1.5,H8&gt;1.5),(((G8+1.5)*C8)/2)*E8,IF(AND(G8&gt;1.5,H8&lt;=1.5),(((H8+1.5)*C8)/2)*E8,IF(AND(G8&gt;1.5,H8&gt;1.5),(((1.5+1.5)*C8)/2)*E8,0))))</f>
        <v>92.82</v>
      </c>
      <c r="T8" s="3617">
        <f>(L8-S8)</f>
        <v>19.27</v>
      </c>
      <c r="U8" s="3618"/>
      <c r="V8" s="3619"/>
      <c r="W8" s="3620"/>
      <c r="X8" s="3620">
        <v>6</v>
      </c>
      <c r="Y8" s="3621">
        <v>0.7</v>
      </c>
      <c r="Z8" s="3603">
        <f t="shared" si="0"/>
        <v>1.8200000000000001E-2</v>
      </c>
    </row>
    <row r="9" spans="1:26" ht="14.25" customHeight="1" thickBot="1">
      <c r="A9" s="3622"/>
      <c r="B9" s="3622"/>
      <c r="C9" s="3623"/>
      <c r="D9" s="3624"/>
      <c r="E9" s="3625">
        <f>IF(D9=0,0,LOOKUP(D9,$X$7:$X$14,$Y$7:$Y$14))</f>
        <v>0</v>
      </c>
      <c r="F9" s="3626">
        <f>E9*0.1</f>
        <v>0</v>
      </c>
      <c r="G9" s="3627">
        <f>O9-P9</f>
        <v>0</v>
      </c>
      <c r="H9" s="3628">
        <f>Q9-R9</f>
        <v>0</v>
      </c>
      <c r="I9" s="3629">
        <f t="shared" si="1"/>
        <v>0</v>
      </c>
      <c r="J9" s="3625">
        <f>IF(D9=0,0,LOOKUP(D9,$X$7:$X$14,$Z$7:$Z$14)*C9)</f>
        <v>0</v>
      </c>
      <c r="K9" s="3630">
        <f t="shared" si="2"/>
        <v>0</v>
      </c>
      <c r="L9" s="3630">
        <f>I9+K9</f>
        <v>0</v>
      </c>
      <c r="M9" s="3630">
        <f t="shared" si="3"/>
        <v>0</v>
      </c>
      <c r="N9" s="3631">
        <f t="shared" si="4"/>
        <v>0</v>
      </c>
      <c r="O9" s="3632"/>
      <c r="P9" s="3633"/>
      <c r="Q9" s="3622"/>
      <c r="R9" s="3634"/>
      <c r="S9" s="3632">
        <f t="shared" ref="S9:S56" si="5">IF(AND(G9&lt;=1.5,H9&lt;=1.5),L9,IF(AND(G9&lt;=1.5,H9&gt;1.5),(((G9+1.5)*C9)/2)*E9,IF(AND(G9&gt;1.5,H9&lt;=1.5),(((H9+1.5)*C9)/2)*E9,IF(AND(G9&gt;1.5,H9&gt;1.5),(((1.5+1.5)*C9)/2)*E9,0))))</f>
        <v>0</v>
      </c>
      <c r="T9" s="3635">
        <f t="shared" ref="T9:T56" si="6">(L9-S9)</f>
        <v>0</v>
      </c>
      <c r="U9" s="3636"/>
      <c r="V9" s="3619"/>
      <c r="W9" s="3620"/>
      <c r="X9" s="3620">
        <v>8</v>
      </c>
      <c r="Y9" s="3621">
        <v>0.75</v>
      </c>
      <c r="Z9" s="3603">
        <f t="shared" si="0"/>
        <v>3.2399999999999998E-2</v>
      </c>
    </row>
    <row r="10" spans="1:26" ht="14.25" customHeight="1" thickTop="1" thickBot="1">
      <c r="A10" s="3637" t="s">
        <v>289</v>
      </c>
      <c r="B10" s="3638"/>
      <c r="C10" s="3639">
        <f>SUM(C8:C9)</f>
        <v>75.569999999999993</v>
      </c>
      <c r="D10" s="3640"/>
      <c r="E10" s="3641">
        <f t="shared" ref="E10:E33" si="7">IF(D10=0,0,LOOKUP(D10,$X$7:$X$14,$Y$7:$Y$14))</f>
        <v>0</v>
      </c>
      <c r="F10" s="3642">
        <f>E10*0.1</f>
        <v>0</v>
      </c>
      <c r="G10" s="3643">
        <f t="shared" ref="G10:G33" si="8">O10-P10</f>
        <v>0</v>
      </c>
      <c r="H10" s="3644">
        <f t="shared" ref="H10:H33" si="9">Q10-R10</f>
        <v>0</v>
      </c>
      <c r="I10" s="3645">
        <f t="shared" si="1"/>
        <v>0</v>
      </c>
      <c r="J10" s="3646">
        <f t="shared" ref="J10:J34" si="10">IF(D10=0,0,LOOKUP(D10,$X$7:$X$14,$Z$7:$Z$14)*C10)</f>
        <v>0</v>
      </c>
      <c r="K10" s="3647">
        <f>SUM(K8:K9)</f>
        <v>6.42</v>
      </c>
      <c r="L10" s="3648">
        <f>SUM(L8:L9)</f>
        <v>112.09</v>
      </c>
      <c r="M10" s="3648">
        <f>SUM(M8:M9)</f>
        <v>95.15</v>
      </c>
      <c r="N10" s="3649">
        <f>SUM(N8:N9)</f>
        <v>20.329999999999998</v>
      </c>
      <c r="O10" s="3650"/>
      <c r="P10" s="3651"/>
      <c r="Q10" s="3638"/>
      <c r="R10" s="3651"/>
      <c r="S10" s="3639">
        <f>SUM(S8:S9)</f>
        <v>92.82</v>
      </c>
      <c r="T10" s="3652">
        <f>SUM(T8:T9)</f>
        <v>19.27</v>
      </c>
      <c r="U10" s="3636"/>
      <c r="V10" s="3619"/>
      <c r="W10" s="3620"/>
      <c r="X10" s="3620">
        <v>10</v>
      </c>
      <c r="Y10" s="3621">
        <v>0.8</v>
      </c>
      <c r="Z10" s="3603">
        <f t="shared" si="0"/>
        <v>5.0700000000000002E-2</v>
      </c>
    </row>
    <row r="11" spans="1:26" ht="14.25" customHeight="1" thickTop="1" thickBot="1">
      <c r="A11" s="3622"/>
      <c r="B11" s="3622"/>
      <c r="C11" s="3623"/>
      <c r="D11" s="3624"/>
      <c r="E11" s="3625">
        <f t="shared" si="7"/>
        <v>0</v>
      </c>
      <c r="F11" s="3626">
        <f t="shared" ref="F11:F33" si="11">E11*0.1</f>
        <v>0</v>
      </c>
      <c r="G11" s="3627">
        <f t="shared" si="8"/>
        <v>0</v>
      </c>
      <c r="H11" s="3628">
        <f t="shared" si="9"/>
        <v>0</v>
      </c>
      <c r="I11" s="3629">
        <f t="shared" si="1"/>
        <v>0</v>
      </c>
      <c r="J11" s="3625">
        <f t="shared" si="10"/>
        <v>0</v>
      </c>
      <c r="K11" s="3630">
        <f>C11*F11</f>
        <v>0</v>
      </c>
      <c r="L11" s="3630">
        <f t="shared" ref="L11:L56" si="12">I11+K11</f>
        <v>0</v>
      </c>
      <c r="M11" s="3630">
        <f t="shared" si="3"/>
        <v>0</v>
      </c>
      <c r="N11" s="3631">
        <f t="shared" si="4"/>
        <v>0</v>
      </c>
      <c r="O11" s="3632"/>
      <c r="P11" s="3633"/>
      <c r="Q11" s="3622"/>
      <c r="R11" s="3634"/>
      <c r="S11" s="3632">
        <f t="shared" si="5"/>
        <v>0</v>
      </c>
      <c r="T11" s="3635">
        <f t="shared" si="6"/>
        <v>0</v>
      </c>
      <c r="U11" s="3636"/>
      <c r="V11" s="3619"/>
      <c r="W11" s="3620"/>
      <c r="X11" s="3620">
        <v>12</v>
      </c>
      <c r="Y11" s="3621">
        <v>0.85</v>
      </c>
      <c r="Z11" s="3603">
        <f t="shared" si="0"/>
        <v>7.2900000000000006E-2</v>
      </c>
    </row>
    <row r="12" spans="1:26" ht="14.25" customHeight="1" thickBot="1">
      <c r="A12" s="3653" t="s">
        <v>3088</v>
      </c>
      <c r="B12" s="3654" t="s">
        <v>3089</v>
      </c>
      <c r="C12" s="3655">
        <f>C10*1.04</f>
        <v>78.59</v>
      </c>
      <c r="D12" s="3656"/>
      <c r="E12" s="3657" t="s">
        <v>3090</v>
      </c>
      <c r="F12" s="3626"/>
      <c r="G12" s="3658"/>
      <c r="H12" s="3659">
        <f>C10*Y11</f>
        <v>64.23</v>
      </c>
      <c r="I12" s="3629"/>
      <c r="J12" s="3625"/>
      <c r="K12" s="3630"/>
      <c r="L12" s="3630"/>
      <c r="M12" s="3630"/>
      <c r="N12" s="3631"/>
      <c r="O12" s="3632"/>
      <c r="P12" s="3633"/>
      <c r="Q12" s="3622"/>
      <c r="R12" s="3634"/>
      <c r="S12" s="3632"/>
      <c r="T12" s="3635">
        <f t="shared" si="6"/>
        <v>0</v>
      </c>
      <c r="U12" s="3636"/>
      <c r="V12" s="3619"/>
      <c r="W12" s="3620"/>
      <c r="X12" s="3620">
        <v>16</v>
      </c>
      <c r="Y12" s="3621">
        <v>1</v>
      </c>
      <c r="Z12" s="3603">
        <f t="shared" si="0"/>
        <v>0.12970000000000001</v>
      </c>
    </row>
    <row r="13" spans="1:26" ht="14.25" customHeight="1">
      <c r="A13" s="3622"/>
      <c r="B13" s="3622"/>
      <c r="C13" s="3623"/>
      <c r="D13" s="3624"/>
      <c r="E13" s="3625">
        <f t="shared" si="7"/>
        <v>0</v>
      </c>
      <c r="F13" s="3626">
        <f t="shared" si="11"/>
        <v>0</v>
      </c>
      <c r="G13" s="3627">
        <f t="shared" si="8"/>
        <v>0</v>
      </c>
      <c r="H13" s="3628">
        <f t="shared" si="9"/>
        <v>0</v>
      </c>
      <c r="I13" s="3629">
        <f t="shared" si="1"/>
        <v>0</v>
      </c>
      <c r="J13" s="3625">
        <f t="shared" si="10"/>
        <v>0</v>
      </c>
      <c r="K13" s="3630">
        <f t="shared" si="2"/>
        <v>0</v>
      </c>
      <c r="L13" s="3630">
        <f t="shared" si="12"/>
        <v>0</v>
      </c>
      <c r="M13" s="3630">
        <f t="shared" si="3"/>
        <v>0</v>
      </c>
      <c r="N13" s="3631">
        <f t="shared" si="4"/>
        <v>0</v>
      </c>
      <c r="O13" s="3632"/>
      <c r="P13" s="3633"/>
      <c r="Q13" s="3622"/>
      <c r="R13" s="3634"/>
      <c r="S13" s="3632">
        <f t="shared" si="5"/>
        <v>0</v>
      </c>
      <c r="T13" s="3635">
        <f t="shared" si="6"/>
        <v>0</v>
      </c>
      <c r="U13" s="3636"/>
      <c r="V13" s="3619"/>
      <c r="W13" s="3620"/>
      <c r="X13" s="3620">
        <v>20</v>
      </c>
      <c r="Y13" s="3621">
        <v>1.2</v>
      </c>
      <c r="Z13" s="3603">
        <f t="shared" si="0"/>
        <v>0.2026</v>
      </c>
    </row>
    <row r="14" spans="1:26" ht="14.25" customHeight="1">
      <c r="A14" s="3622"/>
      <c r="B14" s="3622"/>
      <c r="C14" s="3623"/>
      <c r="D14" s="3624"/>
      <c r="E14" s="3625">
        <f t="shared" si="7"/>
        <v>0</v>
      </c>
      <c r="F14" s="3626">
        <f t="shared" si="11"/>
        <v>0</v>
      </c>
      <c r="G14" s="3627">
        <f t="shared" si="8"/>
        <v>0</v>
      </c>
      <c r="H14" s="3628">
        <f t="shared" si="9"/>
        <v>0</v>
      </c>
      <c r="I14" s="3629">
        <f t="shared" si="1"/>
        <v>0</v>
      </c>
      <c r="J14" s="3625">
        <f t="shared" si="10"/>
        <v>0</v>
      </c>
      <c r="K14" s="3630">
        <f t="shared" si="2"/>
        <v>0</v>
      </c>
      <c r="L14" s="3630">
        <f t="shared" si="12"/>
        <v>0</v>
      </c>
      <c r="M14" s="3630">
        <f t="shared" si="3"/>
        <v>0</v>
      </c>
      <c r="N14" s="3631">
        <f t="shared" si="4"/>
        <v>0</v>
      </c>
      <c r="O14" s="3632"/>
      <c r="P14" s="3633"/>
      <c r="Q14" s="3622"/>
      <c r="R14" s="3634"/>
      <c r="S14" s="3632">
        <f t="shared" si="5"/>
        <v>0</v>
      </c>
      <c r="T14" s="3635">
        <f t="shared" si="6"/>
        <v>0</v>
      </c>
      <c r="U14" s="3636"/>
      <c r="V14" s="3619"/>
      <c r="W14" s="3620"/>
      <c r="X14" s="3620">
        <v>24</v>
      </c>
      <c r="Y14" s="3621">
        <v>1.3</v>
      </c>
      <c r="Z14" s="3603">
        <f t="shared" si="0"/>
        <v>0.2918</v>
      </c>
    </row>
    <row r="15" spans="1:26" ht="14.25" customHeight="1">
      <c r="A15" s="3622"/>
      <c r="B15" s="3622"/>
      <c r="C15" s="3623"/>
      <c r="D15" s="3624"/>
      <c r="E15" s="3625">
        <f t="shared" si="7"/>
        <v>0</v>
      </c>
      <c r="F15" s="3626">
        <f t="shared" si="11"/>
        <v>0</v>
      </c>
      <c r="G15" s="3627">
        <f t="shared" si="8"/>
        <v>0</v>
      </c>
      <c r="H15" s="3628">
        <f t="shared" si="9"/>
        <v>0</v>
      </c>
      <c r="I15" s="3629">
        <f t="shared" si="1"/>
        <v>0</v>
      </c>
      <c r="J15" s="3625">
        <f t="shared" si="10"/>
        <v>0</v>
      </c>
      <c r="K15" s="3630">
        <f t="shared" si="2"/>
        <v>0</v>
      </c>
      <c r="L15" s="3630">
        <f t="shared" si="12"/>
        <v>0</v>
      </c>
      <c r="M15" s="3630">
        <f t="shared" si="3"/>
        <v>0</v>
      </c>
      <c r="N15" s="3631">
        <f t="shared" si="4"/>
        <v>0</v>
      </c>
      <c r="O15" s="3632"/>
      <c r="P15" s="3633"/>
      <c r="Q15" s="3622"/>
      <c r="R15" s="3634"/>
      <c r="S15" s="3632">
        <f t="shared" si="5"/>
        <v>0</v>
      </c>
      <c r="T15" s="3635">
        <f t="shared" si="6"/>
        <v>0</v>
      </c>
      <c r="U15" s="3636"/>
      <c r="V15" s="3619"/>
      <c r="W15" s="3620"/>
      <c r="X15" s="3660"/>
    </row>
    <row r="16" spans="1:26" ht="14.25" customHeight="1">
      <c r="A16" s="3593" t="s">
        <v>3091</v>
      </c>
      <c r="B16" s="3661"/>
      <c r="C16" s="3662"/>
      <c r="D16" s="3663"/>
      <c r="E16" s="3664"/>
      <c r="F16" s="3665"/>
      <c r="G16" s="3666"/>
      <c r="H16" s="3628">
        <f t="shared" si="9"/>
        <v>0</v>
      </c>
      <c r="I16" s="3629">
        <f t="shared" si="1"/>
        <v>0</v>
      </c>
      <c r="J16" s="3625">
        <f t="shared" si="10"/>
        <v>0</v>
      </c>
      <c r="K16" s="3630">
        <f t="shared" si="2"/>
        <v>0</v>
      </c>
      <c r="L16" s="3630">
        <f t="shared" si="12"/>
        <v>0</v>
      </c>
      <c r="M16" s="3630">
        <f t="shared" si="3"/>
        <v>0</v>
      </c>
      <c r="N16" s="3631">
        <f t="shared" si="4"/>
        <v>0</v>
      </c>
      <c r="O16" s="3632"/>
      <c r="P16" s="3633"/>
      <c r="Q16" s="3622"/>
      <c r="R16" s="3634"/>
      <c r="S16" s="3632">
        <f t="shared" si="5"/>
        <v>0</v>
      </c>
      <c r="T16" s="3635">
        <f t="shared" si="6"/>
        <v>0</v>
      </c>
      <c r="U16" s="3636"/>
      <c r="V16" s="3619"/>
      <c r="W16" s="3620"/>
      <c r="X16" s="3660"/>
    </row>
    <row r="17" spans="1:24" ht="14.25" customHeight="1">
      <c r="A17" s="3622" t="s">
        <v>3092</v>
      </c>
      <c r="B17" s="3622" t="s">
        <v>3093</v>
      </c>
      <c r="C17" s="3623">
        <v>5.3</v>
      </c>
      <c r="D17" s="3624">
        <v>12</v>
      </c>
      <c r="E17" s="3625">
        <f t="shared" si="7"/>
        <v>0.85</v>
      </c>
      <c r="F17" s="3626">
        <f t="shared" si="11"/>
        <v>8.5000000000000006E-2</v>
      </c>
      <c r="G17" s="3627">
        <f t="shared" si="8"/>
        <v>1.1000000000000001</v>
      </c>
      <c r="H17" s="3628">
        <f t="shared" si="9"/>
        <v>1.1100000000000001</v>
      </c>
      <c r="I17" s="3629">
        <f t="shared" si="1"/>
        <v>4.9800000000000004</v>
      </c>
      <c r="J17" s="3625">
        <f t="shared" si="10"/>
        <v>0.39</v>
      </c>
      <c r="K17" s="3630">
        <f t="shared" si="2"/>
        <v>0.45</v>
      </c>
      <c r="L17" s="3630">
        <f t="shared" si="12"/>
        <v>5.43</v>
      </c>
      <c r="M17" s="3630">
        <f t="shared" si="3"/>
        <v>4.3600000000000003</v>
      </c>
      <c r="N17" s="3631">
        <f t="shared" si="4"/>
        <v>1.28</v>
      </c>
      <c r="O17" s="3632">
        <v>30.4</v>
      </c>
      <c r="P17" s="3633">
        <v>29.3</v>
      </c>
      <c r="Q17" s="3622">
        <v>30.4</v>
      </c>
      <c r="R17" s="3634">
        <v>29.29</v>
      </c>
      <c r="S17" s="3632">
        <f t="shared" si="5"/>
        <v>5.43</v>
      </c>
      <c r="T17" s="3635">
        <f t="shared" si="6"/>
        <v>0</v>
      </c>
      <c r="U17" s="3636"/>
      <c r="V17" s="3619"/>
      <c r="W17" s="3620"/>
      <c r="X17" s="3660"/>
    </row>
    <row r="18" spans="1:24" ht="14.25" customHeight="1">
      <c r="A18" s="3622" t="s">
        <v>3092</v>
      </c>
      <c r="B18" s="3622" t="s">
        <v>3094</v>
      </c>
      <c r="C18" s="3623">
        <v>5.3</v>
      </c>
      <c r="D18" s="3624">
        <v>12</v>
      </c>
      <c r="E18" s="3625">
        <f t="shared" si="7"/>
        <v>0.85</v>
      </c>
      <c r="F18" s="3626">
        <f t="shared" si="11"/>
        <v>8.5000000000000006E-2</v>
      </c>
      <c r="G18" s="3627">
        <f t="shared" si="8"/>
        <v>1.1000000000000001</v>
      </c>
      <c r="H18" s="3628">
        <f t="shared" si="9"/>
        <v>1.1299999999999999</v>
      </c>
      <c r="I18" s="3629">
        <f t="shared" si="1"/>
        <v>5.0199999999999996</v>
      </c>
      <c r="J18" s="3625">
        <f t="shared" si="10"/>
        <v>0.39</v>
      </c>
      <c r="K18" s="3630">
        <f t="shared" si="2"/>
        <v>0.45</v>
      </c>
      <c r="L18" s="3630">
        <f t="shared" si="12"/>
        <v>5.47</v>
      </c>
      <c r="M18" s="3630">
        <f t="shared" si="3"/>
        <v>4.4000000000000004</v>
      </c>
      <c r="N18" s="3631">
        <f t="shared" si="4"/>
        <v>1.28</v>
      </c>
      <c r="O18" s="3632">
        <v>30.4</v>
      </c>
      <c r="P18" s="3633">
        <v>29.3</v>
      </c>
      <c r="Q18" s="3622">
        <v>30.4</v>
      </c>
      <c r="R18" s="3634">
        <v>29.27</v>
      </c>
      <c r="S18" s="3632">
        <f t="shared" si="5"/>
        <v>5.47</v>
      </c>
      <c r="T18" s="3635">
        <f t="shared" si="6"/>
        <v>0</v>
      </c>
      <c r="U18" s="3636"/>
      <c r="V18" s="3619"/>
      <c r="W18" s="3620"/>
      <c r="X18" s="3660"/>
    </row>
    <row r="19" spans="1:24" ht="14.25" customHeight="1">
      <c r="A19" s="3622" t="s">
        <v>3093</v>
      </c>
      <c r="B19" s="3622" t="s">
        <v>3094</v>
      </c>
      <c r="C19" s="3623">
        <v>8.25</v>
      </c>
      <c r="D19" s="3624">
        <v>12</v>
      </c>
      <c r="E19" s="3625">
        <f t="shared" si="7"/>
        <v>0.85</v>
      </c>
      <c r="F19" s="3626">
        <f t="shared" si="11"/>
        <v>8.5000000000000006E-2</v>
      </c>
      <c r="G19" s="3627">
        <f t="shared" si="8"/>
        <v>1.1100000000000001</v>
      </c>
      <c r="H19" s="3628">
        <f t="shared" si="9"/>
        <v>1.1299999999999999</v>
      </c>
      <c r="I19" s="3629">
        <f t="shared" si="1"/>
        <v>7.85</v>
      </c>
      <c r="J19" s="3625">
        <f t="shared" si="10"/>
        <v>0.6</v>
      </c>
      <c r="K19" s="3630">
        <f t="shared" si="2"/>
        <v>0.7</v>
      </c>
      <c r="L19" s="3630">
        <f t="shared" si="12"/>
        <v>8.5500000000000007</v>
      </c>
      <c r="M19" s="3630">
        <f t="shared" si="3"/>
        <v>6.89</v>
      </c>
      <c r="N19" s="3631">
        <f t="shared" si="4"/>
        <v>1.99</v>
      </c>
      <c r="O19" s="3632">
        <v>30.4</v>
      </c>
      <c r="P19" s="3633">
        <v>29.29</v>
      </c>
      <c r="Q19" s="3622">
        <v>30.4</v>
      </c>
      <c r="R19" s="3634">
        <v>29.27</v>
      </c>
      <c r="S19" s="3632">
        <f t="shared" si="5"/>
        <v>8.5500000000000007</v>
      </c>
      <c r="T19" s="3635">
        <f t="shared" si="6"/>
        <v>0</v>
      </c>
      <c r="U19" s="3636"/>
      <c r="V19" s="3636"/>
      <c r="W19" s="3620"/>
      <c r="X19" s="3660"/>
    </row>
    <row r="20" spans="1:24" ht="14.25" customHeight="1">
      <c r="A20" s="3622" t="s">
        <v>3094</v>
      </c>
      <c r="B20" s="3622" t="s">
        <v>3095</v>
      </c>
      <c r="C20" s="3623">
        <v>10.25</v>
      </c>
      <c r="D20" s="3624">
        <v>12</v>
      </c>
      <c r="E20" s="3625">
        <f t="shared" si="7"/>
        <v>0.85</v>
      </c>
      <c r="F20" s="3626">
        <f t="shared" si="11"/>
        <v>8.5000000000000006E-2</v>
      </c>
      <c r="G20" s="3627">
        <f t="shared" si="8"/>
        <v>1.1299999999999999</v>
      </c>
      <c r="H20" s="3628">
        <f t="shared" si="9"/>
        <v>1.1499999999999999</v>
      </c>
      <c r="I20" s="3629">
        <f t="shared" si="1"/>
        <v>9.93</v>
      </c>
      <c r="J20" s="3625">
        <f t="shared" si="10"/>
        <v>0.75</v>
      </c>
      <c r="K20" s="3630">
        <f t="shared" si="2"/>
        <v>0.87</v>
      </c>
      <c r="L20" s="3630">
        <f t="shared" si="12"/>
        <v>10.8</v>
      </c>
      <c r="M20" s="3630">
        <f t="shared" si="3"/>
        <v>8.7200000000000006</v>
      </c>
      <c r="N20" s="3631">
        <f t="shared" si="4"/>
        <v>2.5</v>
      </c>
      <c r="O20" s="3632">
        <v>30.4</v>
      </c>
      <c r="P20" s="3633">
        <v>29.27</v>
      </c>
      <c r="Q20" s="3622">
        <v>30.4</v>
      </c>
      <c r="R20" s="3634">
        <v>29.25</v>
      </c>
      <c r="S20" s="3632">
        <f t="shared" si="5"/>
        <v>10.8</v>
      </c>
      <c r="T20" s="3635">
        <f t="shared" si="6"/>
        <v>0</v>
      </c>
      <c r="U20" s="3636"/>
      <c r="V20" s="3636"/>
      <c r="W20" s="3619"/>
      <c r="X20" s="3660"/>
    </row>
    <row r="21" spans="1:24" ht="14.25" customHeight="1">
      <c r="A21" s="3622" t="s">
        <v>3095</v>
      </c>
      <c r="B21" s="3622" t="s">
        <v>3096</v>
      </c>
      <c r="C21" s="3623">
        <v>4.0599999999999996</v>
      </c>
      <c r="D21" s="3624">
        <v>12</v>
      </c>
      <c r="E21" s="3625">
        <f t="shared" si="7"/>
        <v>0.85</v>
      </c>
      <c r="F21" s="3626">
        <f t="shared" si="11"/>
        <v>8.5000000000000006E-2</v>
      </c>
      <c r="G21" s="3627">
        <f t="shared" si="8"/>
        <v>0.9</v>
      </c>
      <c r="H21" s="3628">
        <f t="shared" si="9"/>
        <v>1.1599999999999999</v>
      </c>
      <c r="I21" s="3629">
        <f t="shared" si="1"/>
        <v>3.55</v>
      </c>
      <c r="J21" s="3625">
        <f t="shared" si="10"/>
        <v>0.3</v>
      </c>
      <c r="K21" s="3630">
        <f t="shared" si="2"/>
        <v>0.35</v>
      </c>
      <c r="L21" s="3630">
        <f t="shared" si="12"/>
        <v>3.9</v>
      </c>
      <c r="M21" s="3630">
        <f t="shared" si="3"/>
        <v>3.09</v>
      </c>
      <c r="N21" s="3631">
        <f t="shared" si="4"/>
        <v>0.97</v>
      </c>
      <c r="O21" s="3632">
        <v>30.4</v>
      </c>
      <c r="P21" s="3633">
        <v>29.5</v>
      </c>
      <c r="Q21" s="3622">
        <v>30.4</v>
      </c>
      <c r="R21" s="3634">
        <v>29.24</v>
      </c>
      <c r="S21" s="3632">
        <f t="shared" si="5"/>
        <v>3.9</v>
      </c>
      <c r="T21" s="3635">
        <f t="shared" si="6"/>
        <v>0</v>
      </c>
      <c r="U21" s="3636"/>
      <c r="V21" s="3619"/>
      <c r="W21" s="3619"/>
      <c r="X21" s="3660"/>
    </row>
    <row r="22" spans="1:24" ht="14.25" customHeight="1">
      <c r="A22" s="3622" t="s">
        <v>3096</v>
      </c>
      <c r="B22" s="3622" t="s">
        <v>3097</v>
      </c>
      <c r="C22" s="3623">
        <v>10.3</v>
      </c>
      <c r="D22" s="3624">
        <v>10</v>
      </c>
      <c r="E22" s="3625">
        <f t="shared" si="7"/>
        <v>0.8</v>
      </c>
      <c r="F22" s="3626">
        <f t="shared" si="11"/>
        <v>0.08</v>
      </c>
      <c r="G22" s="3627">
        <f t="shared" si="8"/>
        <v>1.1599999999999999</v>
      </c>
      <c r="H22" s="3628">
        <f t="shared" si="9"/>
        <v>1.19</v>
      </c>
      <c r="I22" s="3629">
        <f t="shared" si="1"/>
        <v>9.68</v>
      </c>
      <c r="J22" s="3625">
        <f t="shared" si="10"/>
        <v>0.52</v>
      </c>
      <c r="K22" s="3630">
        <f t="shared" si="2"/>
        <v>0.82</v>
      </c>
      <c r="L22" s="3630">
        <f t="shared" si="12"/>
        <v>10.5</v>
      </c>
      <c r="M22" s="3630">
        <f t="shared" si="3"/>
        <v>8.6999999999999993</v>
      </c>
      <c r="N22" s="3631">
        <f t="shared" si="4"/>
        <v>2.16</v>
      </c>
      <c r="O22" s="3632">
        <v>30.4</v>
      </c>
      <c r="P22" s="3633">
        <v>29.24</v>
      </c>
      <c r="Q22" s="3622">
        <v>30.4</v>
      </c>
      <c r="R22" s="3634">
        <v>29.21</v>
      </c>
      <c r="S22" s="3632">
        <f t="shared" si="5"/>
        <v>10.5</v>
      </c>
      <c r="T22" s="3635">
        <f t="shared" si="6"/>
        <v>0</v>
      </c>
      <c r="U22" s="3636"/>
      <c r="V22" s="3619"/>
      <c r="W22" s="3619"/>
      <c r="X22" s="3660"/>
    </row>
    <row r="23" spans="1:24" ht="14.25" customHeight="1">
      <c r="A23" s="3622" t="s">
        <v>3096</v>
      </c>
      <c r="B23" s="3622" t="s">
        <v>3098</v>
      </c>
      <c r="C23" s="3623">
        <v>10</v>
      </c>
      <c r="D23" s="3624">
        <v>10</v>
      </c>
      <c r="E23" s="3625">
        <f t="shared" si="7"/>
        <v>0.8</v>
      </c>
      <c r="F23" s="3626">
        <f t="shared" si="11"/>
        <v>0.08</v>
      </c>
      <c r="G23" s="3627">
        <f t="shared" si="8"/>
        <v>1.1599999999999999</v>
      </c>
      <c r="H23" s="3628">
        <f t="shared" si="9"/>
        <v>1.18</v>
      </c>
      <c r="I23" s="3629">
        <f t="shared" si="1"/>
        <v>9.36</v>
      </c>
      <c r="J23" s="3625">
        <f t="shared" si="10"/>
        <v>0.51</v>
      </c>
      <c r="K23" s="3630">
        <f t="shared" si="2"/>
        <v>0.8</v>
      </c>
      <c r="L23" s="3630">
        <f t="shared" si="12"/>
        <v>10.16</v>
      </c>
      <c r="M23" s="3630">
        <f t="shared" si="3"/>
        <v>8.41</v>
      </c>
      <c r="N23" s="3631">
        <f t="shared" si="4"/>
        <v>2.1</v>
      </c>
      <c r="O23" s="3632">
        <v>30.4</v>
      </c>
      <c r="P23" s="3633">
        <v>29.24</v>
      </c>
      <c r="Q23" s="3622">
        <v>30.4</v>
      </c>
      <c r="R23" s="3634">
        <v>29.22</v>
      </c>
      <c r="S23" s="3632">
        <f t="shared" si="5"/>
        <v>10.16</v>
      </c>
      <c r="T23" s="3635">
        <f t="shared" si="6"/>
        <v>0</v>
      </c>
      <c r="U23" s="3636"/>
      <c r="V23" s="3619"/>
      <c r="W23" s="3619"/>
      <c r="X23" s="3660"/>
    </row>
    <row r="24" spans="1:24" ht="14.25" customHeight="1">
      <c r="A24" s="3622" t="s">
        <v>3096</v>
      </c>
      <c r="B24" s="3622" t="s">
        <v>3099</v>
      </c>
      <c r="C24" s="3623">
        <v>10.3</v>
      </c>
      <c r="D24" s="3624">
        <v>10</v>
      </c>
      <c r="E24" s="3625">
        <f t="shared" si="7"/>
        <v>0.8</v>
      </c>
      <c r="F24" s="3626">
        <f t="shared" si="11"/>
        <v>0.08</v>
      </c>
      <c r="G24" s="3627">
        <f t="shared" si="8"/>
        <v>1.1599999999999999</v>
      </c>
      <c r="H24" s="3628">
        <f t="shared" si="9"/>
        <v>1.19</v>
      </c>
      <c r="I24" s="3629">
        <f t="shared" si="1"/>
        <v>9.68</v>
      </c>
      <c r="J24" s="3625">
        <f t="shared" si="10"/>
        <v>0.52</v>
      </c>
      <c r="K24" s="3630">
        <f t="shared" si="2"/>
        <v>0.82</v>
      </c>
      <c r="L24" s="3630">
        <f t="shared" si="12"/>
        <v>10.5</v>
      </c>
      <c r="M24" s="3630">
        <f t="shared" si="3"/>
        <v>8.6999999999999993</v>
      </c>
      <c r="N24" s="3631">
        <f t="shared" si="4"/>
        <v>2.16</v>
      </c>
      <c r="O24" s="3632">
        <v>30.4</v>
      </c>
      <c r="P24" s="3633">
        <v>29.24</v>
      </c>
      <c r="Q24" s="3622">
        <v>30.4</v>
      </c>
      <c r="R24" s="3634">
        <v>29.21</v>
      </c>
      <c r="S24" s="3632">
        <f t="shared" si="5"/>
        <v>10.5</v>
      </c>
      <c r="T24" s="3635">
        <f t="shared" si="6"/>
        <v>0</v>
      </c>
      <c r="U24" s="3636"/>
      <c r="V24" s="3619"/>
      <c r="W24" s="3619"/>
      <c r="X24" s="3660"/>
    </row>
    <row r="25" spans="1:24" ht="14.25" customHeight="1" thickBot="1">
      <c r="A25" s="3622"/>
      <c r="B25" s="3622"/>
      <c r="C25" s="3623"/>
      <c r="D25" s="3624"/>
      <c r="E25" s="3625">
        <f t="shared" si="7"/>
        <v>0</v>
      </c>
      <c r="F25" s="3626">
        <f t="shared" si="11"/>
        <v>0</v>
      </c>
      <c r="G25" s="3627">
        <f t="shared" si="8"/>
        <v>0</v>
      </c>
      <c r="H25" s="3628">
        <f t="shared" si="9"/>
        <v>0</v>
      </c>
      <c r="I25" s="3629">
        <f t="shared" si="1"/>
        <v>0</v>
      </c>
      <c r="J25" s="3625">
        <f t="shared" si="10"/>
        <v>0</v>
      </c>
      <c r="K25" s="3630">
        <f t="shared" si="2"/>
        <v>0</v>
      </c>
      <c r="L25" s="3630">
        <f t="shared" si="12"/>
        <v>0</v>
      </c>
      <c r="M25" s="3630">
        <f t="shared" si="3"/>
        <v>0</v>
      </c>
      <c r="N25" s="3631">
        <f t="shared" si="4"/>
        <v>0</v>
      </c>
      <c r="O25" s="3632"/>
      <c r="P25" s="3633"/>
      <c r="Q25" s="3622"/>
      <c r="R25" s="3634"/>
      <c r="S25" s="3632">
        <f t="shared" si="5"/>
        <v>0</v>
      </c>
      <c r="T25" s="3635">
        <f t="shared" si="6"/>
        <v>0</v>
      </c>
      <c r="U25" s="3636"/>
      <c r="V25" s="3619"/>
      <c r="W25" s="3619"/>
      <c r="X25" s="3660"/>
    </row>
    <row r="26" spans="1:24" ht="14.25" customHeight="1" thickTop="1" thickBot="1">
      <c r="A26" s="3637" t="s">
        <v>289</v>
      </c>
      <c r="B26" s="3638" t="s">
        <v>3100</v>
      </c>
      <c r="C26" s="3639">
        <f>SUM(C17:C24)</f>
        <v>63.76</v>
      </c>
      <c r="D26" s="3640"/>
      <c r="E26" s="3641">
        <f t="shared" si="7"/>
        <v>0</v>
      </c>
      <c r="F26" s="3642">
        <f t="shared" si="11"/>
        <v>0</v>
      </c>
      <c r="G26" s="3643">
        <f t="shared" si="8"/>
        <v>0</v>
      </c>
      <c r="H26" s="3644">
        <f t="shared" si="9"/>
        <v>0</v>
      </c>
      <c r="I26" s="3645">
        <f t="shared" si="1"/>
        <v>0</v>
      </c>
      <c r="J26" s="3646">
        <f t="shared" si="10"/>
        <v>0</v>
      </c>
      <c r="K26" s="3667">
        <f>SUM(K17:K24)</f>
        <v>5.26</v>
      </c>
      <c r="L26" s="3668">
        <f>SUM(L17:L24)</f>
        <v>65.31</v>
      </c>
      <c r="M26" s="3668">
        <f>SUM(M17:M24)</f>
        <v>53.27</v>
      </c>
      <c r="N26" s="3669">
        <f>SUM(N17:N24)</f>
        <v>14.44</v>
      </c>
      <c r="O26" s="3650"/>
      <c r="P26" s="3650"/>
      <c r="Q26" s="3638"/>
      <c r="R26" s="3651"/>
      <c r="S26" s="3637">
        <f>SUM(S17:S24)</f>
        <v>65.31</v>
      </c>
      <c r="T26" s="3670">
        <f t="shared" si="6"/>
        <v>0</v>
      </c>
      <c r="U26" s="3636"/>
      <c r="V26" s="3619"/>
      <c r="W26" s="3619"/>
      <c r="X26" s="3660"/>
    </row>
    <row r="27" spans="1:24" ht="14.25" customHeight="1" thickTop="1">
      <c r="A27" s="3622"/>
      <c r="B27" s="3622"/>
      <c r="C27" s="3623"/>
      <c r="D27" s="3624"/>
      <c r="E27" s="3625">
        <f t="shared" si="7"/>
        <v>0</v>
      </c>
      <c r="F27" s="3626">
        <f t="shared" si="11"/>
        <v>0</v>
      </c>
      <c r="G27" s="3627">
        <f t="shared" si="8"/>
        <v>0</v>
      </c>
      <c r="H27" s="3628">
        <f t="shared" si="9"/>
        <v>0</v>
      </c>
      <c r="I27" s="3629">
        <f t="shared" si="1"/>
        <v>0</v>
      </c>
      <c r="J27" s="3625">
        <f t="shared" si="10"/>
        <v>0</v>
      </c>
      <c r="K27" s="3630">
        <f t="shared" si="2"/>
        <v>0</v>
      </c>
      <c r="L27" s="3630">
        <f t="shared" si="12"/>
        <v>0</v>
      </c>
      <c r="M27" s="3630">
        <f t="shared" si="3"/>
        <v>0</v>
      </c>
      <c r="N27" s="3631">
        <f t="shared" si="4"/>
        <v>0</v>
      </c>
      <c r="O27" s="3632"/>
      <c r="P27" s="3633"/>
      <c r="Q27" s="3622"/>
      <c r="R27" s="3634"/>
      <c r="S27" s="3632">
        <f t="shared" si="5"/>
        <v>0</v>
      </c>
      <c r="T27" s="3635">
        <f t="shared" si="6"/>
        <v>0</v>
      </c>
      <c r="U27" s="3636"/>
      <c r="V27" s="3619"/>
      <c r="W27" s="3619"/>
      <c r="X27" s="3660"/>
    </row>
    <row r="28" spans="1:24" ht="14.25" customHeight="1" thickBot="1">
      <c r="A28" s="3622"/>
      <c r="B28" s="3622" t="s">
        <v>3100</v>
      </c>
      <c r="C28" s="3623">
        <f>SUM(C17:C21)</f>
        <v>33.159999999999997</v>
      </c>
      <c r="D28" s="3624"/>
      <c r="E28" s="3657" t="s">
        <v>3090</v>
      </c>
      <c r="F28" s="3626"/>
      <c r="G28" s="3627"/>
      <c r="H28" s="3628">
        <f>C28*Y11</f>
        <v>28.19</v>
      </c>
      <c r="I28" s="3629"/>
      <c r="J28" s="3625">
        <f t="shared" si="10"/>
        <v>0</v>
      </c>
      <c r="K28" s="3630">
        <f t="shared" si="2"/>
        <v>0</v>
      </c>
      <c r="L28" s="3630">
        <f t="shared" si="12"/>
        <v>0</v>
      </c>
      <c r="M28" s="3630">
        <f t="shared" si="3"/>
        <v>0</v>
      </c>
      <c r="N28" s="3631">
        <f t="shared" si="4"/>
        <v>0</v>
      </c>
      <c r="O28" s="3632"/>
      <c r="P28" s="3633"/>
      <c r="Q28" s="3622"/>
      <c r="R28" s="3634"/>
      <c r="S28" s="3632"/>
      <c r="T28" s="3635">
        <f t="shared" si="6"/>
        <v>0</v>
      </c>
      <c r="U28" s="3636"/>
      <c r="V28" s="3619"/>
      <c r="W28" s="3619"/>
      <c r="X28" s="3660"/>
    </row>
    <row r="29" spans="1:24" ht="14.25" customHeight="1" thickBot="1">
      <c r="A29" s="3653" t="s">
        <v>3088</v>
      </c>
      <c r="B29" s="3654" t="s">
        <v>3101</v>
      </c>
      <c r="C29" s="3671">
        <f>C28*1.04</f>
        <v>34.49</v>
      </c>
      <c r="D29" s="3656"/>
      <c r="E29" s="3625">
        <f t="shared" si="7"/>
        <v>0</v>
      </c>
      <c r="F29" s="3626">
        <f t="shared" si="11"/>
        <v>0</v>
      </c>
      <c r="G29" s="3627">
        <f t="shared" si="8"/>
        <v>0</v>
      </c>
      <c r="H29" s="3628">
        <f t="shared" si="9"/>
        <v>0</v>
      </c>
      <c r="I29" s="3629">
        <f t="shared" si="1"/>
        <v>0</v>
      </c>
      <c r="J29" s="3625">
        <f t="shared" si="10"/>
        <v>0</v>
      </c>
      <c r="K29" s="3630">
        <f t="shared" si="2"/>
        <v>0</v>
      </c>
      <c r="L29" s="3630">
        <f t="shared" si="12"/>
        <v>0</v>
      </c>
      <c r="M29" s="3630">
        <f t="shared" si="3"/>
        <v>0</v>
      </c>
      <c r="N29" s="3631">
        <f t="shared" si="4"/>
        <v>0</v>
      </c>
      <c r="O29" s="3632"/>
      <c r="P29" s="3633"/>
      <c r="Q29" s="3622"/>
      <c r="R29" s="3622"/>
      <c r="S29" s="3632">
        <f t="shared" si="5"/>
        <v>0</v>
      </c>
      <c r="T29" s="3635">
        <f t="shared" si="6"/>
        <v>0</v>
      </c>
      <c r="U29" s="3636"/>
      <c r="V29" s="3619"/>
      <c r="W29" s="3619"/>
      <c r="X29" s="3660"/>
    </row>
    <row r="30" spans="1:24" ht="14.25" customHeight="1" thickBot="1">
      <c r="A30" s="3622"/>
      <c r="B30" s="3622" t="s">
        <v>3102</v>
      </c>
      <c r="C30" s="3623">
        <f>SUM(C22:C24)</f>
        <v>30.6</v>
      </c>
      <c r="D30" s="3624"/>
      <c r="E30" s="3657" t="s">
        <v>3090</v>
      </c>
      <c r="F30" s="3626"/>
      <c r="G30" s="3627"/>
      <c r="H30" s="3628">
        <f>C30*Y10</f>
        <v>24.48</v>
      </c>
      <c r="I30" s="3629"/>
      <c r="J30" s="3625">
        <f t="shared" si="10"/>
        <v>0</v>
      </c>
      <c r="K30" s="3630">
        <f t="shared" si="2"/>
        <v>0</v>
      </c>
      <c r="L30" s="3630">
        <f t="shared" si="12"/>
        <v>0</v>
      </c>
      <c r="M30" s="3630">
        <f t="shared" si="3"/>
        <v>0</v>
      </c>
      <c r="N30" s="3631">
        <f t="shared" si="4"/>
        <v>0</v>
      </c>
      <c r="O30" s="3632"/>
      <c r="P30" s="3633"/>
      <c r="Q30" s="3622"/>
      <c r="R30" s="3622"/>
      <c r="S30" s="3632"/>
      <c r="T30" s="3635">
        <f t="shared" si="6"/>
        <v>0</v>
      </c>
      <c r="U30" s="3636"/>
      <c r="V30" s="3619"/>
      <c r="W30" s="3619"/>
      <c r="X30" s="3660"/>
    </row>
    <row r="31" spans="1:24" ht="14.25" customHeight="1" thickBot="1">
      <c r="A31" s="3653" t="s">
        <v>3103</v>
      </c>
      <c r="B31" s="3654" t="s">
        <v>3089</v>
      </c>
      <c r="C31" s="3671">
        <f>C30*1.03</f>
        <v>31.52</v>
      </c>
      <c r="D31" s="3656"/>
      <c r="E31" s="3625">
        <f t="shared" si="7"/>
        <v>0</v>
      </c>
      <c r="F31" s="3626">
        <f t="shared" si="11"/>
        <v>0</v>
      </c>
      <c r="G31" s="3627">
        <f t="shared" si="8"/>
        <v>0</v>
      </c>
      <c r="H31" s="3659">
        <f>SUM(H28:H30)</f>
        <v>52.67</v>
      </c>
      <c r="I31" s="3629">
        <f t="shared" si="1"/>
        <v>0</v>
      </c>
      <c r="J31" s="3625">
        <f t="shared" si="10"/>
        <v>0</v>
      </c>
      <c r="K31" s="3630">
        <f t="shared" si="2"/>
        <v>0</v>
      </c>
      <c r="L31" s="3630">
        <f t="shared" si="12"/>
        <v>0</v>
      </c>
      <c r="M31" s="3630">
        <f t="shared" si="3"/>
        <v>0</v>
      </c>
      <c r="N31" s="3631">
        <f t="shared" si="4"/>
        <v>0</v>
      </c>
      <c r="O31" s="3632"/>
      <c r="P31" s="3633"/>
      <c r="Q31" s="3622"/>
      <c r="R31" s="3622"/>
      <c r="S31" s="3632">
        <f t="shared" si="5"/>
        <v>0</v>
      </c>
      <c r="T31" s="3635">
        <f t="shared" si="6"/>
        <v>0</v>
      </c>
      <c r="U31" s="3636"/>
      <c r="V31" s="3619"/>
      <c r="W31" s="3619"/>
      <c r="X31" s="3660"/>
    </row>
    <row r="32" spans="1:24" ht="14.25" customHeight="1">
      <c r="A32" s="3622"/>
      <c r="B32" s="3622"/>
      <c r="C32" s="3623"/>
      <c r="D32" s="3624"/>
      <c r="E32" s="3625">
        <f t="shared" si="7"/>
        <v>0</v>
      </c>
      <c r="F32" s="3626">
        <f t="shared" si="11"/>
        <v>0</v>
      </c>
      <c r="G32" s="3627">
        <f t="shared" si="8"/>
        <v>0</v>
      </c>
      <c r="H32" s="3628">
        <f t="shared" si="9"/>
        <v>0</v>
      </c>
      <c r="I32" s="3629">
        <f t="shared" si="1"/>
        <v>0</v>
      </c>
      <c r="J32" s="3625">
        <f t="shared" si="10"/>
        <v>0</v>
      </c>
      <c r="K32" s="3630">
        <f t="shared" si="2"/>
        <v>0</v>
      </c>
      <c r="L32" s="3630">
        <f t="shared" si="12"/>
        <v>0</v>
      </c>
      <c r="M32" s="3630">
        <f t="shared" si="3"/>
        <v>0</v>
      </c>
      <c r="N32" s="3672">
        <f t="shared" si="4"/>
        <v>0</v>
      </c>
      <c r="O32" s="3632"/>
      <c r="P32" s="3633"/>
      <c r="Q32" s="3622"/>
      <c r="R32" s="3673"/>
      <c r="S32" s="3632">
        <f t="shared" si="5"/>
        <v>0</v>
      </c>
      <c r="T32" s="3635">
        <f t="shared" si="6"/>
        <v>0</v>
      </c>
      <c r="U32" s="3636"/>
      <c r="V32" s="3619"/>
      <c r="W32" s="3619"/>
      <c r="X32" s="3660"/>
    </row>
    <row r="33" spans="1:24" ht="14.25" customHeight="1">
      <c r="A33" s="3622"/>
      <c r="B33" s="3622"/>
      <c r="C33" s="3674"/>
      <c r="D33" s="3624"/>
      <c r="E33" s="3625">
        <f t="shared" si="7"/>
        <v>0</v>
      </c>
      <c r="F33" s="3626">
        <f t="shared" si="11"/>
        <v>0</v>
      </c>
      <c r="G33" s="3627">
        <f t="shared" si="8"/>
        <v>0</v>
      </c>
      <c r="H33" s="3675">
        <f t="shared" si="9"/>
        <v>0</v>
      </c>
      <c r="I33" s="3629">
        <f t="shared" si="1"/>
        <v>0</v>
      </c>
      <c r="J33" s="3625">
        <f t="shared" si="10"/>
        <v>0</v>
      </c>
      <c r="K33" s="3674"/>
      <c r="L33" s="3630">
        <f t="shared" si="12"/>
        <v>0</v>
      </c>
      <c r="M33" s="3674"/>
      <c r="N33" s="3676"/>
      <c r="O33" s="3632"/>
      <c r="P33" s="3622"/>
      <c r="Q33" s="3622"/>
      <c r="R33" s="3673"/>
      <c r="S33" s="3677"/>
      <c r="T33" s="3674"/>
      <c r="U33" s="3636"/>
      <c r="V33" s="3619"/>
      <c r="W33" s="3619"/>
      <c r="X33" s="3660"/>
    </row>
    <row r="34" spans="1:24" ht="14.25" customHeight="1">
      <c r="A34" s="3678"/>
      <c r="B34" s="3678"/>
      <c r="C34" s="3679"/>
      <c r="D34" s="3680"/>
      <c r="E34" s="3678"/>
      <c r="F34" s="3681"/>
      <c r="G34" s="3682"/>
      <c r="H34" s="3683"/>
      <c r="I34" s="3684"/>
      <c r="J34" s="3625">
        <f t="shared" si="10"/>
        <v>0</v>
      </c>
      <c r="K34" s="3685"/>
      <c r="L34" s="3630">
        <f t="shared" si="12"/>
        <v>0</v>
      </c>
      <c r="M34" s="3686"/>
      <c r="N34" s="3687"/>
      <c r="O34" s="3684"/>
      <c r="P34" s="3678"/>
      <c r="Q34" s="3678"/>
      <c r="R34" s="3688"/>
      <c r="S34" s="3632">
        <f t="shared" si="5"/>
        <v>0</v>
      </c>
      <c r="T34" s="3635">
        <f t="shared" si="6"/>
        <v>0</v>
      </c>
      <c r="U34" s="3636"/>
      <c r="V34" s="3619"/>
      <c r="W34" s="3619"/>
      <c r="X34" s="3660"/>
    </row>
    <row r="35" spans="1:24" ht="14.25" customHeight="1">
      <c r="A35" s="3593" t="s">
        <v>3104</v>
      </c>
      <c r="B35" s="3689"/>
      <c r="C35" s="3689"/>
      <c r="D35" s="3689"/>
      <c r="E35" s="3689"/>
      <c r="F35" s="3689"/>
      <c r="G35" s="3689"/>
      <c r="H35" s="3690"/>
      <c r="I35" s="3691"/>
      <c r="J35" s="3689"/>
      <c r="K35" s="3689"/>
      <c r="L35" s="3692">
        <f t="shared" si="12"/>
        <v>0</v>
      </c>
      <c r="M35" s="3689"/>
      <c r="N35" s="3690"/>
      <c r="O35" s="3693"/>
      <c r="P35" s="3694"/>
      <c r="Q35" s="3694"/>
      <c r="R35" s="3695"/>
      <c r="S35" s="3632">
        <f t="shared" si="5"/>
        <v>0</v>
      </c>
      <c r="T35" s="3635">
        <f t="shared" si="6"/>
        <v>0</v>
      </c>
    </row>
    <row r="36" spans="1:24" ht="14.25" customHeight="1">
      <c r="A36" s="3696"/>
      <c r="B36" s="3696"/>
      <c r="C36" s="3696"/>
      <c r="D36" s="3696"/>
      <c r="E36" s="3696"/>
      <c r="F36" s="3696"/>
      <c r="G36" s="3696"/>
      <c r="H36" s="3697"/>
      <c r="I36" s="3698"/>
      <c r="J36" s="3696"/>
      <c r="K36" s="3696"/>
      <c r="L36" s="3630">
        <f t="shared" si="12"/>
        <v>0</v>
      </c>
      <c r="M36" s="3696"/>
      <c r="N36" s="3697"/>
      <c r="O36" s="3698"/>
      <c r="P36" s="3696"/>
      <c r="Q36" s="3696"/>
      <c r="R36" s="3697"/>
      <c r="S36" s="3632">
        <f t="shared" si="5"/>
        <v>0</v>
      </c>
      <c r="T36" s="3699">
        <f t="shared" si="6"/>
        <v>0</v>
      </c>
    </row>
    <row r="37" spans="1:24" ht="14.25" customHeight="1">
      <c r="A37" s="3696"/>
      <c r="B37" s="3696"/>
      <c r="C37" s="3700">
        <v>11.8</v>
      </c>
      <c r="D37" s="3701">
        <v>8</v>
      </c>
      <c r="E37" s="3625">
        <f>IF(D37=0,0,LOOKUP(D37,$X$7:$X$14,$Y$7:$Y$14))</f>
        <v>0.75</v>
      </c>
      <c r="F37" s="3626">
        <f t="shared" ref="F37:F56" si="13">E37*0.1</f>
        <v>7.4999999999999997E-2</v>
      </c>
      <c r="G37" s="3700">
        <v>1.1000000000000001</v>
      </c>
      <c r="H37" s="3702">
        <v>1.1200000000000001</v>
      </c>
      <c r="I37" s="3629">
        <f t="shared" ref="I37:I56" si="14">(G37+H37)/2*E37*C37</f>
        <v>9.82</v>
      </c>
      <c r="J37" s="3625">
        <f t="shared" ref="J37:J56" si="15">IF(D37=0,0,LOOKUP(D37,$X$7:$X$14,$Z$7:$Z$14)*C37)</f>
        <v>0.38</v>
      </c>
      <c r="K37" s="3627">
        <f t="shared" ref="K37:K56" si="16">C37*F37</f>
        <v>0.89</v>
      </c>
      <c r="L37" s="3627">
        <f t="shared" si="12"/>
        <v>10.71</v>
      </c>
      <c r="M37" s="3630">
        <f t="shared" ref="M37:M56" si="17">(L37-K37-J37)*0.95</f>
        <v>8.9700000000000006</v>
      </c>
      <c r="N37" s="3631">
        <f t="shared" ref="N37:N56" si="18">(L37-M37)*1.2</f>
        <v>2.09</v>
      </c>
      <c r="O37" s="3703"/>
      <c r="P37" s="3700"/>
      <c r="Q37" s="3700"/>
      <c r="R37" s="3702"/>
      <c r="S37" s="3632">
        <f t="shared" si="5"/>
        <v>10.71</v>
      </c>
      <c r="T37" s="3658">
        <f t="shared" si="6"/>
        <v>0</v>
      </c>
      <c r="U37" s="3581">
        <f>ROUND(C37*E37,20)</f>
        <v>8.85</v>
      </c>
    </row>
    <row r="38" spans="1:24" ht="14.25" customHeight="1">
      <c r="A38" s="3696"/>
      <c r="B38" s="3696"/>
      <c r="C38" s="3700">
        <v>21.8</v>
      </c>
      <c r="D38" s="3701">
        <v>8</v>
      </c>
      <c r="E38" s="3625">
        <f t="shared" ref="E38:E56" si="19">IF(D38=0,0,LOOKUP(D38,$X$7:$X$14,$Y$7:$Y$14))</f>
        <v>0.75</v>
      </c>
      <c r="F38" s="3626">
        <f t="shared" si="13"/>
        <v>7.4999999999999997E-2</v>
      </c>
      <c r="G38" s="3700">
        <v>1.1200000000000001</v>
      </c>
      <c r="H38" s="3702">
        <v>1.1200000000000001</v>
      </c>
      <c r="I38" s="3629">
        <f t="shared" si="14"/>
        <v>18.309999999999999</v>
      </c>
      <c r="J38" s="3625">
        <f t="shared" si="15"/>
        <v>0.71</v>
      </c>
      <c r="K38" s="3627">
        <f t="shared" si="16"/>
        <v>1.64</v>
      </c>
      <c r="L38" s="3627">
        <f t="shared" si="12"/>
        <v>19.95</v>
      </c>
      <c r="M38" s="3630">
        <f t="shared" si="17"/>
        <v>16.72</v>
      </c>
      <c r="N38" s="3631">
        <f t="shared" si="18"/>
        <v>3.88</v>
      </c>
      <c r="O38" s="3703"/>
      <c r="P38" s="3700"/>
      <c r="Q38" s="3700"/>
      <c r="R38" s="3702"/>
      <c r="S38" s="3632">
        <f t="shared" si="5"/>
        <v>19.95</v>
      </c>
      <c r="T38" s="3658">
        <f t="shared" si="6"/>
        <v>0</v>
      </c>
      <c r="U38" s="3581">
        <f t="shared" ref="U38:U56" si="20">ROUND(C38*E38,20)</f>
        <v>16.350000000000001</v>
      </c>
    </row>
    <row r="39" spans="1:24" ht="14.25" customHeight="1">
      <c r="A39" s="3696"/>
      <c r="B39" s="3696"/>
      <c r="C39" s="3700">
        <v>27.11</v>
      </c>
      <c r="D39" s="3701">
        <v>8</v>
      </c>
      <c r="E39" s="3625">
        <f t="shared" si="19"/>
        <v>0.75</v>
      </c>
      <c r="F39" s="3626">
        <f t="shared" si="13"/>
        <v>7.4999999999999997E-2</v>
      </c>
      <c r="G39" s="3700">
        <v>1.1200000000000001</v>
      </c>
      <c r="H39" s="3702">
        <v>1.5</v>
      </c>
      <c r="I39" s="3629">
        <f t="shared" si="14"/>
        <v>26.64</v>
      </c>
      <c r="J39" s="3625">
        <f t="shared" si="15"/>
        <v>0.88</v>
      </c>
      <c r="K39" s="3627">
        <f t="shared" si="16"/>
        <v>2.0299999999999998</v>
      </c>
      <c r="L39" s="3627">
        <f t="shared" si="12"/>
        <v>28.67</v>
      </c>
      <c r="M39" s="3630">
        <f t="shared" si="17"/>
        <v>24.47</v>
      </c>
      <c r="N39" s="3631">
        <f t="shared" si="18"/>
        <v>5.04</v>
      </c>
      <c r="O39" s="3703"/>
      <c r="P39" s="3700"/>
      <c r="Q39" s="3700"/>
      <c r="R39" s="3702"/>
      <c r="S39" s="3632">
        <f t="shared" si="5"/>
        <v>28.67</v>
      </c>
      <c r="T39" s="3658">
        <f t="shared" si="6"/>
        <v>0</v>
      </c>
      <c r="U39" s="3581">
        <f t="shared" si="20"/>
        <v>20.3325</v>
      </c>
    </row>
    <row r="40" spans="1:24" ht="14.25" customHeight="1">
      <c r="A40" s="3696"/>
      <c r="B40" s="3696"/>
      <c r="C40" s="3700">
        <v>7.67</v>
      </c>
      <c r="D40" s="3701">
        <v>8</v>
      </c>
      <c r="E40" s="3625">
        <f t="shared" si="19"/>
        <v>0.75</v>
      </c>
      <c r="F40" s="3626">
        <f t="shared" si="13"/>
        <v>7.4999999999999997E-2</v>
      </c>
      <c r="G40" s="3700">
        <v>1.5</v>
      </c>
      <c r="H40" s="3702">
        <v>1.1200000000000001</v>
      </c>
      <c r="I40" s="3629">
        <f t="shared" si="14"/>
        <v>7.54</v>
      </c>
      <c r="J40" s="3625">
        <f t="shared" si="15"/>
        <v>0.25</v>
      </c>
      <c r="K40" s="3627">
        <f t="shared" si="16"/>
        <v>0.57999999999999996</v>
      </c>
      <c r="L40" s="3627">
        <f t="shared" si="12"/>
        <v>8.1199999999999992</v>
      </c>
      <c r="M40" s="3630">
        <f t="shared" si="17"/>
        <v>6.93</v>
      </c>
      <c r="N40" s="3631">
        <f t="shared" si="18"/>
        <v>1.43</v>
      </c>
      <c r="O40" s="3703"/>
      <c r="P40" s="3700"/>
      <c r="Q40" s="3700"/>
      <c r="R40" s="3702"/>
      <c r="S40" s="3632">
        <f t="shared" si="5"/>
        <v>8.1199999999999992</v>
      </c>
      <c r="T40" s="3658">
        <f t="shared" si="6"/>
        <v>0</v>
      </c>
      <c r="U40" s="3581">
        <f t="shared" si="20"/>
        <v>5.7525000000000004</v>
      </c>
    </row>
    <row r="41" spans="1:24" ht="14.25" customHeight="1">
      <c r="A41" s="3696"/>
      <c r="B41" s="3696"/>
      <c r="C41" s="3700">
        <v>33.409999999999997</v>
      </c>
      <c r="D41" s="3701">
        <v>8</v>
      </c>
      <c r="E41" s="3625">
        <f t="shared" si="19"/>
        <v>0.75</v>
      </c>
      <c r="F41" s="3626">
        <f t="shared" si="13"/>
        <v>7.4999999999999997E-2</v>
      </c>
      <c r="G41" s="3700">
        <v>1.1200000000000001</v>
      </c>
      <c r="H41" s="3702">
        <v>1.1200000000000001</v>
      </c>
      <c r="I41" s="3629">
        <f t="shared" si="14"/>
        <v>28.06</v>
      </c>
      <c r="J41" s="3625">
        <f t="shared" si="15"/>
        <v>1.08</v>
      </c>
      <c r="K41" s="3627">
        <f t="shared" si="16"/>
        <v>2.5099999999999998</v>
      </c>
      <c r="L41" s="3627">
        <f t="shared" si="12"/>
        <v>30.57</v>
      </c>
      <c r="M41" s="3630">
        <f t="shared" si="17"/>
        <v>25.63</v>
      </c>
      <c r="N41" s="3631">
        <f t="shared" si="18"/>
        <v>5.93</v>
      </c>
      <c r="O41" s="3703"/>
      <c r="P41" s="3700"/>
      <c r="Q41" s="3700"/>
      <c r="R41" s="3702"/>
      <c r="S41" s="3632">
        <f t="shared" si="5"/>
        <v>30.57</v>
      </c>
      <c r="T41" s="3658">
        <f t="shared" si="6"/>
        <v>0</v>
      </c>
      <c r="U41" s="3581">
        <f t="shared" si="20"/>
        <v>25.057500000000001</v>
      </c>
    </row>
    <row r="42" spans="1:24" ht="14.25" customHeight="1">
      <c r="A42" s="3696"/>
      <c r="B42" s="3696"/>
      <c r="C42" s="3700">
        <v>27.9</v>
      </c>
      <c r="D42" s="3701">
        <v>8</v>
      </c>
      <c r="E42" s="3625">
        <f t="shared" si="19"/>
        <v>0.75</v>
      </c>
      <c r="F42" s="3626">
        <f t="shared" si="13"/>
        <v>7.4999999999999997E-2</v>
      </c>
      <c r="G42" s="3700">
        <v>1.1200000000000001</v>
      </c>
      <c r="H42" s="3702">
        <v>1.1200000000000001</v>
      </c>
      <c r="I42" s="3629">
        <f t="shared" si="14"/>
        <v>23.44</v>
      </c>
      <c r="J42" s="3625">
        <f t="shared" si="15"/>
        <v>0.9</v>
      </c>
      <c r="K42" s="3627">
        <f t="shared" si="16"/>
        <v>2.09</v>
      </c>
      <c r="L42" s="3627">
        <f t="shared" si="12"/>
        <v>25.53</v>
      </c>
      <c r="M42" s="3630">
        <f t="shared" si="17"/>
        <v>21.41</v>
      </c>
      <c r="N42" s="3631">
        <f t="shared" si="18"/>
        <v>4.9400000000000004</v>
      </c>
      <c r="O42" s="3703"/>
      <c r="P42" s="3700"/>
      <c r="Q42" s="3700"/>
      <c r="R42" s="3702"/>
      <c r="S42" s="3632">
        <f t="shared" si="5"/>
        <v>25.53</v>
      </c>
      <c r="T42" s="3658">
        <f t="shared" si="6"/>
        <v>0</v>
      </c>
      <c r="U42" s="3581">
        <f t="shared" si="20"/>
        <v>20.925000000000001</v>
      </c>
    </row>
    <row r="43" spans="1:24" ht="14.25" customHeight="1">
      <c r="A43" s="3696"/>
      <c r="B43" s="3696"/>
      <c r="C43" s="3700">
        <v>26.9</v>
      </c>
      <c r="D43" s="3701">
        <v>8</v>
      </c>
      <c r="E43" s="3625">
        <f t="shared" si="19"/>
        <v>0.75</v>
      </c>
      <c r="F43" s="3626">
        <f t="shared" si="13"/>
        <v>7.4999999999999997E-2</v>
      </c>
      <c r="G43" s="3700">
        <v>1.1200000000000001</v>
      </c>
      <c r="H43" s="3702">
        <v>1.1000000000000001</v>
      </c>
      <c r="I43" s="3629">
        <f t="shared" si="14"/>
        <v>22.39</v>
      </c>
      <c r="J43" s="3625">
        <f t="shared" si="15"/>
        <v>0.87</v>
      </c>
      <c r="K43" s="3627">
        <f t="shared" si="16"/>
        <v>2.02</v>
      </c>
      <c r="L43" s="3627">
        <f t="shared" si="12"/>
        <v>24.41</v>
      </c>
      <c r="M43" s="3630">
        <f t="shared" si="17"/>
        <v>20.440000000000001</v>
      </c>
      <c r="N43" s="3631">
        <f t="shared" si="18"/>
        <v>4.76</v>
      </c>
      <c r="O43" s="3703"/>
      <c r="P43" s="3700"/>
      <c r="Q43" s="3700"/>
      <c r="R43" s="3702"/>
      <c r="S43" s="3632">
        <f t="shared" si="5"/>
        <v>24.41</v>
      </c>
      <c r="T43" s="3658">
        <f t="shared" si="6"/>
        <v>0</v>
      </c>
      <c r="U43" s="3581">
        <f t="shared" si="20"/>
        <v>20.175000000000001</v>
      </c>
    </row>
    <row r="44" spans="1:24" ht="14.25" customHeight="1">
      <c r="A44" s="3696"/>
      <c r="B44" s="3696"/>
      <c r="C44" s="3700">
        <v>24.22</v>
      </c>
      <c r="D44" s="3701">
        <v>8</v>
      </c>
      <c r="E44" s="3625">
        <f t="shared" si="19"/>
        <v>0.75</v>
      </c>
      <c r="F44" s="3626">
        <f t="shared" si="13"/>
        <v>7.4999999999999997E-2</v>
      </c>
      <c r="G44" s="3700">
        <v>1.1000000000000001</v>
      </c>
      <c r="H44" s="3702">
        <v>1.1200000000000001</v>
      </c>
      <c r="I44" s="3629">
        <f t="shared" si="14"/>
        <v>20.16</v>
      </c>
      <c r="J44" s="3625">
        <f t="shared" si="15"/>
        <v>0.78</v>
      </c>
      <c r="K44" s="3627">
        <f t="shared" si="16"/>
        <v>1.82</v>
      </c>
      <c r="L44" s="3627">
        <f t="shared" si="12"/>
        <v>21.98</v>
      </c>
      <c r="M44" s="3630">
        <f t="shared" si="17"/>
        <v>18.41</v>
      </c>
      <c r="N44" s="3631">
        <f t="shared" si="18"/>
        <v>4.28</v>
      </c>
      <c r="O44" s="3703"/>
      <c r="P44" s="3700"/>
      <c r="Q44" s="3700"/>
      <c r="R44" s="3702"/>
      <c r="S44" s="3632">
        <f t="shared" si="5"/>
        <v>21.98</v>
      </c>
      <c r="T44" s="3658">
        <f t="shared" si="6"/>
        <v>0</v>
      </c>
      <c r="U44" s="3581">
        <f t="shared" si="20"/>
        <v>18.164999999999999</v>
      </c>
    </row>
    <row r="45" spans="1:24" ht="14.25" customHeight="1">
      <c r="A45" s="3696"/>
      <c r="B45" s="3696"/>
      <c r="C45" s="3700">
        <v>10.62</v>
      </c>
      <c r="D45" s="3701">
        <v>8</v>
      </c>
      <c r="E45" s="3625">
        <f t="shared" si="19"/>
        <v>0.75</v>
      </c>
      <c r="F45" s="3626">
        <f t="shared" si="13"/>
        <v>7.4999999999999997E-2</v>
      </c>
      <c r="G45" s="3700">
        <v>1.1200000000000001</v>
      </c>
      <c r="H45" s="3702">
        <v>0.95</v>
      </c>
      <c r="I45" s="3629">
        <f t="shared" si="14"/>
        <v>8.24</v>
      </c>
      <c r="J45" s="3625">
        <f t="shared" si="15"/>
        <v>0.34</v>
      </c>
      <c r="K45" s="3627">
        <f t="shared" si="16"/>
        <v>0.8</v>
      </c>
      <c r="L45" s="3627">
        <f t="shared" si="12"/>
        <v>9.0399999999999991</v>
      </c>
      <c r="M45" s="3630">
        <f t="shared" si="17"/>
        <v>7.51</v>
      </c>
      <c r="N45" s="3631">
        <f t="shared" si="18"/>
        <v>1.84</v>
      </c>
      <c r="O45" s="3703"/>
      <c r="P45" s="3700"/>
      <c r="Q45" s="3700"/>
      <c r="R45" s="3702"/>
      <c r="S45" s="3632">
        <f t="shared" si="5"/>
        <v>9.0399999999999991</v>
      </c>
      <c r="T45" s="3658">
        <f t="shared" si="6"/>
        <v>0</v>
      </c>
      <c r="U45" s="3581">
        <f t="shared" si="20"/>
        <v>7.9649999999999999</v>
      </c>
    </row>
    <row r="46" spans="1:24" ht="14.25" customHeight="1">
      <c r="A46" s="3696"/>
      <c r="B46" s="3696"/>
      <c r="C46" s="3700">
        <v>20.9</v>
      </c>
      <c r="D46" s="3701">
        <v>8</v>
      </c>
      <c r="E46" s="3625">
        <f t="shared" si="19"/>
        <v>0.75</v>
      </c>
      <c r="F46" s="3626">
        <f t="shared" si="13"/>
        <v>7.4999999999999997E-2</v>
      </c>
      <c r="G46" s="3700">
        <v>0.95</v>
      </c>
      <c r="H46" s="3702">
        <v>0.75</v>
      </c>
      <c r="I46" s="3629">
        <f t="shared" si="14"/>
        <v>13.32</v>
      </c>
      <c r="J46" s="3625">
        <f t="shared" si="15"/>
        <v>0.68</v>
      </c>
      <c r="K46" s="3627">
        <f t="shared" si="16"/>
        <v>1.57</v>
      </c>
      <c r="L46" s="3627">
        <f t="shared" si="12"/>
        <v>14.89</v>
      </c>
      <c r="M46" s="3630">
        <f t="shared" si="17"/>
        <v>12.01</v>
      </c>
      <c r="N46" s="3631">
        <f t="shared" si="18"/>
        <v>3.46</v>
      </c>
      <c r="O46" s="3703"/>
      <c r="P46" s="3700"/>
      <c r="Q46" s="3700"/>
      <c r="R46" s="3702"/>
      <c r="S46" s="3632">
        <f t="shared" si="5"/>
        <v>14.89</v>
      </c>
      <c r="T46" s="3658">
        <f t="shared" si="6"/>
        <v>0</v>
      </c>
      <c r="U46" s="3581">
        <f t="shared" si="20"/>
        <v>15.675000000000001</v>
      </c>
    </row>
    <row r="47" spans="1:24" ht="14.25" customHeight="1">
      <c r="A47" s="3696"/>
      <c r="B47" s="3696"/>
      <c r="C47" s="3700">
        <v>34.9</v>
      </c>
      <c r="D47" s="3701">
        <v>8</v>
      </c>
      <c r="E47" s="3625">
        <f t="shared" si="19"/>
        <v>0.75</v>
      </c>
      <c r="F47" s="3626">
        <f t="shared" si="13"/>
        <v>7.4999999999999997E-2</v>
      </c>
      <c r="G47" s="3700">
        <v>0.75</v>
      </c>
      <c r="H47" s="3702">
        <v>0.95</v>
      </c>
      <c r="I47" s="3629">
        <f t="shared" si="14"/>
        <v>22.25</v>
      </c>
      <c r="J47" s="3625">
        <f t="shared" si="15"/>
        <v>1.1299999999999999</v>
      </c>
      <c r="K47" s="3627">
        <f t="shared" si="16"/>
        <v>2.62</v>
      </c>
      <c r="L47" s="3627">
        <f t="shared" si="12"/>
        <v>24.87</v>
      </c>
      <c r="M47" s="3630">
        <f t="shared" si="17"/>
        <v>20.059999999999999</v>
      </c>
      <c r="N47" s="3631">
        <f t="shared" si="18"/>
        <v>5.77</v>
      </c>
      <c r="O47" s="3703"/>
      <c r="P47" s="3700"/>
      <c r="Q47" s="3700"/>
      <c r="R47" s="3702"/>
      <c r="S47" s="3632">
        <f t="shared" si="5"/>
        <v>24.87</v>
      </c>
      <c r="T47" s="3658">
        <f t="shared" si="6"/>
        <v>0</v>
      </c>
      <c r="U47" s="3581">
        <f t="shared" si="20"/>
        <v>26.175000000000001</v>
      </c>
    </row>
    <row r="48" spans="1:24" ht="14.25" customHeight="1">
      <c r="A48" s="3696"/>
      <c r="B48" s="3696"/>
      <c r="C48" s="3700">
        <v>14.7</v>
      </c>
      <c r="D48" s="3701">
        <v>8</v>
      </c>
      <c r="E48" s="3625">
        <f t="shared" si="19"/>
        <v>0.75</v>
      </c>
      <c r="F48" s="3704">
        <f t="shared" si="13"/>
        <v>7.4999999999999997E-2</v>
      </c>
      <c r="G48" s="3700">
        <v>0.93</v>
      </c>
      <c r="H48" s="3702">
        <v>0.95</v>
      </c>
      <c r="I48" s="3629">
        <f t="shared" si="14"/>
        <v>10.36</v>
      </c>
      <c r="J48" s="3625">
        <f t="shared" si="15"/>
        <v>0.48</v>
      </c>
      <c r="K48" s="3627">
        <f t="shared" si="16"/>
        <v>1.1000000000000001</v>
      </c>
      <c r="L48" s="3627">
        <f t="shared" si="12"/>
        <v>11.46</v>
      </c>
      <c r="M48" s="3630">
        <f t="shared" si="17"/>
        <v>9.39</v>
      </c>
      <c r="N48" s="3631">
        <f t="shared" si="18"/>
        <v>2.48</v>
      </c>
      <c r="O48" s="3703"/>
      <c r="P48" s="3700"/>
      <c r="Q48" s="3700"/>
      <c r="R48" s="3702"/>
      <c r="S48" s="3632">
        <f t="shared" si="5"/>
        <v>11.46</v>
      </c>
      <c r="T48" s="3658">
        <f t="shared" si="6"/>
        <v>0</v>
      </c>
      <c r="U48" s="3581">
        <f t="shared" si="20"/>
        <v>11.025</v>
      </c>
    </row>
    <row r="49" spans="1:21" ht="14.25" customHeight="1">
      <c r="A49" s="3696"/>
      <c r="B49" s="3696"/>
      <c r="C49" s="3700">
        <v>9.51</v>
      </c>
      <c r="D49" s="3701">
        <v>8</v>
      </c>
      <c r="E49" s="3625">
        <f t="shared" si="19"/>
        <v>0.75</v>
      </c>
      <c r="F49" s="3704">
        <f t="shared" si="13"/>
        <v>7.4999999999999997E-2</v>
      </c>
      <c r="G49" s="3700">
        <v>0.95</v>
      </c>
      <c r="H49" s="3702">
        <v>0.79</v>
      </c>
      <c r="I49" s="3629">
        <f t="shared" si="14"/>
        <v>6.21</v>
      </c>
      <c r="J49" s="3625">
        <f t="shared" si="15"/>
        <v>0.31</v>
      </c>
      <c r="K49" s="3627">
        <f t="shared" si="16"/>
        <v>0.71</v>
      </c>
      <c r="L49" s="3627">
        <f t="shared" si="12"/>
        <v>6.92</v>
      </c>
      <c r="M49" s="3630">
        <f t="shared" si="17"/>
        <v>5.61</v>
      </c>
      <c r="N49" s="3631">
        <f t="shared" si="18"/>
        <v>1.57</v>
      </c>
      <c r="O49" s="3703"/>
      <c r="P49" s="3700"/>
      <c r="Q49" s="3700"/>
      <c r="R49" s="3702"/>
      <c r="S49" s="3632">
        <f t="shared" si="5"/>
        <v>6.92</v>
      </c>
      <c r="T49" s="3658">
        <f t="shared" si="6"/>
        <v>0</v>
      </c>
      <c r="U49" s="3581">
        <f t="shared" si="20"/>
        <v>7.1325000000000003</v>
      </c>
    </row>
    <row r="50" spans="1:21" ht="14.25" customHeight="1">
      <c r="A50" s="3696"/>
      <c r="B50" s="3696"/>
      <c r="C50" s="3700">
        <v>18.75</v>
      </c>
      <c r="D50" s="3701">
        <v>8</v>
      </c>
      <c r="E50" s="3625">
        <f t="shared" si="19"/>
        <v>0.75</v>
      </c>
      <c r="F50" s="3704">
        <f t="shared" si="13"/>
        <v>7.4999999999999997E-2</v>
      </c>
      <c r="G50" s="3700">
        <v>0.79</v>
      </c>
      <c r="H50" s="3702">
        <v>1.1200000000000001</v>
      </c>
      <c r="I50" s="3629">
        <f t="shared" si="14"/>
        <v>13.43</v>
      </c>
      <c r="J50" s="3625">
        <f t="shared" si="15"/>
        <v>0.61</v>
      </c>
      <c r="K50" s="3627">
        <f t="shared" si="16"/>
        <v>1.41</v>
      </c>
      <c r="L50" s="3627">
        <f t="shared" si="12"/>
        <v>14.84</v>
      </c>
      <c r="M50" s="3630">
        <f t="shared" si="17"/>
        <v>12.18</v>
      </c>
      <c r="N50" s="3631">
        <f t="shared" si="18"/>
        <v>3.19</v>
      </c>
      <c r="O50" s="3703"/>
      <c r="P50" s="3700"/>
      <c r="Q50" s="3700"/>
      <c r="R50" s="3702"/>
      <c r="S50" s="3632">
        <f t="shared" si="5"/>
        <v>14.84</v>
      </c>
      <c r="T50" s="3658">
        <f t="shared" si="6"/>
        <v>0</v>
      </c>
      <c r="U50" s="3581">
        <f t="shared" si="20"/>
        <v>14.0625</v>
      </c>
    </row>
    <row r="51" spans="1:21" ht="14.25" customHeight="1">
      <c r="A51" s="3696"/>
      <c r="B51" s="3696"/>
      <c r="C51" s="3700">
        <v>23.7</v>
      </c>
      <c r="D51" s="3701">
        <v>8</v>
      </c>
      <c r="E51" s="3625">
        <f t="shared" si="19"/>
        <v>0.75</v>
      </c>
      <c r="F51" s="3704">
        <f t="shared" si="13"/>
        <v>7.4999999999999997E-2</v>
      </c>
      <c r="G51" s="3700">
        <v>1.1200000000000001</v>
      </c>
      <c r="H51" s="3702">
        <v>1.1200000000000001</v>
      </c>
      <c r="I51" s="3629">
        <f t="shared" si="14"/>
        <v>19.91</v>
      </c>
      <c r="J51" s="3625">
        <f t="shared" si="15"/>
        <v>0.77</v>
      </c>
      <c r="K51" s="3627">
        <f t="shared" si="16"/>
        <v>1.78</v>
      </c>
      <c r="L51" s="3627">
        <f t="shared" si="12"/>
        <v>21.69</v>
      </c>
      <c r="M51" s="3630">
        <f t="shared" si="17"/>
        <v>18.18</v>
      </c>
      <c r="N51" s="3631">
        <f t="shared" si="18"/>
        <v>4.21</v>
      </c>
      <c r="O51" s="3703"/>
      <c r="P51" s="3700"/>
      <c r="Q51" s="3700"/>
      <c r="R51" s="3702"/>
      <c r="S51" s="3632">
        <f t="shared" si="5"/>
        <v>21.69</v>
      </c>
      <c r="T51" s="3658">
        <f t="shared" si="6"/>
        <v>0</v>
      </c>
      <c r="U51" s="3581">
        <f t="shared" si="20"/>
        <v>17.774999999999999</v>
      </c>
    </row>
    <row r="52" spans="1:21" ht="14.25" customHeight="1">
      <c r="A52" s="3696"/>
      <c r="B52" s="3696"/>
      <c r="C52" s="3700">
        <v>21.9</v>
      </c>
      <c r="D52" s="3701">
        <v>8</v>
      </c>
      <c r="E52" s="3625">
        <f t="shared" si="19"/>
        <v>0.75</v>
      </c>
      <c r="F52" s="3704">
        <f t="shared" si="13"/>
        <v>7.4999999999999997E-2</v>
      </c>
      <c r="G52" s="3700">
        <v>1.1200000000000001</v>
      </c>
      <c r="H52" s="3702">
        <v>2.2000000000000002</v>
      </c>
      <c r="I52" s="3629">
        <f t="shared" si="14"/>
        <v>27.27</v>
      </c>
      <c r="J52" s="3625">
        <f t="shared" si="15"/>
        <v>0.71</v>
      </c>
      <c r="K52" s="3627">
        <f t="shared" si="16"/>
        <v>1.64</v>
      </c>
      <c r="L52" s="3627">
        <f t="shared" si="12"/>
        <v>28.91</v>
      </c>
      <c r="M52" s="3630">
        <f t="shared" si="17"/>
        <v>25.23</v>
      </c>
      <c r="N52" s="3631">
        <f t="shared" si="18"/>
        <v>4.42</v>
      </c>
      <c r="O52" s="3703"/>
      <c r="P52" s="3700"/>
      <c r="Q52" s="3700"/>
      <c r="R52" s="3702"/>
      <c r="S52" s="3632">
        <f t="shared" si="5"/>
        <v>21.52</v>
      </c>
      <c r="T52" s="3658">
        <f t="shared" si="6"/>
        <v>7.39</v>
      </c>
      <c r="U52" s="3581">
        <f t="shared" si="20"/>
        <v>16.425000000000001</v>
      </c>
    </row>
    <row r="53" spans="1:21" ht="14.25" customHeight="1">
      <c r="A53" s="3696"/>
      <c r="B53" s="3696"/>
      <c r="C53" s="3700">
        <v>13.04</v>
      </c>
      <c r="D53" s="3701">
        <v>8</v>
      </c>
      <c r="E53" s="3625">
        <f t="shared" si="19"/>
        <v>0.75</v>
      </c>
      <c r="F53" s="3704">
        <f t="shared" si="13"/>
        <v>7.4999999999999997E-2</v>
      </c>
      <c r="G53" s="3700">
        <v>2.2000000000000002</v>
      </c>
      <c r="H53" s="3702">
        <v>2.2000000000000002</v>
      </c>
      <c r="I53" s="3629">
        <f t="shared" si="14"/>
        <v>21.52</v>
      </c>
      <c r="J53" s="3625">
        <f t="shared" si="15"/>
        <v>0.42</v>
      </c>
      <c r="K53" s="3627">
        <f t="shared" si="16"/>
        <v>0.98</v>
      </c>
      <c r="L53" s="3627">
        <f t="shared" si="12"/>
        <v>22.5</v>
      </c>
      <c r="M53" s="3630">
        <f t="shared" si="17"/>
        <v>20.05</v>
      </c>
      <c r="N53" s="3631">
        <f t="shared" si="18"/>
        <v>2.94</v>
      </c>
      <c r="O53" s="3703"/>
      <c r="P53" s="3700"/>
      <c r="Q53" s="3700"/>
      <c r="R53" s="3702"/>
      <c r="S53" s="3632">
        <f t="shared" si="5"/>
        <v>14.67</v>
      </c>
      <c r="T53" s="3658">
        <f t="shared" si="6"/>
        <v>7.83</v>
      </c>
      <c r="U53" s="3581">
        <f t="shared" si="20"/>
        <v>9.7799999999999994</v>
      </c>
    </row>
    <row r="54" spans="1:21" ht="14.25" customHeight="1">
      <c r="A54" s="3696"/>
      <c r="B54" s="3696"/>
      <c r="C54" s="3700">
        <v>14.1</v>
      </c>
      <c r="D54" s="3701">
        <v>8</v>
      </c>
      <c r="E54" s="3625">
        <f t="shared" si="19"/>
        <v>0.75</v>
      </c>
      <c r="F54" s="3704">
        <f t="shared" si="13"/>
        <v>7.4999999999999997E-2</v>
      </c>
      <c r="G54" s="3700">
        <v>2.2000000000000002</v>
      </c>
      <c r="H54" s="3702">
        <v>1.1200000000000001</v>
      </c>
      <c r="I54" s="3629">
        <f t="shared" si="14"/>
        <v>17.55</v>
      </c>
      <c r="J54" s="3625">
        <f t="shared" si="15"/>
        <v>0.46</v>
      </c>
      <c r="K54" s="3627">
        <f t="shared" si="16"/>
        <v>1.06</v>
      </c>
      <c r="L54" s="3627">
        <f t="shared" si="12"/>
        <v>18.61</v>
      </c>
      <c r="M54" s="3630">
        <f t="shared" si="17"/>
        <v>16.239999999999998</v>
      </c>
      <c r="N54" s="3631">
        <f t="shared" si="18"/>
        <v>2.84</v>
      </c>
      <c r="O54" s="3703"/>
      <c r="P54" s="3700"/>
      <c r="Q54" s="3700"/>
      <c r="R54" s="3702"/>
      <c r="S54" s="3632">
        <f t="shared" si="5"/>
        <v>13.85</v>
      </c>
      <c r="T54" s="3658">
        <f t="shared" si="6"/>
        <v>4.76</v>
      </c>
      <c r="U54" s="3581">
        <f t="shared" si="20"/>
        <v>10.574999999999999</v>
      </c>
    </row>
    <row r="55" spans="1:21" ht="14.25" customHeight="1">
      <c r="A55" s="3696"/>
      <c r="B55" s="3696"/>
      <c r="C55" s="3700">
        <v>11.63</v>
      </c>
      <c r="D55" s="3701">
        <v>8</v>
      </c>
      <c r="E55" s="3625">
        <f t="shared" si="19"/>
        <v>0.75</v>
      </c>
      <c r="F55" s="3704">
        <f t="shared" si="13"/>
        <v>7.4999999999999997E-2</v>
      </c>
      <c r="G55" s="3700">
        <v>1.1200000000000001</v>
      </c>
      <c r="H55" s="3702">
        <v>2.2000000000000002</v>
      </c>
      <c r="I55" s="3629">
        <f t="shared" si="14"/>
        <v>14.48</v>
      </c>
      <c r="J55" s="3625">
        <f t="shared" si="15"/>
        <v>0.38</v>
      </c>
      <c r="K55" s="3627">
        <f t="shared" si="16"/>
        <v>0.87</v>
      </c>
      <c r="L55" s="3627">
        <f t="shared" si="12"/>
        <v>15.35</v>
      </c>
      <c r="M55" s="3630">
        <f t="shared" si="17"/>
        <v>13.4</v>
      </c>
      <c r="N55" s="3631">
        <f t="shared" si="18"/>
        <v>2.34</v>
      </c>
      <c r="O55" s="3703"/>
      <c r="P55" s="3700"/>
      <c r="Q55" s="3700"/>
      <c r="R55" s="3702"/>
      <c r="S55" s="3632">
        <f t="shared" si="5"/>
        <v>11.43</v>
      </c>
      <c r="T55" s="3658">
        <f t="shared" si="6"/>
        <v>3.92</v>
      </c>
      <c r="U55" s="3581">
        <f t="shared" si="20"/>
        <v>8.7225000000000001</v>
      </c>
    </row>
    <row r="56" spans="1:21" ht="14.25" customHeight="1" thickBot="1">
      <c r="A56" s="3696"/>
      <c r="B56" s="3696"/>
      <c r="C56" s="3700">
        <v>13.04</v>
      </c>
      <c r="D56" s="3701">
        <v>8</v>
      </c>
      <c r="E56" s="3625">
        <f t="shared" si="19"/>
        <v>0.75</v>
      </c>
      <c r="F56" s="3704">
        <f t="shared" si="13"/>
        <v>7.4999999999999997E-2</v>
      </c>
      <c r="G56" s="3700">
        <v>2.2000000000000002</v>
      </c>
      <c r="H56" s="3702">
        <v>1.1000000000000001</v>
      </c>
      <c r="I56" s="3629">
        <f t="shared" si="14"/>
        <v>16.14</v>
      </c>
      <c r="J56" s="3625">
        <f t="shared" si="15"/>
        <v>0.42</v>
      </c>
      <c r="K56" s="3627">
        <f t="shared" si="16"/>
        <v>0.98</v>
      </c>
      <c r="L56" s="3627">
        <f t="shared" si="12"/>
        <v>17.12</v>
      </c>
      <c r="M56" s="3630">
        <f t="shared" si="17"/>
        <v>14.93</v>
      </c>
      <c r="N56" s="3631">
        <f t="shared" si="18"/>
        <v>2.63</v>
      </c>
      <c r="O56" s="3703"/>
      <c r="P56" s="3700"/>
      <c r="Q56" s="3700"/>
      <c r="R56" s="3702"/>
      <c r="S56" s="3632">
        <f t="shared" si="5"/>
        <v>12.71</v>
      </c>
      <c r="T56" s="3658">
        <f t="shared" si="6"/>
        <v>4.41</v>
      </c>
      <c r="U56" s="3581">
        <f t="shared" si="20"/>
        <v>9.7799999999999994</v>
      </c>
    </row>
    <row r="57" spans="1:21" ht="14.25" customHeight="1" thickTop="1" thickBot="1">
      <c r="A57" s="3705"/>
      <c r="B57" s="3705"/>
      <c r="C57" s="3706">
        <f>SUM(C37:C56)</f>
        <v>387.6</v>
      </c>
      <c r="D57" s="3707"/>
      <c r="E57" s="3708"/>
      <c r="F57" s="3708"/>
      <c r="G57" s="3708"/>
      <c r="H57" s="3709"/>
      <c r="I57" s="3710"/>
      <c r="J57" s="3708"/>
      <c r="K57" s="3667">
        <f>SUM(K37:K56)</f>
        <v>29.1</v>
      </c>
      <c r="L57" s="3668">
        <f>SUM(L37:L56)</f>
        <v>376.14</v>
      </c>
      <c r="M57" s="3668">
        <f>SUM(M37:M56)</f>
        <v>317.77</v>
      </c>
      <c r="N57" s="3669">
        <f>SUM(N37:N56)</f>
        <v>70.040000000000006</v>
      </c>
      <c r="O57" s="3710"/>
      <c r="P57" s="3708"/>
      <c r="Q57" s="3708"/>
      <c r="R57" s="3709"/>
      <c r="S57" s="3711">
        <f>SUM(S37:S56)</f>
        <v>347.83</v>
      </c>
      <c r="T57" s="3712">
        <f>SUM(T37:T56)</f>
        <v>28.31</v>
      </c>
      <c r="U57" s="3712">
        <f>SUM(U37:U56)</f>
        <v>290.7</v>
      </c>
    </row>
    <row r="58" spans="1:21" ht="14.25" customHeight="1" thickTop="1">
      <c r="A58" s="3713"/>
      <c r="B58" s="3713"/>
      <c r="C58" s="3713"/>
      <c r="D58" s="3713"/>
      <c r="E58" s="3713"/>
      <c r="F58" s="3713"/>
      <c r="G58" s="3713"/>
      <c r="H58" s="3713"/>
      <c r="I58" s="3713"/>
      <c r="J58" s="3713"/>
      <c r="K58" s="3713"/>
      <c r="L58" s="3713"/>
      <c r="M58" s="3713"/>
      <c r="N58" s="3713"/>
      <c r="O58" s="3713"/>
      <c r="P58" s="3713"/>
      <c r="Q58" s="3713"/>
      <c r="R58" s="3713"/>
      <c r="S58" s="3713"/>
      <c r="T58" s="3713"/>
    </row>
    <row r="59" spans="1:21" ht="14.25" customHeight="1">
      <c r="A59" s="3713"/>
      <c r="B59" s="3713"/>
      <c r="C59" s="3713"/>
      <c r="D59" s="3713"/>
      <c r="E59" s="3713"/>
      <c r="F59" s="3713"/>
      <c r="G59" s="3713"/>
      <c r="H59" s="3713"/>
      <c r="I59" s="3713"/>
      <c r="J59" s="3713"/>
      <c r="K59" s="3713"/>
      <c r="L59" s="3713"/>
      <c r="M59" s="3713"/>
      <c r="N59" s="3713"/>
      <c r="O59" s="3713"/>
      <c r="P59" s="3713"/>
      <c r="Q59" s="3713"/>
      <c r="R59" s="3713"/>
      <c r="S59" s="3713"/>
      <c r="T59" s="3713"/>
    </row>
    <row r="60" spans="1:21">
      <c r="A60" s="3713"/>
      <c r="B60" s="3713"/>
      <c r="C60" s="3713"/>
      <c r="D60" s="3713"/>
      <c r="E60" s="3713"/>
      <c r="F60" s="3713"/>
      <c r="G60" s="3713"/>
      <c r="H60" s="3713"/>
      <c r="I60" s="3714" t="s">
        <v>3105</v>
      </c>
      <c r="J60" s="3715">
        <f>C57</f>
        <v>387.6</v>
      </c>
      <c r="K60" s="3716" t="s">
        <v>1</v>
      </c>
      <c r="L60" s="3717">
        <v>76.55</v>
      </c>
      <c r="M60" s="3718">
        <f>ROUND(J60*L60,20)</f>
        <v>29670.78</v>
      </c>
      <c r="N60" s="3719"/>
      <c r="O60" s="3713"/>
      <c r="P60" s="3713"/>
      <c r="Q60" s="3713"/>
      <c r="R60" s="3713"/>
      <c r="S60" s="3713"/>
      <c r="T60" s="3713"/>
    </row>
    <row r="61" spans="1:21">
      <c r="A61" s="3713"/>
      <c r="B61" s="3713" t="s">
        <v>3106</v>
      </c>
      <c r="C61" s="3713"/>
      <c r="D61" s="3713"/>
      <c r="E61" s="3713"/>
      <c r="F61" s="3714"/>
      <c r="G61" s="3713"/>
      <c r="H61" s="3713"/>
      <c r="I61" s="3720" t="s">
        <v>3107</v>
      </c>
      <c r="J61" s="3715">
        <f>L57</f>
        <v>376.14</v>
      </c>
      <c r="K61" s="3716" t="s">
        <v>2</v>
      </c>
      <c r="L61" s="3718">
        <v>110.69</v>
      </c>
      <c r="M61" s="3718">
        <f t="shared" ref="M61:M67" si="21">ROUND(J61*L61,20)</f>
        <v>41634.94</v>
      </c>
      <c r="N61" s="3719"/>
      <c r="O61" s="3713"/>
      <c r="P61" s="3713"/>
      <c r="Q61" s="3713"/>
      <c r="R61" s="3713"/>
      <c r="S61" s="3713"/>
      <c r="T61" s="3713"/>
    </row>
    <row r="62" spans="1:21">
      <c r="A62" s="3713"/>
      <c r="B62" s="3714" t="s">
        <v>3108</v>
      </c>
      <c r="C62" s="3721">
        <f>SUM(C37:C46,C49:C56)</f>
        <v>338</v>
      </c>
      <c r="D62" s="3713">
        <f>C62*1.03</f>
        <v>348.14</v>
      </c>
      <c r="E62" s="3713"/>
      <c r="F62" s="3713"/>
      <c r="G62" s="3713"/>
      <c r="H62" s="3713"/>
      <c r="I62" s="3714" t="s">
        <v>3109</v>
      </c>
      <c r="J62" s="3722">
        <f>U57</f>
        <v>290.7</v>
      </c>
      <c r="K62" s="3716" t="s">
        <v>11</v>
      </c>
      <c r="L62" s="3723">
        <v>17.850000000000001</v>
      </c>
      <c r="M62" s="3718">
        <f t="shared" si="21"/>
        <v>5189</v>
      </c>
      <c r="N62" s="3719"/>
      <c r="O62" s="3713"/>
      <c r="P62" s="3713"/>
      <c r="Q62" s="3713"/>
      <c r="R62" s="3713"/>
      <c r="S62" s="3713"/>
      <c r="T62" s="3713"/>
    </row>
    <row r="63" spans="1:21">
      <c r="A63" s="3713"/>
      <c r="B63" s="3714" t="s">
        <v>3110</v>
      </c>
      <c r="C63" s="3721">
        <f>C47</f>
        <v>34.9</v>
      </c>
      <c r="D63" s="3713">
        <f>C63*1.05</f>
        <v>36.645000000000003</v>
      </c>
      <c r="E63" s="3713"/>
      <c r="F63" s="3713"/>
      <c r="G63" s="3713"/>
      <c r="H63" s="3713"/>
      <c r="I63" s="3714" t="s">
        <v>3111</v>
      </c>
      <c r="J63" s="3722">
        <f>K57</f>
        <v>29.1</v>
      </c>
      <c r="K63" s="3716" t="s">
        <v>2</v>
      </c>
      <c r="L63" s="3717">
        <v>1941.69</v>
      </c>
      <c r="M63" s="3718">
        <f t="shared" si="21"/>
        <v>56503.18</v>
      </c>
      <c r="N63" s="3719"/>
      <c r="O63" s="3713"/>
      <c r="P63" s="3713"/>
      <c r="Q63" s="3713"/>
      <c r="R63" s="3713"/>
      <c r="S63" s="3713"/>
      <c r="T63" s="3713"/>
    </row>
    <row r="64" spans="1:21">
      <c r="A64" s="3713"/>
      <c r="B64" s="3714" t="s">
        <v>3112</v>
      </c>
      <c r="C64" s="3721">
        <f>C48</f>
        <v>14.7</v>
      </c>
      <c r="D64" s="3713">
        <f>C64*1.05</f>
        <v>15.435</v>
      </c>
      <c r="E64" s="3713"/>
      <c r="F64" s="3713"/>
      <c r="G64" s="3713"/>
      <c r="H64" s="3713"/>
      <c r="I64" s="3714" t="s">
        <v>3113</v>
      </c>
      <c r="J64" s="3722">
        <f>M57</f>
        <v>317.77</v>
      </c>
      <c r="K64" s="3716" t="s">
        <v>2</v>
      </c>
      <c r="L64" s="3717">
        <v>183.13</v>
      </c>
      <c r="M64" s="3718">
        <f t="shared" si="21"/>
        <v>58193.22</v>
      </c>
      <c r="N64" s="3719"/>
      <c r="O64" s="3713"/>
      <c r="P64" s="3713"/>
      <c r="Q64" s="3713"/>
      <c r="R64" s="3713"/>
      <c r="S64" s="3713"/>
      <c r="T64" s="3713"/>
    </row>
    <row r="65" spans="1:20">
      <c r="A65" s="3713"/>
      <c r="B65" s="3713"/>
      <c r="C65" s="3713"/>
      <c r="D65" s="3713"/>
      <c r="E65" s="3713"/>
      <c r="F65" s="3713"/>
      <c r="G65" s="3713"/>
      <c r="H65" s="3713"/>
      <c r="I65" s="3714" t="s">
        <v>3114</v>
      </c>
      <c r="J65" s="3722">
        <f>N57</f>
        <v>70.040000000000006</v>
      </c>
      <c r="K65" s="3716" t="s">
        <v>2</v>
      </c>
      <c r="L65" s="3717">
        <v>210</v>
      </c>
      <c r="M65" s="3718">
        <f t="shared" si="21"/>
        <v>14708.4</v>
      </c>
      <c r="N65" s="3719"/>
      <c r="O65" s="3713"/>
      <c r="P65" s="3713"/>
      <c r="Q65" s="3713"/>
      <c r="R65" s="3713"/>
      <c r="S65" s="3713"/>
      <c r="T65" s="3713"/>
    </row>
    <row r="66" spans="1:20">
      <c r="A66" s="3724"/>
      <c r="B66" s="3724"/>
      <c r="C66" s="3724"/>
      <c r="D66" s="3724"/>
      <c r="E66" s="3724"/>
      <c r="F66" s="3724"/>
      <c r="G66" s="3724"/>
      <c r="H66" s="3724"/>
      <c r="I66" s="3725" t="s">
        <v>3115</v>
      </c>
      <c r="J66" s="3726">
        <f>C57*1.03</f>
        <v>399.22800000000001</v>
      </c>
      <c r="K66" s="3727" t="s">
        <v>1</v>
      </c>
      <c r="L66" s="3728">
        <v>2496.0500000000002</v>
      </c>
      <c r="M66" s="3718">
        <f t="shared" si="21"/>
        <v>996493.05</v>
      </c>
      <c r="N66" s="3729"/>
      <c r="O66" s="3724"/>
      <c r="P66" s="3724"/>
      <c r="Q66" s="3724"/>
      <c r="R66" s="3724"/>
      <c r="S66" s="3724"/>
      <c r="T66" s="3724"/>
    </row>
    <row r="67" spans="1:20">
      <c r="A67" s="3724"/>
      <c r="B67" s="3724"/>
      <c r="C67" s="3724"/>
      <c r="D67" s="3724"/>
      <c r="E67" s="3724"/>
      <c r="F67" s="3724"/>
      <c r="G67" s="3724"/>
      <c r="H67" s="3724"/>
      <c r="I67" s="3725" t="s">
        <v>3116</v>
      </c>
      <c r="J67" s="3730">
        <f>J66</f>
        <v>399.22800000000001</v>
      </c>
      <c r="K67" s="3727" t="s">
        <v>1</v>
      </c>
      <c r="L67" s="3728">
        <v>90.38</v>
      </c>
      <c r="M67" s="3718">
        <f t="shared" si="21"/>
        <v>36082.230000000003</v>
      </c>
      <c r="N67" s="3729"/>
      <c r="O67" s="3724"/>
      <c r="P67" s="3724"/>
      <c r="Q67" s="3724"/>
      <c r="R67" s="3724"/>
      <c r="S67" s="3724"/>
      <c r="T67" s="3724"/>
    </row>
    <row r="68" spans="1:20">
      <c r="A68" s="3724"/>
      <c r="B68" s="3724"/>
      <c r="C68" s="3724"/>
      <c r="D68" s="3724"/>
      <c r="E68" s="3724"/>
      <c r="F68" s="3724"/>
      <c r="G68" s="3724"/>
      <c r="H68" s="3724"/>
      <c r="I68" s="3729"/>
      <c r="J68" s="3729"/>
      <c r="K68" s="3729"/>
      <c r="L68" s="3729"/>
      <c r="M68" s="3731">
        <f>SUM(M60:M67)</f>
        <v>1238474.8</v>
      </c>
      <c r="N68" s="3729"/>
      <c r="O68" s="3724"/>
      <c r="P68" s="3724"/>
      <c r="Q68" s="3724"/>
      <c r="R68" s="3724"/>
      <c r="S68" s="3724"/>
      <c r="T68" s="3724"/>
    </row>
    <row r="69" spans="1:20">
      <c r="A69" s="3724"/>
      <c r="B69" s="3724"/>
      <c r="C69" s="3724"/>
      <c r="D69" s="3724"/>
      <c r="E69" s="3724"/>
      <c r="F69" s="3724"/>
      <c r="G69" s="3724"/>
      <c r="H69" s="3724"/>
      <c r="I69" s="3725"/>
      <c r="J69" s="3732"/>
      <c r="K69" s="3727" t="s">
        <v>3</v>
      </c>
      <c r="L69" s="3729"/>
      <c r="M69" s="3729"/>
      <c r="N69" s="3729"/>
      <c r="O69" s="3724"/>
      <c r="P69" s="3724"/>
      <c r="Q69" s="3724"/>
      <c r="R69" s="3724"/>
      <c r="S69" s="3724"/>
      <c r="T69" s="3724"/>
    </row>
    <row r="70" spans="1:20">
      <c r="A70" s="3724"/>
      <c r="B70" s="3724"/>
      <c r="C70" s="3724"/>
      <c r="D70" s="3724"/>
      <c r="E70" s="3724"/>
      <c r="F70" s="3724"/>
      <c r="G70" s="3724"/>
      <c r="H70" s="3724"/>
      <c r="I70" s="3725" t="s">
        <v>3117</v>
      </c>
      <c r="J70" s="3732">
        <f>ROUND(INT(C57/85),2)</f>
        <v>4</v>
      </c>
      <c r="K70" s="3727" t="s">
        <v>3</v>
      </c>
      <c r="L70" s="3728">
        <v>8680.9500000000007</v>
      </c>
      <c r="M70" s="3731">
        <f>ROUND(J70*L70,20)</f>
        <v>34723.800000000003</v>
      </c>
      <c r="N70" s="3729"/>
      <c r="O70" s="3724"/>
      <c r="P70" s="3724"/>
      <c r="Q70" s="3724"/>
      <c r="R70" s="3724"/>
      <c r="S70" s="3724"/>
      <c r="T70" s="3724"/>
    </row>
    <row r="71" spans="1:20">
      <c r="A71" s="3724"/>
      <c r="B71" s="3724"/>
      <c r="C71" s="3724"/>
      <c r="D71" s="3724"/>
      <c r="E71" s="3724"/>
      <c r="F71" s="3724"/>
      <c r="G71" s="3724"/>
      <c r="H71" s="3724"/>
      <c r="I71" s="3725" t="s">
        <v>3118</v>
      </c>
      <c r="J71" s="3732">
        <v>15</v>
      </c>
      <c r="K71" s="3727" t="s">
        <v>3</v>
      </c>
      <c r="L71" s="3728">
        <v>2316.87</v>
      </c>
      <c r="M71" s="3731">
        <f>ROUND(J71*L71,20)</f>
        <v>34753.050000000003</v>
      </c>
      <c r="N71" s="3729"/>
      <c r="O71" s="3724"/>
      <c r="P71" s="3724"/>
      <c r="Q71" s="3724"/>
      <c r="R71" s="3724"/>
      <c r="S71" s="3724"/>
      <c r="T71" s="3724"/>
    </row>
    <row r="72" spans="1:20">
      <c r="A72" s="3724"/>
      <c r="B72" s="3724"/>
      <c r="C72" s="3724"/>
      <c r="D72" s="3724"/>
      <c r="E72" s="3724"/>
      <c r="F72" s="3724"/>
      <c r="G72" s="3724"/>
      <c r="H72" s="3724"/>
      <c r="I72" s="3725" t="s">
        <v>3119</v>
      </c>
      <c r="J72" s="3732">
        <f>J71</f>
        <v>15</v>
      </c>
      <c r="K72" s="3727" t="s">
        <v>3</v>
      </c>
      <c r="L72" s="3728">
        <v>63467.01</v>
      </c>
      <c r="M72" s="3731">
        <f>ROUND(J72*L72,20)</f>
        <v>952005.15</v>
      </c>
      <c r="N72" s="3729"/>
      <c r="O72" s="3724"/>
      <c r="P72" s="3724"/>
      <c r="Q72" s="3724"/>
      <c r="R72" s="3724"/>
      <c r="S72" s="3724"/>
      <c r="T72" s="3724"/>
    </row>
    <row r="73" spans="1:20" ht="15.75">
      <c r="A73" s="3724"/>
      <c r="B73" s="3724"/>
      <c r="C73" s="3724"/>
      <c r="D73" s="3724"/>
      <c r="E73" s="3724"/>
      <c r="F73" s="3724"/>
      <c r="G73" s="3724"/>
      <c r="H73" s="3724"/>
      <c r="I73" s="3729"/>
      <c r="J73" s="3729"/>
      <c r="K73" s="3729"/>
      <c r="L73" s="3729"/>
      <c r="M73" s="5075">
        <f>ROUND(SUM(M68,M70:M72),2)</f>
        <v>2259956.7999999998</v>
      </c>
      <c r="N73" s="5075"/>
      <c r="O73" s="3724"/>
      <c r="P73" s="3724"/>
      <c r="Q73" s="3724"/>
      <c r="R73" s="3724"/>
      <c r="S73" s="3724"/>
      <c r="T73" s="3724"/>
    </row>
    <row r="74" spans="1:20">
      <c r="A74" s="3724"/>
      <c r="B74" s="3724"/>
      <c r="C74" s="3724"/>
      <c r="D74" s="3724"/>
      <c r="E74" s="3724"/>
      <c r="F74" s="3724"/>
      <c r="G74" s="3724"/>
      <c r="H74" s="3724"/>
      <c r="I74" s="3724"/>
      <c r="J74" s="3724"/>
      <c r="K74" s="3724"/>
      <c r="L74" s="3724"/>
      <c r="M74" s="3724"/>
      <c r="N74" s="3724"/>
      <c r="O74" s="3724"/>
      <c r="P74" s="3724"/>
      <c r="Q74" s="3724"/>
      <c r="R74" s="3724"/>
      <c r="S74" s="3724"/>
      <c r="T74" s="3724"/>
    </row>
    <row r="75" spans="1:20">
      <c r="A75" s="3724"/>
      <c r="B75" s="3724"/>
      <c r="C75" s="3724"/>
      <c r="D75" s="3724"/>
      <c r="E75" s="3724"/>
      <c r="F75" s="3724"/>
      <c r="G75" s="3724"/>
      <c r="H75" s="3724"/>
      <c r="I75" s="3724"/>
      <c r="J75" s="3724"/>
      <c r="K75" s="3724"/>
      <c r="L75" s="3724"/>
      <c r="M75" s="3724"/>
      <c r="N75" s="3724"/>
      <c r="O75" s="3724"/>
      <c r="P75" s="3724"/>
      <c r="Q75" s="3724"/>
      <c r="R75" s="3724"/>
      <c r="S75" s="3724"/>
      <c r="T75" s="3724"/>
    </row>
    <row r="76" spans="1:20">
      <c r="A76" s="3724"/>
      <c r="B76" s="3724"/>
      <c r="C76" s="3724"/>
      <c r="D76" s="3724"/>
      <c r="E76" s="3724"/>
      <c r="F76" s="3724"/>
      <c r="G76" s="3724"/>
      <c r="H76" s="3724"/>
      <c r="I76" s="3724"/>
      <c r="J76" s="3724"/>
      <c r="K76" s="3724"/>
      <c r="L76" s="3724"/>
      <c r="M76" s="3724"/>
      <c r="N76" s="3724"/>
      <c r="O76" s="3724"/>
      <c r="P76" s="3724"/>
      <c r="Q76" s="3724"/>
      <c r="R76" s="3724"/>
      <c r="S76" s="3724"/>
      <c r="T76" s="3724"/>
    </row>
    <row r="77" spans="1:20">
      <c r="A77" s="3724"/>
      <c r="B77" s="3724"/>
      <c r="C77" s="3724"/>
      <c r="D77" s="3724"/>
      <c r="E77" s="3724"/>
      <c r="F77" s="3724"/>
      <c r="G77" s="3724"/>
      <c r="H77" s="3724"/>
      <c r="I77" s="3724"/>
      <c r="J77" s="3724"/>
      <c r="K77" s="3724"/>
      <c r="L77" s="3724"/>
      <c r="M77" s="3724"/>
      <c r="N77" s="3724"/>
      <c r="O77" s="3724"/>
      <c r="P77" s="3724"/>
      <c r="Q77" s="3724"/>
      <c r="R77" s="3724"/>
      <c r="S77" s="3724"/>
      <c r="T77" s="3724"/>
    </row>
    <row r="78" spans="1:20" ht="15">
      <c r="A78" s="5072" t="s">
        <v>5</v>
      </c>
      <c r="B78" s="5072"/>
      <c r="C78" s="5072"/>
      <c r="D78" s="5072"/>
      <c r="E78" s="5072"/>
      <c r="F78" s="5072"/>
      <c r="G78" s="5072"/>
      <c r="H78" s="5072"/>
      <c r="I78" s="5072"/>
      <c r="J78" s="5072"/>
      <c r="K78" s="5072"/>
      <c r="L78" s="5072"/>
      <c r="M78" s="5072"/>
      <c r="N78" s="5072"/>
      <c r="O78" s="5072"/>
      <c r="P78" s="5072"/>
      <c r="Q78" s="5072"/>
      <c r="R78" s="5072"/>
      <c r="S78" s="5072"/>
      <c r="T78" s="5072"/>
    </row>
    <row r="79" spans="1:20" ht="15">
      <c r="A79" s="5073" t="s">
        <v>2559</v>
      </c>
      <c r="B79" s="5073"/>
      <c r="C79" s="5073"/>
      <c r="D79" s="5073"/>
      <c r="E79" s="5073"/>
      <c r="F79" s="5073"/>
      <c r="G79" s="5073"/>
      <c r="H79" s="5073"/>
      <c r="I79" s="5073"/>
      <c r="J79" s="5073"/>
      <c r="K79" s="5073"/>
      <c r="L79" s="5073"/>
      <c r="M79" s="5073"/>
      <c r="N79" s="5073"/>
      <c r="O79" s="5073"/>
      <c r="P79" s="5073"/>
      <c r="Q79" s="5073"/>
      <c r="R79" s="5073"/>
      <c r="S79" s="5073"/>
      <c r="T79" s="5073"/>
    </row>
    <row r="80" spans="1:20" ht="15">
      <c r="A80" s="5072" t="s">
        <v>7</v>
      </c>
      <c r="B80" s="5072"/>
      <c r="C80" s="5072"/>
      <c r="D80" s="5072"/>
      <c r="E80" s="5072"/>
      <c r="F80" s="5072"/>
      <c r="G80" s="5072"/>
      <c r="H80" s="5072"/>
      <c r="I80" s="5072"/>
      <c r="J80" s="5072"/>
      <c r="K80" s="5072"/>
      <c r="L80" s="5072"/>
      <c r="M80" s="5072"/>
      <c r="N80" s="5072"/>
      <c r="O80" s="5072"/>
      <c r="P80" s="5072"/>
      <c r="Q80" s="5072"/>
      <c r="R80" s="5072"/>
      <c r="S80" s="5072"/>
      <c r="T80" s="5072"/>
    </row>
    <row r="81" spans="1:26" ht="15">
      <c r="A81" s="5072" t="s">
        <v>2560</v>
      </c>
      <c r="B81" s="5072"/>
      <c r="C81" s="5072"/>
      <c r="D81" s="5072"/>
      <c r="E81" s="5072"/>
      <c r="F81" s="5072"/>
      <c r="G81" s="5072"/>
      <c r="H81" s="5072"/>
      <c r="I81" s="5072"/>
      <c r="J81" s="5072"/>
      <c r="K81" s="5072"/>
      <c r="L81" s="5072"/>
      <c r="M81" s="5072"/>
      <c r="N81" s="5072"/>
      <c r="O81" s="5072"/>
      <c r="P81" s="5072"/>
      <c r="Q81" s="5072"/>
      <c r="R81" s="5072"/>
      <c r="S81" s="5072"/>
      <c r="T81" s="5072"/>
    </row>
    <row r="82" spans="1:26" ht="15.75" thickBot="1">
      <c r="A82" s="5074" t="s">
        <v>3120</v>
      </c>
      <c r="B82" s="5074"/>
      <c r="C82" s="5074"/>
      <c r="D82" s="5074"/>
      <c r="E82" s="5074"/>
      <c r="F82" s="5074"/>
      <c r="G82" s="5074"/>
      <c r="H82" s="5074"/>
      <c r="I82" s="5074"/>
      <c r="J82" s="5074"/>
      <c r="K82" s="5074"/>
      <c r="L82" s="5074"/>
      <c r="M82" s="5074"/>
      <c r="N82" s="5074"/>
      <c r="O82" s="5074"/>
      <c r="P82" s="5074"/>
      <c r="Q82" s="5074"/>
      <c r="R82" s="5074"/>
      <c r="S82" s="5074"/>
      <c r="T82" s="5074"/>
      <c r="U82" s="3582"/>
      <c r="V82" s="3582"/>
      <c r="W82" s="3582"/>
      <c r="X82" s="3582"/>
    </row>
    <row r="83" spans="1:26" ht="29.25" customHeight="1" thickBot="1">
      <c r="A83" s="3583" t="s">
        <v>3062</v>
      </c>
      <c r="B83" s="3583" t="s">
        <v>3063</v>
      </c>
      <c r="C83" s="3584" t="s">
        <v>3064</v>
      </c>
      <c r="D83" s="3585" t="s">
        <v>3065</v>
      </c>
      <c r="E83" s="3586" t="s">
        <v>3066</v>
      </c>
      <c r="F83" s="3586" t="s">
        <v>3067</v>
      </c>
      <c r="G83" s="3586" t="s">
        <v>3068</v>
      </c>
      <c r="H83" s="3586" t="s">
        <v>3069</v>
      </c>
      <c r="I83" s="3587" t="s">
        <v>3070</v>
      </c>
      <c r="J83" s="3586" t="s">
        <v>3071</v>
      </c>
      <c r="K83" s="3588" t="s">
        <v>3072</v>
      </c>
      <c r="L83" s="3589" t="s">
        <v>3073</v>
      </c>
      <c r="M83" s="3588" t="s">
        <v>3074</v>
      </c>
      <c r="N83" s="3589" t="s">
        <v>3075</v>
      </c>
      <c r="O83" s="3585" t="s">
        <v>3076</v>
      </c>
      <c r="P83" s="3585" t="s">
        <v>3077</v>
      </c>
      <c r="Q83" s="3585" t="s">
        <v>3078</v>
      </c>
      <c r="R83" s="3585" t="s">
        <v>3079</v>
      </c>
      <c r="S83" s="3589" t="s">
        <v>3080</v>
      </c>
      <c r="T83" s="3589" t="s">
        <v>3081</v>
      </c>
      <c r="U83" s="3590" t="s">
        <v>3082</v>
      </c>
      <c r="V83" s="3591"/>
      <c r="W83" s="3591"/>
      <c r="X83" s="3591" t="s">
        <v>3083</v>
      </c>
      <c r="Y83" s="3592" t="s">
        <v>3066</v>
      </c>
      <c r="Z83" s="3581" t="s">
        <v>3084</v>
      </c>
    </row>
    <row r="84" spans="1:26" s="3604" customFormat="1" ht="15.75" customHeight="1" thickBot="1">
      <c r="A84" s="3593" t="s">
        <v>3085</v>
      </c>
      <c r="B84" s="3594"/>
      <c r="C84" s="3594"/>
      <c r="D84" s="3595"/>
      <c r="E84" s="3595"/>
      <c r="F84" s="3595"/>
      <c r="G84" s="3595"/>
      <c r="H84" s="3595"/>
      <c r="I84" s="3596"/>
      <c r="J84" s="3597"/>
      <c r="K84" s="3598"/>
      <c r="L84" s="3598"/>
      <c r="M84" s="3598"/>
      <c r="N84" s="3599"/>
      <c r="O84" s="3597"/>
      <c r="P84" s="3597"/>
      <c r="Q84" s="3597"/>
      <c r="R84" s="3597"/>
      <c r="S84" s="3600"/>
      <c r="T84" s="3600"/>
      <c r="U84" s="3600"/>
      <c r="V84" s="3591"/>
      <c r="W84" s="3601"/>
      <c r="X84" s="3601">
        <v>4</v>
      </c>
      <c r="Y84" s="3602">
        <v>0.6</v>
      </c>
      <c r="Z84" s="3603">
        <f t="shared" ref="Z84:Z91" si="22">X84^2/1974</f>
        <v>8.0999999999999996E-3</v>
      </c>
    </row>
    <row r="85" spans="1:26" ht="14.25" customHeight="1">
      <c r="A85" s="3605" t="s">
        <v>3086</v>
      </c>
      <c r="B85" s="3606" t="s">
        <v>3087</v>
      </c>
      <c r="C85" s="3607">
        <v>75.569999999999993</v>
      </c>
      <c r="D85" s="3608">
        <v>12</v>
      </c>
      <c r="E85" s="3609">
        <f>IF(D85=0,0,LOOKUP(D85,$X$7:$X$14,$Y$7:$Y$14))</f>
        <v>0.85</v>
      </c>
      <c r="F85" s="3610">
        <f>E85*0.1</f>
        <v>8.5000000000000006E-2</v>
      </c>
      <c r="G85" s="3611">
        <f>O85-P85</f>
        <v>1.39</v>
      </c>
      <c r="H85" s="3611">
        <f>Q85-R85</f>
        <v>1.9</v>
      </c>
      <c r="I85" s="3612">
        <f t="shared" ref="I85:I88" si="23">(G85+H85)/2*E85*C85</f>
        <v>105.67</v>
      </c>
      <c r="J85" s="3609">
        <f>IF(D85=0,0,LOOKUP(D85,$X$7:$X$14,$Z$7:$Z$14)*C85)</f>
        <v>5.51</v>
      </c>
      <c r="K85" s="3613">
        <f t="shared" ref="K85:K86" si="24">C85*F85</f>
        <v>6.42</v>
      </c>
      <c r="L85" s="3613">
        <f>I85+K85</f>
        <v>112.09</v>
      </c>
      <c r="M85" s="3613">
        <f t="shared" ref="M85:M86" si="25">(L85-K85-J85)*0.95</f>
        <v>95.15</v>
      </c>
      <c r="N85" s="3614">
        <f t="shared" ref="N85:N86" si="26">(L85-M85)*1.2</f>
        <v>20.329999999999998</v>
      </c>
      <c r="O85" s="3615">
        <v>30.77</v>
      </c>
      <c r="P85" s="3605">
        <v>29.38</v>
      </c>
      <c r="Q85" s="3605">
        <v>30.4</v>
      </c>
      <c r="R85" s="3616">
        <v>28.5</v>
      </c>
      <c r="S85" s="3615">
        <f>IF(AND(G85&lt;=1.5,H85&lt;=1.5),L85,IF(AND(G85&lt;=1.5,H85&gt;1.5),(((G85+1.5)*C85)/2)*E85,IF(AND(G85&gt;1.5,H85&lt;=1.5),(((H85+1.5)*C85)/2)*E85,IF(AND(G85&gt;1.5,H85&gt;1.5),(((1.5+1.5)*C85)/2)*E85,0))))</f>
        <v>92.82</v>
      </c>
      <c r="T85" s="3617">
        <f>(L85-S85)</f>
        <v>19.27</v>
      </c>
      <c r="U85" s="3618"/>
      <c r="V85" s="3619"/>
      <c r="W85" s="3620"/>
      <c r="X85" s="3620">
        <v>6</v>
      </c>
      <c r="Y85" s="3621">
        <v>0.7</v>
      </c>
      <c r="Z85" s="3603">
        <f t="shared" si="22"/>
        <v>1.8200000000000001E-2</v>
      </c>
    </row>
    <row r="86" spans="1:26" ht="14.25" customHeight="1" thickBot="1">
      <c r="A86" s="3622"/>
      <c r="B86" s="3622"/>
      <c r="C86" s="3623"/>
      <c r="D86" s="3624"/>
      <c r="E86" s="3625">
        <f>IF(D86=0,0,LOOKUP(D86,$X$7:$X$14,$Y$7:$Y$14))</f>
        <v>0</v>
      </c>
      <c r="F86" s="3626">
        <f>E86*0.1</f>
        <v>0</v>
      </c>
      <c r="G86" s="3627">
        <f>O86-P86</f>
        <v>0</v>
      </c>
      <c r="H86" s="3628">
        <f>Q86-R86</f>
        <v>0</v>
      </c>
      <c r="I86" s="3629">
        <f t="shared" si="23"/>
        <v>0</v>
      </c>
      <c r="J86" s="3625">
        <f>IF(D86=0,0,LOOKUP(D86,$X$7:$X$14,$Z$7:$Z$14)*C86)</f>
        <v>0</v>
      </c>
      <c r="K86" s="3630">
        <f t="shared" si="24"/>
        <v>0</v>
      </c>
      <c r="L86" s="3630">
        <f>I86+K86</f>
        <v>0</v>
      </c>
      <c r="M86" s="3630">
        <f t="shared" si="25"/>
        <v>0</v>
      </c>
      <c r="N86" s="3631">
        <f t="shared" si="26"/>
        <v>0</v>
      </c>
      <c r="O86" s="3632"/>
      <c r="P86" s="3633"/>
      <c r="Q86" s="3622"/>
      <c r="R86" s="3634"/>
      <c r="S86" s="3632">
        <f t="shared" ref="S86" si="27">IF(AND(G86&lt;=1.5,H86&lt;=1.5),L86,IF(AND(G86&lt;=1.5,H86&gt;1.5),(((G86+1.5)*C86)/2)*E86,IF(AND(G86&gt;1.5,H86&lt;=1.5),(((H86+1.5)*C86)/2)*E86,IF(AND(G86&gt;1.5,H86&gt;1.5),(((1.5+1.5)*C86)/2)*E86,0))))</f>
        <v>0</v>
      </c>
      <c r="T86" s="3635">
        <f t="shared" ref="T86" si="28">(L86-S86)</f>
        <v>0</v>
      </c>
      <c r="U86" s="3636"/>
      <c r="V86" s="3619"/>
      <c r="W86" s="3620"/>
      <c r="X86" s="3620">
        <v>8</v>
      </c>
      <c r="Y86" s="3621">
        <v>0.75</v>
      </c>
      <c r="Z86" s="3603">
        <f t="shared" si="22"/>
        <v>3.2399999999999998E-2</v>
      </c>
    </row>
    <row r="87" spans="1:26" ht="14.25" customHeight="1" thickTop="1" thickBot="1">
      <c r="A87" s="3637" t="s">
        <v>289</v>
      </c>
      <c r="B87" s="3638"/>
      <c r="C87" s="3639">
        <f>SUM(C85:C86)</f>
        <v>75.569999999999993</v>
      </c>
      <c r="D87" s="3640"/>
      <c r="E87" s="3641">
        <f t="shared" ref="E87:E88" si="29">IF(D87=0,0,LOOKUP(D87,$X$7:$X$14,$Y$7:$Y$14))</f>
        <v>0</v>
      </c>
      <c r="F87" s="3642">
        <f>E87*0.1</f>
        <v>0</v>
      </c>
      <c r="G87" s="3643">
        <f t="shared" ref="G87:G88" si="30">O87-P87</f>
        <v>0</v>
      </c>
      <c r="H87" s="3644">
        <f t="shared" ref="H87:H88" si="31">Q87-R87</f>
        <v>0</v>
      </c>
      <c r="I87" s="3645">
        <f t="shared" si="23"/>
        <v>0</v>
      </c>
      <c r="J87" s="3646">
        <f t="shared" ref="J87:J88" si="32">IF(D87=0,0,LOOKUP(D87,$X$7:$X$14,$Z$7:$Z$14)*C87)</f>
        <v>0</v>
      </c>
      <c r="K87" s="3647">
        <f>SUM(K85:K86)</f>
        <v>6.42</v>
      </c>
      <c r="L87" s="3648">
        <f>SUM(L85:L86)</f>
        <v>112.09</v>
      </c>
      <c r="M87" s="3648">
        <f>SUM(M85:M86)</f>
        <v>95.15</v>
      </c>
      <c r="N87" s="3649">
        <f>SUM(N85:N86)</f>
        <v>20.329999999999998</v>
      </c>
      <c r="O87" s="3650"/>
      <c r="P87" s="3651"/>
      <c r="Q87" s="3638"/>
      <c r="R87" s="3651"/>
      <c r="S87" s="3639">
        <f>SUM(S85:S86)</f>
        <v>92.82</v>
      </c>
      <c r="T87" s="3652">
        <f>SUM(T85:T86)</f>
        <v>19.27</v>
      </c>
      <c r="U87" s="3636"/>
      <c r="V87" s="3619"/>
      <c r="W87" s="3620"/>
      <c r="X87" s="3620">
        <v>10</v>
      </c>
      <c r="Y87" s="3621">
        <v>0.8</v>
      </c>
      <c r="Z87" s="3603">
        <f t="shared" si="22"/>
        <v>5.0700000000000002E-2</v>
      </c>
    </row>
    <row r="88" spans="1:26" ht="14.25" customHeight="1" thickTop="1" thickBot="1">
      <c r="A88" s="3622"/>
      <c r="B88" s="3622"/>
      <c r="C88" s="3623"/>
      <c r="D88" s="3624"/>
      <c r="E88" s="3625">
        <f t="shared" si="29"/>
        <v>0</v>
      </c>
      <c r="F88" s="3626">
        <f t="shared" ref="F88" si="33">E88*0.1</f>
        <v>0</v>
      </c>
      <c r="G88" s="3627">
        <f t="shared" si="30"/>
        <v>0</v>
      </c>
      <c r="H88" s="3628">
        <f t="shared" si="31"/>
        <v>0</v>
      </c>
      <c r="I88" s="3629">
        <f t="shared" si="23"/>
        <v>0</v>
      </c>
      <c r="J88" s="3625">
        <f t="shared" si="32"/>
        <v>0</v>
      </c>
      <c r="K88" s="3630">
        <f>C88*F88</f>
        <v>0</v>
      </c>
      <c r="L88" s="3630">
        <f t="shared" ref="L88" si="34">I88+K88</f>
        <v>0</v>
      </c>
      <c r="M88" s="3630">
        <f t="shared" ref="M88" si="35">(L88-K88-J88)*0.95</f>
        <v>0</v>
      </c>
      <c r="N88" s="3631">
        <f t="shared" ref="N88" si="36">(L88-M88)*1.2</f>
        <v>0</v>
      </c>
      <c r="O88" s="3632"/>
      <c r="P88" s="3633"/>
      <c r="Q88" s="3622"/>
      <c r="R88" s="3634"/>
      <c r="S88" s="3632">
        <f t="shared" ref="S88" si="37">IF(AND(G88&lt;=1.5,H88&lt;=1.5),L88,IF(AND(G88&lt;=1.5,H88&gt;1.5),(((G88+1.5)*C88)/2)*E88,IF(AND(G88&gt;1.5,H88&lt;=1.5),(((H88+1.5)*C88)/2)*E88,IF(AND(G88&gt;1.5,H88&gt;1.5),(((1.5+1.5)*C88)/2)*E88,0))))</f>
        <v>0</v>
      </c>
      <c r="T88" s="3635">
        <f t="shared" ref="T88:T109" si="38">(L88-S88)</f>
        <v>0</v>
      </c>
      <c r="U88" s="3636"/>
      <c r="V88" s="3619"/>
      <c r="W88" s="3620"/>
      <c r="X88" s="3620">
        <v>12</v>
      </c>
      <c r="Y88" s="3621">
        <v>0.85</v>
      </c>
      <c r="Z88" s="3603">
        <f t="shared" si="22"/>
        <v>7.2900000000000006E-2</v>
      </c>
    </row>
    <row r="89" spans="1:26" ht="14.25" customHeight="1" thickBot="1">
      <c r="A89" s="3653" t="s">
        <v>3088</v>
      </c>
      <c r="B89" s="3654" t="s">
        <v>3089</v>
      </c>
      <c r="C89" s="3655">
        <f>C87*1.04</f>
        <v>78.59</v>
      </c>
      <c r="D89" s="3656"/>
      <c r="E89" s="3657" t="s">
        <v>3090</v>
      </c>
      <c r="F89" s="3626"/>
      <c r="G89" s="3658"/>
      <c r="H89" s="3659">
        <f>C87*Y88</f>
        <v>64.23</v>
      </c>
      <c r="I89" s="3629"/>
      <c r="J89" s="3625"/>
      <c r="K89" s="3630"/>
      <c r="L89" s="3630"/>
      <c r="M89" s="3630"/>
      <c r="N89" s="3631"/>
      <c r="O89" s="3632"/>
      <c r="P89" s="3633"/>
      <c r="Q89" s="3622"/>
      <c r="R89" s="3634"/>
      <c r="S89" s="3632"/>
      <c r="T89" s="3635">
        <f t="shared" si="38"/>
        <v>0</v>
      </c>
      <c r="U89" s="3636"/>
      <c r="V89" s="3619"/>
      <c r="W89" s="3620"/>
      <c r="X89" s="3620">
        <v>16</v>
      </c>
      <c r="Y89" s="3621">
        <v>1</v>
      </c>
      <c r="Z89" s="3603">
        <f t="shared" si="22"/>
        <v>0.12970000000000001</v>
      </c>
    </row>
    <row r="90" spans="1:26" ht="14.25" customHeight="1">
      <c r="A90" s="3622"/>
      <c r="B90" s="3622"/>
      <c r="C90" s="3623"/>
      <c r="D90" s="3624"/>
      <c r="E90" s="3625">
        <f t="shared" ref="E90:E92" si="39">IF(D90=0,0,LOOKUP(D90,$X$7:$X$14,$Y$7:$Y$14))</f>
        <v>0</v>
      </c>
      <c r="F90" s="3626">
        <f t="shared" ref="F90:F92" si="40">E90*0.1</f>
        <v>0</v>
      </c>
      <c r="G90" s="3627">
        <f t="shared" ref="G90:G92" si="41">O90-P90</f>
        <v>0</v>
      </c>
      <c r="H90" s="3628">
        <f t="shared" ref="H90:H104" si="42">Q90-R90</f>
        <v>0</v>
      </c>
      <c r="I90" s="3629">
        <f t="shared" ref="I90:I104" si="43">(G90+H90)/2*E90*C90</f>
        <v>0</v>
      </c>
      <c r="J90" s="3625">
        <f t="shared" ref="J90:J111" si="44">IF(D90=0,0,LOOKUP(D90,$X$7:$X$14,$Z$7:$Z$14)*C90)</f>
        <v>0</v>
      </c>
      <c r="K90" s="3630">
        <f t="shared" ref="K90:K102" si="45">C90*F90</f>
        <v>0</v>
      </c>
      <c r="L90" s="3630">
        <f t="shared" ref="L90:L102" si="46">I90+K90</f>
        <v>0</v>
      </c>
      <c r="M90" s="3630">
        <f t="shared" ref="M90:M102" si="47">(L90-K90-J90)*0.95</f>
        <v>0</v>
      </c>
      <c r="N90" s="3631">
        <f t="shared" ref="N90:N102" si="48">(L90-M90)*1.2</f>
        <v>0</v>
      </c>
      <c r="O90" s="3632"/>
      <c r="P90" s="3633"/>
      <c r="Q90" s="3622"/>
      <c r="R90" s="3634"/>
      <c r="S90" s="3632">
        <f t="shared" ref="S90:S102" si="49">IF(AND(G90&lt;=1.5,H90&lt;=1.5),L90,IF(AND(G90&lt;=1.5,H90&gt;1.5),(((G90+1.5)*C90)/2)*E90,IF(AND(G90&gt;1.5,H90&lt;=1.5),(((H90+1.5)*C90)/2)*E90,IF(AND(G90&gt;1.5,H90&gt;1.5),(((1.5+1.5)*C90)/2)*E90,0))))</f>
        <v>0</v>
      </c>
      <c r="T90" s="3635">
        <f t="shared" si="38"/>
        <v>0</v>
      </c>
      <c r="U90" s="3636"/>
      <c r="V90" s="3619"/>
      <c r="W90" s="3620"/>
      <c r="X90" s="3620">
        <v>20</v>
      </c>
      <c r="Y90" s="3621">
        <v>1.2</v>
      </c>
      <c r="Z90" s="3603">
        <f t="shared" si="22"/>
        <v>0.2026</v>
      </c>
    </row>
    <row r="91" spans="1:26" ht="14.25" customHeight="1">
      <c r="A91" s="3622"/>
      <c r="B91" s="3622"/>
      <c r="C91" s="3623"/>
      <c r="D91" s="3624"/>
      <c r="E91" s="3625">
        <f t="shared" si="39"/>
        <v>0</v>
      </c>
      <c r="F91" s="3626">
        <f t="shared" si="40"/>
        <v>0</v>
      </c>
      <c r="G91" s="3627">
        <f t="shared" si="41"/>
        <v>0</v>
      </c>
      <c r="H91" s="3628">
        <f t="shared" si="42"/>
        <v>0</v>
      </c>
      <c r="I91" s="3629">
        <f t="shared" si="43"/>
        <v>0</v>
      </c>
      <c r="J91" s="3625">
        <f t="shared" si="44"/>
        <v>0</v>
      </c>
      <c r="K91" s="3630">
        <f t="shared" si="45"/>
        <v>0</v>
      </c>
      <c r="L91" s="3630">
        <f t="shared" si="46"/>
        <v>0</v>
      </c>
      <c r="M91" s="3630">
        <f t="shared" si="47"/>
        <v>0</v>
      </c>
      <c r="N91" s="3631">
        <f t="shared" si="48"/>
        <v>0</v>
      </c>
      <c r="O91" s="3632"/>
      <c r="P91" s="3633"/>
      <c r="Q91" s="3622"/>
      <c r="R91" s="3634"/>
      <c r="S91" s="3632">
        <f t="shared" si="49"/>
        <v>0</v>
      </c>
      <c r="T91" s="3635">
        <f t="shared" si="38"/>
        <v>0</v>
      </c>
      <c r="U91" s="3636"/>
      <c r="V91" s="3619"/>
      <c r="W91" s="3620"/>
      <c r="X91" s="3620">
        <v>24</v>
      </c>
      <c r="Y91" s="3621">
        <v>1.3</v>
      </c>
      <c r="Z91" s="3603">
        <f t="shared" si="22"/>
        <v>0.2918</v>
      </c>
    </row>
    <row r="92" spans="1:26" ht="14.25" customHeight="1">
      <c r="A92" s="3622"/>
      <c r="B92" s="3622"/>
      <c r="C92" s="3623"/>
      <c r="D92" s="3624"/>
      <c r="E92" s="3625">
        <f t="shared" si="39"/>
        <v>0</v>
      </c>
      <c r="F92" s="3626">
        <f t="shared" si="40"/>
        <v>0</v>
      </c>
      <c r="G92" s="3627">
        <f t="shared" si="41"/>
        <v>0</v>
      </c>
      <c r="H92" s="3628">
        <f t="shared" si="42"/>
        <v>0</v>
      </c>
      <c r="I92" s="3629">
        <f t="shared" si="43"/>
        <v>0</v>
      </c>
      <c r="J92" s="3625">
        <f t="shared" si="44"/>
        <v>0</v>
      </c>
      <c r="K92" s="3630">
        <f t="shared" si="45"/>
        <v>0</v>
      </c>
      <c r="L92" s="3630">
        <f t="shared" si="46"/>
        <v>0</v>
      </c>
      <c r="M92" s="3630">
        <f t="shared" si="47"/>
        <v>0</v>
      </c>
      <c r="N92" s="3631">
        <f t="shared" si="48"/>
        <v>0</v>
      </c>
      <c r="O92" s="3632"/>
      <c r="P92" s="3633"/>
      <c r="Q92" s="3622"/>
      <c r="R92" s="3634"/>
      <c r="S92" s="3632">
        <f t="shared" si="49"/>
        <v>0</v>
      </c>
      <c r="T92" s="3635">
        <f t="shared" si="38"/>
        <v>0</v>
      </c>
      <c r="U92" s="3636"/>
      <c r="V92" s="3619"/>
      <c r="W92" s="3620"/>
      <c r="X92" s="3660"/>
    </row>
    <row r="93" spans="1:26" ht="14.25" customHeight="1">
      <c r="A93" s="3593" t="s">
        <v>3091</v>
      </c>
      <c r="B93" s="3661"/>
      <c r="C93" s="3662"/>
      <c r="D93" s="3663"/>
      <c r="E93" s="3664"/>
      <c r="F93" s="3665"/>
      <c r="G93" s="3666"/>
      <c r="H93" s="3628">
        <f t="shared" si="42"/>
        <v>0</v>
      </c>
      <c r="I93" s="3629">
        <f t="shared" si="43"/>
        <v>0</v>
      </c>
      <c r="J93" s="3625">
        <f t="shared" si="44"/>
        <v>0</v>
      </c>
      <c r="K93" s="3630">
        <f t="shared" si="45"/>
        <v>0</v>
      </c>
      <c r="L93" s="3630">
        <f t="shared" si="46"/>
        <v>0</v>
      </c>
      <c r="M93" s="3630">
        <f t="shared" si="47"/>
        <v>0</v>
      </c>
      <c r="N93" s="3631">
        <f t="shared" si="48"/>
        <v>0</v>
      </c>
      <c r="O93" s="3632"/>
      <c r="P93" s="3633"/>
      <c r="Q93" s="3622"/>
      <c r="R93" s="3634"/>
      <c r="S93" s="3632">
        <f t="shared" si="49"/>
        <v>0</v>
      </c>
      <c r="T93" s="3635">
        <f t="shared" si="38"/>
        <v>0</v>
      </c>
      <c r="U93" s="3636"/>
      <c r="V93" s="3619"/>
      <c r="W93" s="3620"/>
      <c r="X93" s="3660"/>
    </row>
    <row r="94" spans="1:26" ht="14.25" customHeight="1">
      <c r="A94" s="3622" t="s">
        <v>3092</v>
      </c>
      <c r="B94" s="3622" t="s">
        <v>3093</v>
      </c>
      <c r="C94" s="3623">
        <v>5.3</v>
      </c>
      <c r="D94" s="3624">
        <v>12</v>
      </c>
      <c r="E94" s="3625">
        <f t="shared" ref="E94:E104" si="50">IF(D94=0,0,LOOKUP(D94,$X$7:$X$14,$Y$7:$Y$14))</f>
        <v>0.85</v>
      </c>
      <c r="F94" s="3626">
        <f t="shared" ref="F94:F104" si="51">E94*0.1</f>
        <v>8.5000000000000006E-2</v>
      </c>
      <c r="G94" s="3627">
        <f t="shared" ref="G94:G104" si="52">O94-P94</f>
        <v>1.1000000000000001</v>
      </c>
      <c r="H94" s="3628">
        <f t="shared" si="42"/>
        <v>1.1100000000000001</v>
      </c>
      <c r="I94" s="3629">
        <f t="shared" si="43"/>
        <v>4.9800000000000004</v>
      </c>
      <c r="J94" s="3625">
        <f t="shared" si="44"/>
        <v>0.39</v>
      </c>
      <c r="K94" s="3630">
        <f t="shared" si="45"/>
        <v>0.45</v>
      </c>
      <c r="L94" s="3630">
        <f t="shared" si="46"/>
        <v>5.43</v>
      </c>
      <c r="M94" s="3630">
        <f t="shared" si="47"/>
        <v>4.3600000000000003</v>
      </c>
      <c r="N94" s="3631">
        <f t="shared" si="48"/>
        <v>1.28</v>
      </c>
      <c r="O94" s="3632">
        <v>30.4</v>
      </c>
      <c r="P94" s="3633">
        <v>29.3</v>
      </c>
      <c r="Q94" s="3622">
        <v>30.4</v>
      </c>
      <c r="R94" s="3634">
        <v>29.29</v>
      </c>
      <c r="S94" s="3632">
        <f t="shared" si="49"/>
        <v>5.43</v>
      </c>
      <c r="T94" s="3635">
        <f t="shared" si="38"/>
        <v>0</v>
      </c>
      <c r="U94" s="3636"/>
      <c r="V94" s="3619"/>
      <c r="W94" s="3620"/>
      <c r="X94" s="3660"/>
    </row>
    <row r="95" spans="1:26" ht="14.25" customHeight="1">
      <c r="A95" s="3622" t="s">
        <v>3092</v>
      </c>
      <c r="B95" s="3622" t="s">
        <v>3094</v>
      </c>
      <c r="C95" s="3623">
        <v>5.3</v>
      </c>
      <c r="D95" s="3624">
        <v>12</v>
      </c>
      <c r="E95" s="3625">
        <f t="shared" si="50"/>
        <v>0.85</v>
      </c>
      <c r="F95" s="3626">
        <f t="shared" si="51"/>
        <v>8.5000000000000006E-2</v>
      </c>
      <c r="G95" s="3627">
        <f t="shared" si="52"/>
        <v>1.1000000000000001</v>
      </c>
      <c r="H95" s="3628">
        <f t="shared" si="42"/>
        <v>1.1299999999999999</v>
      </c>
      <c r="I95" s="3629">
        <f t="shared" si="43"/>
        <v>5.0199999999999996</v>
      </c>
      <c r="J95" s="3625">
        <f t="shared" si="44"/>
        <v>0.39</v>
      </c>
      <c r="K95" s="3630">
        <f t="shared" si="45"/>
        <v>0.45</v>
      </c>
      <c r="L95" s="3630">
        <f t="shared" si="46"/>
        <v>5.47</v>
      </c>
      <c r="M95" s="3630">
        <f t="shared" si="47"/>
        <v>4.4000000000000004</v>
      </c>
      <c r="N95" s="3631">
        <f t="shared" si="48"/>
        <v>1.28</v>
      </c>
      <c r="O95" s="3632">
        <v>30.4</v>
      </c>
      <c r="P95" s="3633">
        <v>29.3</v>
      </c>
      <c r="Q95" s="3622">
        <v>30.4</v>
      </c>
      <c r="R95" s="3634">
        <v>29.27</v>
      </c>
      <c r="S95" s="3632">
        <f t="shared" si="49"/>
        <v>5.47</v>
      </c>
      <c r="T95" s="3635">
        <f t="shared" si="38"/>
        <v>0</v>
      </c>
      <c r="U95" s="3636"/>
      <c r="V95" s="3619"/>
      <c r="W95" s="3620"/>
      <c r="X95" s="3660"/>
    </row>
    <row r="96" spans="1:26" ht="14.25" customHeight="1">
      <c r="A96" s="3622" t="s">
        <v>3093</v>
      </c>
      <c r="B96" s="3622" t="s">
        <v>3094</v>
      </c>
      <c r="C96" s="3623">
        <v>8.25</v>
      </c>
      <c r="D96" s="3624">
        <v>12</v>
      </c>
      <c r="E96" s="3625">
        <f t="shared" si="50"/>
        <v>0.85</v>
      </c>
      <c r="F96" s="3626">
        <f t="shared" si="51"/>
        <v>8.5000000000000006E-2</v>
      </c>
      <c r="G96" s="3627">
        <f t="shared" si="52"/>
        <v>1.1100000000000001</v>
      </c>
      <c r="H96" s="3628">
        <f t="shared" si="42"/>
        <v>1.1299999999999999</v>
      </c>
      <c r="I96" s="3629">
        <f t="shared" si="43"/>
        <v>7.85</v>
      </c>
      <c r="J96" s="3625">
        <f t="shared" si="44"/>
        <v>0.6</v>
      </c>
      <c r="K96" s="3630">
        <f t="shared" si="45"/>
        <v>0.7</v>
      </c>
      <c r="L96" s="3630">
        <f t="shared" si="46"/>
        <v>8.5500000000000007</v>
      </c>
      <c r="M96" s="3630">
        <f t="shared" si="47"/>
        <v>6.89</v>
      </c>
      <c r="N96" s="3631">
        <f t="shared" si="48"/>
        <v>1.99</v>
      </c>
      <c r="O96" s="3632">
        <v>30.4</v>
      </c>
      <c r="P96" s="3633">
        <v>29.29</v>
      </c>
      <c r="Q96" s="3622">
        <v>30.4</v>
      </c>
      <c r="R96" s="3634">
        <v>29.27</v>
      </c>
      <c r="S96" s="3632">
        <f t="shared" si="49"/>
        <v>8.5500000000000007</v>
      </c>
      <c r="T96" s="3635">
        <f t="shared" si="38"/>
        <v>0</v>
      </c>
      <c r="U96" s="3636"/>
      <c r="V96" s="3636"/>
      <c r="W96" s="3620"/>
      <c r="X96" s="3660"/>
    </row>
    <row r="97" spans="1:24" ht="14.25" customHeight="1">
      <c r="A97" s="3622" t="s">
        <v>3094</v>
      </c>
      <c r="B97" s="3622" t="s">
        <v>3095</v>
      </c>
      <c r="C97" s="3623">
        <v>10.25</v>
      </c>
      <c r="D97" s="3624">
        <v>12</v>
      </c>
      <c r="E97" s="3625">
        <f t="shared" si="50"/>
        <v>0.85</v>
      </c>
      <c r="F97" s="3626">
        <f t="shared" si="51"/>
        <v>8.5000000000000006E-2</v>
      </c>
      <c r="G97" s="3627">
        <f t="shared" si="52"/>
        <v>1.1299999999999999</v>
      </c>
      <c r="H97" s="3628">
        <f t="shared" si="42"/>
        <v>1.1499999999999999</v>
      </c>
      <c r="I97" s="3629">
        <f t="shared" si="43"/>
        <v>9.93</v>
      </c>
      <c r="J97" s="3625">
        <f t="shared" si="44"/>
        <v>0.75</v>
      </c>
      <c r="K97" s="3630">
        <f t="shared" si="45"/>
        <v>0.87</v>
      </c>
      <c r="L97" s="3630">
        <f t="shared" si="46"/>
        <v>10.8</v>
      </c>
      <c r="M97" s="3630">
        <f t="shared" si="47"/>
        <v>8.7200000000000006</v>
      </c>
      <c r="N97" s="3631">
        <f t="shared" si="48"/>
        <v>2.5</v>
      </c>
      <c r="O97" s="3632">
        <v>30.4</v>
      </c>
      <c r="P97" s="3633">
        <v>29.27</v>
      </c>
      <c r="Q97" s="3622">
        <v>30.4</v>
      </c>
      <c r="R97" s="3634">
        <v>29.25</v>
      </c>
      <c r="S97" s="3632">
        <f t="shared" si="49"/>
        <v>10.8</v>
      </c>
      <c r="T97" s="3635">
        <f t="shared" si="38"/>
        <v>0</v>
      </c>
      <c r="U97" s="3636"/>
      <c r="V97" s="3636"/>
      <c r="W97" s="3619"/>
      <c r="X97" s="3660"/>
    </row>
    <row r="98" spans="1:24" ht="14.25" customHeight="1">
      <c r="A98" s="3622" t="s">
        <v>3095</v>
      </c>
      <c r="B98" s="3622" t="s">
        <v>3096</v>
      </c>
      <c r="C98" s="3623">
        <v>4.0599999999999996</v>
      </c>
      <c r="D98" s="3624">
        <v>12</v>
      </c>
      <c r="E98" s="3625">
        <f t="shared" si="50"/>
        <v>0.85</v>
      </c>
      <c r="F98" s="3626">
        <f t="shared" si="51"/>
        <v>8.5000000000000006E-2</v>
      </c>
      <c r="G98" s="3627">
        <f t="shared" si="52"/>
        <v>0.9</v>
      </c>
      <c r="H98" s="3628">
        <f t="shared" si="42"/>
        <v>1.1599999999999999</v>
      </c>
      <c r="I98" s="3629">
        <f t="shared" si="43"/>
        <v>3.55</v>
      </c>
      <c r="J98" s="3625">
        <f t="shared" si="44"/>
        <v>0.3</v>
      </c>
      <c r="K98" s="3630">
        <f t="shared" si="45"/>
        <v>0.35</v>
      </c>
      <c r="L98" s="3630">
        <f t="shared" si="46"/>
        <v>3.9</v>
      </c>
      <c r="M98" s="3630">
        <f t="shared" si="47"/>
        <v>3.09</v>
      </c>
      <c r="N98" s="3631">
        <f t="shared" si="48"/>
        <v>0.97</v>
      </c>
      <c r="O98" s="3632">
        <v>30.4</v>
      </c>
      <c r="P98" s="3633">
        <v>29.5</v>
      </c>
      <c r="Q98" s="3622">
        <v>30.4</v>
      </c>
      <c r="R98" s="3634">
        <v>29.24</v>
      </c>
      <c r="S98" s="3632">
        <f t="shared" si="49"/>
        <v>3.9</v>
      </c>
      <c r="T98" s="3635">
        <f t="shared" si="38"/>
        <v>0</v>
      </c>
      <c r="U98" s="3636"/>
      <c r="V98" s="3619"/>
      <c r="W98" s="3619"/>
      <c r="X98" s="3660"/>
    </row>
    <row r="99" spans="1:24" ht="14.25" customHeight="1">
      <c r="A99" s="3622" t="s">
        <v>3096</v>
      </c>
      <c r="B99" s="3622" t="s">
        <v>3097</v>
      </c>
      <c r="C99" s="3623">
        <v>10.3</v>
      </c>
      <c r="D99" s="3624">
        <v>10</v>
      </c>
      <c r="E99" s="3625">
        <f t="shared" si="50"/>
        <v>0.8</v>
      </c>
      <c r="F99" s="3626">
        <f t="shared" si="51"/>
        <v>0.08</v>
      </c>
      <c r="G99" s="3627">
        <f t="shared" si="52"/>
        <v>1.1599999999999999</v>
      </c>
      <c r="H99" s="3628">
        <f t="shared" si="42"/>
        <v>1.19</v>
      </c>
      <c r="I99" s="3629">
        <f t="shared" si="43"/>
        <v>9.68</v>
      </c>
      <c r="J99" s="3625">
        <f t="shared" si="44"/>
        <v>0.52</v>
      </c>
      <c r="K99" s="3630">
        <f t="shared" si="45"/>
        <v>0.82</v>
      </c>
      <c r="L99" s="3630">
        <f t="shared" si="46"/>
        <v>10.5</v>
      </c>
      <c r="M99" s="3630">
        <f t="shared" si="47"/>
        <v>8.6999999999999993</v>
      </c>
      <c r="N99" s="3631">
        <f t="shared" si="48"/>
        <v>2.16</v>
      </c>
      <c r="O99" s="3632">
        <v>30.4</v>
      </c>
      <c r="P99" s="3633">
        <v>29.24</v>
      </c>
      <c r="Q99" s="3622">
        <v>30.4</v>
      </c>
      <c r="R99" s="3634">
        <v>29.21</v>
      </c>
      <c r="S99" s="3632">
        <f t="shared" si="49"/>
        <v>10.5</v>
      </c>
      <c r="T99" s="3635">
        <f t="shared" si="38"/>
        <v>0</v>
      </c>
      <c r="U99" s="3636"/>
      <c r="V99" s="3619"/>
      <c r="W99" s="3619"/>
      <c r="X99" s="3660"/>
    </row>
    <row r="100" spans="1:24" ht="14.25" customHeight="1">
      <c r="A100" s="3622" t="s">
        <v>3096</v>
      </c>
      <c r="B100" s="3622" t="s">
        <v>3098</v>
      </c>
      <c r="C100" s="3623">
        <v>10</v>
      </c>
      <c r="D100" s="3624">
        <v>10</v>
      </c>
      <c r="E100" s="3625">
        <f t="shared" si="50"/>
        <v>0.8</v>
      </c>
      <c r="F100" s="3626">
        <f t="shared" si="51"/>
        <v>0.08</v>
      </c>
      <c r="G100" s="3627">
        <f t="shared" si="52"/>
        <v>1.1599999999999999</v>
      </c>
      <c r="H100" s="3628">
        <f t="shared" si="42"/>
        <v>1.18</v>
      </c>
      <c r="I100" s="3629">
        <f t="shared" si="43"/>
        <v>9.36</v>
      </c>
      <c r="J100" s="3625">
        <f t="shared" si="44"/>
        <v>0.51</v>
      </c>
      <c r="K100" s="3630">
        <f t="shared" si="45"/>
        <v>0.8</v>
      </c>
      <c r="L100" s="3630">
        <f t="shared" si="46"/>
        <v>10.16</v>
      </c>
      <c r="M100" s="3630">
        <f t="shared" si="47"/>
        <v>8.41</v>
      </c>
      <c r="N100" s="3631">
        <f t="shared" si="48"/>
        <v>2.1</v>
      </c>
      <c r="O100" s="3632">
        <v>30.4</v>
      </c>
      <c r="P100" s="3633">
        <v>29.24</v>
      </c>
      <c r="Q100" s="3622">
        <v>30.4</v>
      </c>
      <c r="R100" s="3634">
        <v>29.22</v>
      </c>
      <c r="S100" s="3632">
        <f t="shared" si="49"/>
        <v>10.16</v>
      </c>
      <c r="T100" s="3635">
        <f t="shared" si="38"/>
        <v>0</v>
      </c>
      <c r="U100" s="3636"/>
      <c r="V100" s="3619"/>
      <c r="W100" s="3619"/>
      <c r="X100" s="3660"/>
    </row>
    <row r="101" spans="1:24" ht="14.25" customHeight="1">
      <c r="A101" s="3622" t="s">
        <v>3096</v>
      </c>
      <c r="B101" s="3622" t="s">
        <v>3099</v>
      </c>
      <c r="C101" s="3623">
        <v>10.3</v>
      </c>
      <c r="D101" s="3624">
        <v>10</v>
      </c>
      <c r="E101" s="3625">
        <f t="shared" si="50"/>
        <v>0.8</v>
      </c>
      <c r="F101" s="3626">
        <f t="shared" si="51"/>
        <v>0.08</v>
      </c>
      <c r="G101" s="3627">
        <f t="shared" si="52"/>
        <v>1.1599999999999999</v>
      </c>
      <c r="H101" s="3628">
        <f t="shared" si="42"/>
        <v>1.19</v>
      </c>
      <c r="I101" s="3629">
        <f t="shared" si="43"/>
        <v>9.68</v>
      </c>
      <c r="J101" s="3625">
        <f t="shared" si="44"/>
        <v>0.52</v>
      </c>
      <c r="K101" s="3630">
        <f t="shared" si="45"/>
        <v>0.82</v>
      </c>
      <c r="L101" s="3630">
        <f t="shared" si="46"/>
        <v>10.5</v>
      </c>
      <c r="M101" s="3630">
        <f t="shared" si="47"/>
        <v>8.6999999999999993</v>
      </c>
      <c r="N101" s="3631">
        <f t="shared" si="48"/>
        <v>2.16</v>
      </c>
      <c r="O101" s="3632">
        <v>30.4</v>
      </c>
      <c r="P101" s="3633">
        <v>29.24</v>
      </c>
      <c r="Q101" s="3622">
        <v>30.4</v>
      </c>
      <c r="R101" s="3634">
        <v>29.21</v>
      </c>
      <c r="S101" s="3632">
        <f t="shared" si="49"/>
        <v>10.5</v>
      </c>
      <c r="T101" s="3635">
        <f t="shared" si="38"/>
        <v>0</v>
      </c>
      <c r="U101" s="3636"/>
      <c r="V101" s="3619"/>
      <c r="W101" s="3619"/>
      <c r="X101" s="3660"/>
    </row>
    <row r="102" spans="1:24" ht="14.25" customHeight="1" thickBot="1">
      <c r="A102" s="3622"/>
      <c r="B102" s="3622"/>
      <c r="C102" s="3623"/>
      <c r="D102" s="3624"/>
      <c r="E102" s="3625">
        <f t="shared" si="50"/>
        <v>0</v>
      </c>
      <c r="F102" s="3626">
        <f t="shared" si="51"/>
        <v>0</v>
      </c>
      <c r="G102" s="3627">
        <f t="shared" si="52"/>
        <v>0</v>
      </c>
      <c r="H102" s="3628">
        <f t="shared" si="42"/>
        <v>0</v>
      </c>
      <c r="I102" s="3629">
        <f t="shared" si="43"/>
        <v>0</v>
      </c>
      <c r="J102" s="3625">
        <f t="shared" si="44"/>
        <v>0</v>
      </c>
      <c r="K102" s="3630">
        <f t="shared" si="45"/>
        <v>0</v>
      </c>
      <c r="L102" s="3630">
        <f t="shared" si="46"/>
        <v>0</v>
      </c>
      <c r="M102" s="3630">
        <f t="shared" si="47"/>
        <v>0</v>
      </c>
      <c r="N102" s="3631">
        <f t="shared" si="48"/>
        <v>0</v>
      </c>
      <c r="O102" s="3632"/>
      <c r="P102" s="3633"/>
      <c r="Q102" s="3622"/>
      <c r="R102" s="3634"/>
      <c r="S102" s="3632">
        <f t="shared" si="49"/>
        <v>0</v>
      </c>
      <c r="T102" s="3635">
        <f t="shared" si="38"/>
        <v>0</v>
      </c>
      <c r="U102" s="3636"/>
      <c r="V102" s="3619"/>
      <c r="W102" s="3619"/>
      <c r="X102" s="3660"/>
    </row>
    <row r="103" spans="1:24" ht="14.25" customHeight="1" thickTop="1" thickBot="1">
      <c r="A103" s="3637" t="s">
        <v>289</v>
      </c>
      <c r="B103" s="3638" t="s">
        <v>3100</v>
      </c>
      <c r="C103" s="3639">
        <f>SUM(C94:C101)</f>
        <v>63.76</v>
      </c>
      <c r="D103" s="3640"/>
      <c r="E103" s="3641">
        <f t="shared" si="50"/>
        <v>0</v>
      </c>
      <c r="F103" s="3642">
        <f t="shared" si="51"/>
        <v>0</v>
      </c>
      <c r="G103" s="3643">
        <f t="shared" si="52"/>
        <v>0</v>
      </c>
      <c r="H103" s="3644">
        <f t="shared" si="42"/>
        <v>0</v>
      </c>
      <c r="I103" s="3645">
        <f t="shared" si="43"/>
        <v>0</v>
      </c>
      <c r="J103" s="3646">
        <f t="shared" si="44"/>
        <v>0</v>
      </c>
      <c r="K103" s="3667">
        <f>SUM(K94:K101)</f>
        <v>5.26</v>
      </c>
      <c r="L103" s="3668">
        <f>SUM(L94:L101)</f>
        <v>65.31</v>
      </c>
      <c r="M103" s="3668">
        <f>SUM(M94:M101)</f>
        <v>53.27</v>
      </c>
      <c r="N103" s="3669">
        <f>SUM(N94:N101)</f>
        <v>14.44</v>
      </c>
      <c r="O103" s="3650"/>
      <c r="P103" s="3650"/>
      <c r="Q103" s="3638"/>
      <c r="R103" s="3651"/>
      <c r="S103" s="3637">
        <f>SUM(S94:S101)</f>
        <v>65.31</v>
      </c>
      <c r="T103" s="3670">
        <f t="shared" si="38"/>
        <v>0</v>
      </c>
      <c r="U103" s="3636"/>
      <c r="V103" s="3619"/>
      <c r="W103" s="3619"/>
      <c r="X103" s="3660"/>
    </row>
    <row r="104" spans="1:24" ht="14.25" customHeight="1" thickTop="1">
      <c r="A104" s="3622"/>
      <c r="B104" s="3622"/>
      <c r="C104" s="3623"/>
      <c r="D104" s="3624"/>
      <c r="E104" s="3625">
        <f t="shared" si="50"/>
        <v>0</v>
      </c>
      <c r="F104" s="3626">
        <f t="shared" si="51"/>
        <v>0</v>
      </c>
      <c r="G104" s="3627">
        <f t="shared" si="52"/>
        <v>0</v>
      </c>
      <c r="H104" s="3628">
        <f t="shared" si="42"/>
        <v>0</v>
      </c>
      <c r="I104" s="3629">
        <f t="shared" si="43"/>
        <v>0</v>
      </c>
      <c r="J104" s="3625">
        <f t="shared" si="44"/>
        <v>0</v>
      </c>
      <c r="K104" s="3630">
        <f t="shared" ref="K104:K109" si="53">C104*F104</f>
        <v>0</v>
      </c>
      <c r="L104" s="3630">
        <f t="shared" ref="L104:L133" si="54">I104+K104</f>
        <v>0</v>
      </c>
      <c r="M104" s="3630">
        <f t="shared" ref="M104:M109" si="55">(L104-K104-J104)*0.95</f>
        <v>0</v>
      </c>
      <c r="N104" s="3631">
        <f t="shared" ref="N104:N109" si="56">(L104-M104)*1.2</f>
        <v>0</v>
      </c>
      <c r="O104" s="3632"/>
      <c r="P104" s="3633"/>
      <c r="Q104" s="3622"/>
      <c r="R104" s="3634"/>
      <c r="S104" s="3632">
        <f t="shared" ref="S104" si="57">IF(AND(G104&lt;=1.5,H104&lt;=1.5),L104,IF(AND(G104&lt;=1.5,H104&gt;1.5),(((G104+1.5)*C104)/2)*E104,IF(AND(G104&gt;1.5,H104&lt;=1.5),(((H104+1.5)*C104)/2)*E104,IF(AND(G104&gt;1.5,H104&gt;1.5),(((1.5+1.5)*C104)/2)*E104,0))))</f>
        <v>0</v>
      </c>
      <c r="T104" s="3635">
        <f t="shared" si="38"/>
        <v>0</v>
      </c>
      <c r="U104" s="3636"/>
      <c r="V104" s="3619"/>
      <c r="W104" s="3619"/>
      <c r="X104" s="3660"/>
    </row>
    <row r="105" spans="1:24" ht="14.25" customHeight="1" thickBot="1">
      <c r="A105" s="3622"/>
      <c r="B105" s="3622" t="s">
        <v>3100</v>
      </c>
      <c r="C105" s="3623">
        <f>SUM(C94:C98)</f>
        <v>33.159999999999997</v>
      </c>
      <c r="D105" s="3624"/>
      <c r="E105" s="3657" t="s">
        <v>3090</v>
      </c>
      <c r="F105" s="3626"/>
      <c r="G105" s="3627"/>
      <c r="H105" s="3628">
        <f>C105*Y88</f>
        <v>28.19</v>
      </c>
      <c r="I105" s="3629"/>
      <c r="J105" s="3625">
        <f t="shared" si="44"/>
        <v>0</v>
      </c>
      <c r="K105" s="3630">
        <f t="shared" si="53"/>
        <v>0</v>
      </c>
      <c r="L105" s="3630">
        <f t="shared" si="54"/>
        <v>0</v>
      </c>
      <c r="M105" s="3630">
        <f t="shared" si="55"/>
        <v>0</v>
      </c>
      <c r="N105" s="3631">
        <f t="shared" si="56"/>
        <v>0</v>
      </c>
      <c r="O105" s="3632"/>
      <c r="P105" s="3633"/>
      <c r="Q105" s="3622"/>
      <c r="R105" s="3634"/>
      <c r="S105" s="3632"/>
      <c r="T105" s="3635">
        <f t="shared" si="38"/>
        <v>0</v>
      </c>
      <c r="U105" s="3636"/>
      <c r="V105" s="3619"/>
      <c r="W105" s="3619"/>
      <c r="X105" s="3660"/>
    </row>
    <row r="106" spans="1:24" ht="14.25" customHeight="1" thickBot="1">
      <c r="A106" s="3653" t="s">
        <v>3088</v>
      </c>
      <c r="B106" s="3654" t="s">
        <v>3101</v>
      </c>
      <c r="C106" s="3671">
        <f>C105*1.04</f>
        <v>34.49</v>
      </c>
      <c r="D106" s="3656"/>
      <c r="E106" s="3625">
        <f t="shared" ref="E106" si="58">IF(D106=0,0,LOOKUP(D106,$X$7:$X$14,$Y$7:$Y$14))</f>
        <v>0</v>
      </c>
      <c r="F106" s="3626">
        <f t="shared" ref="F106" si="59">E106*0.1</f>
        <v>0</v>
      </c>
      <c r="G106" s="3627">
        <f t="shared" ref="G106" si="60">O106-P106</f>
        <v>0</v>
      </c>
      <c r="H106" s="3628">
        <f t="shared" ref="H106" si="61">Q106-R106</f>
        <v>0</v>
      </c>
      <c r="I106" s="3629">
        <f t="shared" ref="I106" si="62">(G106+H106)/2*E106*C106</f>
        <v>0</v>
      </c>
      <c r="J106" s="3625">
        <f t="shared" si="44"/>
        <v>0</v>
      </c>
      <c r="K106" s="3630">
        <f t="shared" si="53"/>
        <v>0</v>
      </c>
      <c r="L106" s="3630">
        <f t="shared" si="54"/>
        <v>0</v>
      </c>
      <c r="M106" s="3630">
        <f t="shared" si="55"/>
        <v>0</v>
      </c>
      <c r="N106" s="3631">
        <f t="shared" si="56"/>
        <v>0</v>
      </c>
      <c r="O106" s="3632"/>
      <c r="P106" s="3633"/>
      <c r="Q106" s="3622"/>
      <c r="R106" s="3622"/>
      <c r="S106" s="3632">
        <f t="shared" ref="S106" si="63">IF(AND(G106&lt;=1.5,H106&lt;=1.5),L106,IF(AND(G106&lt;=1.5,H106&gt;1.5),(((G106+1.5)*C106)/2)*E106,IF(AND(G106&gt;1.5,H106&lt;=1.5),(((H106+1.5)*C106)/2)*E106,IF(AND(G106&gt;1.5,H106&gt;1.5),(((1.5+1.5)*C106)/2)*E106,0))))</f>
        <v>0</v>
      </c>
      <c r="T106" s="3635">
        <f t="shared" si="38"/>
        <v>0</v>
      </c>
      <c r="U106" s="3636"/>
      <c r="V106" s="3619"/>
      <c r="W106" s="3619"/>
      <c r="X106" s="3660"/>
    </row>
    <row r="107" spans="1:24" ht="14.25" customHeight="1" thickBot="1">
      <c r="A107" s="3622"/>
      <c r="B107" s="3622" t="s">
        <v>3102</v>
      </c>
      <c r="C107" s="3623">
        <f>SUM(C99:C101)</f>
        <v>30.6</v>
      </c>
      <c r="D107" s="3624"/>
      <c r="E107" s="3657" t="s">
        <v>3090</v>
      </c>
      <c r="F107" s="3626"/>
      <c r="G107" s="3627"/>
      <c r="H107" s="3628">
        <f>C107*Y87</f>
        <v>24.48</v>
      </c>
      <c r="I107" s="3629"/>
      <c r="J107" s="3625">
        <f t="shared" si="44"/>
        <v>0</v>
      </c>
      <c r="K107" s="3630">
        <f t="shared" si="53"/>
        <v>0</v>
      </c>
      <c r="L107" s="3630">
        <f t="shared" si="54"/>
        <v>0</v>
      </c>
      <c r="M107" s="3630">
        <f t="shared" si="55"/>
        <v>0</v>
      </c>
      <c r="N107" s="3631">
        <f t="shared" si="56"/>
        <v>0</v>
      </c>
      <c r="O107" s="3632"/>
      <c r="P107" s="3633"/>
      <c r="Q107" s="3622"/>
      <c r="R107" s="3622"/>
      <c r="S107" s="3632"/>
      <c r="T107" s="3635">
        <f t="shared" si="38"/>
        <v>0</v>
      </c>
      <c r="U107" s="3636"/>
      <c r="V107" s="3619"/>
      <c r="W107" s="3619"/>
      <c r="X107" s="3660"/>
    </row>
    <row r="108" spans="1:24" ht="14.25" customHeight="1" thickBot="1">
      <c r="A108" s="3653" t="s">
        <v>3103</v>
      </c>
      <c r="B108" s="3654" t="s">
        <v>3089</v>
      </c>
      <c r="C108" s="3671">
        <f>C107*1.03</f>
        <v>31.52</v>
      </c>
      <c r="D108" s="3656"/>
      <c r="E108" s="3625">
        <f t="shared" ref="E108:E110" si="64">IF(D108=0,0,LOOKUP(D108,$X$7:$X$14,$Y$7:$Y$14))</f>
        <v>0</v>
      </c>
      <c r="F108" s="3626">
        <f t="shared" ref="F108:F110" si="65">E108*0.1</f>
        <v>0</v>
      </c>
      <c r="G108" s="3627">
        <f t="shared" ref="G108:G110" si="66">O108-P108</f>
        <v>0</v>
      </c>
      <c r="H108" s="3659">
        <f>SUM(H105:H107)</f>
        <v>52.67</v>
      </c>
      <c r="I108" s="3629">
        <f t="shared" ref="I108:I110" si="67">(G108+H108)/2*E108*C108</f>
        <v>0</v>
      </c>
      <c r="J108" s="3625">
        <f t="shared" si="44"/>
        <v>0</v>
      </c>
      <c r="K108" s="3630">
        <f t="shared" si="53"/>
        <v>0</v>
      </c>
      <c r="L108" s="3630">
        <f t="shared" si="54"/>
        <v>0</v>
      </c>
      <c r="M108" s="3630">
        <f t="shared" si="55"/>
        <v>0</v>
      </c>
      <c r="N108" s="3631">
        <f t="shared" si="56"/>
        <v>0</v>
      </c>
      <c r="O108" s="3632"/>
      <c r="P108" s="3633"/>
      <c r="Q108" s="3622"/>
      <c r="R108" s="3622"/>
      <c r="S108" s="3632">
        <f t="shared" ref="S108:S109" si="68">IF(AND(G108&lt;=1.5,H108&lt;=1.5),L108,IF(AND(G108&lt;=1.5,H108&gt;1.5),(((G108+1.5)*C108)/2)*E108,IF(AND(G108&gt;1.5,H108&lt;=1.5),(((H108+1.5)*C108)/2)*E108,IF(AND(G108&gt;1.5,H108&gt;1.5),(((1.5+1.5)*C108)/2)*E108,0))))</f>
        <v>0</v>
      </c>
      <c r="T108" s="3635">
        <f t="shared" si="38"/>
        <v>0</v>
      </c>
      <c r="U108" s="3636"/>
      <c r="V108" s="3619"/>
      <c r="W108" s="3619"/>
      <c r="X108" s="3660"/>
    </row>
    <row r="109" spans="1:24" ht="14.25" customHeight="1">
      <c r="A109" s="3622"/>
      <c r="B109" s="3622"/>
      <c r="C109" s="3623"/>
      <c r="D109" s="3624"/>
      <c r="E109" s="3625">
        <f t="shared" si="64"/>
        <v>0</v>
      </c>
      <c r="F109" s="3626">
        <f t="shared" si="65"/>
        <v>0</v>
      </c>
      <c r="G109" s="3627">
        <f t="shared" si="66"/>
        <v>0</v>
      </c>
      <c r="H109" s="3628">
        <f t="shared" ref="H109:H110" si="69">Q109-R109</f>
        <v>0</v>
      </c>
      <c r="I109" s="3629">
        <f t="shared" si="67"/>
        <v>0</v>
      </c>
      <c r="J109" s="3625">
        <f t="shared" si="44"/>
        <v>0</v>
      </c>
      <c r="K109" s="3630">
        <f t="shared" si="53"/>
        <v>0</v>
      </c>
      <c r="L109" s="3630">
        <f t="shared" si="54"/>
        <v>0</v>
      </c>
      <c r="M109" s="3630">
        <f t="shared" si="55"/>
        <v>0</v>
      </c>
      <c r="N109" s="3672">
        <f t="shared" si="56"/>
        <v>0</v>
      </c>
      <c r="O109" s="3632"/>
      <c r="P109" s="3633"/>
      <c r="Q109" s="3622"/>
      <c r="R109" s="3673"/>
      <c r="S109" s="3632">
        <f t="shared" si="68"/>
        <v>0</v>
      </c>
      <c r="T109" s="3635">
        <f t="shared" si="38"/>
        <v>0</v>
      </c>
      <c r="U109" s="3636"/>
      <c r="V109" s="3619"/>
      <c r="W109" s="3619"/>
      <c r="X109" s="3660"/>
    </row>
    <row r="110" spans="1:24" ht="14.25" customHeight="1">
      <c r="A110" s="3622"/>
      <c r="B110" s="3622"/>
      <c r="C110" s="3674"/>
      <c r="D110" s="3624"/>
      <c r="E110" s="3625">
        <f t="shared" si="64"/>
        <v>0</v>
      </c>
      <c r="F110" s="3626">
        <f t="shared" si="65"/>
        <v>0</v>
      </c>
      <c r="G110" s="3627">
        <f t="shared" si="66"/>
        <v>0</v>
      </c>
      <c r="H110" s="3675">
        <f t="shared" si="69"/>
        <v>0</v>
      </c>
      <c r="I110" s="3629">
        <f t="shared" si="67"/>
        <v>0</v>
      </c>
      <c r="J110" s="3625">
        <f t="shared" si="44"/>
        <v>0</v>
      </c>
      <c r="K110" s="3674"/>
      <c r="L110" s="3630">
        <f t="shared" si="54"/>
        <v>0</v>
      </c>
      <c r="M110" s="3674"/>
      <c r="N110" s="3676"/>
      <c r="O110" s="3632"/>
      <c r="P110" s="3622"/>
      <c r="Q110" s="3622"/>
      <c r="R110" s="3673"/>
      <c r="S110" s="3677"/>
      <c r="T110" s="3674"/>
      <c r="U110" s="3636"/>
      <c r="V110" s="3619"/>
      <c r="W110" s="3619"/>
      <c r="X110" s="3660"/>
    </row>
    <row r="111" spans="1:24" ht="14.25" customHeight="1">
      <c r="A111" s="3678"/>
      <c r="B111" s="3678"/>
      <c r="C111" s="3679"/>
      <c r="D111" s="3680"/>
      <c r="E111" s="3678"/>
      <c r="F111" s="3681"/>
      <c r="G111" s="3682"/>
      <c r="H111" s="3683"/>
      <c r="I111" s="3684"/>
      <c r="J111" s="3625">
        <f t="shared" si="44"/>
        <v>0</v>
      </c>
      <c r="K111" s="3685"/>
      <c r="L111" s="3630">
        <f t="shared" si="54"/>
        <v>0</v>
      </c>
      <c r="M111" s="3686"/>
      <c r="N111" s="3687"/>
      <c r="O111" s="3684"/>
      <c r="P111" s="3678"/>
      <c r="Q111" s="3678"/>
      <c r="R111" s="3688"/>
      <c r="S111" s="3632">
        <f t="shared" ref="S111:S133" si="70">IF(AND(G111&lt;=1.5,H111&lt;=1.5),L111,IF(AND(G111&lt;=1.5,H111&gt;1.5),(((G111+1.5)*C111)/2)*E111,IF(AND(G111&gt;1.5,H111&lt;=1.5),(((H111+1.5)*C111)/2)*E111,IF(AND(G111&gt;1.5,H111&gt;1.5),(((1.5+1.5)*C111)/2)*E111,0))))</f>
        <v>0</v>
      </c>
      <c r="T111" s="3635">
        <f t="shared" ref="T111:T133" si="71">(L111-S111)</f>
        <v>0</v>
      </c>
      <c r="U111" s="3636"/>
      <c r="V111" s="3619"/>
      <c r="W111" s="3619"/>
      <c r="X111" s="3660"/>
    </row>
    <row r="112" spans="1:24" ht="14.25" customHeight="1">
      <c r="A112" s="3593" t="s">
        <v>3104</v>
      </c>
      <c r="B112" s="3689"/>
      <c r="C112" s="3689"/>
      <c r="D112" s="3689"/>
      <c r="E112" s="3689"/>
      <c r="F112" s="3689"/>
      <c r="G112" s="3689"/>
      <c r="H112" s="3690"/>
      <c r="I112" s="3691"/>
      <c r="J112" s="3689"/>
      <c r="K112" s="3689"/>
      <c r="L112" s="3692">
        <f t="shared" si="54"/>
        <v>0</v>
      </c>
      <c r="M112" s="3689"/>
      <c r="N112" s="3690"/>
      <c r="O112" s="3693"/>
      <c r="P112" s="3694"/>
      <c r="Q112" s="3694"/>
      <c r="R112" s="3695"/>
      <c r="S112" s="3632">
        <f t="shared" si="70"/>
        <v>0</v>
      </c>
      <c r="T112" s="3635">
        <f t="shared" si="71"/>
        <v>0</v>
      </c>
    </row>
    <row r="113" spans="1:21" ht="14.25" customHeight="1">
      <c r="A113" s="3696"/>
      <c r="B113" s="3696"/>
      <c r="C113" s="3696"/>
      <c r="D113" s="3696"/>
      <c r="E113" s="3696"/>
      <c r="F113" s="3696"/>
      <c r="G113" s="3696"/>
      <c r="H113" s="3697"/>
      <c r="I113" s="3698"/>
      <c r="J113" s="3696"/>
      <c r="K113" s="3696"/>
      <c r="L113" s="3630">
        <f t="shared" si="54"/>
        <v>0</v>
      </c>
      <c r="M113" s="3696"/>
      <c r="N113" s="3697"/>
      <c r="O113" s="3698"/>
      <c r="P113" s="3696"/>
      <c r="Q113" s="3696"/>
      <c r="R113" s="3697"/>
      <c r="S113" s="3632">
        <f t="shared" si="70"/>
        <v>0</v>
      </c>
      <c r="T113" s="3699">
        <f t="shared" si="71"/>
        <v>0</v>
      </c>
    </row>
    <row r="114" spans="1:21" ht="14.25" customHeight="1">
      <c r="A114" s="3696"/>
      <c r="B114" s="3696"/>
      <c r="C114" s="3739">
        <v>9.35</v>
      </c>
      <c r="D114" s="3738">
        <v>12</v>
      </c>
      <c r="E114" s="3740">
        <v>1</v>
      </c>
      <c r="F114" s="3665">
        <f t="shared" ref="F114:F132" si="72">E114*0.1</f>
        <v>0.1</v>
      </c>
      <c r="G114" s="3666">
        <f>380-377.7</f>
        <v>2.2999999999999998</v>
      </c>
      <c r="H114" s="3734">
        <f>380-377.3</f>
        <v>2.7</v>
      </c>
      <c r="I114" s="3735">
        <f t="shared" ref="I114:I133" si="73">(G114+H114)/2*E114*C114</f>
        <v>23.38</v>
      </c>
      <c r="J114" s="3664">
        <f t="shared" ref="J114:J133" si="74">IF(D114=0,0,LOOKUP(D114,$X$7:$X$14,$Z$7:$Z$14)*C114)</f>
        <v>0.68</v>
      </c>
      <c r="K114" s="3666">
        <f t="shared" ref="K114:K133" si="75">C114*F114</f>
        <v>0.94</v>
      </c>
      <c r="L114" s="3666">
        <f t="shared" si="54"/>
        <v>24.32</v>
      </c>
      <c r="M114" s="3692">
        <f t="shared" ref="M114:M133" si="76">(L114-K114-J114)*0.95</f>
        <v>21.57</v>
      </c>
      <c r="N114" s="3736">
        <f t="shared" ref="N114:N133" si="77">(L114-M114)*1.2</f>
        <v>3.3</v>
      </c>
      <c r="O114" s="3703"/>
      <c r="P114" s="3700"/>
      <c r="Q114" s="3700"/>
      <c r="R114" s="3702"/>
      <c r="S114" s="3632">
        <f t="shared" si="70"/>
        <v>14.03</v>
      </c>
      <c r="T114" s="3658">
        <f t="shared" si="71"/>
        <v>10.29</v>
      </c>
      <c r="U114" s="3581">
        <f>ROUND(C114*E114,20)</f>
        <v>9.35</v>
      </c>
    </row>
    <row r="115" spans="1:21" ht="14.25" customHeight="1">
      <c r="A115" s="3696"/>
      <c r="B115" s="3696"/>
      <c r="C115" s="3666">
        <v>55</v>
      </c>
      <c r="D115" s="3733">
        <v>8</v>
      </c>
      <c r="E115" s="3664">
        <f t="shared" ref="E115:E122" si="78">IF(D115=0,0,LOOKUP(D115,$X$7:$X$14,$Y$7:$Y$14))</f>
        <v>0.75</v>
      </c>
      <c r="F115" s="3665">
        <f t="shared" si="72"/>
        <v>7.4999999999999997E-2</v>
      </c>
      <c r="G115" s="3666">
        <v>1.1200000000000001</v>
      </c>
      <c r="H115" s="3734">
        <v>1.22</v>
      </c>
      <c r="I115" s="3735">
        <f t="shared" si="73"/>
        <v>48.26</v>
      </c>
      <c r="J115" s="3664">
        <f t="shared" si="74"/>
        <v>1.78</v>
      </c>
      <c r="K115" s="3666">
        <f t="shared" si="75"/>
        <v>4.13</v>
      </c>
      <c r="L115" s="3666">
        <f t="shared" si="54"/>
        <v>52.39</v>
      </c>
      <c r="M115" s="3692">
        <f t="shared" si="76"/>
        <v>44.16</v>
      </c>
      <c r="N115" s="3736">
        <f t="shared" si="77"/>
        <v>9.8800000000000008</v>
      </c>
      <c r="O115" s="3703"/>
      <c r="P115" s="3700"/>
      <c r="Q115" s="3700"/>
      <c r="R115" s="3702"/>
      <c r="S115" s="3632">
        <f t="shared" si="70"/>
        <v>52.39</v>
      </c>
      <c r="T115" s="3658">
        <f t="shared" si="71"/>
        <v>0</v>
      </c>
      <c r="U115" s="3581">
        <f t="shared" ref="U115:U133" si="79">ROUND(C115*E115,20)</f>
        <v>41.25</v>
      </c>
    </row>
    <row r="116" spans="1:21" ht="14.25" customHeight="1">
      <c r="A116" s="3696"/>
      <c r="B116" s="3696"/>
      <c r="C116" s="3666">
        <v>70</v>
      </c>
      <c r="D116" s="3733">
        <v>8</v>
      </c>
      <c r="E116" s="3664">
        <f t="shared" si="78"/>
        <v>0.75</v>
      </c>
      <c r="F116" s="3665">
        <f t="shared" si="72"/>
        <v>7.4999999999999997E-2</v>
      </c>
      <c r="G116" s="3666">
        <v>1.1000000000000001</v>
      </c>
      <c r="H116" s="3734">
        <v>1.1599999999999999</v>
      </c>
      <c r="I116" s="3735">
        <f t="shared" si="73"/>
        <v>59.33</v>
      </c>
      <c r="J116" s="3664">
        <f t="shared" si="74"/>
        <v>2.27</v>
      </c>
      <c r="K116" s="3666">
        <f t="shared" si="75"/>
        <v>5.25</v>
      </c>
      <c r="L116" s="3666">
        <f t="shared" si="54"/>
        <v>64.58</v>
      </c>
      <c r="M116" s="3692">
        <f t="shared" si="76"/>
        <v>54.21</v>
      </c>
      <c r="N116" s="3736">
        <f t="shared" si="77"/>
        <v>12.44</v>
      </c>
      <c r="O116" s="3703"/>
      <c r="P116" s="3700"/>
      <c r="Q116" s="3700"/>
      <c r="R116" s="3702"/>
      <c r="S116" s="3632">
        <f t="shared" si="70"/>
        <v>64.58</v>
      </c>
      <c r="T116" s="3658">
        <f t="shared" si="71"/>
        <v>0</v>
      </c>
      <c r="U116" s="3581">
        <f t="shared" si="79"/>
        <v>52.5</v>
      </c>
    </row>
    <row r="117" spans="1:21" ht="14.25" customHeight="1">
      <c r="A117" s="3696"/>
      <c r="B117" s="3696"/>
      <c r="C117" s="3666">
        <v>195</v>
      </c>
      <c r="D117" s="3733">
        <v>8</v>
      </c>
      <c r="E117" s="3664">
        <f t="shared" si="78"/>
        <v>0.75</v>
      </c>
      <c r="F117" s="3665">
        <f t="shared" si="72"/>
        <v>7.4999999999999997E-2</v>
      </c>
      <c r="G117" s="3666">
        <v>1.1599999999999999</v>
      </c>
      <c r="H117" s="3734">
        <v>1.22</v>
      </c>
      <c r="I117" s="3735">
        <f t="shared" si="73"/>
        <v>174.04</v>
      </c>
      <c r="J117" s="3664">
        <f t="shared" si="74"/>
        <v>6.32</v>
      </c>
      <c r="K117" s="3666">
        <f t="shared" si="75"/>
        <v>14.63</v>
      </c>
      <c r="L117" s="3666">
        <f t="shared" si="54"/>
        <v>188.67</v>
      </c>
      <c r="M117" s="3692">
        <f t="shared" si="76"/>
        <v>159.33000000000001</v>
      </c>
      <c r="N117" s="3736">
        <f t="shared" si="77"/>
        <v>35.21</v>
      </c>
      <c r="O117" s="3703"/>
      <c r="P117" s="3700"/>
      <c r="Q117" s="3700"/>
      <c r="R117" s="3702"/>
      <c r="S117" s="3632">
        <f t="shared" si="70"/>
        <v>188.67</v>
      </c>
      <c r="T117" s="3658">
        <f t="shared" si="71"/>
        <v>0</v>
      </c>
      <c r="U117" s="3581">
        <f t="shared" si="79"/>
        <v>146.25</v>
      </c>
    </row>
    <row r="118" spans="1:21" ht="14.25" customHeight="1">
      <c r="A118" s="3696"/>
      <c r="B118" s="3696"/>
      <c r="C118" s="3666">
        <v>186</v>
      </c>
      <c r="D118" s="3733">
        <v>8</v>
      </c>
      <c r="E118" s="3664">
        <f t="shared" si="78"/>
        <v>0.75</v>
      </c>
      <c r="F118" s="3665">
        <f t="shared" si="72"/>
        <v>7.4999999999999997E-2</v>
      </c>
      <c r="G118" s="3666">
        <v>1.22</v>
      </c>
      <c r="H118" s="3734">
        <v>1.23</v>
      </c>
      <c r="I118" s="3735">
        <f t="shared" si="73"/>
        <v>170.89</v>
      </c>
      <c r="J118" s="3664">
        <f t="shared" si="74"/>
        <v>6.03</v>
      </c>
      <c r="K118" s="3666">
        <f t="shared" si="75"/>
        <v>13.95</v>
      </c>
      <c r="L118" s="3666">
        <f t="shared" si="54"/>
        <v>184.84</v>
      </c>
      <c r="M118" s="3692">
        <f t="shared" si="76"/>
        <v>156.62</v>
      </c>
      <c r="N118" s="3736">
        <f t="shared" si="77"/>
        <v>33.86</v>
      </c>
      <c r="O118" s="3703"/>
      <c r="P118" s="3700"/>
      <c r="Q118" s="3700"/>
      <c r="R118" s="3702"/>
      <c r="S118" s="3632">
        <f t="shared" si="70"/>
        <v>184.84</v>
      </c>
      <c r="T118" s="3658">
        <f t="shared" si="71"/>
        <v>0</v>
      </c>
      <c r="U118" s="3581">
        <f t="shared" si="79"/>
        <v>139.5</v>
      </c>
    </row>
    <row r="119" spans="1:21" ht="14.25" customHeight="1">
      <c r="A119" s="3696"/>
      <c r="B119" s="3696"/>
      <c r="C119" s="3666">
        <v>40</v>
      </c>
      <c r="D119" s="3733">
        <v>8</v>
      </c>
      <c r="E119" s="3664">
        <f t="shared" si="78"/>
        <v>0.75</v>
      </c>
      <c r="F119" s="3665">
        <f t="shared" si="72"/>
        <v>7.4999999999999997E-2</v>
      </c>
      <c r="G119" s="3666">
        <v>1.23</v>
      </c>
      <c r="H119" s="3734">
        <v>1.26</v>
      </c>
      <c r="I119" s="3735">
        <f t="shared" si="73"/>
        <v>37.35</v>
      </c>
      <c r="J119" s="3664">
        <f t="shared" si="74"/>
        <v>1.3</v>
      </c>
      <c r="K119" s="3666">
        <f t="shared" si="75"/>
        <v>3</v>
      </c>
      <c r="L119" s="3666">
        <f t="shared" si="54"/>
        <v>40.35</v>
      </c>
      <c r="M119" s="3692">
        <f t="shared" si="76"/>
        <v>34.25</v>
      </c>
      <c r="N119" s="3736">
        <f t="shared" si="77"/>
        <v>7.32</v>
      </c>
      <c r="O119" s="3703"/>
      <c r="P119" s="3700"/>
      <c r="Q119" s="3700"/>
      <c r="R119" s="3702"/>
      <c r="S119" s="3632">
        <f t="shared" si="70"/>
        <v>40.35</v>
      </c>
      <c r="T119" s="3658">
        <f t="shared" si="71"/>
        <v>0</v>
      </c>
      <c r="U119" s="3581">
        <f t="shared" si="79"/>
        <v>30</v>
      </c>
    </row>
    <row r="120" spans="1:21" ht="14.25" customHeight="1">
      <c r="A120" s="3696"/>
      <c r="B120" s="3696"/>
      <c r="C120" s="3666">
        <v>68</v>
      </c>
      <c r="D120" s="3733">
        <v>8</v>
      </c>
      <c r="E120" s="3664">
        <f t="shared" si="78"/>
        <v>0.75</v>
      </c>
      <c r="F120" s="3665">
        <f t="shared" si="72"/>
        <v>7.4999999999999997E-2</v>
      </c>
      <c r="G120" s="3666">
        <v>1.26</v>
      </c>
      <c r="H120" s="3734">
        <v>1.37</v>
      </c>
      <c r="I120" s="3735">
        <f t="shared" si="73"/>
        <v>67.069999999999993</v>
      </c>
      <c r="J120" s="3664">
        <f t="shared" si="74"/>
        <v>2.2000000000000002</v>
      </c>
      <c r="K120" s="3666">
        <f t="shared" si="75"/>
        <v>5.0999999999999996</v>
      </c>
      <c r="L120" s="3666">
        <f t="shared" si="54"/>
        <v>72.17</v>
      </c>
      <c r="M120" s="3692">
        <f t="shared" si="76"/>
        <v>61.63</v>
      </c>
      <c r="N120" s="3736">
        <f t="shared" si="77"/>
        <v>12.65</v>
      </c>
      <c r="O120" s="3703"/>
      <c r="P120" s="3700"/>
      <c r="Q120" s="3700"/>
      <c r="R120" s="3702"/>
      <c r="S120" s="3632">
        <f t="shared" si="70"/>
        <v>72.17</v>
      </c>
      <c r="T120" s="3658">
        <f t="shared" si="71"/>
        <v>0</v>
      </c>
      <c r="U120" s="3581">
        <f t="shared" si="79"/>
        <v>51</v>
      </c>
    </row>
    <row r="121" spans="1:21" ht="14.25" customHeight="1">
      <c r="A121" s="3696"/>
      <c r="B121" s="3696"/>
      <c r="C121" s="3666">
        <v>53</v>
      </c>
      <c r="D121" s="3733">
        <v>8</v>
      </c>
      <c r="E121" s="3664">
        <f t="shared" si="78"/>
        <v>0.75</v>
      </c>
      <c r="F121" s="3665">
        <f t="shared" si="72"/>
        <v>7.4999999999999997E-2</v>
      </c>
      <c r="G121" s="3666">
        <v>1.1000000000000001</v>
      </c>
      <c r="H121" s="3734">
        <v>1.1200000000000001</v>
      </c>
      <c r="I121" s="3735">
        <f t="shared" si="73"/>
        <v>44.12</v>
      </c>
      <c r="J121" s="3664">
        <f t="shared" si="74"/>
        <v>1.72</v>
      </c>
      <c r="K121" s="3666">
        <f t="shared" si="75"/>
        <v>3.98</v>
      </c>
      <c r="L121" s="3666">
        <f t="shared" si="54"/>
        <v>48.1</v>
      </c>
      <c r="M121" s="3692">
        <f t="shared" si="76"/>
        <v>40.28</v>
      </c>
      <c r="N121" s="3736">
        <f t="shared" si="77"/>
        <v>9.3800000000000008</v>
      </c>
      <c r="O121" s="3703"/>
      <c r="P121" s="3700"/>
      <c r="Q121" s="3700"/>
      <c r="R121" s="3702"/>
      <c r="S121" s="3632">
        <f t="shared" si="70"/>
        <v>48.1</v>
      </c>
      <c r="T121" s="3658">
        <f t="shared" si="71"/>
        <v>0</v>
      </c>
      <c r="U121" s="3581">
        <f t="shared" si="79"/>
        <v>39.75</v>
      </c>
    </row>
    <row r="122" spans="1:21" ht="14.25" customHeight="1">
      <c r="A122" s="3696"/>
      <c r="B122" s="3696"/>
      <c r="C122" s="3666">
        <v>50</v>
      </c>
      <c r="D122" s="3733">
        <v>8</v>
      </c>
      <c r="E122" s="3664">
        <f t="shared" si="78"/>
        <v>0.75</v>
      </c>
      <c r="F122" s="3665">
        <f t="shared" si="72"/>
        <v>7.4999999999999997E-2</v>
      </c>
      <c r="G122" s="3666">
        <v>1.1200000000000001</v>
      </c>
      <c r="H122" s="3734">
        <v>1.23</v>
      </c>
      <c r="I122" s="3735">
        <f t="shared" si="73"/>
        <v>44.06</v>
      </c>
      <c r="J122" s="3664">
        <f t="shared" si="74"/>
        <v>1.62</v>
      </c>
      <c r="K122" s="3666">
        <f t="shared" si="75"/>
        <v>3.75</v>
      </c>
      <c r="L122" s="3666">
        <f t="shared" si="54"/>
        <v>47.81</v>
      </c>
      <c r="M122" s="3692">
        <f t="shared" si="76"/>
        <v>40.32</v>
      </c>
      <c r="N122" s="3736">
        <f t="shared" si="77"/>
        <v>8.99</v>
      </c>
      <c r="O122" s="3703"/>
      <c r="P122" s="3700"/>
      <c r="Q122" s="3700"/>
      <c r="R122" s="3702"/>
      <c r="S122" s="3632">
        <f t="shared" si="70"/>
        <v>47.81</v>
      </c>
      <c r="T122" s="3658">
        <f t="shared" si="71"/>
        <v>0</v>
      </c>
      <c r="U122" s="3581">
        <f t="shared" si="79"/>
        <v>37.5</v>
      </c>
    </row>
    <row r="123" spans="1:21" ht="14.25" customHeight="1">
      <c r="A123" s="3696"/>
      <c r="B123" s="3696"/>
      <c r="C123" s="3666"/>
      <c r="D123" s="3733"/>
      <c r="E123" s="3664"/>
      <c r="F123" s="3665">
        <f t="shared" si="72"/>
        <v>0</v>
      </c>
      <c r="G123" s="3666"/>
      <c r="H123" s="3734"/>
      <c r="I123" s="3735">
        <f t="shared" si="73"/>
        <v>0</v>
      </c>
      <c r="J123" s="3664">
        <f t="shared" si="74"/>
        <v>0</v>
      </c>
      <c r="K123" s="3666">
        <f t="shared" si="75"/>
        <v>0</v>
      </c>
      <c r="L123" s="3666">
        <f t="shared" si="54"/>
        <v>0</v>
      </c>
      <c r="M123" s="3692">
        <f t="shared" si="76"/>
        <v>0</v>
      </c>
      <c r="N123" s="3736">
        <f t="shared" si="77"/>
        <v>0</v>
      </c>
      <c r="O123" s="3703"/>
      <c r="P123" s="3700"/>
      <c r="Q123" s="3700"/>
      <c r="R123" s="3702"/>
      <c r="S123" s="3632">
        <f t="shared" si="70"/>
        <v>0</v>
      </c>
      <c r="T123" s="3658">
        <f t="shared" si="71"/>
        <v>0</v>
      </c>
      <c r="U123" s="3581">
        <f t="shared" si="79"/>
        <v>0</v>
      </c>
    </row>
    <row r="124" spans="1:21" ht="14.25" customHeight="1">
      <c r="A124" s="3696"/>
      <c r="B124" s="3696"/>
      <c r="C124" s="3666">
        <v>100</v>
      </c>
      <c r="D124" s="3733">
        <v>16</v>
      </c>
      <c r="E124" s="3664">
        <v>0.95</v>
      </c>
      <c r="F124" s="3665">
        <v>0.95</v>
      </c>
      <c r="G124" s="3666">
        <v>2.5</v>
      </c>
      <c r="H124" s="3734">
        <v>3</v>
      </c>
      <c r="I124" s="3735">
        <f t="shared" si="73"/>
        <v>261.25</v>
      </c>
      <c r="J124" s="3664">
        <f t="shared" si="74"/>
        <v>12.97</v>
      </c>
      <c r="K124" s="3666">
        <f t="shared" si="75"/>
        <v>95</v>
      </c>
      <c r="L124" s="3666">
        <f t="shared" si="54"/>
        <v>356.25</v>
      </c>
      <c r="M124" s="3692">
        <f t="shared" si="76"/>
        <v>235.87</v>
      </c>
      <c r="N124" s="3736">
        <f t="shared" si="77"/>
        <v>144.46</v>
      </c>
      <c r="O124" s="3703"/>
      <c r="P124" s="3700"/>
      <c r="Q124" s="3700"/>
      <c r="R124" s="3702"/>
      <c r="S124" s="3632">
        <f t="shared" si="70"/>
        <v>142.5</v>
      </c>
      <c r="T124" s="3658">
        <f t="shared" si="71"/>
        <v>213.75</v>
      </c>
      <c r="U124" s="3581">
        <f t="shared" si="79"/>
        <v>95</v>
      </c>
    </row>
    <row r="125" spans="1:21" ht="14.25" customHeight="1">
      <c r="A125" s="3696"/>
      <c r="B125" s="3696"/>
      <c r="C125" s="3666"/>
      <c r="D125" s="3733"/>
      <c r="E125" s="3664">
        <v>0</v>
      </c>
      <c r="F125" s="3737">
        <f t="shared" si="72"/>
        <v>0</v>
      </c>
      <c r="G125" s="3666">
        <v>0</v>
      </c>
      <c r="H125" s="3734">
        <v>0</v>
      </c>
      <c r="I125" s="3735">
        <f t="shared" si="73"/>
        <v>0</v>
      </c>
      <c r="J125" s="3664">
        <f t="shared" si="74"/>
        <v>0</v>
      </c>
      <c r="K125" s="3666">
        <f t="shared" si="75"/>
        <v>0</v>
      </c>
      <c r="L125" s="3666">
        <f t="shared" si="54"/>
        <v>0</v>
      </c>
      <c r="M125" s="3692">
        <f t="shared" si="76"/>
        <v>0</v>
      </c>
      <c r="N125" s="3736">
        <f t="shared" si="77"/>
        <v>0</v>
      </c>
      <c r="O125" s="3703"/>
      <c r="P125" s="3700"/>
      <c r="Q125" s="3700"/>
      <c r="R125" s="3702"/>
      <c r="S125" s="3632">
        <f t="shared" si="70"/>
        <v>0</v>
      </c>
      <c r="T125" s="3658">
        <f t="shared" si="71"/>
        <v>0</v>
      </c>
      <c r="U125" s="3581">
        <f t="shared" si="79"/>
        <v>0</v>
      </c>
    </row>
    <row r="126" spans="1:21" ht="14.25" customHeight="1">
      <c r="A126" s="3696"/>
      <c r="B126" s="3696"/>
      <c r="C126" s="3700">
        <v>0</v>
      </c>
      <c r="D126" s="3701">
        <v>0</v>
      </c>
      <c r="E126" s="3625">
        <v>0</v>
      </c>
      <c r="F126" s="3704">
        <v>0</v>
      </c>
      <c r="G126" s="3700">
        <v>0</v>
      </c>
      <c r="H126" s="3702">
        <v>0</v>
      </c>
      <c r="I126" s="3629">
        <f t="shared" si="73"/>
        <v>0</v>
      </c>
      <c r="J126" s="3625">
        <f t="shared" si="74"/>
        <v>0</v>
      </c>
      <c r="K126" s="3627">
        <f t="shared" si="75"/>
        <v>0</v>
      </c>
      <c r="L126" s="3627">
        <f t="shared" si="54"/>
        <v>0</v>
      </c>
      <c r="M126" s="3630">
        <f t="shared" si="76"/>
        <v>0</v>
      </c>
      <c r="N126" s="3631">
        <f t="shared" si="77"/>
        <v>0</v>
      </c>
      <c r="O126" s="3703"/>
      <c r="P126" s="3700"/>
      <c r="Q126" s="3700"/>
      <c r="R126" s="3702"/>
      <c r="S126" s="3632">
        <f t="shared" si="70"/>
        <v>0</v>
      </c>
      <c r="T126" s="3658">
        <f t="shared" si="71"/>
        <v>0</v>
      </c>
      <c r="U126" s="3581">
        <f t="shared" si="79"/>
        <v>0</v>
      </c>
    </row>
    <row r="127" spans="1:21" ht="14.25" customHeight="1">
      <c r="A127" s="3696"/>
      <c r="B127" s="3696"/>
      <c r="C127" s="3700">
        <v>0</v>
      </c>
      <c r="D127" s="3701">
        <v>0</v>
      </c>
      <c r="E127" s="3625">
        <v>0</v>
      </c>
      <c r="F127" s="3704">
        <v>0</v>
      </c>
      <c r="G127" s="3700">
        <v>0</v>
      </c>
      <c r="H127" s="3702">
        <v>0</v>
      </c>
      <c r="I127" s="3629">
        <f t="shared" si="73"/>
        <v>0</v>
      </c>
      <c r="J127" s="3625">
        <f t="shared" si="74"/>
        <v>0</v>
      </c>
      <c r="K127" s="3627">
        <f t="shared" si="75"/>
        <v>0</v>
      </c>
      <c r="L127" s="3627">
        <f t="shared" si="54"/>
        <v>0</v>
      </c>
      <c r="M127" s="3630">
        <f t="shared" si="76"/>
        <v>0</v>
      </c>
      <c r="N127" s="3631">
        <f t="shared" si="77"/>
        <v>0</v>
      </c>
      <c r="O127" s="3703"/>
      <c r="P127" s="3700"/>
      <c r="Q127" s="3700"/>
      <c r="R127" s="3702"/>
      <c r="S127" s="3632">
        <f t="shared" si="70"/>
        <v>0</v>
      </c>
      <c r="T127" s="3658">
        <f t="shared" si="71"/>
        <v>0</v>
      </c>
      <c r="U127" s="3581">
        <f t="shared" si="79"/>
        <v>0</v>
      </c>
    </row>
    <row r="128" spans="1:21" ht="14.25" customHeight="1">
      <c r="A128" s="3696"/>
      <c r="B128" s="3696"/>
      <c r="C128" s="3700">
        <v>0</v>
      </c>
      <c r="D128" s="3701">
        <v>0</v>
      </c>
      <c r="E128" s="3625">
        <v>0</v>
      </c>
      <c r="F128" s="3704">
        <v>0</v>
      </c>
      <c r="G128" s="3700">
        <v>0</v>
      </c>
      <c r="H128" s="3702">
        <v>0</v>
      </c>
      <c r="I128" s="3629">
        <f t="shared" si="73"/>
        <v>0</v>
      </c>
      <c r="J128" s="3625">
        <f t="shared" si="74"/>
        <v>0</v>
      </c>
      <c r="K128" s="3627">
        <f t="shared" si="75"/>
        <v>0</v>
      </c>
      <c r="L128" s="3627">
        <f t="shared" si="54"/>
        <v>0</v>
      </c>
      <c r="M128" s="3630">
        <f t="shared" si="76"/>
        <v>0</v>
      </c>
      <c r="N128" s="3631">
        <f t="shared" si="77"/>
        <v>0</v>
      </c>
      <c r="O128" s="3703"/>
      <c r="P128" s="3700"/>
      <c r="Q128" s="3700"/>
      <c r="R128" s="3702"/>
      <c r="S128" s="3632">
        <f t="shared" si="70"/>
        <v>0</v>
      </c>
      <c r="T128" s="3658">
        <f t="shared" si="71"/>
        <v>0</v>
      </c>
      <c r="U128" s="3581">
        <f t="shared" si="79"/>
        <v>0</v>
      </c>
    </row>
    <row r="129" spans="1:21" ht="14.25" customHeight="1">
      <c r="A129" s="3696"/>
      <c r="B129" s="3696"/>
      <c r="C129" s="3700">
        <v>0</v>
      </c>
      <c r="D129" s="3701">
        <v>0</v>
      </c>
      <c r="E129" s="3625">
        <v>0</v>
      </c>
      <c r="F129" s="3704">
        <v>0</v>
      </c>
      <c r="G129" s="3700">
        <v>0</v>
      </c>
      <c r="H129" s="3702">
        <v>0</v>
      </c>
      <c r="I129" s="3629">
        <f t="shared" si="73"/>
        <v>0</v>
      </c>
      <c r="J129" s="3625">
        <f t="shared" si="74"/>
        <v>0</v>
      </c>
      <c r="K129" s="3627">
        <f t="shared" si="75"/>
        <v>0</v>
      </c>
      <c r="L129" s="3627">
        <f t="shared" si="54"/>
        <v>0</v>
      </c>
      <c r="M129" s="3630">
        <f t="shared" si="76"/>
        <v>0</v>
      </c>
      <c r="N129" s="3631">
        <f t="shared" si="77"/>
        <v>0</v>
      </c>
      <c r="O129" s="3703"/>
      <c r="P129" s="3700"/>
      <c r="Q129" s="3700"/>
      <c r="R129" s="3702"/>
      <c r="S129" s="3632">
        <f t="shared" si="70"/>
        <v>0</v>
      </c>
      <c r="T129" s="3658">
        <f t="shared" si="71"/>
        <v>0</v>
      </c>
      <c r="U129" s="3581">
        <f t="shared" si="79"/>
        <v>0</v>
      </c>
    </row>
    <row r="130" spans="1:21" ht="14.25" customHeight="1">
      <c r="A130" s="3696"/>
      <c r="B130" s="3696"/>
      <c r="C130" s="3700">
        <v>0</v>
      </c>
      <c r="D130" s="3701">
        <v>0</v>
      </c>
      <c r="E130" s="3625">
        <v>0</v>
      </c>
      <c r="F130" s="3704">
        <f t="shared" si="72"/>
        <v>0</v>
      </c>
      <c r="G130" s="3700">
        <v>0</v>
      </c>
      <c r="H130" s="3702">
        <v>0</v>
      </c>
      <c r="I130" s="3629">
        <f t="shared" si="73"/>
        <v>0</v>
      </c>
      <c r="J130" s="3625">
        <f t="shared" si="74"/>
        <v>0</v>
      </c>
      <c r="K130" s="3627">
        <f t="shared" si="75"/>
        <v>0</v>
      </c>
      <c r="L130" s="3627">
        <f t="shared" si="54"/>
        <v>0</v>
      </c>
      <c r="M130" s="3630">
        <f t="shared" si="76"/>
        <v>0</v>
      </c>
      <c r="N130" s="3631">
        <f t="shared" si="77"/>
        <v>0</v>
      </c>
      <c r="O130" s="3703"/>
      <c r="P130" s="3700"/>
      <c r="Q130" s="3700"/>
      <c r="R130" s="3702"/>
      <c r="S130" s="3632">
        <f t="shared" si="70"/>
        <v>0</v>
      </c>
      <c r="T130" s="3658">
        <f t="shared" si="71"/>
        <v>0</v>
      </c>
      <c r="U130" s="3581">
        <f t="shared" si="79"/>
        <v>0</v>
      </c>
    </row>
    <row r="131" spans="1:21" ht="14.25" customHeight="1">
      <c r="A131" s="3696"/>
      <c r="B131" s="3696"/>
      <c r="C131" s="3700">
        <v>0</v>
      </c>
      <c r="D131" s="3701">
        <v>8</v>
      </c>
      <c r="E131" s="3625">
        <v>0</v>
      </c>
      <c r="F131" s="3704">
        <f t="shared" si="72"/>
        <v>0</v>
      </c>
      <c r="G131" s="3700">
        <v>0</v>
      </c>
      <c r="H131" s="3702">
        <v>0</v>
      </c>
      <c r="I131" s="3629">
        <f t="shared" si="73"/>
        <v>0</v>
      </c>
      <c r="J131" s="3625">
        <f t="shared" si="74"/>
        <v>0</v>
      </c>
      <c r="K131" s="3627">
        <f t="shared" si="75"/>
        <v>0</v>
      </c>
      <c r="L131" s="3627">
        <f t="shared" si="54"/>
        <v>0</v>
      </c>
      <c r="M131" s="3630">
        <f t="shared" si="76"/>
        <v>0</v>
      </c>
      <c r="N131" s="3631">
        <f t="shared" si="77"/>
        <v>0</v>
      </c>
      <c r="O131" s="3703"/>
      <c r="P131" s="3700"/>
      <c r="Q131" s="3700"/>
      <c r="R131" s="3702"/>
      <c r="S131" s="3632">
        <f t="shared" si="70"/>
        <v>0</v>
      </c>
      <c r="T131" s="3658">
        <f t="shared" si="71"/>
        <v>0</v>
      </c>
      <c r="U131" s="3581">
        <f t="shared" si="79"/>
        <v>0</v>
      </c>
    </row>
    <row r="132" spans="1:21" ht="14.25" customHeight="1">
      <c r="A132" s="3696"/>
      <c r="B132" s="3696"/>
      <c r="C132" s="3700">
        <v>0</v>
      </c>
      <c r="D132" s="3701">
        <v>0</v>
      </c>
      <c r="E132" s="3625">
        <v>0</v>
      </c>
      <c r="F132" s="3704">
        <f t="shared" si="72"/>
        <v>0</v>
      </c>
      <c r="G132" s="3700">
        <v>0</v>
      </c>
      <c r="H132" s="3702">
        <v>0</v>
      </c>
      <c r="I132" s="3629">
        <f t="shared" si="73"/>
        <v>0</v>
      </c>
      <c r="J132" s="3625">
        <f t="shared" si="74"/>
        <v>0</v>
      </c>
      <c r="K132" s="3627">
        <f t="shared" si="75"/>
        <v>0</v>
      </c>
      <c r="L132" s="3627">
        <f t="shared" si="54"/>
        <v>0</v>
      </c>
      <c r="M132" s="3630">
        <f t="shared" si="76"/>
        <v>0</v>
      </c>
      <c r="N132" s="3631">
        <f t="shared" si="77"/>
        <v>0</v>
      </c>
      <c r="O132" s="3703"/>
      <c r="P132" s="3700"/>
      <c r="Q132" s="3700"/>
      <c r="R132" s="3702"/>
      <c r="S132" s="3632">
        <f t="shared" si="70"/>
        <v>0</v>
      </c>
      <c r="T132" s="3658">
        <f t="shared" si="71"/>
        <v>0</v>
      </c>
      <c r="U132" s="3581">
        <f t="shared" si="79"/>
        <v>0</v>
      </c>
    </row>
    <row r="133" spans="1:21" ht="14.25" customHeight="1" thickBot="1">
      <c r="A133" s="3696"/>
      <c r="B133" s="3696"/>
      <c r="C133" s="3700">
        <v>0</v>
      </c>
      <c r="D133" s="3701">
        <v>0</v>
      </c>
      <c r="E133" s="3625">
        <v>0</v>
      </c>
      <c r="F133" s="3704">
        <v>0</v>
      </c>
      <c r="G133" s="3700">
        <v>0</v>
      </c>
      <c r="H133" s="3702">
        <v>0</v>
      </c>
      <c r="I133" s="3629">
        <f t="shared" si="73"/>
        <v>0</v>
      </c>
      <c r="J133" s="3625">
        <f t="shared" si="74"/>
        <v>0</v>
      </c>
      <c r="K133" s="3627">
        <f t="shared" si="75"/>
        <v>0</v>
      </c>
      <c r="L133" s="3627">
        <f t="shared" si="54"/>
        <v>0</v>
      </c>
      <c r="M133" s="3630">
        <f t="shared" si="76"/>
        <v>0</v>
      </c>
      <c r="N133" s="3631">
        <f t="shared" si="77"/>
        <v>0</v>
      </c>
      <c r="O133" s="3703"/>
      <c r="P133" s="3700"/>
      <c r="Q133" s="3700"/>
      <c r="R133" s="3702"/>
      <c r="S133" s="3632">
        <f t="shared" si="70"/>
        <v>0</v>
      </c>
      <c r="T133" s="3658">
        <f t="shared" si="71"/>
        <v>0</v>
      </c>
      <c r="U133" s="3581">
        <f t="shared" si="79"/>
        <v>0</v>
      </c>
    </row>
    <row r="134" spans="1:21" ht="14.25" customHeight="1" thickTop="1" thickBot="1">
      <c r="A134" s="3705"/>
      <c r="B134" s="3705"/>
      <c r="C134" s="3706">
        <f>SUM(C114:C133)</f>
        <v>826.35</v>
      </c>
      <c r="D134" s="3707"/>
      <c r="E134" s="3708"/>
      <c r="F134" s="3708"/>
      <c r="G134" s="3708"/>
      <c r="H134" s="3709"/>
      <c r="I134" s="3710"/>
      <c r="J134" s="3708"/>
      <c r="K134" s="3667">
        <f>SUM(K114:K133)</f>
        <v>149.72999999999999</v>
      </c>
      <c r="L134" s="3668">
        <f>SUM(L114:L133)</f>
        <v>1079.48</v>
      </c>
      <c r="M134" s="3668">
        <f>SUM(M114:M133)</f>
        <v>848.24</v>
      </c>
      <c r="N134" s="3669">
        <f>SUM(N114:N133)</f>
        <v>277.49</v>
      </c>
      <c r="O134" s="3710"/>
      <c r="P134" s="3708"/>
      <c r="Q134" s="3708"/>
      <c r="R134" s="3709"/>
      <c r="S134" s="3711">
        <f>SUM(S114:S133)</f>
        <v>855.44</v>
      </c>
      <c r="T134" s="3712">
        <f>SUM(T114:T133)</f>
        <v>224.04</v>
      </c>
      <c r="U134" s="3712">
        <f>SUM(U114:U133)</f>
        <v>642.1</v>
      </c>
    </row>
    <row r="135" spans="1:21" ht="14.25" customHeight="1" thickTop="1">
      <c r="A135" s="3713"/>
      <c r="B135" s="3713"/>
      <c r="C135" s="3713"/>
      <c r="D135" s="3713"/>
      <c r="E135" s="3713"/>
      <c r="F135" s="3713"/>
      <c r="G135" s="3713"/>
      <c r="H135" s="3713"/>
      <c r="I135" s="3713"/>
      <c r="J135" s="3713"/>
      <c r="K135" s="3713"/>
      <c r="L135" s="3713"/>
      <c r="M135" s="3713"/>
      <c r="N135" s="3713"/>
      <c r="O135" s="3713"/>
      <c r="P135" s="3713"/>
      <c r="Q135" s="3713"/>
      <c r="R135" s="3713"/>
      <c r="S135" s="3713"/>
      <c r="T135" s="3713"/>
    </row>
    <row r="136" spans="1:21" ht="14.25" customHeight="1">
      <c r="A136" s="3713"/>
      <c r="B136" s="3713"/>
      <c r="C136" s="3713"/>
      <c r="D136" s="3713"/>
      <c r="E136" s="3713"/>
      <c r="F136" s="3713"/>
      <c r="G136" s="3713"/>
      <c r="H136" s="3713"/>
      <c r="I136" s="3713"/>
      <c r="J136" s="3713"/>
      <c r="K136" s="3713"/>
      <c r="L136" s="3713"/>
      <c r="M136" s="3713"/>
      <c r="N136" s="3713"/>
      <c r="O136" s="3713"/>
      <c r="P136" s="3713"/>
      <c r="Q136" s="3713"/>
      <c r="R136" s="3713"/>
      <c r="S136" s="3713"/>
      <c r="T136" s="3713"/>
    </row>
    <row r="137" spans="1:21">
      <c r="A137" s="3713"/>
      <c r="B137" s="3713"/>
      <c r="C137" s="3713"/>
      <c r="D137" s="3713"/>
      <c r="E137" s="3713"/>
      <c r="F137" s="3713"/>
      <c r="G137" s="3713"/>
      <c r="H137" s="3713"/>
      <c r="I137" s="3714" t="s">
        <v>3105</v>
      </c>
      <c r="J137" s="3715">
        <f>C134</f>
        <v>826.35</v>
      </c>
      <c r="K137" s="3716" t="s">
        <v>1</v>
      </c>
      <c r="L137" s="3717">
        <v>181.71</v>
      </c>
      <c r="M137" s="3718">
        <f>ROUND(J137*L137,20)</f>
        <v>150156.06</v>
      </c>
      <c r="N137" s="3719"/>
      <c r="O137" s="3713"/>
      <c r="P137" s="3713"/>
      <c r="Q137" s="3713"/>
      <c r="R137" s="3713"/>
      <c r="S137" s="3713"/>
      <c r="T137" s="3713"/>
    </row>
    <row r="138" spans="1:21">
      <c r="A138" s="3713"/>
      <c r="B138" s="3713" t="s">
        <v>3106</v>
      </c>
      <c r="C138" s="3713"/>
      <c r="D138" s="3713"/>
      <c r="E138" s="3713"/>
      <c r="F138" s="3714"/>
      <c r="G138" s="3713"/>
      <c r="H138" s="3713"/>
      <c r="I138" s="3720" t="s">
        <v>3107</v>
      </c>
      <c r="J138" s="3715">
        <f>L134</f>
        <v>1079.48</v>
      </c>
      <c r="K138" s="3716" t="s">
        <v>2</v>
      </c>
      <c r="L138" s="3718">
        <v>16.22</v>
      </c>
      <c r="M138" s="3718">
        <f t="shared" ref="M138:M144" si="80">ROUND(J138*L138,20)</f>
        <v>17509.169999999998</v>
      </c>
      <c r="N138" s="3719"/>
      <c r="O138" s="3713"/>
      <c r="P138" s="3713"/>
      <c r="Q138" s="3713"/>
      <c r="R138" s="3713"/>
      <c r="S138" s="3713"/>
      <c r="T138" s="3713"/>
    </row>
    <row r="139" spans="1:21">
      <c r="A139" s="3713"/>
      <c r="B139" s="3714" t="s">
        <v>3108</v>
      </c>
      <c r="C139" s="3721">
        <f>SUM(C114:C123,C126:C133)</f>
        <v>726.35</v>
      </c>
      <c r="D139" s="3713">
        <f>C139*1.03</f>
        <v>748.14049999999997</v>
      </c>
      <c r="E139" s="3713"/>
      <c r="F139" s="3713"/>
      <c r="G139" s="3713"/>
      <c r="H139" s="3713"/>
      <c r="I139" s="3714" t="s">
        <v>3109</v>
      </c>
      <c r="J139" s="3722">
        <f>U134</f>
        <v>642.1</v>
      </c>
      <c r="K139" s="3716" t="s">
        <v>11</v>
      </c>
      <c r="L139" s="3723">
        <v>58.5</v>
      </c>
      <c r="M139" s="3718">
        <f t="shared" si="80"/>
        <v>37562.85</v>
      </c>
      <c r="N139" s="3719"/>
      <c r="O139" s="3713"/>
      <c r="P139" s="3713"/>
      <c r="Q139" s="3713"/>
      <c r="R139" s="3713"/>
      <c r="S139" s="3713"/>
      <c r="T139" s="3713"/>
    </row>
    <row r="140" spans="1:21">
      <c r="A140" s="3713"/>
      <c r="B140" s="3714" t="s">
        <v>3110</v>
      </c>
      <c r="C140" s="3721">
        <f>C124</f>
        <v>100</v>
      </c>
      <c r="D140" s="3713">
        <f>C140*1.05</f>
        <v>105</v>
      </c>
      <c r="E140" s="3713"/>
      <c r="F140" s="3713"/>
      <c r="G140" s="3713"/>
      <c r="H140" s="3713"/>
      <c r="I140" s="3714" t="s">
        <v>3111</v>
      </c>
      <c r="J140" s="3722">
        <f>K134</f>
        <v>149.72999999999999</v>
      </c>
      <c r="K140" s="3716" t="s">
        <v>2</v>
      </c>
      <c r="L140" s="3717">
        <v>6002.95</v>
      </c>
      <c r="M140" s="3718">
        <f t="shared" si="80"/>
        <v>898821.7</v>
      </c>
      <c r="N140" s="3719"/>
      <c r="O140" s="3713"/>
      <c r="P140" s="3713"/>
      <c r="Q140" s="3713"/>
      <c r="R140" s="3713"/>
      <c r="S140" s="3713"/>
      <c r="T140" s="3713"/>
    </row>
    <row r="141" spans="1:21">
      <c r="A141" s="3713"/>
      <c r="B141" s="3714" t="s">
        <v>3112</v>
      </c>
      <c r="C141" s="3721">
        <f>C125</f>
        <v>0</v>
      </c>
      <c r="D141" s="3713">
        <f>C141*1.05</f>
        <v>0</v>
      </c>
      <c r="E141" s="3713"/>
      <c r="F141" s="3713"/>
      <c r="G141" s="3713"/>
      <c r="H141" s="3713"/>
      <c r="I141" s="3714" t="s">
        <v>3113</v>
      </c>
      <c r="J141" s="3722">
        <f>M134</f>
        <v>848.24</v>
      </c>
      <c r="K141" s="3716" t="s">
        <v>2</v>
      </c>
      <c r="L141" s="3717">
        <v>9.7100000000000009</v>
      </c>
      <c r="M141" s="3718">
        <f t="shared" si="80"/>
        <v>8236.41</v>
      </c>
      <c r="N141" s="3719"/>
      <c r="O141" s="3713"/>
      <c r="P141" s="3713"/>
      <c r="Q141" s="3713"/>
      <c r="R141" s="3713"/>
      <c r="S141" s="3713"/>
      <c r="T141" s="3713"/>
    </row>
    <row r="142" spans="1:21">
      <c r="A142" s="3713"/>
      <c r="B142" s="3713"/>
      <c r="C142" s="3713"/>
      <c r="D142" s="3713"/>
      <c r="E142" s="3713"/>
      <c r="F142" s="3713"/>
      <c r="G142" s="3713"/>
      <c r="H142" s="3713"/>
      <c r="I142" s="3714" t="s">
        <v>3114</v>
      </c>
      <c r="J142" s="3722">
        <f>N134</f>
        <v>277.49</v>
      </c>
      <c r="K142" s="3716" t="s">
        <v>2</v>
      </c>
      <c r="L142" s="3717">
        <v>0</v>
      </c>
      <c r="M142" s="3718">
        <f t="shared" si="80"/>
        <v>0</v>
      </c>
      <c r="N142" s="3719"/>
      <c r="O142" s="3713"/>
      <c r="P142" s="3713"/>
      <c r="Q142" s="3713"/>
      <c r="R142" s="3713"/>
      <c r="S142" s="3713"/>
      <c r="T142" s="3713"/>
    </row>
    <row r="143" spans="1:21">
      <c r="A143" s="3724"/>
      <c r="B143" s="3724"/>
      <c r="C143" s="3724"/>
      <c r="D143" s="3724"/>
      <c r="E143" s="3724"/>
      <c r="F143" s="3724"/>
      <c r="G143" s="3724"/>
      <c r="H143" s="3724"/>
      <c r="I143" s="3725" t="s">
        <v>3115</v>
      </c>
      <c r="J143" s="3726">
        <f>+D139</f>
        <v>748.14049999999997</v>
      </c>
      <c r="K143" s="3727" t="s">
        <v>1</v>
      </c>
      <c r="L143" s="3728">
        <v>125</v>
      </c>
      <c r="M143" s="3718">
        <f t="shared" si="80"/>
        <v>93517.56</v>
      </c>
      <c r="N143" s="3729"/>
      <c r="O143" s="3724"/>
      <c r="P143" s="3724"/>
      <c r="Q143" s="3724"/>
      <c r="R143" s="3724"/>
      <c r="S143" s="3724"/>
      <c r="T143" s="3724"/>
    </row>
    <row r="144" spans="1:21">
      <c r="A144" s="3724"/>
      <c r="B144" s="3724"/>
      <c r="C144" s="3724"/>
      <c r="D144" s="3724"/>
      <c r="E144" s="3724"/>
      <c r="F144" s="3724"/>
      <c r="G144" s="3724"/>
      <c r="H144" s="3724"/>
      <c r="I144" s="3725" t="s">
        <v>3116</v>
      </c>
      <c r="J144" s="3726">
        <f>J143</f>
        <v>748.14049999999997</v>
      </c>
      <c r="K144" s="3727" t="s">
        <v>1</v>
      </c>
      <c r="L144" s="3728">
        <v>0</v>
      </c>
      <c r="M144" s="3718">
        <f t="shared" si="80"/>
        <v>0</v>
      </c>
      <c r="N144" s="3729"/>
      <c r="O144" s="3724"/>
      <c r="P144" s="3724"/>
      <c r="Q144" s="3724"/>
      <c r="R144" s="3724"/>
      <c r="S144" s="3724"/>
      <c r="T144" s="3724"/>
    </row>
    <row r="145" spans="1:20">
      <c r="A145" s="3724"/>
      <c r="B145" s="3724">
        <f>+C139*0.75</f>
        <v>544.76250000000005</v>
      </c>
      <c r="C145" s="3724"/>
      <c r="D145" s="3724"/>
      <c r="E145" s="3724"/>
      <c r="F145" s="3724"/>
      <c r="G145" s="3724"/>
      <c r="H145" s="3724"/>
      <c r="I145" s="3729"/>
      <c r="J145" s="3729"/>
      <c r="K145" s="3729"/>
      <c r="L145" s="3729"/>
      <c r="M145" s="3731">
        <f>SUM(M137:M144)</f>
        <v>1205803.75</v>
      </c>
      <c r="N145" s="3729"/>
      <c r="O145" s="3724"/>
      <c r="P145" s="3724"/>
      <c r="Q145" s="3724"/>
      <c r="R145" s="3724"/>
      <c r="S145" s="3724"/>
      <c r="T145" s="3724"/>
    </row>
    <row r="146" spans="1:20">
      <c r="A146" s="3724"/>
      <c r="B146" s="3724">
        <f>100*0.95</f>
        <v>95</v>
      </c>
      <c r="C146" s="3724"/>
      <c r="D146" s="3724"/>
      <c r="E146" s="3724"/>
      <c r="F146" s="3724"/>
      <c r="G146" s="3724"/>
      <c r="H146" s="3724"/>
      <c r="I146" s="3725"/>
      <c r="J146" s="3732"/>
      <c r="K146" s="3727" t="s">
        <v>3</v>
      </c>
      <c r="L146" s="3729"/>
      <c r="M146" s="3729"/>
      <c r="N146" s="3729"/>
      <c r="O146" s="3724"/>
      <c r="P146" s="3724"/>
      <c r="Q146" s="3724"/>
      <c r="R146" s="3724"/>
      <c r="S146" s="3724"/>
      <c r="T146" s="3724"/>
    </row>
    <row r="147" spans="1:20">
      <c r="A147" s="3724"/>
      <c r="B147" s="3724">
        <f>SUM(B145:B146)</f>
        <v>639.76250000000005</v>
      </c>
      <c r="C147" s="3724"/>
      <c r="D147" s="3724"/>
      <c r="E147" s="3724"/>
      <c r="F147" s="3724"/>
      <c r="G147" s="3724"/>
      <c r="H147" s="3724"/>
      <c r="I147" s="3725" t="s">
        <v>3117</v>
      </c>
      <c r="J147" s="3732">
        <f>ROUND(INT(C134/85),2)</f>
        <v>9</v>
      </c>
      <c r="K147" s="3727" t="s">
        <v>3</v>
      </c>
      <c r="L147" s="3728">
        <v>89.53</v>
      </c>
      <c r="M147" s="3731">
        <f>ROUND(J147*L147,20)</f>
        <v>805.77</v>
      </c>
      <c r="N147" s="3729"/>
      <c r="O147" s="3724"/>
      <c r="P147" s="3724"/>
      <c r="Q147" s="3724"/>
      <c r="R147" s="3724"/>
      <c r="S147" s="3724"/>
      <c r="T147" s="3724"/>
    </row>
    <row r="148" spans="1:20">
      <c r="A148" s="3724"/>
      <c r="B148" s="3724"/>
      <c r="C148" s="3724"/>
      <c r="D148" s="3724"/>
      <c r="E148" s="3724"/>
      <c r="F148" s="3724"/>
      <c r="G148" s="3724"/>
      <c r="H148" s="3724"/>
      <c r="I148" s="3725" t="s">
        <v>3118</v>
      </c>
      <c r="J148" s="3732">
        <v>15</v>
      </c>
      <c r="K148" s="3727" t="s">
        <v>3</v>
      </c>
      <c r="L148" s="3728">
        <v>0</v>
      </c>
      <c r="M148" s="3731">
        <f>ROUND(J148*L148,20)</f>
        <v>0</v>
      </c>
      <c r="N148" s="3729"/>
      <c r="O148" s="3724"/>
      <c r="P148" s="3724"/>
      <c r="Q148" s="3724"/>
      <c r="R148" s="3724"/>
      <c r="S148" s="3724"/>
      <c r="T148" s="3724"/>
    </row>
    <row r="149" spans="1:20">
      <c r="A149" s="3724"/>
      <c r="B149" s="3724"/>
      <c r="C149" s="3724"/>
      <c r="D149" s="3724"/>
      <c r="E149" s="3724"/>
      <c r="F149" s="3724"/>
      <c r="G149" s="3724"/>
      <c r="H149" s="3724"/>
      <c r="I149" s="3725" t="s">
        <v>3119</v>
      </c>
      <c r="J149" s="3732">
        <f>J148</f>
        <v>15</v>
      </c>
      <c r="K149" s="3727" t="s">
        <v>3</v>
      </c>
      <c r="L149" s="3728">
        <v>34482.01</v>
      </c>
      <c r="M149" s="3731">
        <f>ROUND(J149*L149,20)</f>
        <v>517230.15</v>
      </c>
      <c r="N149" s="3729"/>
      <c r="O149" s="3724"/>
      <c r="P149" s="3724"/>
      <c r="Q149" s="3724"/>
      <c r="R149" s="3724"/>
      <c r="S149" s="3724"/>
      <c r="T149" s="3724"/>
    </row>
    <row r="150" spans="1:20" ht="15.75">
      <c r="A150" s="3724"/>
      <c r="B150" s="3724"/>
      <c r="C150" s="3724"/>
      <c r="D150" s="3724"/>
      <c r="E150" s="3724"/>
      <c r="F150" s="3724"/>
      <c r="G150" s="3724"/>
      <c r="H150" s="3724"/>
      <c r="I150" s="3729"/>
      <c r="J150" s="3729"/>
      <c r="K150" s="3729"/>
      <c r="L150" s="3729"/>
      <c r="M150" s="5075">
        <f>ROUND(SUM(M145,M147:M149),2)</f>
        <v>1723839.67</v>
      </c>
      <c r="N150" s="5075"/>
      <c r="O150" s="3724"/>
      <c r="P150" s="3724"/>
      <c r="Q150" s="3724"/>
      <c r="R150" s="3724"/>
      <c r="S150" s="3724"/>
      <c r="T150" s="3724"/>
    </row>
    <row r="151" spans="1:20">
      <c r="A151" s="3724"/>
      <c r="B151" s="3724"/>
      <c r="C151" s="3724"/>
      <c r="D151" s="3724"/>
      <c r="E151" s="3724"/>
      <c r="F151" s="3724"/>
      <c r="G151" s="3724"/>
      <c r="H151" s="3724"/>
      <c r="I151" s="3724"/>
      <c r="J151" s="3724"/>
      <c r="K151" s="3724"/>
      <c r="L151" s="3724"/>
      <c r="M151" s="3724"/>
      <c r="N151" s="3724"/>
      <c r="O151" s="3724"/>
      <c r="P151" s="3724"/>
      <c r="Q151" s="3724"/>
      <c r="R151" s="3724"/>
      <c r="S151" s="3724"/>
      <c r="T151" s="3724"/>
    </row>
    <row r="153" spans="1:20">
      <c r="F153" s="5071" t="s">
        <v>3121</v>
      </c>
      <c r="G153" s="5071"/>
      <c r="H153" s="5071"/>
      <c r="I153" s="5071"/>
    </row>
    <row r="155" spans="1:20">
      <c r="C155" s="5071" t="s">
        <v>91</v>
      </c>
      <c r="D155" s="5071"/>
      <c r="E155" s="3713"/>
      <c r="F155" s="3713"/>
      <c r="G155" s="3714" t="s">
        <v>3105</v>
      </c>
      <c r="H155" s="3715">
        <f t="shared" ref="H155:H161" si="81">+J60+J137</f>
        <v>1213.95</v>
      </c>
      <c r="I155" s="3716" t="s">
        <v>1</v>
      </c>
    </row>
    <row r="156" spans="1:20">
      <c r="E156" s="3713"/>
      <c r="F156" s="3713"/>
      <c r="G156" s="3720" t="s">
        <v>3107</v>
      </c>
      <c r="H156" s="3715">
        <f t="shared" si="81"/>
        <v>1455.62</v>
      </c>
      <c r="I156" s="3716" t="s">
        <v>2</v>
      </c>
    </row>
    <row r="157" spans="1:20">
      <c r="E157" s="3713"/>
      <c r="F157" s="3713"/>
      <c r="G157" s="3714" t="s">
        <v>3109</v>
      </c>
      <c r="H157" s="3722">
        <f t="shared" si="81"/>
        <v>932.8</v>
      </c>
      <c r="I157" s="3716" t="s">
        <v>11</v>
      </c>
    </row>
    <row r="158" spans="1:20">
      <c r="E158" s="3713"/>
      <c r="F158" s="3713"/>
      <c r="G158" s="3714" t="s">
        <v>3111</v>
      </c>
      <c r="H158" s="3722">
        <f t="shared" si="81"/>
        <v>178.83</v>
      </c>
      <c r="I158" s="3716" t="s">
        <v>2</v>
      </c>
    </row>
    <row r="159" spans="1:20">
      <c r="E159" s="3713"/>
      <c r="F159" s="3713"/>
      <c r="G159" s="3714" t="s">
        <v>3113</v>
      </c>
      <c r="H159" s="3722">
        <f t="shared" si="81"/>
        <v>1166.01</v>
      </c>
      <c r="I159" s="3716" t="s">
        <v>2</v>
      </c>
    </row>
    <row r="160" spans="1:20">
      <c r="E160" s="3713"/>
      <c r="F160" s="3713"/>
      <c r="G160" s="3714" t="s">
        <v>3114</v>
      </c>
      <c r="H160" s="3722">
        <f t="shared" si="81"/>
        <v>347.53</v>
      </c>
      <c r="I160" s="3716" t="s">
        <v>2</v>
      </c>
    </row>
    <row r="161" spans="5:9">
      <c r="E161" s="3724"/>
      <c r="F161" s="3724"/>
      <c r="G161" s="3725" t="s">
        <v>3115</v>
      </c>
      <c r="H161" s="3726">
        <f t="shared" si="81"/>
        <v>1147.3685</v>
      </c>
      <c r="I161" s="3727" t="s">
        <v>1</v>
      </c>
    </row>
    <row r="162" spans="5:9">
      <c r="E162" s="3724"/>
      <c r="F162" s="3724"/>
      <c r="G162" s="3725" t="s">
        <v>3116</v>
      </c>
      <c r="H162" s="3726">
        <f>H161</f>
        <v>1147.3685</v>
      </c>
      <c r="I162" s="3727" t="s">
        <v>1</v>
      </c>
    </row>
    <row r="163" spans="5:9">
      <c r="E163" s="3724"/>
      <c r="F163" s="3724"/>
      <c r="G163" s="3729"/>
      <c r="H163" s="3729"/>
      <c r="I163" s="3729"/>
    </row>
    <row r="164" spans="5:9">
      <c r="E164" s="3724"/>
      <c r="F164" s="3724"/>
      <c r="G164" s="3725"/>
      <c r="H164" s="3732"/>
      <c r="I164" s="3727" t="s">
        <v>3</v>
      </c>
    </row>
    <row r="165" spans="5:9">
      <c r="E165" s="3724"/>
      <c r="F165" s="3724"/>
      <c r="G165" s="3725" t="s">
        <v>3117</v>
      </c>
      <c r="H165" s="3732">
        <f>ROUND(INT(A152/85),2)</f>
        <v>0</v>
      </c>
      <c r="I165" s="3727" t="s">
        <v>3</v>
      </c>
    </row>
    <row r="166" spans="5:9">
      <c r="E166" s="3724"/>
      <c r="F166" s="3724"/>
      <c r="G166" s="3725" t="s">
        <v>3118</v>
      </c>
      <c r="H166" s="3732">
        <v>15</v>
      </c>
      <c r="I166" s="3727" t="s">
        <v>3</v>
      </c>
    </row>
    <row r="167" spans="5:9">
      <c r="E167" s="3724"/>
      <c r="F167" s="3724"/>
      <c r="G167" s="3725" t="s">
        <v>3119</v>
      </c>
      <c r="H167" s="3732">
        <f>H166</f>
        <v>15</v>
      </c>
      <c r="I167" s="3727" t="s">
        <v>3</v>
      </c>
    </row>
  </sheetData>
  <customSheetViews>
    <customSheetView guid="{43BC9397-3E8C-478C-B548-E4A845A7F82B}" topLeftCell="A117">
      <selection activeCell="I137" sqref="I137"/>
      <pageMargins left="0.7" right="0.7" top="0.75" bottom="0.75" header="0.3" footer="0.3"/>
      <pageSetup paperSize="9" orientation="portrait" r:id="rId1"/>
    </customSheetView>
  </customSheetViews>
  <mergeCells count="14">
    <mergeCell ref="M73:N73"/>
    <mergeCell ref="A1:T1"/>
    <mergeCell ref="A2:T2"/>
    <mergeCell ref="A3:T3"/>
    <mergeCell ref="A4:T4"/>
    <mergeCell ref="A5:T5"/>
    <mergeCell ref="F153:I153"/>
    <mergeCell ref="C155:D155"/>
    <mergeCell ref="A78:T78"/>
    <mergeCell ref="A79:T79"/>
    <mergeCell ref="A80:T80"/>
    <mergeCell ref="A81:T81"/>
    <mergeCell ref="A82:T82"/>
    <mergeCell ref="M150:N150"/>
  </mergeCell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G168"/>
  <sheetViews>
    <sheetView workbookViewId="0">
      <selection activeCell="B4" sqref="B4:F4"/>
    </sheetView>
  </sheetViews>
  <sheetFormatPr baseColWidth="10" defaultColWidth="11.42578125" defaultRowHeight="15"/>
  <cols>
    <col min="1" max="1" width="11.42578125" style="3439"/>
    <col min="2" max="2" width="12.5703125" style="3439" customWidth="1"/>
    <col min="3" max="3" width="44.5703125" style="3439" customWidth="1"/>
    <col min="4" max="4" width="21.85546875" style="3439" customWidth="1"/>
    <col min="5" max="5" width="13.28515625" style="3439" customWidth="1"/>
    <col min="6" max="6" width="28.5703125" style="3439" customWidth="1"/>
    <col min="7" max="7" width="17" style="3439" customWidth="1"/>
    <col min="8" max="16384" width="11.42578125" style="3439"/>
  </cols>
  <sheetData>
    <row r="1" spans="1:7" ht="15.75">
      <c r="B1" s="5097" t="s">
        <v>2744</v>
      </c>
      <c r="C1" s="5097"/>
      <c r="D1" s="5097"/>
      <c r="E1" s="5097"/>
      <c r="F1" s="5097"/>
    </row>
    <row r="2" spans="1:7" ht="15.75">
      <c r="B2" s="5097" t="s">
        <v>2745</v>
      </c>
      <c r="C2" s="5097"/>
      <c r="D2" s="5097"/>
      <c r="E2" s="5097"/>
      <c r="F2" s="5097"/>
    </row>
    <row r="3" spans="1:7" ht="15.75">
      <c r="B3" s="3440"/>
      <c r="C3" s="3440"/>
      <c r="D3" s="3440"/>
      <c r="E3" s="3440"/>
      <c r="F3" s="3440"/>
    </row>
    <row r="4" spans="1:7" ht="15.75">
      <c r="B4" s="5097" t="s">
        <v>2746</v>
      </c>
      <c r="C4" s="5097"/>
      <c r="D4" s="5097"/>
      <c r="E4" s="5097"/>
      <c r="F4" s="5097"/>
    </row>
    <row r="5" spans="1:7" ht="16.5" thickBot="1">
      <c r="B5" s="5097" t="s">
        <v>2747</v>
      </c>
      <c r="C5" s="5097"/>
      <c r="D5" s="5097"/>
      <c r="E5" s="5097"/>
      <c r="F5" s="5097"/>
    </row>
    <row r="6" spans="1:7" ht="15" customHeight="1">
      <c r="B6" s="5170" t="s">
        <v>2748</v>
      </c>
      <c r="C6" s="5100" t="s">
        <v>2749</v>
      </c>
      <c r="D6" s="5102" t="s">
        <v>2750</v>
      </c>
      <c r="E6" s="5126" t="s">
        <v>286</v>
      </c>
      <c r="F6" s="5128" t="s">
        <v>2635</v>
      </c>
    </row>
    <row r="7" spans="1:7" ht="21" customHeight="1" thickBot="1">
      <c r="B7" s="5171"/>
      <c r="C7" s="5125"/>
      <c r="D7" s="5106"/>
      <c r="E7" s="5127"/>
      <c r="F7" s="5129"/>
    </row>
    <row r="8" spans="1:7">
      <c r="B8" s="3441" t="s">
        <v>2751</v>
      </c>
      <c r="C8" s="3442" t="s">
        <v>2752</v>
      </c>
      <c r="D8" s="3443"/>
      <c r="E8" s="5133">
        <v>2</v>
      </c>
      <c r="F8" s="5090" t="s">
        <v>2753</v>
      </c>
    </row>
    <row r="9" spans="1:7">
      <c r="B9" s="3444" t="s">
        <v>2754</v>
      </c>
      <c r="C9" s="3445" t="s">
        <v>2755</v>
      </c>
      <c r="D9" s="3446" t="s">
        <v>2756</v>
      </c>
      <c r="E9" s="5165"/>
      <c r="F9" s="5091"/>
    </row>
    <row r="10" spans="1:7">
      <c r="A10" s="3439">
        <v>1</v>
      </c>
      <c r="B10" s="3444" t="s">
        <v>2757</v>
      </c>
      <c r="C10" s="3445" t="s">
        <v>2758</v>
      </c>
      <c r="D10" s="3446" t="s">
        <v>2759</v>
      </c>
      <c r="E10" s="5165"/>
      <c r="F10" s="5091"/>
      <c r="G10" s="3439" t="s">
        <v>2760</v>
      </c>
    </row>
    <row r="11" spans="1:7">
      <c r="B11" s="3444" t="s">
        <v>2761</v>
      </c>
      <c r="C11" s="3445" t="s">
        <v>2762</v>
      </c>
      <c r="D11" s="3446" t="s">
        <v>2763</v>
      </c>
      <c r="E11" s="5165"/>
      <c r="F11" s="5091"/>
    </row>
    <row r="12" spans="1:7" ht="16.5" thickBot="1">
      <c r="B12" s="3444"/>
      <c r="C12" s="3447" t="s">
        <v>2764</v>
      </c>
      <c r="D12" s="3448"/>
      <c r="E12" s="5165"/>
      <c r="F12" s="5091"/>
    </row>
    <row r="13" spans="1:7">
      <c r="B13" s="3449"/>
      <c r="C13" s="3442" t="s">
        <v>2765</v>
      </c>
      <c r="D13" s="5166" t="s">
        <v>1245</v>
      </c>
      <c r="E13" s="5133">
        <v>2</v>
      </c>
      <c r="F13" s="3450" t="s">
        <v>43</v>
      </c>
    </row>
    <row r="14" spans="1:7">
      <c r="B14" s="3451"/>
      <c r="C14" s="3445" t="s">
        <v>2766</v>
      </c>
      <c r="D14" s="5167"/>
      <c r="E14" s="5165"/>
      <c r="F14" s="3452"/>
    </row>
    <row r="15" spans="1:7">
      <c r="B15" s="3451"/>
      <c r="C15" s="3453" t="s">
        <v>2767</v>
      </c>
      <c r="D15" s="5167"/>
      <c r="E15" s="5165"/>
      <c r="F15" s="3452"/>
    </row>
    <row r="16" spans="1:7">
      <c r="B16" s="3451"/>
      <c r="C16" s="3445" t="s">
        <v>2768</v>
      </c>
      <c r="D16" s="5167"/>
      <c r="E16" s="5165"/>
      <c r="F16" s="3452" t="s">
        <v>43</v>
      </c>
    </row>
    <row r="17" spans="1:6">
      <c r="B17" s="3451"/>
      <c r="C17" s="3445" t="s">
        <v>2936</v>
      </c>
      <c r="D17" s="5167"/>
      <c r="E17" s="5165"/>
      <c r="F17" s="3452" t="s">
        <v>2769</v>
      </c>
    </row>
    <row r="18" spans="1:6">
      <c r="A18" s="3439">
        <v>2</v>
      </c>
      <c r="B18" s="3454" t="s">
        <v>2770</v>
      </c>
      <c r="C18" s="3445" t="s">
        <v>2771</v>
      </c>
      <c r="D18" s="5167"/>
      <c r="E18" s="5165"/>
      <c r="F18" s="3452" t="s">
        <v>43</v>
      </c>
    </row>
    <row r="19" spans="1:6">
      <c r="B19" s="3454" t="s">
        <v>2772</v>
      </c>
      <c r="C19" s="3455" t="s">
        <v>2773</v>
      </c>
      <c r="D19" s="5167"/>
      <c r="E19" s="5165"/>
      <c r="F19" s="3452"/>
    </row>
    <row r="20" spans="1:6">
      <c r="B20" s="3451"/>
      <c r="C20" s="3445" t="s">
        <v>2774</v>
      </c>
      <c r="D20" s="5167"/>
      <c r="E20" s="5165"/>
      <c r="F20" s="3452"/>
    </row>
    <row r="21" spans="1:6">
      <c r="B21" s="3451"/>
      <c r="C21" s="3445" t="s">
        <v>2775</v>
      </c>
      <c r="D21" s="5167"/>
      <c r="E21" s="5165"/>
      <c r="F21" s="3452"/>
    </row>
    <row r="22" spans="1:6">
      <c r="B22" s="3451"/>
      <c r="C22" s="3445" t="s">
        <v>2776</v>
      </c>
      <c r="D22" s="5167"/>
      <c r="E22" s="5165"/>
      <c r="F22" s="3452"/>
    </row>
    <row r="23" spans="1:6" ht="15.75" thickBot="1">
      <c r="B23" s="3456"/>
      <c r="C23" s="3457" t="s">
        <v>2777</v>
      </c>
      <c r="D23" s="5168"/>
      <c r="E23" s="5169"/>
      <c r="F23" s="3458"/>
    </row>
    <row r="24" spans="1:6">
      <c r="B24" s="3454" t="s">
        <v>2778</v>
      </c>
      <c r="C24" s="3445" t="s">
        <v>2779</v>
      </c>
      <c r="D24" s="5094" t="s">
        <v>1245</v>
      </c>
      <c r="E24" s="5165">
        <v>1</v>
      </c>
      <c r="F24" s="5091" t="s">
        <v>43</v>
      </c>
    </row>
    <row r="25" spans="1:6">
      <c r="B25" s="3454" t="s">
        <v>2780</v>
      </c>
      <c r="C25" s="3445" t="s">
        <v>2781</v>
      </c>
      <c r="D25" s="5094"/>
      <c r="E25" s="5165"/>
      <c r="F25" s="5091"/>
    </row>
    <row r="26" spans="1:6">
      <c r="A26" s="3439">
        <v>3</v>
      </c>
      <c r="B26" s="3454" t="s">
        <v>2782</v>
      </c>
      <c r="C26" s="3445" t="s">
        <v>2783</v>
      </c>
      <c r="D26" s="5094"/>
      <c r="E26" s="5165"/>
      <c r="F26" s="5091"/>
    </row>
    <row r="27" spans="1:6" ht="15.75" thickBot="1">
      <c r="B27" s="3459" t="s">
        <v>2784</v>
      </c>
      <c r="C27" s="3460"/>
      <c r="D27" s="5095"/>
      <c r="E27" s="5169"/>
      <c r="F27" s="5109"/>
    </row>
    <row r="28" spans="1:6">
      <c r="B28" s="3441"/>
      <c r="C28" s="3442" t="s">
        <v>2785</v>
      </c>
      <c r="D28" s="3442"/>
      <c r="E28" s="5093">
        <v>1</v>
      </c>
      <c r="F28" s="5090" t="s">
        <v>43</v>
      </c>
    </row>
    <row r="29" spans="1:6">
      <c r="B29" s="3444"/>
      <c r="C29" s="3445" t="s">
        <v>2786</v>
      </c>
      <c r="D29" s="3445" t="s">
        <v>43</v>
      </c>
      <c r="E29" s="5094"/>
      <c r="F29" s="5091"/>
    </row>
    <row r="30" spans="1:6">
      <c r="A30" s="3439">
        <v>4</v>
      </c>
      <c r="B30" s="3444" t="s">
        <v>2770</v>
      </c>
      <c r="C30" s="3445" t="s">
        <v>2787</v>
      </c>
      <c r="D30" s="3461" t="s">
        <v>2788</v>
      </c>
      <c r="E30" s="5094"/>
      <c r="F30" s="5091"/>
    </row>
    <row r="31" spans="1:6">
      <c r="B31" s="3444" t="s">
        <v>2600</v>
      </c>
      <c r="C31" s="3445" t="s">
        <v>2789</v>
      </c>
      <c r="D31" s="3461" t="s">
        <v>2790</v>
      </c>
      <c r="E31" s="5094"/>
      <c r="F31" s="5091"/>
    </row>
    <row r="32" spans="1:6" ht="15.75" thickBot="1">
      <c r="B32" s="3462"/>
      <c r="C32" s="3457" t="s">
        <v>2791</v>
      </c>
      <c r="D32" s="3457"/>
      <c r="E32" s="5095"/>
      <c r="F32" s="5109"/>
    </row>
    <row r="33" spans="2:7">
      <c r="B33" s="3463"/>
      <c r="C33" s="3464"/>
      <c r="D33" s="3464"/>
      <c r="E33" s="3465"/>
      <c r="F33" s="3466" t="s">
        <v>2792</v>
      </c>
    </row>
    <row r="34" spans="2:7" ht="15.75">
      <c r="B34" s="5097" t="s">
        <v>2746</v>
      </c>
      <c r="C34" s="5097"/>
      <c r="D34" s="5097"/>
      <c r="E34" s="5097"/>
      <c r="F34" s="5097"/>
    </row>
    <row r="35" spans="2:7" ht="16.5" thickBot="1">
      <c r="B35" s="5097" t="s">
        <v>2793</v>
      </c>
      <c r="C35" s="5097"/>
      <c r="D35" s="5097"/>
      <c r="E35" s="5097"/>
      <c r="F35" s="5097"/>
    </row>
    <row r="36" spans="2:7" ht="15" customHeight="1">
      <c r="B36" s="5170" t="s">
        <v>2748</v>
      </c>
      <c r="C36" s="5100" t="s">
        <v>2749</v>
      </c>
      <c r="D36" s="5102" t="s">
        <v>2750</v>
      </c>
      <c r="E36" s="5104" t="s">
        <v>286</v>
      </c>
      <c r="F36" s="5173" t="s">
        <v>2635</v>
      </c>
    </row>
    <row r="37" spans="2:7" ht="15.75" customHeight="1" thickBot="1">
      <c r="B37" s="5171"/>
      <c r="C37" s="5125"/>
      <c r="D37" s="5106"/>
      <c r="E37" s="5172"/>
      <c r="F37" s="5174"/>
    </row>
    <row r="38" spans="2:7" ht="15.75" customHeight="1">
      <c r="B38" s="3467"/>
      <c r="C38" s="3468" t="s">
        <v>2794</v>
      </c>
      <c r="D38" s="3469"/>
      <c r="E38" s="5161">
        <v>17</v>
      </c>
      <c r="F38" s="5162" t="s">
        <v>43</v>
      </c>
    </row>
    <row r="39" spans="2:7" ht="16.5">
      <c r="B39" s="3470"/>
      <c r="C39" s="3471" t="s">
        <v>2795</v>
      </c>
      <c r="D39" s="3472" t="s">
        <v>2796</v>
      </c>
      <c r="E39" s="5081"/>
      <c r="F39" s="5163"/>
    </row>
    <row r="40" spans="2:7" ht="16.5">
      <c r="B40" s="3473" t="s">
        <v>2797</v>
      </c>
      <c r="C40" s="3471" t="s">
        <v>2798</v>
      </c>
      <c r="D40" s="3472" t="s">
        <v>2799</v>
      </c>
      <c r="E40" s="5081"/>
      <c r="F40" s="5163"/>
      <c r="G40" s="3439" t="s">
        <v>2638</v>
      </c>
    </row>
    <row r="41" spans="2:7" ht="18">
      <c r="B41" s="3473" t="s">
        <v>2800</v>
      </c>
      <c r="C41" s="3471" t="s">
        <v>2801</v>
      </c>
      <c r="D41" s="3474" t="s">
        <v>43</v>
      </c>
      <c r="E41" s="5081"/>
      <c r="F41" s="5163"/>
    </row>
    <row r="42" spans="2:7" ht="15.75" thickBot="1">
      <c r="B42" s="3475"/>
      <c r="C42" s="3476" t="s">
        <v>2802</v>
      </c>
      <c r="D42" s="3477"/>
      <c r="E42" s="5081"/>
      <c r="F42" s="5164"/>
    </row>
    <row r="43" spans="2:7">
      <c r="B43" s="3478"/>
      <c r="C43" s="3443" t="s">
        <v>2803</v>
      </c>
      <c r="D43" s="5160" t="s">
        <v>2804</v>
      </c>
      <c r="E43" s="5160">
        <v>1</v>
      </c>
      <c r="F43" s="5160" t="s">
        <v>2805</v>
      </c>
    </row>
    <row r="44" spans="2:7">
      <c r="B44" s="3454"/>
      <c r="C44" s="3448" t="s">
        <v>2806</v>
      </c>
      <c r="D44" s="5146"/>
      <c r="E44" s="5146"/>
      <c r="F44" s="5146"/>
    </row>
    <row r="45" spans="2:7" ht="15" customHeight="1">
      <c r="B45" s="3454"/>
      <c r="C45" s="3448" t="s">
        <v>2807</v>
      </c>
      <c r="D45" s="5147"/>
      <c r="E45" s="5147"/>
      <c r="F45" s="5147"/>
    </row>
    <row r="46" spans="2:7">
      <c r="B46" s="3454" t="s">
        <v>990</v>
      </c>
      <c r="C46" s="3448" t="s">
        <v>43</v>
      </c>
      <c r="D46" s="5145" t="s">
        <v>2808</v>
      </c>
      <c r="E46" s="5145">
        <v>1</v>
      </c>
      <c r="F46" s="5145" t="s">
        <v>2805</v>
      </c>
    </row>
    <row r="47" spans="2:7">
      <c r="B47" s="3454" t="s">
        <v>2809</v>
      </c>
      <c r="C47" s="3448" t="s">
        <v>2810</v>
      </c>
      <c r="D47" s="5146"/>
      <c r="E47" s="5146"/>
      <c r="F47" s="5146"/>
    </row>
    <row r="48" spans="2:7">
      <c r="B48" s="3454"/>
      <c r="C48" s="3448" t="s">
        <v>2811</v>
      </c>
      <c r="D48" s="5147"/>
      <c r="E48" s="5147"/>
      <c r="F48" s="5147"/>
    </row>
    <row r="49" spans="2:6">
      <c r="B49" s="3454"/>
      <c r="C49" s="3448" t="s">
        <v>2812</v>
      </c>
      <c r="D49" s="5149" t="s">
        <v>2813</v>
      </c>
      <c r="E49" s="5146">
        <v>1</v>
      </c>
      <c r="F49" s="5146" t="s">
        <v>2805</v>
      </c>
    </row>
    <row r="50" spans="2:6" ht="15.75" thickBot="1">
      <c r="B50" s="3459"/>
      <c r="C50" s="3479" t="s">
        <v>2814</v>
      </c>
      <c r="D50" s="5150"/>
      <c r="E50" s="5151"/>
      <c r="F50" s="5151"/>
    </row>
    <row r="51" spans="2:6" hidden="1">
      <c r="B51" s="5152" t="s">
        <v>2815</v>
      </c>
      <c r="C51" s="3480" t="s">
        <v>2816</v>
      </c>
      <c r="D51" s="5154" t="s">
        <v>2817</v>
      </c>
      <c r="E51" s="5154">
        <v>1</v>
      </c>
      <c r="F51" s="5155" t="s">
        <v>2818</v>
      </c>
    </row>
    <row r="52" spans="2:6" hidden="1">
      <c r="B52" s="5152"/>
      <c r="C52" s="3480" t="s">
        <v>2819</v>
      </c>
      <c r="D52" s="5154"/>
      <c r="E52" s="5154"/>
      <c r="F52" s="5155"/>
    </row>
    <row r="53" spans="2:6" hidden="1">
      <c r="B53" s="5152"/>
      <c r="C53" s="3480" t="s">
        <v>2820</v>
      </c>
      <c r="D53" s="5156" t="s">
        <v>2821</v>
      </c>
      <c r="E53" s="5156">
        <v>1</v>
      </c>
      <c r="F53" s="5158" t="s">
        <v>2818</v>
      </c>
    </row>
    <row r="54" spans="2:6" ht="15.75" hidden="1" thickBot="1">
      <c r="B54" s="5153"/>
      <c r="C54" s="3481" t="s">
        <v>2822</v>
      </c>
      <c r="D54" s="5157"/>
      <c r="E54" s="5157"/>
      <c r="F54" s="5159"/>
    </row>
    <row r="55" spans="2:6">
      <c r="B55" s="3482"/>
      <c r="C55" s="3448" t="s">
        <v>2823</v>
      </c>
      <c r="D55" s="3483"/>
      <c r="E55" s="3483"/>
      <c r="F55" s="5091" t="s">
        <v>43</v>
      </c>
    </row>
    <row r="56" spans="2:6">
      <c r="B56" s="3444" t="s">
        <v>2824</v>
      </c>
      <c r="C56" s="3448" t="s">
        <v>2825</v>
      </c>
      <c r="D56" s="3483"/>
      <c r="E56" s="3483"/>
      <c r="F56" s="5091"/>
    </row>
    <row r="57" spans="2:6">
      <c r="B57" s="3444" t="s">
        <v>2826</v>
      </c>
      <c r="C57" s="3448" t="s">
        <v>2827</v>
      </c>
      <c r="D57" s="3484" t="s">
        <v>1245</v>
      </c>
      <c r="E57" s="3484">
        <v>1</v>
      </c>
      <c r="F57" s="5091"/>
    </row>
    <row r="58" spans="2:6">
      <c r="B58" s="3482"/>
      <c r="C58" s="3448" t="s">
        <v>2828</v>
      </c>
      <c r="D58" s="3483"/>
      <c r="E58" s="3483"/>
      <c r="F58" s="5091"/>
    </row>
    <row r="59" spans="2:6" ht="15.75" thickBot="1">
      <c r="B59" s="3485"/>
      <c r="C59" s="3479" t="s">
        <v>2829</v>
      </c>
      <c r="D59" s="3486"/>
      <c r="E59" s="3486"/>
      <c r="F59" s="5109"/>
    </row>
    <row r="60" spans="2:6">
      <c r="B60" s="3473"/>
      <c r="C60" s="3487" t="s">
        <v>2830</v>
      </c>
      <c r="D60" s="5081" t="s">
        <v>2831</v>
      </c>
      <c r="E60" s="3488"/>
      <c r="F60" s="3489"/>
    </row>
    <row r="61" spans="2:6">
      <c r="B61" s="3473" t="s">
        <v>2832</v>
      </c>
      <c r="C61" s="3490" t="s">
        <v>2833</v>
      </c>
      <c r="D61" s="5081"/>
      <c r="E61" s="5148">
        <v>1</v>
      </c>
      <c r="F61" s="3489"/>
    </row>
    <row r="62" spans="2:6">
      <c r="B62" s="3473" t="s">
        <v>2834</v>
      </c>
      <c r="C62" s="3487" t="s">
        <v>2835</v>
      </c>
      <c r="D62" s="5081"/>
      <c r="E62" s="5077"/>
      <c r="F62" s="3489"/>
    </row>
    <row r="63" spans="2:6" ht="15.75" thickBot="1">
      <c r="B63" s="3473"/>
      <c r="C63" s="3491" t="s">
        <v>2836</v>
      </c>
      <c r="D63" s="5081"/>
      <c r="E63" s="3492">
        <v>5</v>
      </c>
      <c r="F63" s="3489"/>
    </row>
    <row r="64" spans="2:6" ht="15.75" customHeight="1">
      <c r="B64" s="5086" t="s">
        <v>2815</v>
      </c>
      <c r="C64" s="3443" t="s">
        <v>2837</v>
      </c>
      <c r="D64" s="5135" t="s">
        <v>2838</v>
      </c>
      <c r="E64" s="5137">
        <v>4</v>
      </c>
      <c r="F64" s="5139" t="s">
        <v>2839</v>
      </c>
    </row>
    <row r="65" spans="2:6" ht="15" customHeight="1">
      <c r="B65" s="5087"/>
      <c r="C65" s="3448" t="s">
        <v>2840</v>
      </c>
      <c r="D65" s="5136"/>
      <c r="E65" s="5138"/>
      <c r="F65" s="5140"/>
    </row>
    <row r="66" spans="2:6" ht="15" customHeight="1">
      <c r="B66" s="5087"/>
      <c r="C66" s="3448" t="s">
        <v>2841</v>
      </c>
      <c r="D66" s="3490" t="s">
        <v>2842</v>
      </c>
      <c r="E66" s="5142">
        <v>4</v>
      </c>
      <c r="F66" s="5140"/>
    </row>
    <row r="67" spans="2:6" ht="15" customHeight="1">
      <c r="B67" s="5087"/>
      <c r="C67" s="3448" t="s">
        <v>2820</v>
      </c>
      <c r="D67" s="3491" t="s">
        <v>2843</v>
      </c>
      <c r="E67" s="5143"/>
      <c r="F67" s="5140"/>
    </row>
    <row r="68" spans="2:6" ht="15.75" customHeight="1" thickBot="1">
      <c r="B68" s="5092"/>
      <c r="C68" s="3479" t="s">
        <v>2822</v>
      </c>
      <c r="D68" s="3486"/>
      <c r="E68" s="5144"/>
      <c r="F68" s="5141"/>
    </row>
    <row r="69" spans="2:6" ht="15.75" customHeight="1">
      <c r="B69" s="3465"/>
      <c r="C69" s="3464"/>
      <c r="D69" s="3493"/>
      <c r="E69" s="3494"/>
      <c r="F69" s="3465"/>
    </row>
    <row r="70" spans="2:6" ht="13.5" customHeight="1">
      <c r="B70" s="3495"/>
      <c r="C70" s="3496"/>
      <c r="D70" s="3495"/>
      <c r="E70" s="3495"/>
      <c r="F70" s="3466" t="s">
        <v>2844</v>
      </c>
    </row>
    <row r="71" spans="2:6" ht="15.75" customHeight="1">
      <c r="B71" s="5097" t="s">
        <v>2746</v>
      </c>
      <c r="C71" s="5097"/>
      <c r="D71" s="5097"/>
      <c r="E71" s="5097"/>
      <c r="F71" s="5097"/>
    </row>
    <row r="72" spans="2:6" ht="15.75" customHeight="1" thickBot="1">
      <c r="B72" s="5097" t="s">
        <v>2793</v>
      </c>
      <c r="C72" s="5097"/>
      <c r="D72" s="5097"/>
      <c r="E72" s="5097"/>
      <c r="F72" s="5097"/>
    </row>
    <row r="73" spans="2:6" ht="15" customHeight="1">
      <c r="B73" s="5098" t="s">
        <v>2748</v>
      </c>
      <c r="C73" s="5100" t="s">
        <v>2749</v>
      </c>
      <c r="D73" s="5102" t="s">
        <v>2750</v>
      </c>
      <c r="E73" s="5126" t="s">
        <v>286</v>
      </c>
      <c r="F73" s="5128" t="s">
        <v>2635</v>
      </c>
    </row>
    <row r="74" spans="2:6" ht="15" customHeight="1" thickBot="1">
      <c r="B74" s="5124"/>
      <c r="C74" s="5125"/>
      <c r="D74" s="5106"/>
      <c r="E74" s="5127"/>
      <c r="F74" s="5129"/>
    </row>
    <row r="75" spans="2:6">
      <c r="B75" s="3449"/>
      <c r="C75" s="3442" t="s">
        <v>2845</v>
      </c>
      <c r="D75" s="5130" t="s">
        <v>2846</v>
      </c>
      <c r="E75" s="5088">
        <v>749.09</v>
      </c>
      <c r="F75" s="3450" t="s">
        <v>43</v>
      </c>
    </row>
    <row r="76" spans="2:6">
      <c r="B76" s="3444" t="s">
        <v>2847</v>
      </c>
      <c r="C76" s="3445" t="s">
        <v>2848</v>
      </c>
      <c r="D76" s="5131"/>
      <c r="E76" s="5094"/>
      <c r="F76" s="3452"/>
    </row>
    <row r="77" spans="2:6">
      <c r="B77" s="3444" t="s">
        <v>2849</v>
      </c>
      <c r="C77" s="3445" t="s">
        <v>2850</v>
      </c>
      <c r="D77" s="5131"/>
      <c r="E77" s="5094"/>
      <c r="F77" s="3452" t="s">
        <v>2851</v>
      </c>
    </row>
    <row r="78" spans="2:6" ht="18">
      <c r="B78" s="3444" t="s">
        <v>2852</v>
      </c>
      <c r="C78" s="3445" t="s">
        <v>2853</v>
      </c>
      <c r="D78" s="5131"/>
      <c r="E78" s="5094"/>
      <c r="F78" s="3452" t="s">
        <v>2854</v>
      </c>
    </row>
    <row r="79" spans="2:6">
      <c r="B79" s="3444"/>
      <c r="C79" s="3497" t="s">
        <v>2855</v>
      </c>
      <c r="D79" s="5131"/>
      <c r="E79" s="5094"/>
      <c r="F79" s="3452" t="s">
        <v>43</v>
      </c>
    </row>
    <row r="80" spans="2:6">
      <c r="B80" s="3444"/>
      <c r="C80" s="3445" t="s">
        <v>2856</v>
      </c>
      <c r="D80" s="5132"/>
      <c r="E80" s="5094"/>
      <c r="F80" s="3452"/>
    </row>
    <row r="81" spans="2:7" ht="15.75" thickBot="1">
      <c r="B81" s="3498"/>
      <c r="C81" s="3445" t="s">
        <v>2857</v>
      </c>
      <c r="D81" s="5132"/>
      <c r="E81" s="5094"/>
      <c r="F81" s="3452"/>
    </row>
    <row r="82" spans="2:7">
      <c r="B82" s="3521"/>
      <c r="C82" s="3522" t="s">
        <v>2858</v>
      </c>
      <c r="D82" s="5133" t="s">
        <v>2859</v>
      </c>
      <c r="E82" s="5133">
        <v>3</v>
      </c>
      <c r="F82" s="5078" t="s">
        <v>2860</v>
      </c>
    </row>
    <row r="83" spans="2:7">
      <c r="B83" s="3523" t="s">
        <v>2861</v>
      </c>
      <c r="C83" s="3524" t="s">
        <v>2862</v>
      </c>
      <c r="D83" s="5134"/>
      <c r="E83" s="5134"/>
      <c r="F83" s="5083"/>
    </row>
    <row r="84" spans="2:7" ht="15.75" thickBot="1">
      <c r="B84" s="3525" t="s">
        <v>2863</v>
      </c>
      <c r="C84" s="3526" t="s">
        <v>2864</v>
      </c>
      <c r="D84" s="3527" t="s">
        <v>2865</v>
      </c>
      <c r="E84" s="3528">
        <v>1</v>
      </c>
      <c r="F84" s="3529"/>
    </row>
    <row r="85" spans="2:7">
      <c r="B85" s="3478"/>
      <c r="C85" s="3443" t="s">
        <v>2866</v>
      </c>
      <c r="D85" s="5093" t="s">
        <v>2867</v>
      </c>
      <c r="E85" s="5093">
        <v>1</v>
      </c>
      <c r="F85" s="5090" t="s">
        <v>2868</v>
      </c>
    </row>
    <row r="86" spans="2:7">
      <c r="B86" s="3454"/>
      <c r="C86" s="3448" t="s">
        <v>2812</v>
      </c>
      <c r="D86" s="5122"/>
      <c r="E86" s="5122"/>
      <c r="F86" s="5123"/>
      <c r="G86" s="3499"/>
    </row>
    <row r="87" spans="2:7">
      <c r="B87" s="3454"/>
      <c r="C87" s="3448" t="s">
        <v>2811</v>
      </c>
      <c r="D87" s="3484" t="s">
        <v>2869</v>
      </c>
      <c r="E87" s="5094">
        <v>4</v>
      </c>
      <c r="F87" s="5091" t="s">
        <v>2868</v>
      </c>
    </row>
    <row r="88" spans="2:7">
      <c r="B88" s="3454"/>
      <c r="C88" s="3448" t="s">
        <v>2870</v>
      </c>
      <c r="D88" s="3484"/>
      <c r="E88" s="5094"/>
      <c r="F88" s="5091"/>
    </row>
    <row r="89" spans="2:7">
      <c r="B89" s="3454"/>
      <c r="C89" s="3448" t="s">
        <v>2871</v>
      </c>
      <c r="D89" s="3500"/>
      <c r="E89" s="5122"/>
      <c r="F89" s="5123"/>
    </row>
    <row r="90" spans="2:7">
      <c r="B90" s="3454" t="s">
        <v>990</v>
      </c>
      <c r="C90" s="3448" t="s">
        <v>2872</v>
      </c>
      <c r="D90" s="3501"/>
      <c r="E90" s="5107">
        <v>4</v>
      </c>
      <c r="F90" s="5108" t="s">
        <v>2873</v>
      </c>
    </row>
    <row r="91" spans="2:7">
      <c r="B91" s="3454" t="s">
        <v>2874</v>
      </c>
      <c r="C91" s="3448" t="s">
        <v>2875</v>
      </c>
      <c r="D91" s="3502" t="s">
        <v>2876</v>
      </c>
      <c r="E91" s="5094"/>
      <c r="F91" s="5091"/>
    </row>
    <row r="92" spans="2:7">
      <c r="B92" s="3454"/>
      <c r="C92" s="3448" t="s">
        <v>2877</v>
      </c>
      <c r="D92" s="3503" t="s">
        <v>2878</v>
      </c>
      <c r="E92" s="5122"/>
      <c r="F92" s="5123"/>
    </row>
    <row r="93" spans="2:7" ht="15" customHeight="1">
      <c r="B93" s="3454"/>
      <c r="C93" s="3448" t="s">
        <v>2879</v>
      </c>
      <c r="D93" s="3504" t="s">
        <v>2880</v>
      </c>
      <c r="E93" s="5107">
        <v>4</v>
      </c>
      <c r="F93" s="5108" t="s">
        <v>2881</v>
      </c>
    </row>
    <row r="94" spans="2:7">
      <c r="B94" s="3454"/>
      <c r="C94" s="3448" t="s">
        <v>2882</v>
      </c>
      <c r="D94" s="3483" t="s">
        <v>2883</v>
      </c>
      <c r="E94" s="5094"/>
      <c r="F94" s="5091"/>
    </row>
    <row r="95" spans="2:7">
      <c r="B95" s="3454"/>
      <c r="C95" s="3448" t="s">
        <v>2884</v>
      </c>
      <c r="D95" s="3505"/>
      <c r="E95" s="5122"/>
      <c r="F95" s="5123"/>
    </row>
    <row r="96" spans="2:7">
      <c r="B96" s="3454"/>
      <c r="C96" s="3448" t="s">
        <v>2885</v>
      </c>
      <c r="D96" s="3490" t="s">
        <v>2886</v>
      </c>
      <c r="E96" s="5107">
        <v>4</v>
      </c>
      <c r="F96" s="5108" t="s">
        <v>2881</v>
      </c>
    </row>
    <row r="97" spans="2:6">
      <c r="B97" s="3454"/>
      <c r="C97" s="3448" t="s">
        <v>2887</v>
      </c>
      <c r="D97" s="3483" t="s">
        <v>2878</v>
      </c>
      <c r="E97" s="5094"/>
      <c r="F97" s="5091"/>
    </row>
    <row r="98" spans="2:6" ht="15.75" thickBot="1">
      <c r="B98" s="3459"/>
      <c r="C98" s="3479" t="s">
        <v>2814</v>
      </c>
      <c r="D98" s="3486"/>
      <c r="E98" s="5095"/>
      <c r="F98" s="5109"/>
    </row>
    <row r="99" spans="2:6">
      <c r="B99" s="5110" t="s">
        <v>2888</v>
      </c>
      <c r="C99" s="3442" t="s">
        <v>2889</v>
      </c>
      <c r="D99" s="5113" t="s">
        <v>2890</v>
      </c>
      <c r="E99" s="5116" t="e">
        <v>#REF!</v>
      </c>
      <c r="F99" s="5119" t="s">
        <v>2891</v>
      </c>
    </row>
    <row r="100" spans="2:6">
      <c r="B100" s="5111"/>
      <c r="C100" s="3445" t="s">
        <v>2892</v>
      </c>
      <c r="D100" s="5114"/>
      <c r="E100" s="5117"/>
      <c r="F100" s="5120"/>
    </row>
    <row r="101" spans="2:6">
      <c r="B101" s="5111"/>
      <c r="C101" s="3445" t="s">
        <v>2893</v>
      </c>
      <c r="D101" s="5114"/>
      <c r="E101" s="5117"/>
      <c r="F101" s="5120"/>
    </row>
    <row r="102" spans="2:6">
      <c r="B102" s="5111"/>
      <c r="C102" s="3445" t="s">
        <v>2894</v>
      </c>
      <c r="D102" s="5114"/>
      <c r="E102" s="5117"/>
      <c r="F102" s="5120"/>
    </row>
    <row r="103" spans="2:6" ht="15.75" thickBot="1">
      <c r="B103" s="5112"/>
      <c r="C103" s="3457" t="s">
        <v>2895</v>
      </c>
      <c r="D103" s="5115"/>
      <c r="E103" s="5118"/>
      <c r="F103" s="5121"/>
    </row>
    <row r="104" spans="2:6">
      <c r="B104" s="3465"/>
      <c r="C104" s="3464"/>
      <c r="D104" s="3465"/>
      <c r="E104" s="3506"/>
      <c r="F104" s="3466" t="s">
        <v>2896</v>
      </c>
    </row>
    <row r="105" spans="2:6" ht="15.75">
      <c r="B105" s="5096" t="s">
        <v>2746</v>
      </c>
      <c r="C105" s="5096"/>
      <c r="D105" s="5096"/>
      <c r="E105" s="5096"/>
      <c r="F105" s="5096"/>
    </row>
    <row r="106" spans="2:6" ht="16.5" thickBot="1">
      <c r="B106" s="5097" t="s">
        <v>2793</v>
      </c>
      <c r="C106" s="5097"/>
      <c r="D106" s="5097"/>
      <c r="E106" s="5097"/>
      <c r="F106" s="5097"/>
    </row>
    <row r="107" spans="2:6" ht="15" customHeight="1">
      <c r="B107" s="5098" t="s">
        <v>2748</v>
      </c>
      <c r="C107" s="5100" t="s">
        <v>2749</v>
      </c>
      <c r="D107" s="5102" t="s">
        <v>2750</v>
      </c>
      <c r="E107" s="5104" t="s">
        <v>286</v>
      </c>
      <c r="F107" s="5102" t="s">
        <v>2635</v>
      </c>
    </row>
    <row r="108" spans="2:6" ht="15.75" customHeight="1" thickBot="1">
      <c r="B108" s="5099"/>
      <c r="C108" s="5101"/>
      <c r="D108" s="5103"/>
      <c r="E108" s="5105"/>
      <c r="F108" s="5106"/>
    </row>
    <row r="109" spans="2:6" ht="15.75">
      <c r="B109" s="5086" t="s">
        <v>2408</v>
      </c>
      <c r="C109" s="3507" t="s">
        <v>2897</v>
      </c>
      <c r="D109" s="3442"/>
      <c r="E109" s="3442"/>
      <c r="F109" s="3508"/>
    </row>
    <row r="110" spans="2:6">
      <c r="B110" s="5087"/>
      <c r="C110" s="3445" t="s">
        <v>2898</v>
      </c>
      <c r="D110" s="3445"/>
      <c r="E110" s="3445"/>
      <c r="F110" s="3509"/>
    </row>
    <row r="111" spans="2:6">
      <c r="B111" s="5087"/>
      <c r="C111" s="3445" t="s">
        <v>2899</v>
      </c>
      <c r="D111" s="3445"/>
      <c r="E111" s="3445"/>
      <c r="F111" s="3509"/>
    </row>
    <row r="112" spans="2:6">
      <c r="B112" s="5087"/>
      <c r="C112" s="3445" t="s">
        <v>2900</v>
      </c>
      <c r="D112" s="3445"/>
      <c r="E112" s="3445"/>
      <c r="F112" s="3509"/>
    </row>
    <row r="113" spans="2:6">
      <c r="B113" s="5087"/>
      <c r="C113" s="3445" t="s">
        <v>2901</v>
      </c>
      <c r="D113" s="3484" t="s">
        <v>2902</v>
      </c>
      <c r="E113" s="3484" t="s">
        <v>2903</v>
      </c>
      <c r="F113" s="3509"/>
    </row>
    <row r="114" spans="2:6" ht="15.75">
      <c r="B114" s="5087"/>
      <c r="C114" s="3510" t="s">
        <v>2904</v>
      </c>
      <c r="D114" s="3484" t="s">
        <v>2905</v>
      </c>
      <c r="E114" s="3484" t="s">
        <v>2906</v>
      </c>
      <c r="F114" s="3509"/>
    </row>
    <row r="115" spans="2:6" ht="15.75">
      <c r="B115" s="5087"/>
      <c r="C115" s="3511" t="s">
        <v>2907</v>
      </c>
      <c r="D115" s="3445"/>
      <c r="E115" s="3445"/>
      <c r="F115" s="3509"/>
    </row>
    <row r="116" spans="2:6">
      <c r="B116" s="5087"/>
      <c r="C116" s="3445" t="s">
        <v>2899</v>
      </c>
      <c r="D116" s="3445"/>
      <c r="E116" s="3445"/>
      <c r="F116" s="3509"/>
    </row>
    <row r="117" spans="2:6">
      <c r="B117" s="5087"/>
      <c r="C117" s="3445" t="s">
        <v>2908</v>
      </c>
      <c r="D117" s="3445"/>
      <c r="E117" s="3445"/>
      <c r="F117" s="3509"/>
    </row>
    <row r="118" spans="2:6" ht="15.75" thickBot="1">
      <c r="B118" s="5087"/>
      <c r="C118" s="3445" t="s">
        <v>2901</v>
      </c>
      <c r="D118" s="3445"/>
      <c r="E118" s="3445"/>
      <c r="F118" s="3509"/>
    </row>
    <row r="119" spans="2:6">
      <c r="B119" s="5086" t="s">
        <v>2909</v>
      </c>
      <c r="C119" s="3442" t="s">
        <v>2910</v>
      </c>
      <c r="D119" s="3442"/>
      <c r="E119" s="5088">
        <v>65</v>
      </c>
      <c r="F119" s="5090" t="s">
        <v>2911</v>
      </c>
    </row>
    <row r="120" spans="2:6">
      <c r="B120" s="5087"/>
      <c r="C120" s="3445" t="s">
        <v>2912</v>
      </c>
      <c r="D120" s="3445"/>
      <c r="E120" s="5089"/>
      <c r="F120" s="5091"/>
    </row>
    <row r="121" spans="2:6">
      <c r="B121" s="5087"/>
      <c r="C121" s="3445" t="s">
        <v>2913</v>
      </c>
      <c r="D121" s="3461" t="s">
        <v>2914</v>
      </c>
      <c r="E121" s="5089"/>
      <c r="F121" s="5091"/>
    </row>
    <row r="122" spans="2:6">
      <c r="B122" s="5087"/>
      <c r="C122" s="3445" t="s">
        <v>2915</v>
      </c>
      <c r="D122" s="3461" t="s">
        <v>2916</v>
      </c>
      <c r="E122" s="5089"/>
      <c r="F122" s="5091"/>
    </row>
    <row r="123" spans="2:6">
      <c r="B123" s="5087"/>
      <c r="C123" s="3445" t="s">
        <v>2917</v>
      </c>
      <c r="D123" s="3461" t="s">
        <v>43</v>
      </c>
      <c r="E123" s="5089"/>
      <c r="F123" s="5091"/>
    </row>
    <row r="124" spans="2:6">
      <c r="B124" s="5087"/>
      <c r="C124" s="3445" t="s">
        <v>2918</v>
      </c>
      <c r="D124" s="3445"/>
      <c r="E124" s="5089"/>
      <c r="F124" s="5091"/>
    </row>
    <row r="125" spans="2:6" ht="15.75" thickBot="1">
      <c r="B125" s="5087"/>
      <c r="C125" s="3445" t="s">
        <v>2919</v>
      </c>
      <c r="D125" s="3445"/>
      <c r="E125" s="5089"/>
      <c r="F125" s="5091"/>
    </row>
    <row r="126" spans="2:6">
      <c r="B126" s="5086" t="s">
        <v>2920</v>
      </c>
      <c r="C126" s="3512" t="s">
        <v>2921</v>
      </c>
      <c r="D126" s="5093" t="s">
        <v>2922</v>
      </c>
      <c r="E126" s="3442"/>
      <c r="F126" s="3508"/>
    </row>
    <row r="127" spans="2:6">
      <c r="B127" s="5087"/>
      <c r="C127" s="3513" t="s">
        <v>2923</v>
      </c>
      <c r="D127" s="5094"/>
      <c r="E127" s="3445"/>
      <c r="F127" s="3509"/>
    </row>
    <row r="128" spans="2:6">
      <c r="B128" s="5087"/>
      <c r="C128" s="3513" t="s">
        <v>2924</v>
      </c>
      <c r="D128" s="5094"/>
      <c r="E128" s="3445"/>
      <c r="F128" s="3509"/>
    </row>
    <row r="129" spans="2:7">
      <c r="B129" s="5087"/>
      <c r="C129" s="3513" t="s">
        <v>2925</v>
      </c>
      <c r="D129" s="5094"/>
      <c r="E129" s="3461" t="s">
        <v>2903</v>
      </c>
      <c r="F129" s="3509"/>
    </row>
    <row r="130" spans="2:7">
      <c r="B130" s="5087"/>
      <c r="C130" s="3513" t="s">
        <v>2926</v>
      </c>
      <c r="D130" s="5094"/>
      <c r="E130" s="3461" t="s">
        <v>2906</v>
      </c>
      <c r="F130" s="3509"/>
    </row>
    <row r="131" spans="2:7">
      <c r="B131" s="5087"/>
      <c r="C131" s="3513" t="s">
        <v>2927</v>
      </c>
      <c r="D131" s="5094"/>
      <c r="E131" s="3445"/>
      <c r="F131" s="3509"/>
    </row>
    <row r="132" spans="2:7" ht="15.75" thickBot="1">
      <c r="B132" s="5092"/>
      <c r="C132" s="3457" t="s">
        <v>2928</v>
      </c>
      <c r="D132" s="5095"/>
      <c r="E132" s="3457"/>
      <c r="F132" s="3514"/>
    </row>
    <row r="133" spans="2:7">
      <c r="B133" s="3515"/>
      <c r="C133" s="3516" t="s">
        <v>2816</v>
      </c>
      <c r="D133" s="5076" t="s">
        <v>2929</v>
      </c>
      <c r="E133" s="5076">
        <v>1</v>
      </c>
      <c r="F133" s="5078" t="s">
        <v>2930</v>
      </c>
      <c r="G133" s="5080"/>
    </row>
    <row r="134" spans="2:7">
      <c r="B134" s="3517"/>
      <c r="C134" s="3491" t="s">
        <v>2931</v>
      </c>
      <c r="D134" s="5077"/>
      <c r="E134" s="5077"/>
      <c r="F134" s="5079"/>
      <c r="G134" s="5080"/>
    </row>
    <row r="135" spans="2:7" ht="15.75" customHeight="1">
      <c r="B135" s="3517" t="s">
        <v>2815</v>
      </c>
      <c r="C135" s="3491" t="s">
        <v>2841</v>
      </c>
      <c r="D135" s="5081" t="s">
        <v>2932</v>
      </c>
      <c r="E135" s="5081">
        <v>1</v>
      </c>
      <c r="F135" s="5083" t="s">
        <v>2933</v>
      </c>
      <c r="G135" s="5085" t="e">
        <f>#REF!</f>
        <v>#REF!</v>
      </c>
    </row>
    <row r="136" spans="2:7" ht="15.75" customHeight="1">
      <c r="B136" s="3517"/>
      <c r="C136" s="3491" t="s">
        <v>2820</v>
      </c>
      <c r="D136" s="5081"/>
      <c r="E136" s="5081"/>
      <c r="F136" s="5083"/>
      <c r="G136" s="5080"/>
    </row>
    <row r="137" spans="2:7" ht="15.75" thickBot="1">
      <c r="B137" s="3518"/>
      <c r="C137" s="3519" t="s">
        <v>2822</v>
      </c>
      <c r="D137" s="5082"/>
      <c r="E137" s="5082"/>
      <c r="F137" s="5084"/>
      <c r="G137" s="5080"/>
    </row>
    <row r="138" spans="2:7">
      <c r="B138" s="3465"/>
      <c r="C138" s="3464"/>
      <c r="D138" s="3465"/>
      <c r="E138" s="3506"/>
      <c r="F138" s="3466" t="s">
        <v>2934</v>
      </c>
    </row>
    <row r="156" spans="6:6">
      <c r="F156" s="3520"/>
    </row>
    <row r="168" spans="6:6">
      <c r="F168" s="3520" t="s">
        <v>2935</v>
      </c>
    </row>
  </sheetData>
  <customSheetViews>
    <customSheetView guid="{43BC9397-3E8C-478C-B548-E4A845A7F82B}" showPageBreaks="1" fitToPage="1" printArea="1" hiddenRows="1">
      <selection activeCell="B4" sqref="B4:F4"/>
      <pageMargins left="0.70866141732283472" right="0.70866141732283472" top="0.74803149606299213" bottom="0.74803149606299213" header="0.31496062992125984" footer="0.31496062992125984"/>
      <pageSetup scale="61" fitToHeight="5" orientation="portrait" horizontalDpi="2400" verticalDpi="2400" r:id="rId1"/>
      <headerFooter>
        <oddFooter>1</oddFooter>
      </headerFooter>
    </customSheetView>
  </customSheetViews>
  <mergeCells count="99">
    <mergeCell ref="B1:F1"/>
    <mergeCell ref="B2:F2"/>
    <mergeCell ref="B4:F4"/>
    <mergeCell ref="B5:F5"/>
    <mergeCell ref="B6:B7"/>
    <mergeCell ref="C6:C7"/>
    <mergeCell ref="D6:D7"/>
    <mergeCell ref="E6:E7"/>
    <mergeCell ref="F6:F7"/>
    <mergeCell ref="E28:E32"/>
    <mergeCell ref="F28:F32"/>
    <mergeCell ref="B34:F34"/>
    <mergeCell ref="B35:F35"/>
    <mergeCell ref="B36:B37"/>
    <mergeCell ref="C36:C37"/>
    <mergeCell ref="D36:D37"/>
    <mergeCell ref="E36:E37"/>
    <mergeCell ref="F36:F37"/>
    <mergeCell ref="E8:E12"/>
    <mergeCell ref="F8:F12"/>
    <mergeCell ref="D13:D23"/>
    <mergeCell ref="E13:E23"/>
    <mergeCell ref="D24:D27"/>
    <mergeCell ref="E24:E27"/>
    <mergeCell ref="F24:F27"/>
    <mergeCell ref="F43:F45"/>
    <mergeCell ref="E38:E42"/>
    <mergeCell ref="F38:F42"/>
    <mergeCell ref="D43:D45"/>
    <mergeCell ref="E43:E45"/>
    <mergeCell ref="B51:B54"/>
    <mergeCell ref="D51:D52"/>
    <mergeCell ref="E51:E52"/>
    <mergeCell ref="F51:F52"/>
    <mergeCell ref="D53:D54"/>
    <mergeCell ref="E53:E54"/>
    <mergeCell ref="F53:F54"/>
    <mergeCell ref="D46:D48"/>
    <mergeCell ref="E46:E48"/>
    <mergeCell ref="F46:F48"/>
    <mergeCell ref="F55:F59"/>
    <mergeCell ref="D60:D63"/>
    <mergeCell ref="E61:E62"/>
    <mergeCell ref="D49:D50"/>
    <mergeCell ref="E49:E50"/>
    <mergeCell ref="F49:F50"/>
    <mergeCell ref="B64:B68"/>
    <mergeCell ref="D64:D65"/>
    <mergeCell ref="E64:E65"/>
    <mergeCell ref="F64:F68"/>
    <mergeCell ref="E66:E68"/>
    <mergeCell ref="D85:D86"/>
    <mergeCell ref="E85:E86"/>
    <mergeCell ref="F85:F86"/>
    <mergeCell ref="B71:F71"/>
    <mergeCell ref="B72:F72"/>
    <mergeCell ref="B73:B74"/>
    <mergeCell ref="C73:C74"/>
    <mergeCell ref="D73:D74"/>
    <mergeCell ref="E73:E74"/>
    <mergeCell ref="F73:F74"/>
    <mergeCell ref="D75:D81"/>
    <mergeCell ref="E75:E81"/>
    <mergeCell ref="D82:D83"/>
    <mergeCell ref="E82:E83"/>
    <mergeCell ref="F82:F83"/>
    <mergeCell ref="E87:E89"/>
    <mergeCell ref="F87:F89"/>
    <mergeCell ref="E90:E92"/>
    <mergeCell ref="F90:F92"/>
    <mergeCell ref="E93:E95"/>
    <mergeCell ref="F93:F95"/>
    <mergeCell ref="E96:E98"/>
    <mergeCell ref="F96:F98"/>
    <mergeCell ref="B99:B103"/>
    <mergeCell ref="D99:D103"/>
    <mergeCell ref="E99:E103"/>
    <mergeCell ref="F99:F103"/>
    <mergeCell ref="B105:F105"/>
    <mergeCell ref="B106:F106"/>
    <mergeCell ref="B107:B108"/>
    <mergeCell ref="C107:C108"/>
    <mergeCell ref="D107:D108"/>
    <mergeCell ref="E107:E108"/>
    <mergeCell ref="F107:F108"/>
    <mergeCell ref="B109:B118"/>
    <mergeCell ref="B119:B125"/>
    <mergeCell ref="E119:E125"/>
    <mergeCell ref="F119:F125"/>
    <mergeCell ref="B126:B132"/>
    <mergeCell ref="D126:D132"/>
    <mergeCell ref="D133:D134"/>
    <mergeCell ref="E133:E134"/>
    <mergeCell ref="F133:F134"/>
    <mergeCell ref="G133:G134"/>
    <mergeCell ref="D135:D137"/>
    <mergeCell ref="E135:E137"/>
    <mergeCell ref="F135:F137"/>
    <mergeCell ref="G135:G137"/>
  </mergeCells>
  <pageMargins left="0.70866141732283472" right="0.70866141732283472" top="0.74803149606299213" bottom="0.74803149606299213" header="0.31496062992125984" footer="0.31496062992125984"/>
  <pageSetup scale="61" fitToHeight="5" orientation="portrait" horizontalDpi="2400" verticalDpi="2400" r:id="rId2"/>
  <headerFooter>
    <oddFooter>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999"/>
  <sheetViews>
    <sheetView showZeros="0" view="pageBreakPreview" topLeftCell="A161" zoomScale="85" zoomScaleNormal="100" zoomScaleSheetLayoutView="85" workbookViewId="0">
      <selection activeCell="D54" sqref="D54"/>
    </sheetView>
  </sheetViews>
  <sheetFormatPr baseColWidth="10" defaultColWidth="11.42578125" defaultRowHeight="12.75" outlineLevelRow="1"/>
  <cols>
    <col min="1" max="1" width="9.7109375" style="3146" customWidth="1"/>
    <col min="2" max="2" width="64" style="4299" customWidth="1"/>
    <col min="3" max="3" width="10.7109375" style="3557" customWidth="1"/>
    <col min="4" max="4" width="9" style="4225" customWidth="1"/>
    <col min="5" max="5" width="13" style="3557" customWidth="1"/>
    <col min="6" max="6" width="15.28515625" style="3557" customWidth="1"/>
    <col min="7" max="16384" width="11.42578125" style="3557"/>
  </cols>
  <sheetData>
    <row r="1" spans="1:6" s="4238" customFormat="1">
      <c r="A1" s="4428"/>
      <c r="B1" s="1904"/>
      <c r="C1" s="4236"/>
      <c r="D1" s="4237"/>
      <c r="E1" s="4243"/>
      <c r="F1" s="4243"/>
    </row>
    <row r="2" spans="1:6" s="4238" customFormat="1" ht="15">
      <c r="A2" s="5175"/>
      <c r="B2" s="5175"/>
      <c r="C2" s="5175"/>
      <c r="D2" s="5175"/>
      <c r="E2" s="5175"/>
      <c r="F2" s="5175"/>
    </row>
    <row r="3" spans="1:6" s="4238" customFormat="1" ht="15">
      <c r="A3" s="5175"/>
      <c r="B3" s="5175"/>
      <c r="C3" s="5175"/>
      <c r="D3" s="5175"/>
      <c r="E3" s="5175"/>
      <c r="F3" s="5175"/>
    </row>
    <row r="4" spans="1:6" s="4238" customFormat="1" ht="15">
      <c r="A4" s="5175"/>
      <c r="B4" s="5175"/>
      <c r="C4" s="5175"/>
      <c r="D4" s="5175"/>
      <c r="E4" s="5175"/>
      <c r="F4" s="5175"/>
    </row>
    <row r="5" spans="1:6" s="4238" customFormat="1" ht="15">
      <c r="A5" s="5175"/>
      <c r="B5" s="5175"/>
      <c r="C5" s="5175"/>
      <c r="D5" s="5175"/>
      <c r="E5" s="5175"/>
      <c r="F5" s="5175"/>
    </row>
    <row r="6" spans="1:6" s="4238" customFormat="1">
      <c r="A6" s="4428"/>
      <c r="B6" s="4429"/>
      <c r="C6" s="4236"/>
      <c r="D6" s="4237"/>
      <c r="E6" s="4236"/>
      <c r="F6" s="4243"/>
    </row>
    <row r="7" spans="1:6" s="4242" customFormat="1" ht="15">
      <c r="A7" s="4446"/>
      <c r="B7" s="4433"/>
      <c r="C7" s="4434"/>
      <c r="D7" s="4447"/>
      <c r="E7" s="4435"/>
      <c r="F7" s="4241"/>
    </row>
    <row r="8" spans="1:6" s="4242" customFormat="1" ht="15">
      <c r="A8" s="4446" t="s">
        <v>2210</v>
      </c>
      <c r="B8" s="5176" t="s">
        <v>2969</v>
      </c>
      <c r="C8" s="5176"/>
      <c r="D8" s="5176"/>
      <c r="E8" s="5176"/>
      <c r="F8" s="4241"/>
    </row>
    <row r="9" spans="1:6" s="4242" customFormat="1" ht="15">
      <c r="A9" s="4446" t="s">
        <v>3972</v>
      </c>
      <c r="B9" s="4239"/>
      <c r="C9" s="4434"/>
      <c r="D9" s="4447" t="s">
        <v>3971</v>
      </c>
      <c r="E9" s="4435"/>
      <c r="F9" s="4241"/>
    </row>
    <row r="10" spans="1:6">
      <c r="A10" s="3145"/>
      <c r="B10" s="1904"/>
      <c r="C10" s="4236"/>
      <c r="D10" s="4237"/>
      <c r="E10" s="4243"/>
      <c r="F10" s="4243"/>
    </row>
    <row r="11" spans="1:6" s="4244" customFormat="1">
      <c r="A11" s="4384" t="s">
        <v>3796</v>
      </c>
      <c r="B11" s="4385" t="s">
        <v>3797</v>
      </c>
      <c r="C11" s="4386" t="s">
        <v>286</v>
      </c>
      <c r="D11" s="4386" t="s">
        <v>976</v>
      </c>
      <c r="E11" s="4386" t="s">
        <v>534</v>
      </c>
      <c r="F11" s="4387" t="s">
        <v>3798</v>
      </c>
    </row>
    <row r="12" spans="1:6">
      <c r="A12" s="4388"/>
      <c r="B12" s="1738"/>
      <c r="C12" s="4245"/>
      <c r="D12" s="4246"/>
      <c r="E12" s="4247"/>
      <c r="F12" s="4389"/>
    </row>
    <row r="13" spans="1:6" s="4227" customFormat="1" ht="30">
      <c r="A13" s="4280" t="s">
        <v>482</v>
      </c>
      <c r="B13" s="3435" t="s">
        <v>2317</v>
      </c>
      <c r="C13" s="4233"/>
      <c r="D13" s="4234"/>
      <c r="E13" s="4235"/>
      <c r="F13" s="4235"/>
    </row>
    <row r="14" spans="1:6" ht="14.25">
      <c r="A14" s="4390"/>
      <c r="B14" s="4232"/>
      <c r="C14" s="4233"/>
      <c r="D14" s="4234"/>
      <c r="E14" s="4235"/>
      <c r="F14" s="4235"/>
    </row>
    <row r="15" spans="1:6" ht="15">
      <c r="A15" s="4391">
        <v>1</v>
      </c>
      <c r="B15" s="4345" t="s">
        <v>2165</v>
      </c>
      <c r="C15" s="4248"/>
      <c r="D15" s="4234"/>
      <c r="E15" s="4235"/>
      <c r="F15" s="4235"/>
    </row>
    <row r="16" spans="1:6" ht="28.5">
      <c r="A16" s="4390">
        <v>1.01</v>
      </c>
      <c r="B16" s="4232" t="s">
        <v>3926</v>
      </c>
      <c r="C16" s="4248">
        <v>12</v>
      </c>
      <c r="D16" s="4234" t="s">
        <v>2524</v>
      </c>
      <c r="E16" s="4365"/>
      <c r="F16" s="1263">
        <f>IF(C16&gt;0,(ROUND((E16*C16),2))," ")</f>
        <v>0</v>
      </c>
    </row>
    <row r="17" spans="1:6" ht="14.25">
      <c r="A17" s="4390"/>
      <c r="B17" s="4232"/>
      <c r="C17" s="4248"/>
      <c r="D17" s="4234"/>
      <c r="E17" s="4365"/>
      <c r="F17" s="1263"/>
    </row>
    <row r="18" spans="1:6" ht="15">
      <c r="A18" s="4391">
        <v>2</v>
      </c>
      <c r="B18" s="4207" t="s">
        <v>1250</v>
      </c>
      <c r="C18" s="4248"/>
      <c r="D18" s="4234"/>
      <c r="E18" s="1263"/>
      <c r="F18" s="1263" t="str">
        <f t="shared" ref="F18:F81" si="0">IF(C18&gt;0,(ROUND((E18*C18),2))," ")</f>
        <v xml:space="preserve"> </v>
      </c>
    </row>
    <row r="19" spans="1:6" s="4238" customFormat="1" ht="15">
      <c r="A19" s="4392">
        <v>2.1</v>
      </c>
      <c r="B19" s="4345" t="s">
        <v>3799</v>
      </c>
      <c r="C19" s="4247"/>
      <c r="D19" s="4234"/>
      <c r="E19" s="4247"/>
      <c r="F19" s="1263" t="str">
        <f t="shared" si="0"/>
        <v xml:space="preserve"> </v>
      </c>
    </row>
    <row r="20" spans="1:6" s="4223" customFormat="1" ht="14.25">
      <c r="A20" s="4390" t="s">
        <v>1182</v>
      </c>
      <c r="B20" s="4346" t="s">
        <v>3886</v>
      </c>
      <c r="C20" s="4248">
        <v>4880.78</v>
      </c>
      <c r="D20" s="4313" t="s">
        <v>3157</v>
      </c>
      <c r="E20" s="4210"/>
      <c r="F20" s="4210">
        <f t="shared" si="0"/>
        <v>0</v>
      </c>
    </row>
    <row r="21" spans="1:6" s="4223" customFormat="1" ht="28.5">
      <c r="A21" s="4393" t="s">
        <v>1183</v>
      </c>
      <c r="B21" s="3563" t="s">
        <v>2970</v>
      </c>
      <c r="C21" s="4248">
        <v>6100.98</v>
      </c>
      <c r="D21" s="4218" t="s">
        <v>2525</v>
      </c>
      <c r="E21" s="4210"/>
      <c r="F21" s="4210">
        <f t="shared" si="0"/>
        <v>0</v>
      </c>
    </row>
    <row r="22" spans="1:6" ht="15">
      <c r="A22" s="4390"/>
      <c r="B22" s="4252"/>
      <c r="C22" s="4248"/>
      <c r="D22" s="4234"/>
      <c r="E22" s="4247"/>
      <c r="F22" s="1263" t="str">
        <f t="shared" si="0"/>
        <v xml:space="preserve"> </v>
      </c>
    </row>
    <row r="23" spans="1:6" s="4254" customFormat="1" ht="15">
      <c r="A23" s="4391">
        <v>3</v>
      </c>
      <c r="B23" s="4345" t="s">
        <v>38</v>
      </c>
      <c r="C23" s="4362"/>
      <c r="D23" s="4253"/>
      <c r="E23" s="4366"/>
      <c r="F23" s="1263" t="str">
        <f t="shared" si="0"/>
        <v xml:space="preserve"> </v>
      </c>
    </row>
    <row r="24" spans="1:6" ht="14.25">
      <c r="A24" s="4394">
        <v>3.1</v>
      </c>
      <c r="B24" s="4250" t="s">
        <v>3586</v>
      </c>
      <c r="C24" s="4248">
        <v>638.87</v>
      </c>
      <c r="D24" s="4251" t="s">
        <v>3157</v>
      </c>
      <c r="E24" s="4367"/>
      <c r="F24" s="1263">
        <f t="shared" si="0"/>
        <v>0</v>
      </c>
    </row>
    <row r="25" spans="1:6" ht="14.25">
      <c r="A25" s="4394">
        <v>3.2</v>
      </c>
      <c r="B25" s="4250" t="s">
        <v>2971</v>
      </c>
      <c r="C25" s="4248">
        <v>70.61</v>
      </c>
      <c r="D25" s="4251" t="s">
        <v>2431</v>
      </c>
      <c r="E25" s="4367"/>
      <c r="F25" s="1263">
        <f t="shared" si="0"/>
        <v>0</v>
      </c>
    </row>
    <row r="26" spans="1:6" ht="28.5">
      <c r="A26" s="4394">
        <v>3.3</v>
      </c>
      <c r="B26" s="4232" t="s">
        <v>2342</v>
      </c>
      <c r="C26" s="4248">
        <v>852.39</v>
      </c>
      <c r="D26" s="4234" t="s">
        <v>2525</v>
      </c>
      <c r="E26" s="4365"/>
      <c r="F26" s="1263">
        <f t="shared" si="0"/>
        <v>0</v>
      </c>
    </row>
    <row r="27" spans="1:6" ht="15">
      <c r="A27" s="4395"/>
      <c r="B27" s="3435"/>
      <c r="C27" s="4248"/>
      <c r="D27" s="4255"/>
      <c r="E27" s="1263"/>
      <c r="F27" s="1263" t="str">
        <f t="shared" si="0"/>
        <v xml:space="preserve"> </v>
      </c>
    </row>
    <row r="28" spans="1:6" s="4256" customFormat="1" ht="15">
      <c r="A28" s="4391">
        <v>4</v>
      </c>
      <c r="B28" s="4345" t="s">
        <v>2973</v>
      </c>
      <c r="C28" s="4362"/>
      <c r="D28" s="4253"/>
      <c r="E28" s="4366"/>
      <c r="F28" s="1263" t="str">
        <f t="shared" si="0"/>
        <v xml:space="preserve"> </v>
      </c>
    </row>
    <row r="29" spans="1:6" s="4256" customFormat="1" ht="15">
      <c r="A29" s="3538">
        <v>4.0999999999999996</v>
      </c>
      <c r="B29" s="4345" t="s">
        <v>3826</v>
      </c>
      <c r="C29" s="4362"/>
      <c r="D29" s="4253"/>
      <c r="E29" s="4366"/>
      <c r="F29" s="1263" t="str">
        <f t="shared" si="0"/>
        <v xml:space="preserve"> </v>
      </c>
    </row>
    <row r="30" spans="1:6" s="4166" customFormat="1" ht="14.25">
      <c r="A30" s="4390" t="s">
        <v>592</v>
      </c>
      <c r="B30" s="4257" t="s">
        <v>2974</v>
      </c>
      <c r="C30" s="4248">
        <v>0.65</v>
      </c>
      <c r="D30" s="4255" t="s">
        <v>2430</v>
      </c>
      <c r="E30" s="1263"/>
      <c r="F30" s="1263">
        <f t="shared" si="0"/>
        <v>0</v>
      </c>
    </row>
    <row r="31" spans="1:6" s="4166" customFormat="1" ht="14.25">
      <c r="A31" s="4390" t="s">
        <v>594</v>
      </c>
      <c r="B31" s="4257" t="s">
        <v>2975</v>
      </c>
      <c r="C31" s="4248">
        <v>0.28999999999999998</v>
      </c>
      <c r="D31" s="4255" t="s">
        <v>2430</v>
      </c>
      <c r="E31" s="1263"/>
      <c r="F31" s="1263">
        <f t="shared" si="0"/>
        <v>0</v>
      </c>
    </row>
    <row r="32" spans="1:6" s="4166" customFormat="1" ht="15">
      <c r="A32" s="4395"/>
      <c r="B32" s="3435"/>
      <c r="C32" s="4248"/>
      <c r="D32" s="4255"/>
      <c r="E32" s="1263"/>
      <c r="F32" s="1263" t="str">
        <f t="shared" si="0"/>
        <v xml:space="preserve"> </v>
      </c>
    </row>
    <row r="33" spans="1:6" s="4166" customFormat="1" ht="15">
      <c r="A33" s="3538">
        <v>4.2</v>
      </c>
      <c r="B33" s="4345" t="s">
        <v>2976</v>
      </c>
      <c r="C33" s="4248"/>
      <c r="D33" s="4255"/>
      <c r="E33" s="1263"/>
      <c r="F33" s="1263" t="str">
        <f t="shared" si="0"/>
        <v xml:space="preserve"> </v>
      </c>
    </row>
    <row r="34" spans="1:6" s="4166" customFormat="1" ht="14.25">
      <c r="A34" s="3539" t="s">
        <v>601</v>
      </c>
      <c r="B34" s="3540" t="s">
        <v>2977</v>
      </c>
      <c r="C34" s="4248">
        <v>5.72</v>
      </c>
      <c r="D34" s="4234" t="s">
        <v>2432</v>
      </c>
      <c r="E34" s="1263"/>
      <c r="F34" s="1263">
        <f>IF(C34&gt;0,(ROUND((E34*C34),2))," ")</f>
        <v>0</v>
      </c>
    </row>
    <row r="35" spans="1:6" s="4166" customFormat="1" ht="15">
      <c r="A35" s="4395"/>
      <c r="B35" s="3435"/>
      <c r="C35" s="4248"/>
      <c r="D35" s="4255"/>
      <c r="E35" s="1263"/>
      <c r="F35" s="1263" t="str">
        <f t="shared" si="0"/>
        <v xml:space="preserve"> </v>
      </c>
    </row>
    <row r="36" spans="1:6" s="4166" customFormat="1" ht="15">
      <c r="A36" s="3538">
        <v>4.3</v>
      </c>
      <c r="B36" s="4345" t="s">
        <v>3720</v>
      </c>
      <c r="C36" s="4248"/>
      <c r="D36" s="4255"/>
      <c r="E36" s="1263"/>
      <c r="F36" s="1263" t="str">
        <f t="shared" si="0"/>
        <v xml:space="preserve"> </v>
      </c>
    </row>
    <row r="37" spans="1:6" s="4166" customFormat="1" ht="14.25">
      <c r="A37" s="3539" t="s">
        <v>3800</v>
      </c>
      <c r="B37" s="4257" t="s">
        <v>2435</v>
      </c>
      <c r="C37" s="4248">
        <v>1.2</v>
      </c>
      <c r="D37" s="4234" t="s">
        <v>2432</v>
      </c>
      <c r="E37" s="1263"/>
      <c r="F37" s="1263">
        <f t="shared" si="0"/>
        <v>0</v>
      </c>
    </row>
    <row r="38" spans="1:6" s="4166" customFormat="1" ht="14.25">
      <c r="A38" s="3539" t="s">
        <v>3801</v>
      </c>
      <c r="B38" s="4257" t="s">
        <v>2344</v>
      </c>
      <c r="C38" s="4248">
        <v>4.4000000000000004</v>
      </c>
      <c r="D38" s="4234" t="s">
        <v>2432</v>
      </c>
      <c r="E38" s="1263"/>
      <c r="F38" s="1263">
        <f t="shared" si="0"/>
        <v>0</v>
      </c>
    </row>
    <row r="39" spans="1:6" s="4166" customFormat="1" ht="14.25">
      <c r="A39" s="3539" t="s">
        <v>3802</v>
      </c>
      <c r="B39" s="4257" t="s">
        <v>2345</v>
      </c>
      <c r="C39" s="4248">
        <v>5.04</v>
      </c>
      <c r="D39" s="4234" t="s">
        <v>2432</v>
      </c>
      <c r="E39" s="1263"/>
      <c r="F39" s="1263">
        <f t="shared" si="0"/>
        <v>0</v>
      </c>
    </row>
    <row r="40" spans="1:6" s="4166" customFormat="1" ht="14.25">
      <c r="A40" s="3539" t="s">
        <v>3803</v>
      </c>
      <c r="B40" s="4257" t="s">
        <v>1548</v>
      </c>
      <c r="C40" s="4248">
        <v>14</v>
      </c>
      <c r="D40" s="4234" t="s">
        <v>1</v>
      </c>
      <c r="E40" s="1263"/>
      <c r="F40" s="1263">
        <f t="shared" si="0"/>
        <v>0</v>
      </c>
    </row>
    <row r="41" spans="1:6" ht="15">
      <c r="A41" s="4395"/>
      <c r="B41" s="3435"/>
      <c r="C41" s="4248"/>
      <c r="D41" s="4255"/>
      <c r="E41" s="1263"/>
      <c r="F41" s="1263" t="str">
        <f t="shared" si="0"/>
        <v xml:space="preserve"> </v>
      </c>
    </row>
    <row r="42" spans="1:6" s="4256" customFormat="1" ht="15">
      <c r="A42" s="4391">
        <v>5</v>
      </c>
      <c r="B42" s="4345" t="s">
        <v>2978</v>
      </c>
      <c r="C42" s="4362"/>
      <c r="D42" s="4253"/>
      <c r="E42" s="4366"/>
      <c r="F42" s="1263" t="str">
        <f t="shared" si="0"/>
        <v xml:space="preserve"> </v>
      </c>
    </row>
    <row r="43" spans="1:6" s="4256" customFormat="1" ht="15">
      <c r="A43" s="3538">
        <v>5.0999999999999996</v>
      </c>
      <c r="B43" s="4345" t="s">
        <v>3826</v>
      </c>
      <c r="C43" s="4362"/>
      <c r="D43" s="4253"/>
      <c r="E43" s="4366"/>
      <c r="F43" s="1263" t="str">
        <f t="shared" si="0"/>
        <v xml:space="preserve"> </v>
      </c>
    </row>
    <row r="44" spans="1:6" s="4166" customFormat="1" ht="14.25">
      <c r="A44" s="4390" t="s">
        <v>608</v>
      </c>
      <c r="B44" s="4257" t="s">
        <v>2974</v>
      </c>
      <c r="C44" s="4248">
        <v>0.67</v>
      </c>
      <c r="D44" s="4255" t="s">
        <v>2430</v>
      </c>
      <c r="E44" s="1263"/>
      <c r="F44" s="1263">
        <f t="shared" si="0"/>
        <v>0</v>
      </c>
    </row>
    <row r="45" spans="1:6" s="4166" customFormat="1" ht="14.25">
      <c r="A45" s="4390" t="s">
        <v>610</v>
      </c>
      <c r="B45" s="4257" t="s">
        <v>2975</v>
      </c>
      <c r="C45" s="4248">
        <v>0.37</v>
      </c>
      <c r="D45" s="4255" t="s">
        <v>2430</v>
      </c>
      <c r="E45" s="1263"/>
      <c r="F45" s="1263">
        <f t="shared" si="0"/>
        <v>0</v>
      </c>
    </row>
    <row r="46" spans="1:6" s="4166" customFormat="1" ht="15">
      <c r="A46" s="4395"/>
      <c r="B46" s="3435"/>
      <c r="C46" s="4248"/>
      <c r="D46" s="4255"/>
      <c r="E46" s="1263"/>
      <c r="F46" s="1263" t="str">
        <f t="shared" si="0"/>
        <v xml:space="preserve"> </v>
      </c>
    </row>
    <row r="47" spans="1:6" s="4166" customFormat="1" ht="15">
      <c r="A47" s="3538">
        <v>5.2</v>
      </c>
      <c r="B47" s="4345" t="s">
        <v>2976</v>
      </c>
      <c r="C47" s="4248"/>
      <c r="D47" s="4255"/>
      <c r="E47" s="1263"/>
      <c r="F47" s="1263" t="str">
        <f t="shared" si="0"/>
        <v xml:space="preserve"> </v>
      </c>
    </row>
    <row r="48" spans="1:6" s="4166" customFormat="1" ht="14.25">
      <c r="A48" s="3539" t="s">
        <v>614</v>
      </c>
      <c r="B48" s="4257" t="s">
        <v>2977</v>
      </c>
      <c r="C48" s="4248">
        <v>4.8</v>
      </c>
      <c r="D48" s="4234" t="s">
        <v>2432</v>
      </c>
      <c r="E48" s="1263"/>
      <c r="F48" s="1263">
        <f>IF(C48&gt;0,(ROUND((E48*C48),2))," ")</f>
        <v>0</v>
      </c>
    </row>
    <row r="49" spans="1:6" s="4166" customFormat="1" ht="15">
      <c r="A49" s="4395"/>
      <c r="B49" s="3435"/>
      <c r="C49" s="4248"/>
      <c r="D49" s="4255"/>
      <c r="E49" s="1263"/>
      <c r="F49" s="1263" t="str">
        <f t="shared" si="0"/>
        <v xml:space="preserve"> </v>
      </c>
    </row>
    <row r="50" spans="1:6" s="4166" customFormat="1" ht="15">
      <c r="A50" s="3538">
        <v>5.3</v>
      </c>
      <c r="B50" s="4345" t="s">
        <v>3720</v>
      </c>
      <c r="C50" s="4248"/>
      <c r="D50" s="4255"/>
      <c r="E50" s="1263"/>
      <c r="F50" s="1263" t="str">
        <f t="shared" si="0"/>
        <v xml:space="preserve"> </v>
      </c>
    </row>
    <row r="51" spans="1:6" s="4166" customFormat="1" ht="14.25">
      <c r="A51" s="3539" t="s">
        <v>3804</v>
      </c>
      <c r="B51" s="4257" t="s">
        <v>2435</v>
      </c>
      <c r="C51" s="4248">
        <v>1.6</v>
      </c>
      <c r="D51" s="4234" t="s">
        <v>2432</v>
      </c>
      <c r="E51" s="1263"/>
      <c r="F51" s="1263">
        <f t="shared" si="0"/>
        <v>0</v>
      </c>
    </row>
    <row r="52" spans="1:6" s="4166" customFormat="1" ht="14.25">
      <c r="A52" s="3539" t="s">
        <v>3805</v>
      </c>
      <c r="B52" s="4257" t="s">
        <v>2344</v>
      </c>
      <c r="C52" s="4248">
        <v>5.2</v>
      </c>
      <c r="D52" s="4234" t="s">
        <v>2432</v>
      </c>
      <c r="E52" s="1263"/>
      <c r="F52" s="1263">
        <f t="shared" si="0"/>
        <v>0</v>
      </c>
    </row>
    <row r="53" spans="1:6" s="4166" customFormat="1" ht="14.25">
      <c r="A53" s="3539" t="s">
        <v>3806</v>
      </c>
      <c r="B53" s="4257" t="s">
        <v>2345</v>
      </c>
      <c r="C53" s="4248">
        <v>6.4</v>
      </c>
      <c r="D53" s="4234" t="s">
        <v>2432</v>
      </c>
      <c r="E53" s="1263"/>
      <c r="F53" s="1263">
        <f t="shared" si="0"/>
        <v>0</v>
      </c>
    </row>
    <row r="54" spans="1:6" s="4166" customFormat="1" ht="14.25">
      <c r="A54" s="3539" t="s">
        <v>3807</v>
      </c>
      <c r="B54" s="4257" t="s">
        <v>1548</v>
      </c>
      <c r="C54" s="4248">
        <v>15.6</v>
      </c>
      <c r="D54" s="4234" t="s">
        <v>2432</v>
      </c>
      <c r="E54" s="1263"/>
      <c r="F54" s="1263">
        <f t="shared" si="0"/>
        <v>0</v>
      </c>
    </row>
    <row r="55" spans="1:6" ht="15">
      <c r="A55" s="4469"/>
      <c r="B55" s="4470"/>
      <c r="C55" s="4453"/>
      <c r="D55" s="4471"/>
      <c r="E55" s="4455"/>
      <c r="F55" s="4455" t="str">
        <f t="shared" si="0"/>
        <v xml:space="preserve"> </v>
      </c>
    </row>
    <row r="56" spans="1:6" ht="15">
      <c r="A56" s="3538">
        <v>6</v>
      </c>
      <c r="B56" s="4345" t="s">
        <v>3827</v>
      </c>
      <c r="C56" s="4247"/>
      <c r="D56" s="4234"/>
      <c r="E56" s="1263"/>
      <c r="F56" s="1263" t="str">
        <f t="shared" si="0"/>
        <v xml:space="preserve"> </v>
      </c>
    </row>
    <row r="57" spans="1:6" ht="14.25">
      <c r="A57" s="4394">
        <v>6.1</v>
      </c>
      <c r="B57" s="4232" t="s">
        <v>3486</v>
      </c>
      <c r="C57" s="4248">
        <v>0.33</v>
      </c>
      <c r="D57" s="4234" t="s">
        <v>2430</v>
      </c>
      <c r="E57" s="1263"/>
      <c r="F57" s="1263">
        <f t="shared" si="0"/>
        <v>0</v>
      </c>
    </row>
    <row r="58" spans="1:6" ht="14.25">
      <c r="A58" s="4394">
        <v>6.2</v>
      </c>
      <c r="B58" s="4232" t="s">
        <v>3808</v>
      </c>
      <c r="C58" s="4248">
        <v>2.93</v>
      </c>
      <c r="D58" s="4234" t="s">
        <v>2430</v>
      </c>
      <c r="E58" s="1263"/>
      <c r="F58" s="1263">
        <f t="shared" si="0"/>
        <v>0</v>
      </c>
    </row>
    <row r="59" spans="1:6" ht="14.25">
      <c r="A59" s="4394">
        <v>6.3</v>
      </c>
      <c r="B59" s="4232" t="s">
        <v>3809</v>
      </c>
      <c r="C59" s="4248">
        <v>3.69</v>
      </c>
      <c r="D59" s="4234" t="s">
        <v>2430</v>
      </c>
      <c r="E59" s="1263"/>
      <c r="F59" s="1263">
        <f t="shared" si="0"/>
        <v>0</v>
      </c>
    </row>
    <row r="60" spans="1:6" ht="14.25">
      <c r="A60" s="4394">
        <v>6.4</v>
      </c>
      <c r="B60" s="4232" t="s">
        <v>2339</v>
      </c>
      <c r="C60" s="4248">
        <v>226.2</v>
      </c>
      <c r="D60" s="4234" t="s">
        <v>2430</v>
      </c>
      <c r="E60" s="1263"/>
      <c r="F60" s="1263">
        <f t="shared" si="0"/>
        <v>0</v>
      </c>
    </row>
    <row r="61" spans="1:6" ht="14.25">
      <c r="A61" s="4394">
        <v>6.5</v>
      </c>
      <c r="B61" s="4232" t="s">
        <v>3810</v>
      </c>
      <c r="C61" s="4248">
        <v>1.79</v>
      </c>
      <c r="D61" s="4234" t="s">
        <v>2430</v>
      </c>
      <c r="E61" s="1263"/>
      <c r="F61" s="1263">
        <f t="shared" si="0"/>
        <v>0</v>
      </c>
    </row>
    <row r="62" spans="1:6" ht="14.25">
      <c r="A62" s="4394">
        <v>6.6</v>
      </c>
      <c r="B62" s="4232" t="s">
        <v>2340</v>
      </c>
      <c r="C62" s="4248">
        <v>15.46</v>
      </c>
      <c r="D62" s="4234" t="s">
        <v>2430</v>
      </c>
      <c r="E62" s="1263"/>
      <c r="F62" s="1263">
        <f t="shared" si="0"/>
        <v>0</v>
      </c>
    </row>
    <row r="63" spans="1:6" ht="14.25">
      <c r="A63" s="4394">
        <v>6.7</v>
      </c>
      <c r="B63" s="4232" t="s">
        <v>3811</v>
      </c>
      <c r="C63" s="4248">
        <v>4.9000000000000004</v>
      </c>
      <c r="D63" s="4234" t="s">
        <v>2430</v>
      </c>
      <c r="E63" s="1263"/>
      <c r="F63" s="1263">
        <f t="shared" si="0"/>
        <v>0</v>
      </c>
    </row>
    <row r="64" spans="1:6" ht="14.25">
      <c r="A64" s="4394">
        <v>6.8</v>
      </c>
      <c r="B64" s="4232" t="s">
        <v>3812</v>
      </c>
      <c r="C64" s="4248">
        <v>7.32</v>
      </c>
      <c r="D64" s="4234" t="s">
        <v>2430</v>
      </c>
      <c r="E64" s="1263"/>
      <c r="F64" s="1263">
        <f t="shared" si="0"/>
        <v>0</v>
      </c>
    </row>
    <row r="65" spans="1:6" ht="14.25">
      <c r="A65" s="4394">
        <v>6.9</v>
      </c>
      <c r="B65" s="4232" t="s">
        <v>3813</v>
      </c>
      <c r="C65" s="4248">
        <v>7.4</v>
      </c>
      <c r="D65" s="4234" t="s">
        <v>2430</v>
      </c>
      <c r="E65" s="1263"/>
      <c r="F65" s="1263">
        <f t="shared" si="0"/>
        <v>0</v>
      </c>
    </row>
    <row r="66" spans="1:6" ht="14.25">
      <c r="A66" s="4390">
        <v>6.1</v>
      </c>
      <c r="B66" s="4232" t="s">
        <v>3814</v>
      </c>
      <c r="C66" s="4248">
        <v>2.93</v>
      </c>
      <c r="D66" s="4234" t="s">
        <v>2430</v>
      </c>
      <c r="E66" s="1263"/>
      <c r="F66" s="1263">
        <f t="shared" si="0"/>
        <v>0</v>
      </c>
    </row>
    <row r="67" spans="1:6" ht="14.25">
      <c r="A67" s="4390">
        <v>6.11</v>
      </c>
      <c r="B67" s="4232" t="s">
        <v>2341</v>
      </c>
      <c r="C67" s="4248">
        <v>10.78</v>
      </c>
      <c r="D67" s="4234" t="s">
        <v>2430</v>
      </c>
      <c r="E67" s="1263"/>
      <c r="F67" s="1263">
        <f t="shared" si="0"/>
        <v>0</v>
      </c>
    </row>
    <row r="68" spans="1:6" ht="14.25">
      <c r="A68" s="4390">
        <v>6.12</v>
      </c>
      <c r="B68" s="4232" t="s">
        <v>3487</v>
      </c>
      <c r="C68" s="4248">
        <v>2.92</v>
      </c>
      <c r="D68" s="4234" t="s">
        <v>2430</v>
      </c>
      <c r="E68" s="1263"/>
      <c r="F68" s="1263">
        <f t="shared" si="0"/>
        <v>0</v>
      </c>
    </row>
    <row r="69" spans="1:6" ht="14.25">
      <c r="A69" s="4390">
        <v>6.13</v>
      </c>
      <c r="B69" s="4232" t="s">
        <v>3815</v>
      </c>
      <c r="C69" s="4248">
        <v>0.04</v>
      </c>
      <c r="D69" s="4234" t="s">
        <v>2430</v>
      </c>
      <c r="E69" s="1263"/>
      <c r="F69" s="1263">
        <f t="shared" si="0"/>
        <v>0</v>
      </c>
    </row>
    <row r="70" spans="1:6" ht="14.25">
      <c r="A70" s="4390">
        <v>6.14</v>
      </c>
      <c r="B70" s="4232" t="s">
        <v>3816</v>
      </c>
      <c r="C70" s="4248">
        <v>87.63</v>
      </c>
      <c r="D70" s="4234" t="s">
        <v>2430</v>
      </c>
      <c r="E70" s="1263"/>
      <c r="F70" s="1263">
        <f t="shared" si="0"/>
        <v>0</v>
      </c>
    </row>
    <row r="71" spans="1:6" ht="14.25">
      <c r="A71" s="4390">
        <v>6.15</v>
      </c>
      <c r="B71" s="4232" t="s">
        <v>3817</v>
      </c>
      <c r="C71" s="4248">
        <v>5.59</v>
      </c>
      <c r="D71" s="4234" t="s">
        <v>2430</v>
      </c>
      <c r="E71" s="1263"/>
      <c r="F71" s="1263">
        <f t="shared" si="0"/>
        <v>0</v>
      </c>
    </row>
    <row r="72" spans="1:6" ht="14.25">
      <c r="A72" s="4390">
        <v>6.16</v>
      </c>
      <c r="B72" s="4232" t="s">
        <v>3818</v>
      </c>
      <c r="C72" s="4248">
        <v>1.1299999999999999</v>
      </c>
      <c r="D72" s="4234" t="s">
        <v>2430</v>
      </c>
      <c r="E72" s="1263"/>
      <c r="F72" s="1263">
        <f t="shared" si="0"/>
        <v>0</v>
      </c>
    </row>
    <row r="73" spans="1:6" ht="14.25">
      <c r="A73" s="4390">
        <v>6.17</v>
      </c>
      <c r="B73" s="4232" t="s">
        <v>3819</v>
      </c>
      <c r="C73" s="4248">
        <v>0.86</v>
      </c>
      <c r="D73" s="4234" t="s">
        <v>2430</v>
      </c>
      <c r="E73" s="1263"/>
      <c r="F73" s="1263">
        <f t="shared" si="0"/>
        <v>0</v>
      </c>
    </row>
    <row r="74" spans="1:6" ht="14.25">
      <c r="A74" s="4390">
        <v>6.18</v>
      </c>
      <c r="B74" s="4232" t="s">
        <v>3820</v>
      </c>
      <c r="C74" s="4248">
        <v>6.6</v>
      </c>
      <c r="D74" s="4234" t="s">
        <v>2430</v>
      </c>
      <c r="E74" s="1263"/>
      <c r="F74" s="1263">
        <f t="shared" si="0"/>
        <v>0</v>
      </c>
    </row>
    <row r="75" spans="1:6" ht="14.25">
      <c r="A75" s="4390">
        <v>6.19</v>
      </c>
      <c r="B75" s="4232" t="s">
        <v>3821</v>
      </c>
      <c r="C75" s="4248">
        <v>0.75</v>
      </c>
      <c r="D75" s="4234" t="s">
        <v>2430</v>
      </c>
      <c r="E75" s="1263"/>
      <c r="F75" s="1263">
        <f t="shared" si="0"/>
        <v>0</v>
      </c>
    </row>
    <row r="76" spans="1:6" ht="14.25">
      <c r="A76" s="4390">
        <v>6.2</v>
      </c>
      <c r="B76" s="4232" t="s">
        <v>3822</v>
      </c>
      <c r="C76" s="4248">
        <v>0.54</v>
      </c>
      <c r="D76" s="4234" t="s">
        <v>2430</v>
      </c>
      <c r="E76" s="1263"/>
      <c r="F76" s="1263">
        <f t="shared" si="0"/>
        <v>0</v>
      </c>
    </row>
    <row r="77" spans="1:6" ht="14.25">
      <c r="A77" s="4390">
        <v>6.21</v>
      </c>
      <c r="B77" s="4232" t="s">
        <v>3823</v>
      </c>
      <c r="C77" s="4248">
        <v>0.66</v>
      </c>
      <c r="D77" s="4234" t="s">
        <v>2430</v>
      </c>
      <c r="E77" s="1263"/>
      <c r="F77" s="1263">
        <f t="shared" si="0"/>
        <v>0</v>
      </c>
    </row>
    <row r="78" spans="1:6" ht="14.25">
      <c r="A78" s="4390">
        <v>6.22</v>
      </c>
      <c r="B78" s="4232" t="s">
        <v>3824</v>
      </c>
      <c r="C78" s="4248">
        <v>7.16</v>
      </c>
      <c r="D78" s="4234" t="s">
        <v>2430</v>
      </c>
      <c r="E78" s="1263"/>
      <c r="F78" s="1263">
        <f t="shared" si="0"/>
        <v>0</v>
      </c>
    </row>
    <row r="79" spans="1:6" ht="14.25">
      <c r="A79" s="4390">
        <v>6.23</v>
      </c>
      <c r="B79" s="4232" t="s">
        <v>3825</v>
      </c>
      <c r="C79" s="4247">
        <v>0.56999999999999995</v>
      </c>
      <c r="D79" s="4234" t="s">
        <v>2430</v>
      </c>
      <c r="E79" s="4368"/>
      <c r="F79" s="1263">
        <f t="shared" si="0"/>
        <v>0</v>
      </c>
    </row>
    <row r="80" spans="1:6" ht="14.25">
      <c r="A80" s="4390"/>
      <c r="B80" s="4232"/>
      <c r="C80" s="4248"/>
      <c r="D80" s="4234"/>
      <c r="E80" s="4247"/>
      <c r="F80" s="1263" t="str">
        <f t="shared" si="0"/>
        <v xml:space="preserve"> </v>
      </c>
    </row>
    <row r="81" spans="1:6" ht="15">
      <c r="A81" s="4391">
        <v>7</v>
      </c>
      <c r="B81" s="4345" t="s">
        <v>3552</v>
      </c>
      <c r="C81" s="4248"/>
      <c r="D81" s="4234"/>
      <c r="E81" s="1263"/>
      <c r="F81" s="1263" t="str">
        <f t="shared" si="0"/>
        <v xml:space="preserve"> </v>
      </c>
    </row>
    <row r="82" spans="1:6" ht="14.25">
      <c r="A82" s="4394">
        <v>7.1</v>
      </c>
      <c r="B82" s="4232" t="s">
        <v>2568</v>
      </c>
      <c r="C82" s="4248">
        <v>1098.31</v>
      </c>
      <c r="D82" s="4234" t="s">
        <v>2432</v>
      </c>
      <c r="E82" s="1263"/>
      <c r="F82" s="1263">
        <f t="shared" ref="F82:F145" si="1">IF(C82&gt;0,(ROUND((E82*C82),2))," ")</f>
        <v>0</v>
      </c>
    </row>
    <row r="83" spans="1:6" ht="14.25">
      <c r="A83" s="4394">
        <v>7.2</v>
      </c>
      <c r="B83" s="4232" t="s">
        <v>2557</v>
      </c>
      <c r="C83" s="4248">
        <v>340.74</v>
      </c>
      <c r="D83" s="4234" t="s">
        <v>2432</v>
      </c>
      <c r="E83" s="1263"/>
      <c r="F83" s="1263">
        <f t="shared" si="1"/>
        <v>0</v>
      </c>
    </row>
    <row r="84" spans="1:6" ht="14.25">
      <c r="A84" s="4394">
        <v>7.3</v>
      </c>
      <c r="B84" s="4232" t="s">
        <v>2343</v>
      </c>
      <c r="C84" s="4248">
        <v>51.58</v>
      </c>
      <c r="D84" s="4234" t="s">
        <v>2432</v>
      </c>
      <c r="E84" s="1263"/>
      <c r="F84" s="1263">
        <f t="shared" si="1"/>
        <v>0</v>
      </c>
    </row>
    <row r="85" spans="1:6" ht="14.25">
      <c r="A85" s="4394">
        <v>7.4</v>
      </c>
      <c r="B85" s="4232" t="s">
        <v>2344</v>
      </c>
      <c r="C85" s="4248">
        <v>609</v>
      </c>
      <c r="D85" s="4234" t="s">
        <v>2432</v>
      </c>
      <c r="E85" s="1263"/>
      <c r="F85" s="1263">
        <f t="shared" si="1"/>
        <v>0</v>
      </c>
    </row>
    <row r="86" spans="1:6" ht="14.25">
      <c r="A86" s="4394">
        <v>7.5</v>
      </c>
      <c r="B86" s="4232" t="s">
        <v>2345</v>
      </c>
      <c r="C86" s="4248">
        <v>489.31</v>
      </c>
      <c r="D86" s="4234" t="s">
        <v>2432</v>
      </c>
      <c r="E86" s="1263"/>
      <c r="F86" s="1263">
        <f t="shared" si="1"/>
        <v>0</v>
      </c>
    </row>
    <row r="87" spans="1:6" ht="14.25">
      <c r="A87" s="4394">
        <v>7.6</v>
      </c>
      <c r="B87" s="4232" t="s">
        <v>1548</v>
      </c>
      <c r="C87" s="4248">
        <v>344.67</v>
      </c>
      <c r="D87" s="4234" t="s">
        <v>1</v>
      </c>
      <c r="E87" s="1263"/>
      <c r="F87" s="1263">
        <f t="shared" si="1"/>
        <v>0</v>
      </c>
    </row>
    <row r="88" spans="1:6" s="4268" customFormat="1" ht="28.5">
      <c r="A88" s="4394">
        <v>7.7</v>
      </c>
      <c r="B88" s="4104" t="s">
        <v>3167</v>
      </c>
      <c r="C88" s="4248">
        <v>163.38</v>
      </c>
      <c r="D88" s="4218" t="s">
        <v>1</v>
      </c>
      <c r="E88" s="4210"/>
      <c r="F88" s="4210">
        <f>IF(C88&gt;0,(ROUND((E88*C88),2))," ")</f>
        <v>0</v>
      </c>
    </row>
    <row r="89" spans="1:6" ht="14.25">
      <c r="A89" s="4390"/>
      <c r="B89" s="4232"/>
      <c r="C89" s="4248"/>
      <c r="D89" s="4234"/>
      <c r="E89" s="1263"/>
      <c r="F89" s="1263" t="str">
        <f t="shared" si="1"/>
        <v xml:space="preserve"> </v>
      </c>
    </row>
    <row r="90" spans="1:6" ht="15">
      <c r="A90" s="4391">
        <v>8</v>
      </c>
      <c r="B90" s="4345" t="s">
        <v>3828</v>
      </c>
      <c r="C90" s="4248"/>
      <c r="D90" s="4234"/>
      <c r="E90" s="1263"/>
      <c r="F90" s="1263" t="str">
        <f t="shared" si="1"/>
        <v xml:space="preserve"> </v>
      </c>
    </row>
    <row r="91" spans="1:6" ht="15">
      <c r="A91" s="4392">
        <v>8.1</v>
      </c>
      <c r="B91" s="4345" t="s">
        <v>3829</v>
      </c>
      <c r="C91" s="4248"/>
      <c r="D91" s="4234"/>
      <c r="E91" s="1263"/>
      <c r="F91" s="1263" t="str">
        <f t="shared" si="1"/>
        <v xml:space="preserve"> </v>
      </c>
    </row>
    <row r="92" spans="1:6" ht="14.25">
      <c r="A92" s="4390" t="s">
        <v>493</v>
      </c>
      <c r="B92" s="4232" t="s">
        <v>2353</v>
      </c>
      <c r="C92" s="4248">
        <v>35.39</v>
      </c>
      <c r="D92" s="4234" t="s">
        <v>1</v>
      </c>
      <c r="E92" s="1263"/>
      <c r="F92" s="1263">
        <f t="shared" si="1"/>
        <v>0</v>
      </c>
    </row>
    <row r="93" spans="1:6" ht="14.25">
      <c r="A93" s="4390" t="s">
        <v>494</v>
      </c>
      <c r="B93" s="4232" t="s">
        <v>2982</v>
      </c>
      <c r="C93" s="4248">
        <v>39.28</v>
      </c>
      <c r="D93" s="4234" t="s">
        <v>1</v>
      </c>
      <c r="E93" s="1263"/>
      <c r="F93" s="1263">
        <f t="shared" si="1"/>
        <v>0</v>
      </c>
    </row>
    <row r="94" spans="1:6" ht="14.25">
      <c r="A94" s="4390" t="s">
        <v>495</v>
      </c>
      <c r="B94" s="4232" t="s">
        <v>2983</v>
      </c>
      <c r="C94" s="4248">
        <v>33.39</v>
      </c>
      <c r="D94" s="4234" t="s">
        <v>2432</v>
      </c>
      <c r="E94" s="1263"/>
      <c r="F94" s="1263">
        <f t="shared" si="1"/>
        <v>0</v>
      </c>
    </row>
    <row r="95" spans="1:6" ht="13.5" customHeight="1">
      <c r="A95" s="4390" t="s">
        <v>496</v>
      </c>
      <c r="B95" s="4232" t="s">
        <v>2984</v>
      </c>
      <c r="C95" s="4248">
        <v>32.01</v>
      </c>
      <c r="D95" s="4251" t="s">
        <v>2431</v>
      </c>
      <c r="E95" s="1263"/>
      <c r="F95" s="1263">
        <f t="shared" si="1"/>
        <v>0</v>
      </c>
    </row>
    <row r="96" spans="1:6" ht="28.5">
      <c r="A96" s="4390" t="s">
        <v>497</v>
      </c>
      <c r="B96" s="4232" t="s">
        <v>2985</v>
      </c>
      <c r="C96" s="4248">
        <v>9.1</v>
      </c>
      <c r="D96" s="4234" t="s">
        <v>2525</v>
      </c>
      <c r="E96" s="1263"/>
      <c r="F96" s="1263">
        <f t="shared" si="1"/>
        <v>0</v>
      </c>
    </row>
    <row r="97" spans="1:6" ht="15">
      <c r="A97" s="4395"/>
      <c r="B97" s="4252"/>
      <c r="C97" s="4248"/>
      <c r="D97" s="4234"/>
      <c r="E97" s="1263"/>
      <c r="F97" s="1263" t="str">
        <f t="shared" si="1"/>
        <v xml:space="preserve"> </v>
      </c>
    </row>
    <row r="98" spans="1:6" ht="15">
      <c r="A98" s="4392">
        <v>8.1999999999999993</v>
      </c>
      <c r="B98" s="4345" t="s">
        <v>639</v>
      </c>
      <c r="C98" s="4248"/>
      <c r="D98" s="4234"/>
      <c r="E98" s="1263"/>
      <c r="F98" s="1263" t="str">
        <f t="shared" si="1"/>
        <v xml:space="preserve"> </v>
      </c>
    </row>
    <row r="99" spans="1:6" ht="28.5">
      <c r="A99" s="4390" t="s">
        <v>506</v>
      </c>
      <c r="B99" s="4263" t="s">
        <v>2440</v>
      </c>
      <c r="C99" s="4248">
        <v>39.26</v>
      </c>
      <c r="D99" s="4234" t="s">
        <v>1</v>
      </c>
      <c r="E99" s="1263"/>
      <c r="F99" s="1263">
        <f t="shared" si="1"/>
        <v>0</v>
      </c>
    </row>
    <row r="100" spans="1:6" s="4227" customFormat="1" ht="28.5">
      <c r="A100" s="4390" t="s">
        <v>507</v>
      </c>
      <c r="B100" s="4263" t="s">
        <v>3507</v>
      </c>
      <c r="C100" s="4248">
        <v>2</v>
      </c>
      <c r="D100" s="4234" t="s">
        <v>2433</v>
      </c>
      <c r="E100" s="1263"/>
      <c r="F100" s="1263">
        <f t="shared" si="1"/>
        <v>0</v>
      </c>
    </row>
    <row r="101" spans="1:6" ht="28.5">
      <c r="A101" s="4456" t="s">
        <v>508</v>
      </c>
      <c r="B101" s="4457" t="s">
        <v>2439</v>
      </c>
      <c r="C101" s="4453">
        <v>4</v>
      </c>
      <c r="D101" s="4454" t="s">
        <v>2433</v>
      </c>
      <c r="E101" s="4455"/>
      <c r="F101" s="4455">
        <f t="shared" si="1"/>
        <v>0</v>
      </c>
    </row>
    <row r="102" spans="1:6" ht="28.5">
      <c r="A102" s="4390" t="s">
        <v>509</v>
      </c>
      <c r="B102" s="4263" t="s">
        <v>2441</v>
      </c>
      <c r="C102" s="4248">
        <v>1</v>
      </c>
      <c r="D102" s="4234" t="s">
        <v>2433</v>
      </c>
      <c r="E102" s="1263"/>
      <c r="F102" s="1263">
        <f t="shared" si="1"/>
        <v>0</v>
      </c>
    </row>
    <row r="103" spans="1:6" ht="28.5">
      <c r="A103" s="4390" t="s">
        <v>510</v>
      </c>
      <c r="B103" s="4263" t="s">
        <v>3598</v>
      </c>
      <c r="C103" s="4248">
        <v>2</v>
      </c>
      <c r="D103" s="4234" t="s">
        <v>2433</v>
      </c>
      <c r="E103" s="1263"/>
      <c r="F103" s="1263">
        <f t="shared" si="1"/>
        <v>0</v>
      </c>
    </row>
    <row r="104" spans="1:6" ht="14.25">
      <c r="A104" s="4390" t="s">
        <v>511</v>
      </c>
      <c r="B104" s="4232" t="s">
        <v>2739</v>
      </c>
      <c r="C104" s="4248">
        <v>2</v>
      </c>
      <c r="D104" s="4234" t="s">
        <v>2433</v>
      </c>
      <c r="E104" s="1263"/>
      <c r="F104" s="1263">
        <f t="shared" si="1"/>
        <v>0</v>
      </c>
    </row>
    <row r="105" spans="1:6" s="4238" customFormat="1" ht="14.25">
      <c r="A105" s="4390" t="s">
        <v>512</v>
      </c>
      <c r="B105" s="4232" t="s">
        <v>3587</v>
      </c>
      <c r="C105" s="4248">
        <v>2</v>
      </c>
      <c r="D105" s="4234" t="s">
        <v>2433</v>
      </c>
      <c r="E105" s="1263"/>
      <c r="F105" s="1263">
        <f t="shared" si="1"/>
        <v>0</v>
      </c>
    </row>
    <row r="106" spans="1:6" ht="14.25">
      <c r="A106" s="4390"/>
      <c r="B106" s="4232"/>
      <c r="C106" s="4248"/>
      <c r="D106" s="4234"/>
      <c r="E106" s="1263"/>
      <c r="F106" s="1263"/>
    </row>
    <row r="107" spans="1:6" ht="15">
      <c r="A107" s="4391">
        <v>9</v>
      </c>
      <c r="B107" s="4345" t="s">
        <v>607</v>
      </c>
      <c r="C107" s="4248"/>
      <c r="D107" s="4234"/>
      <c r="E107" s="1263"/>
      <c r="F107" s="1263" t="str">
        <f t="shared" si="1"/>
        <v xml:space="preserve"> </v>
      </c>
    </row>
    <row r="108" spans="1:6" ht="15">
      <c r="A108" s="4392">
        <v>9.1</v>
      </c>
      <c r="B108" s="4345" t="s">
        <v>3599</v>
      </c>
      <c r="C108" s="4248"/>
      <c r="D108" s="4234"/>
      <c r="E108" s="1263"/>
      <c r="F108" s="1263"/>
    </row>
    <row r="109" spans="1:6" s="4227" customFormat="1" ht="57">
      <c r="A109" s="4390" t="s">
        <v>541</v>
      </c>
      <c r="B109" s="3432" t="s">
        <v>3752</v>
      </c>
      <c r="C109" s="4248">
        <v>1</v>
      </c>
      <c r="D109" s="4234" t="s">
        <v>2433</v>
      </c>
      <c r="E109" s="1263"/>
      <c r="F109" s="1263">
        <f t="shared" si="1"/>
        <v>0</v>
      </c>
    </row>
    <row r="110" spans="1:6" ht="57">
      <c r="A110" s="4390" t="s">
        <v>542</v>
      </c>
      <c r="B110" s="3432" t="s">
        <v>3751</v>
      </c>
      <c r="C110" s="4248">
        <v>1</v>
      </c>
      <c r="D110" s="4234" t="s">
        <v>2433</v>
      </c>
      <c r="E110" s="1263"/>
      <c r="F110" s="1263">
        <f t="shared" si="1"/>
        <v>0</v>
      </c>
    </row>
    <row r="111" spans="1:6" ht="45.75" customHeight="1">
      <c r="A111" s="4390" t="s">
        <v>3173</v>
      </c>
      <c r="B111" s="4232" t="s">
        <v>2556</v>
      </c>
      <c r="C111" s="4248">
        <v>3295.28</v>
      </c>
      <c r="D111" s="4234" t="s">
        <v>2602</v>
      </c>
      <c r="E111" s="1263"/>
      <c r="F111" s="1263">
        <f t="shared" si="1"/>
        <v>0</v>
      </c>
    </row>
    <row r="112" spans="1:6" ht="14.25">
      <c r="A112" s="4390"/>
      <c r="B112" s="4232"/>
      <c r="C112" s="4248"/>
      <c r="D112" s="4234"/>
      <c r="E112" s="1263"/>
      <c r="F112" s="1263" t="str">
        <f t="shared" si="1"/>
        <v xml:space="preserve"> </v>
      </c>
    </row>
    <row r="113" spans="1:6" ht="25.5">
      <c r="A113" s="4392">
        <v>9.1999999999999993</v>
      </c>
      <c r="B113" s="4345" t="s">
        <v>3588</v>
      </c>
      <c r="C113" s="4248"/>
      <c r="D113" s="4234"/>
      <c r="E113" s="1263"/>
      <c r="F113" s="1263" t="str">
        <f t="shared" si="1"/>
        <v xml:space="preserve"> </v>
      </c>
    </row>
    <row r="114" spans="1:6" ht="75.75" customHeight="1">
      <c r="A114" s="4390" t="s">
        <v>543</v>
      </c>
      <c r="B114" s="4206" t="s">
        <v>4030</v>
      </c>
      <c r="C114" s="4248">
        <v>1</v>
      </c>
      <c r="D114" s="4234" t="s">
        <v>2433</v>
      </c>
      <c r="E114" s="1263"/>
      <c r="F114" s="1263">
        <f t="shared" si="1"/>
        <v>0</v>
      </c>
    </row>
    <row r="115" spans="1:6" s="4268" customFormat="1" ht="14.25">
      <c r="A115" s="4205" t="s">
        <v>544</v>
      </c>
      <c r="B115" s="3563" t="s">
        <v>3589</v>
      </c>
      <c r="C115" s="4208">
        <v>2.8</v>
      </c>
      <c r="D115" s="4313" t="s">
        <v>1</v>
      </c>
      <c r="E115" s="4210"/>
      <c r="F115" s="4347">
        <f t="shared" ref="F115:F117" si="2">+ROUND((E115*C115),2)</f>
        <v>0</v>
      </c>
    </row>
    <row r="116" spans="1:6" s="4268" customFormat="1" ht="14.25">
      <c r="A116" s="4205" t="s">
        <v>545</v>
      </c>
      <c r="B116" s="3563" t="s">
        <v>3590</v>
      </c>
      <c r="C116" s="4208">
        <v>2</v>
      </c>
      <c r="D116" s="4313" t="s">
        <v>2433</v>
      </c>
      <c r="E116" s="4210"/>
      <c r="F116" s="4347">
        <f t="shared" si="2"/>
        <v>0</v>
      </c>
    </row>
    <row r="117" spans="1:6" s="4268" customFormat="1" ht="14.25">
      <c r="A117" s="4205" t="s">
        <v>3182</v>
      </c>
      <c r="B117" s="3563" t="s">
        <v>3591</v>
      </c>
      <c r="C117" s="4191">
        <v>2</v>
      </c>
      <c r="D117" s="4313" t="s">
        <v>2433</v>
      </c>
      <c r="E117" s="4210"/>
      <c r="F117" s="4347">
        <f t="shared" si="2"/>
        <v>0</v>
      </c>
    </row>
    <row r="118" spans="1:6" s="4348" customFormat="1" ht="14.25">
      <c r="A118" s="4205" t="s">
        <v>3183</v>
      </c>
      <c r="B118" s="3563" t="s">
        <v>3749</v>
      </c>
      <c r="C118" s="4315">
        <v>2</v>
      </c>
      <c r="D118" s="4432" t="s">
        <v>2433</v>
      </c>
      <c r="E118" s="4210"/>
      <c r="F118" s="4317">
        <f>ROUND(E118*C118,2)</f>
        <v>0</v>
      </c>
    </row>
    <row r="119" spans="1:6" s="4268" customFormat="1" ht="15">
      <c r="A119" s="4205" t="s">
        <v>3830</v>
      </c>
      <c r="B119" s="4314" t="s">
        <v>3750</v>
      </c>
      <c r="C119" s="4315">
        <v>1</v>
      </c>
      <c r="D119" s="4432" t="s">
        <v>2433</v>
      </c>
      <c r="E119" s="4317"/>
      <c r="F119" s="4317">
        <f>ROUND(E119*C119,2)</f>
        <v>0</v>
      </c>
    </row>
    <row r="120" spans="1:6" ht="14.25">
      <c r="A120" s="4390"/>
      <c r="B120" s="4232"/>
      <c r="C120" s="4248"/>
      <c r="D120" s="4234"/>
      <c r="E120" s="1263"/>
      <c r="F120" s="1263"/>
    </row>
    <row r="121" spans="1:6" ht="15">
      <c r="A121" s="4391">
        <v>10</v>
      </c>
      <c r="B121" s="4345" t="s">
        <v>642</v>
      </c>
      <c r="C121" s="4248"/>
      <c r="D121" s="4234"/>
      <c r="E121" s="1263"/>
      <c r="F121" s="1263" t="str">
        <f t="shared" si="1"/>
        <v xml:space="preserve"> </v>
      </c>
    </row>
    <row r="122" spans="1:6" ht="14.25">
      <c r="A122" s="4215">
        <v>10.1</v>
      </c>
      <c r="B122" s="4345" t="s">
        <v>3599</v>
      </c>
      <c r="C122" s="4208"/>
      <c r="D122" s="4313"/>
      <c r="E122" s="4203"/>
      <c r="F122" s="4203"/>
    </row>
    <row r="123" spans="1:6" ht="42.75">
      <c r="A123" s="4205" t="s">
        <v>667</v>
      </c>
      <c r="B123" s="4206" t="s">
        <v>3592</v>
      </c>
      <c r="C123" s="4208">
        <v>2</v>
      </c>
      <c r="D123" s="4313" t="s">
        <v>2433</v>
      </c>
      <c r="E123" s="4347"/>
      <c r="F123" s="4204">
        <f t="shared" ref="F123" si="3">+ROUND((E123*C123),2)</f>
        <v>0</v>
      </c>
    </row>
    <row r="124" spans="1:6" ht="14.25">
      <c r="A124" s="4390"/>
      <c r="B124" s="4232"/>
      <c r="C124" s="4248"/>
      <c r="D124" s="4234"/>
      <c r="E124" s="1263"/>
      <c r="F124" s="1263"/>
    </row>
    <row r="125" spans="1:6" ht="15">
      <c r="A125" s="4392">
        <v>10.199999999999999</v>
      </c>
      <c r="B125" s="4345" t="s">
        <v>3593</v>
      </c>
      <c r="C125" s="4248"/>
      <c r="D125" s="4234"/>
      <c r="E125" s="1263"/>
      <c r="F125" s="1263" t="str">
        <f t="shared" si="1"/>
        <v xml:space="preserve"> </v>
      </c>
    </row>
    <row r="126" spans="1:6" ht="14.25">
      <c r="A126" s="4390" t="s">
        <v>669</v>
      </c>
      <c r="B126" s="3432" t="s">
        <v>3831</v>
      </c>
      <c r="C126" s="4248">
        <v>35.479999999999997</v>
      </c>
      <c r="D126" s="4234" t="s">
        <v>2430</v>
      </c>
      <c r="E126" s="1263"/>
      <c r="F126" s="1263">
        <f>IF(C126&gt;0,(ROUND((E126*C126),2))," ")</f>
        <v>0</v>
      </c>
    </row>
    <row r="127" spans="1:6" ht="14.25">
      <c r="A127" s="4390"/>
      <c r="B127" s="4232"/>
      <c r="C127" s="4248"/>
      <c r="D127" s="4234"/>
      <c r="E127" s="1263"/>
      <c r="F127" s="1263" t="str">
        <f t="shared" si="1"/>
        <v xml:space="preserve"> </v>
      </c>
    </row>
    <row r="128" spans="1:6" s="4242" customFormat="1" ht="15">
      <c r="A128" s="4392">
        <v>10.3</v>
      </c>
      <c r="B128" s="4345" t="s">
        <v>648</v>
      </c>
      <c r="C128" s="4363"/>
      <c r="D128" s="4265"/>
      <c r="E128" s="4369"/>
      <c r="F128" s="1263" t="str">
        <f t="shared" si="1"/>
        <v xml:space="preserve"> </v>
      </c>
    </row>
    <row r="129" spans="1:6" ht="28.5">
      <c r="A129" s="4390" t="s">
        <v>3832</v>
      </c>
      <c r="B129" s="3432" t="s">
        <v>2555</v>
      </c>
      <c r="C129" s="4248">
        <v>18.68</v>
      </c>
      <c r="D129" s="4234" t="s">
        <v>1</v>
      </c>
      <c r="E129" s="1263"/>
      <c r="F129" s="1263">
        <f t="shared" si="1"/>
        <v>0</v>
      </c>
    </row>
    <row r="130" spans="1:6" ht="14.25">
      <c r="A130" s="4456" t="s">
        <v>3833</v>
      </c>
      <c r="B130" s="4458" t="s">
        <v>3600</v>
      </c>
      <c r="C130" s="4453">
        <v>6</v>
      </c>
      <c r="D130" s="4454" t="s">
        <v>2433</v>
      </c>
      <c r="E130" s="4455"/>
      <c r="F130" s="4455">
        <f t="shared" si="1"/>
        <v>0</v>
      </c>
    </row>
    <row r="131" spans="1:6" ht="117" customHeight="1">
      <c r="A131" s="4390" t="s">
        <v>3834</v>
      </c>
      <c r="B131" s="4206" t="s">
        <v>3594</v>
      </c>
      <c r="C131" s="4248">
        <v>4</v>
      </c>
      <c r="D131" s="4234" t="s">
        <v>2433</v>
      </c>
      <c r="E131" s="4204"/>
      <c r="F131" s="1263">
        <f t="shared" si="1"/>
        <v>0</v>
      </c>
    </row>
    <row r="132" spans="1:6" s="4268" customFormat="1" ht="14.25">
      <c r="A132" s="4390" t="s">
        <v>3835</v>
      </c>
      <c r="B132" s="4267" t="s">
        <v>2740</v>
      </c>
      <c r="C132" s="4364">
        <v>12</v>
      </c>
      <c r="D132" s="4218" t="s">
        <v>2433</v>
      </c>
      <c r="E132" s="4210"/>
      <c r="F132" s="4210">
        <f t="shared" si="1"/>
        <v>0</v>
      </c>
    </row>
    <row r="133" spans="1:6" s="4223" customFormat="1" ht="14.25">
      <c r="A133" s="4390" t="s">
        <v>3836</v>
      </c>
      <c r="B133" s="4267" t="s">
        <v>3601</v>
      </c>
      <c r="C133" s="4364">
        <v>12</v>
      </c>
      <c r="D133" s="4218" t="s">
        <v>2433</v>
      </c>
      <c r="E133" s="4210"/>
      <c r="F133" s="4210">
        <f t="shared" si="1"/>
        <v>0</v>
      </c>
    </row>
    <row r="134" spans="1:6" s="4223" customFormat="1" ht="14.25">
      <c r="A134" s="4390" t="s">
        <v>3837</v>
      </c>
      <c r="B134" s="3563" t="s">
        <v>3595</v>
      </c>
      <c r="C134" s="4364">
        <v>4</v>
      </c>
      <c r="D134" s="4218" t="s">
        <v>2433</v>
      </c>
      <c r="E134" s="4210"/>
      <c r="F134" s="4210">
        <f t="shared" si="1"/>
        <v>0</v>
      </c>
    </row>
    <row r="135" spans="1:6" s="4223" customFormat="1" ht="14.25">
      <c r="A135" s="4390" t="s">
        <v>3838</v>
      </c>
      <c r="B135" s="3563" t="s">
        <v>3490</v>
      </c>
      <c r="C135" s="4364">
        <v>31.68</v>
      </c>
      <c r="D135" s="4218" t="s">
        <v>1</v>
      </c>
      <c r="E135" s="4210"/>
      <c r="F135" s="4210">
        <f t="shared" si="1"/>
        <v>0</v>
      </c>
    </row>
    <row r="136" spans="1:6" s="4238" customFormat="1" ht="14.25">
      <c r="A136" s="4390" t="s">
        <v>3839</v>
      </c>
      <c r="B136" s="4212" t="s">
        <v>3597</v>
      </c>
      <c r="C136" s="4191">
        <v>12</v>
      </c>
      <c r="D136" s="4194" t="s">
        <v>2433</v>
      </c>
      <c r="E136" s="4210"/>
      <c r="F136" s="4210">
        <f t="shared" ref="F136" si="4">+ROUND((E136*C136),2)</f>
        <v>0</v>
      </c>
    </row>
    <row r="137" spans="1:6" s="4268" customFormat="1" ht="14.25">
      <c r="A137" s="4390" t="s">
        <v>3840</v>
      </c>
      <c r="B137" s="3563" t="s">
        <v>3596</v>
      </c>
      <c r="C137" s="4364">
        <v>12</v>
      </c>
      <c r="D137" s="4218" t="s">
        <v>2433</v>
      </c>
      <c r="E137" s="4210"/>
      <c r="F137" s="4210">
        <f>IF(C137&gt;0,(ROUND((E137*C137),2))," ")</f>
        <v>0</v>
      </c>
    </row>
    <row r="138" spans="1:6" s="4223" customFormat="1" ht="71.25">
      <c r="A138" s="4390" t="s">
        <v>3841</v>
      </c>
      <c r="B138" s="4370" t="s">
        <v>3842</v>
      </c>
      <c r="C138" s="4210">
        <v>1777.01</v>
      </c>
      <c r="D138" s="4218" t="s">
        <v>3489</v>
      </c>
      <c r="E138" s="4210"/>
      <c r="F138" s="4210">
        <f t="shared" si="1"/>
        <v>0</v>
      </c>
    </row>
    <row r="139" spans="1:6" s="4223" customFormat="1" ht="14.25">
      <c r="A139" s="4393"/>
      <c r="B139" s="3563"/>
      <c r="C139" s="4364"/>
      <c r="D139" s="4218"/>
      <c r="E139" s="4210"/>
      <c r="F139" s="4210"/>
    </row>
    <row r="140" spans="1:6" s="4223" customFormat="1" ht="15">
      <c r="A140" s="4396">
        <v>11</v>
      </c>
      <c r="B140" s="4345" t="s">
        <v>673</v>
      </c>
      <c r="C140" s="4364"/>
      <c r="D140" s="4218"/>
      <c r="E140" s="4210"/>
      <c r="F140" s="4210" t="str">
        <f t="shared" si="1"/>
        <v xml:space="preserve"> </v>
      </c>
    </row>
    <row r="141" spans="1:6" s="4223" customFormat="1" ht="15">
      <c r="A141" s="4397">
        <v>11.1</v>
      </c>
      <c r="B141" s="4345" t="s">
        <v>2265</v>
      </c>
      <c r="C141" s="4364"/>
      <c r="D141" s="4218"/>
      <c r="E141" s="4210"/>
      <c r="F141" s="4210" t="str">
        <f t="shared" si="1"/>
        <v xml:space="preserve"> </v>
      </c>
    </row>
    <row r="142" spans="1:6" s="4223" customFormat="1" ht="117" customHeight="1">
      <c r="A142" s="4393" t="s">
        <v>488</v>
      </c>
      <c r="B142" s="4220" t="s">
        <v>3602</v>
      </c>
      <c r="C142" s="4364">
        <v>6</v>
      </c>
      <c r="D142" s="4218" t="s">
        <v>2433</v>
      </c>
      <c r="E142" s="4210"/>
      <c r="F142" s="4210">
        <f t="shared" si="1"/>
        <v>0</v>
      </c>
    </row>
    <row r="143" spans="1:6" s="4223" customFormat="1" ht="128.25">
      <c r="A143" s="4393" t="s">
        <v>489</v>
      </c>
      <c r="B143" s="4219" t="s">
        <v>3603</v>
      </c>
      <c r="C143" s="4364">
        <v>6</v>
      </c>
      <c r="D143" s="4218" t="s">
        <v>2433</v>
      </c>
      <c r="E143" s="4210"/>
      <c r="F143" s="4210">
        <f t="shared" si="1"/>
        <v>0</v>
      </c>
    </row>
    <row r="144" spans="1:6" s="4223" customFormat="1" ht="128.25">
      <c r="A144" s="4472" t="s">
        <v>490</v>
      </c>
      <c r="B144" s="4473" t="s">
        <v>3604</v>
      </c>
      <c r="C144" s="4474">
        <v>1</v>
      </c>
      <c r="D144" s="4475" t="s">
        <v>2433</v>
      </c>
      <c r="E144" s="4463"/>
      <c r="F144" s="4463">
        <f t="shared" si="1"/>
        <v>0</v>
      </c>
    </row>
    <row r="145" spans="1:6" s="4223" customFormat="1" ht="128.25">
      <c r="A145" s="4393" t="s">
        <v>1516</v>
      </c>
      <c r="B145" s="4220" t="s">
        <v>3605</v>
      </c>
      <c r="C145" s="4364">
        <v>6</v>
      </c>
      <c r="D145" s="4218" t="s">
        <v>2433</v>
      </c>
      <c r="E145" s="4210"/>
      <c r="F145" s="4210">
        <f t="shared" si="1"/>
        <v>0</v>
      </c>
    </row>
    <row r="146" spans="1:6" s="4223" customFormat="1" ht="57">
      <c r="A146" s="4393" t="s">
        <v>1517</v>
      </c>
      <c r="B146" s="4220" t="s">
        <v>3606</v>
      </c>
      <c r="C146" s="4364">
        <v>6</v>
      </c>
      <c r="D146" s="4218" t="s">
        <v>2433</v>
      </c>
      <c r="E146" s="4210"/>
      <c r="F146" s="4210">
        <f t="shared" ref="F146:F159" si="5">IF(C146&gt;0,(ROUND((E146*C146),2))," ")</f>
        <v>0</v>
      </c>
    </row>
    <row r="147" spans="1:6" s="4223" customFormat="1" ht="28.5">
      <c r="A147" s="4393" t="s">
        <v>1518</v>
      </c>
      <c r="B147" s="3563" t="s">
        <v>2347</v>
      </c>
      <c r="C147" s="4364">
        <v>231.64</v>
      </c>
      <c r="D147" s="4218" t="s">
        <v>2602</v>
      </c>
      <c r="E147" s="4210"/>
      <c r="F147" s="4210">
        <f>IF(C147&gt;0,(ROUND((E147*C147),2))," ")</f>
        <v>0</v>
      </c>
    </row>
    <row r="148" spans="1:6" s="4223" customFormat="1" ht="14.25">
      <c r="A148" s="4393" t="s">
        <v>1519</v>
      </c>
      <c r="B148" s="3563" t="s">
        <v>2436</v>
      </c>
      <c r="C148" s="4364">
        <v>231.64</v>
      </c>
      <c r="D148" s="4218" t="s">
        <v>2602</v>
      </c>
      <c r="E148" s="4210"/>
      <c r="F148" s="4210">
        <f>IF(C148&gt;0,(ROUND((E148*C148),2))," ")</f>
        <v>0</v>
      </c>
    </row>
    <row r="149" spans="1:6" ht="14.25">
      <c r="A149" s="4393"/>
      <c r="B149" s="4232"/>
      <c r="C149" s="4248"/>
      <c r="D149" s="4234"/>
      <c r="E149" s="1263"/>
      <c r="F149" s="1263" t="str">
        <f t="shared" si="5"/>
        <v xml:space="preserve"> </v>
      </c>
    </row>
    <row r="150" spans="1:6" ht="15">
      <c r="A150" s="4392">
        <v>11.2</v>
      </c>
      <c r="B150" s="4345" t="s">
        <v>2128</v>
      </c>
      <c r="C150" s="4248"/>
      <c r="D150" s="4234"/>
      <c r="E150" s="1263"/>
      <c r="F150" s="1263" t="str">
        <f t="shared" si="5"/>
        <v xml:space="preserve"> </v>
      </c>
    </row>
    <row r="151" spans="1:6" ht="42.75">
      <c r="A151" s="4390" t="s">
        <v>491</v>
      </c>
      <c r="B151" s="4232" t="s">
        <v>3607</v>
      </c>
      <c r="C151" s="4248">
        <v>1</v>
      </c>
      <c r="D151" s="4234" t="s">
        <v>2433</v>
      </c>
      <c r="E151" s="1263"/>
      <c r="F151" s="1263">
        <f t="shared" si="5"/>
        <v>0</v>
      </c>
    </row>
    <row r="152" spans="1:6" ht="35.25" customHeight="1">
      <c r="A152" s="4390" t="s">
        <v>492</v>
      </c>
      <c r="B152" s="4232" t="s">
        <v>2437</v>
      </c>
      <c r="C152" s="4248">
        <v>1</v>
      </c>
      <c r="D152" s="4234" t="s">
        <v>2433</v>
      </c>
      <c r="E152" s="1263"/>
      <c r="F152" s="1263">
        <f t="shared" si="5"/>
        <v>0</v>
      </c>
    </row>
    <row r="153" spans="1:6" s="4223" customFormat="1" ht="15">
      <c r="A153" s="4393"/>
      <c r="B153" s="4221"/>
      <c r="C153" s="4364"/>
      <c r="D153" s="4218"/>
      <c r="E153" s="4210"/>
      <c r="F153" s="4210" t="str">
        <f>IF(C153&gt;0,(ROUND((E153*C153),2))," ")</f>
        <v xml:space="preserve"> </v>
      </c>
    </row>
    <row r="154" spans="1:6" s="4223" customFormat="1" ht="15">
      <c r="A154" s="4397">
        <v>11.3</v>
      </c>
      <c r="B154" s="4345" t="s">
        <v>690</v>
      </c>
      <c r="C154" s="4364"/>
      <c r="D154" s="4218"/>
      <c r="E154" s="4210"/>
      <c r="F154" s="4210" t="str">
        <f>IF(C154&gt;0,(ROUND((E154*C154),2))," ")</f>
        <v xml:space="preserve"> </v>
      </c>
    </row>
    <row r="155" spans="1:6" s="4223" customFormat="1" ht="28.5">
      <c r="A155" s="4393" t="s">
        <v>1785</v>
      </c>
      <c r="B155" s="3563" t="s">
        <v>2348</v>
      </c>
      <c r="C155" s="4364">
        <v>19</v>
      </c>
      <c r="D155" s="4234" t="s">
        <v>2430</v>
      </c>
      <c r="E155" s="4210"/>
      <c r="F155" s="4210">
        <f>IF(C155&gt;0,(ROUND((E155*C155),2))," ")</f>
        <v>0</v>
      </c>
    </row>
    <row r="156" spans="1:6" s="4268" customFormat="1" ht="14.25">
      <c r="A156" s="4393" t="s">
        <v>3843</v>
      </c>
      <c r="B156" s="3563" t="s">
        <v>2606</v>
      </c>
      <c r="C156" s="4364">
        <v>3</v>
      </c>
      <c r="D156" s="4234" t="s">
        <v>2430</v>
      </c>
      <c r="E156" s="4210"/>
      <c r="F156" s="4210">
        <f>IF(C156&gt;0,(ROUND((E156*C156),2))," ")</f>
        <v>0</v>
      </c>
    </row>
    <row r="157" spans="1:6" s="4223" customFormat="1" ht="14.25">
      <c r="A157" s="4393" t="s">
        <v>3844</v>
      </c>
      <c r="B157" s="3563" t="s">
        <v>2349</v>
      </c>
      <c r="C157" s="4364">
        <v>22</v>
      </c>
      <c r="D157" s="4234" t="s">
        <v>2430</v>
      </c>
      <c r="E157" s="4210"/>
      <c r="F157" s="4210">
        <f>IF(C157&gt;0,(ROUND((E157*C157),2))," ")</f>
        <v>0</v>
      </c>
    </row>
    <row r="158" spans="1:6" s="4223" customFormat="1" ht="14.25">
      <c r="A158" s="4393" t="s">
        <v>3845</v>
      </c>
      <c r="B158" s="3563" t="s">
        <v>2350</v>
      </c>
      <c r="C158" s="4364">
        <v>22</v>
      </c>
      <c r="D158" s="4234" t="s">
        <v>2430</v>
      </c>
      <c r="E158" s="4210"/>
      <c r="F158" s="4210">
        <f t="shared" ref="F158" si="6">IF(C158&gt;0,(ROUND((E158*C158),2))," ")</f>
        <v>0</v>
      </c>
    </row>
    <row r="159" spans="1:6" ht="14.25">
      <c r="A159" s="4390"/>
      <c r="B159" s="4232"/>
      <c r="C159" s="4248"/>
      <c r="D159" s="4234"/>
      <c r="E159" s="1263"/>
      <c r="F159" s="1263" t="str">
        <f t="shared" si="5"/>
        <v xml:space="preserve"> </v>
      </c>
    </row>
    <row r="160" spans="1:6" s="4229" customFormat="1" ht="12.75" customHeight="1">
      <c r="A160" s="4215">
        <v>12</v>
      </c>
      <c r="B160" s="4345" t="s">
        <v>3608</v>
      </c>
      <c r="C160" s="4208"/>
      <c r="D160" s="4234"/>
      <c r="E160" s="4210"/>
      <c r="F160" s="4210"/>
    </row>
    <row r="161" spans="1:6" s="4229" customFormat="1" ht="12.75" customHeight="1">
      <c r="A161" s="4216">
        <v>12.1</v>
      </c>
      <c r="B161" s="4230" t="s">
        <v>3609</v>
      </c>
      <c r="C161" s="4191">
        <v>2</v>
      </c>
      <c r="D161" s="4234" t="s">
        <v>2433</v>
      </c>
      <c r="E161" s="4210"/>
      <c r="F161" s="4210">
        <f t="shared" ref="F161:F163" si="7">ROUND(E161*C161,2)</f>
        <v>0</v>
      </c>
    </row>
    <row r="162" spans="1:6" s="4229" customFormat="1" ht="12.75" customHeight="1">
      <c r="A162" s="4216">
        <v>12.2</v>
      </c>
      <c r="B162" s="4231" t="s">
        <v>3610</v>
      </c>
      <c r="C162" s="4191">
        <v>8.75</v>
      </c>
      <c r="D162" s="4234" t="s">
        <v>1</v>
      </c>
      <c r="E162" s="4210"/>
      <c r="F162" s="4210">
        <f t="shared" si="7"/>
        <v>0</v>
      </c>
    </row>
    <row r="163" spans="1:6" s="4229" customFormat="1" ht="15" customHeight="1">
      <c r="A163" s="4216">
        <v>12.3</v>
      </c>
      <c r="B163" s="4230" t="s">
        <v>3611</v>
      </c>
      <c r="C163" s="4191">
        <v>1</v>
      </c>
      <c r="D163" s="4234" t="s">
        <v>42</v>
      </c>
      <c r="E163" s="4210"/>
      <c r="F163" s="4210">
        <f t="shared" si="7"/>
        <v>0</v>
      </c>
    </row>
    <row r="164" spans="1:6" ht="14.25">
      <c r="A164" s="4390"/>
      <c r="B164" s="4232"/>
      <c r="C164" s="4248"/>
      <c r="D164" s="4234"/>
      <c r="E164" s="1263"/>
      <c r="F164" s="1263" t="str">
        <f t="shared" ref="F164:F523" si="8">IF(C164&gt;0,(ROUND((E164*C164),2))," ")</f>
        <v xml:space="preserve"> </v>
      </c>
    </row>
    <row r="165" spans="1:6" ht="15">
      <c r="A165" s="4391">
        <v>13</v>
      </c>
      <c r="B165" s="4345" t="s">
        <v>3030</v>
      </c>
      <c r="C165" s="4248"/>
      <c r="D165" s="4234"/>
      <c r="E165" s="1263"/>
      <c r="F165" s="1263" t="str">
        <f t="shared" si="8"/>
        <v xml:space="preserve"> </v>
      </c>
    </row>
    <row r="166" spans="1:6" ht="71.25">
      <c r="A166" s="4394">
        <v>13.1</v>
      </c>
      <c r="B166" s="4232" t="s">
        <v>2351</v>
      </c>
      <c r="C166" s="4248">
        <v>126.04</v>
      </c>
      <c r="D166" s="4234" t="s">
        <v>1</v>
      </c>
      <c r="E166" s="1263"/>
      <c r="F166" s="1263">
        <f t="shared" si="8"/>
        <v>0</v>
      </c>
    </row>
    <row r="167" spans="1:6" s="4236" customFormat="1" ht="12.75" customHeight="1">
      <c r="A167" s="4394">
        <v>13.2</v>
      </c>
      <c r="B167" s="4232" t="s">
        <v>3613</v>
      </c>
      <c r="C167" s="4248">
        <v>3</v>
      </c>
      <c r="D167" s="4234" t="s">
        <v>2433</v>
      </c>
      <c r="E167" s="1263"/>
      <c r="F167" s="1263">
        <f t="shared" si="8"/>
        <v>0</v>
      </c>
    </row>
    <row r="168" spans="1:6" ht="14.25">
      <c r="A168" s="4394">
        <v>13.3</v>
      </c>
      <c r="B168" s="4232" t="s">
        <v>3612</v>
      </c>
      <c r="C168" s="4248">
        <v>2</v>
      </c>
      <c r="D168" s="4234" t="s">
        <v>2433</v>
      </c>
      <c r="E168" s="1263"/>
      <c r="F168" s="1263">
        <f t="shared" si="8"/>
        <v>0</v>
      </c>
    </row>
    <row r="169" spans="1:6" ht="14.25">
      <c r="A169" s="4390"/>
      <c r="B169" s="3432"/>
      <c r="C169" s="4248"/>
      <c r="D169" s="4234"/>
      <c r="E169" s="1263"/>
      <c r="F169" s="1263" t="str">
        <f t="shared" si="8"/>
        <v xml:space="preserve"> </v>
      </c>
    </row>
    <row r="170" spans="1:6" s="4229" customFormat="1" ht="28.5" customHeight="1">
      <c r="A170" s="4300">
        <v>14</v>
      </c>
      <c r="B170" s="4345" t="s">
        <v>3614</v>
      </c>
      <c r="C170" s="4301"/>
      <c r="D170" s="4209"/>
      <c r="E170" s="4302"/>
      <c r="F170" s="4303">
        <f t="shared" ref="F170:F174" si="9">ROUND(C170*E170,2)</f>
        <v>0</v>
      </c>
    </row>
    <row r="171" spans="1:6" s="4229" customFormat="1" ht="14.25">
      <c r="A171" s="4304">
        <v>14.1</v>
      </c>
      <c r="B171" s="4267" t="s">
        <v>4031</v>
      </c>
      <c r="C171" s="4301">
        <v>4</v>
      </c>
      <c r="D171" s="4209" t="s">
        <v>2433</v>
      </c>
      <c r="E171" s="4210"/>
      <c r="F171" s="4303">
        <f t="shared" si="9"/>
        <v>0</v>
      </c>
    </row>
    <row r="172" spans="1:6" s="4229" customFormat="1" ht="14.25">
      <c r="A172" s="4304">
        <v>14.2</v>
      </c>
      <c r="B172" s="4267" t="s">
        <v>3615</v>
      </c>
      <c r="C172" s="4301">
        <v>6</v>
      </c>
      <c r="D172" s="4209" t="s">
        <v>2433</v>
      </c>
      <c r="E172" s="4210"/>
      <c r="F172" s="4303">
        <f t="shared" si="9"/>
        <v>0</v>
      </c>
    </row>
    <row r="173" spans="1:6" s="4229" customFormat="1" ht="14.25">
      <c r="A173" s="4304">
        <v>14.3</v>
      </c>
      <c r="B173" s="4267" t="s">
        <v>4032</v>
      </c>
      <c r="C173" s="4301">
        <v>7</v>
      </c>
      <c r="D173" s="4209" t="s">
        <v>2433</v>
      </c>
      <c r="E173" s="4210"/>
      <c r="F173" s="4303">
        <f t="shared" si="9"/>
        <v>0</v>
      </c>
    </row>
    <row r="174" spans="1:6" s="4229" customFormat="1" ht="14.25">
      <c r="A174" s="4459">
        <v>14.4</v>
      </c>
      <c r="B174" s="4460" t="s">
        <v>4033</v>
      </c>
      <c r="C174" s="4461">
        <v>6</v>
      </c>
      <c r="D174" s="4462" t="s">
        <v>2433</v>
      </c>
      <c r="E174" s="4463"/>
      <c r="F174" s="4464">
        <f t="shared" si="9"/>
        <v>0</v>
      </c>
    </row>
    <row r="175" spans="1:6" ht="14.25">
      <c r="A175" s="4390"/>
      <c r="B175" s="4232"/>
      <c r="C175" s="4248"/>
      <c r="D175" s="4234"/>
      <c r="E175" s="1263"/>
      <c r="F175" s="1263" t="str">
        <f t="shared" si="8"/>
        <v xml:space="preserve"> </v>
      </c>
    </row>
    <row r="176" spans="1:6" ht="15">
      <c r="A176" s="4391">
        <v>15</v>
      </c>
      <c r="B176" s="4345" t="s">
        <v>764</v>
      </c>
      <c r="C176" s="4248"/>
      <c r="D176" s="4234"/>
      <c r="E176" s="1263"/>
      <c r="F176" s="1263" t="str">
        <f t="shared" si="8"/>
        <v xml:space="preserve"> </v>
      </c>
    </row>
    <row r="177" spans="1:6" ht="14.25">
      <c r="A177" s="4394">
        <v>15.1</v>
      </c>
      <c r="B177" s="4232" t="s">
        <v>2352</v>
      </c>
      <c r="C177" s="4248">
        <v>204.75</v>
      </c>
      <c r="D177" s="4234" t="s">
        <v>2432</v>
      </c>
      <c r="E177" s="1263"/>
      <c r="F177" s="1263">
        <f t="shared" si="8"/>
        <v>0</v>
      </c>
    </row>
    <row r="178" spans="1:6" ht="14.25">
      <c r="A178" s="4394">
        <v>15.2</v>
      </c>
      <c r="B178" s="4232" t="s">
        <v>2599</v>
      </c>
      <c r="C178" s="4248">
        <v>204.75</v>
      </c>
      <c r="D178" s="4234" t="s">
        <v>2432</v>
      </c>
      <c r="E178" s="1263"/>
      <c r="F178" s="1263">
        <f t="shared" si="8"/>
        <v>0</v>
      </c>
    </row>
    <row r="179" spans="1:6" ht="14.25">
      <c r="A179" s="4394">
        <v>15.3</v>
      </c>
      <c r="B179" s="4232" t="s">
        <v>2595</v>
      </c>
      <c r="C179" s="4248">
        <v>1</v>
      </c>
      <c r="D179" s="4234" t="s">
        <v>2433</v>
      </c>
      <c r="E179" s="1263"/>
      <c r="F179" s="1263">
        <f t="shared" si="8"/>
        <v>0</v>
      </c>
    </row>
    <row r="180" spans="1:6" s="4242" customFormat="1">
      <c r="A180" s="4305"/>
      <c r="B180" s="4306" t="s">
        <v>2127</v>
      </c>
      <c r="C180" s="4307"/>
      <c r="D180" s="4308"/>
      <c r="E180" s="4305"/>
      <c r="F180" s="4309">
        <f>SUM(F15:F179)</f>
        <v>0</v>
      </c>
    </row>
    <row r="181" spans="1:6" ht="14.25">
      <c r="A181" s="4390"/>
      <c r="B181" s="3433"/>
      <c r="C181" s="4233"/>
      <c r="D181" s="4269"/>
      <c r="E181" s="4270"/>
      <c r="F181" s="4235" t="str">
        <f t="shared" si="8"/>
        <v xml:space="preserve"> </v>
      </c>
    </row>
    <row r="182" spans="1:6" s="4223" customFormat="1" ht="15">
      <c r="A182" s="4398" t="s">
        <v>774</v>
      </c>
      <c r="B182" s="3435" t="s">
        <v>1995</v>
      </c>
      <c r="C182" s="4222"/>
      <c r="D182" s="4218"/>
      <c r="E182" s="4217"/>
      <c r="F182" s="4217" t="str">
        <f>IF(C182&gt;0,(ROUND((E182*C182),2))," ")</f>
        <v xml:space="preserve"> </v>
      </c>
    </row>
    <row r="183" spans="1:6" s="4227" customFormat="1" ht="15" customHeight="1">
      <c r="A183" s="4395"/>
      <c r="B183" s="3435"/>
      <c r="C183" s="4233"/>
      <c r="D183" s="4234"/>
      <c r="E183" s="4266"/>
      <c r="F183" s="4235" t="str">
        <f>IF(C183&gt;0,(ROUND((E183*C183),2))," ")</f>
        <v xml:space="preserve"> </v>
      </c>
    </row>
    <row r="184" spans="1:6" s="4240" customFormat="1" ht="15" customHeight="1">
      <c r="A184" s="4391">
        <v>1</v>
      </c>
      <c r="B184" s="4345" t="s">
        <v>2165</v>
      </c>
      <c r="C184" s="4264"/>
      <c r="D184" s="4265"/>
      <c r="E184" s="4266"/>
      <c r="F184" s="4266" t="str">
        <f>IF(C184&gt;0,(ROUND((E184*C184),2))," ")</f>
        <v xml:space="preserve"> </v>
      </c>
    </row>
    <row r="185" spans="1:6" s="4227" customFormat="1" ht="14.25" customHeight="1">
      <c r="A185" s="4394">
        <v>1.1000000000000001</v>
      </c>
      <c r="B185" s="4232" t="s">
        <v>4042</v>
      </c>
      <c r="C185" s="4233">
        <v>40</v>
      </c>
      <c r="D185" s="4251" t="s">
        <v>1</v>
      </c>
      <c r="E185" s="4235"/>
      <c r="F185" s="4235">
        <f>IF(C185&gt;0,(ROUND((E185*C185),2))," ")</f>
        <v>0</v>
      </c>
    </row>
    <row r="186" spans="1:6" s="4227" customFormat="1" ht="14.25" customHeight="1">
      <c r="A186" s="4390"/>
      <c r="B186" s="4232"/>
      <c r="C186" s="4233"/>
      <c r="D186" s="4251"/>
      <c r="E186" s="4235"/>
      <c r="F186" s="4235"/>
    </row>
    <row r="187" spans="1:6" s="4240" customFormat="1" ht="15" customHeight="1">
      <c r="A187" s="4391">
        <v>2</v>
      </c>
      <c r="B187" s="4345" t="s">
        <v>14</v>
      </c>
      <c r="C187" s="4264"/>
      <c r="D187" s="4273"/>
      <c r="E187" s="4266"/>
      <c r="F187" s="4266" t="str">
        <f t="shared" ref="F187:F250" si="10">IF(C187&gt;0,(ROUND((E187*C187),2))," ")</f>
        <v xml:space="preserve"> </v>
      </c>
    </row>
    <row r="188" spans="1:6" ht="14.25" customHeight="1">
      <c r="A188" s="4394">
        <v>2.1</v>
      </c>
      <c r="B188" s="4232" t="s">
        <v>2398</v>
      </c>
      <c r="C188" s="4233">
        <v>24.52</v>
      </c>
      <c r="D188" s="4251" t="s">
        <v>2430</v>
      </c>
      <c r="E188" s="4235"/>
      <c r="F188" s="4235">
        <f t="shared" si="10"/>
        <v>0</v>
      </c>
    </row>
    <row r="189" spans="1:6" ht="14.25" customHeight="1">
      <c r="A189" s="4394">
        <v>2.2000000000000002</v>
      </c>
      <c r="B189" s="3434" t="s">
        <v>2986</v>
      </c>
      <c r="C189" s="4235">
        <v>16.350000000000001</v>
      </c>
      <c r="D189" s="4251" t="s">
        <v>2431</v>
      </c>
      <c r="E189" s="4235"/>
      <c r="F189" s="4235">
        <f t="shared" si="10"/>
        <v>0</v>
      </c>
    </row>
    <row r="190" spans="1:6" ht="28.5" customHeight="1">
      <c r="A190" s="4394">
        <v>2.2999999999999998</v>
      </c>
      <c r="B190" s="3434" t="s">
        <v>3847</v>
      </c>
      <c r="C190" s="4233">
        <v>30.65</v>
      </c>
      <c r="D190" s="4234" t="s">
        <v>2525</v>
      </c>
      <c r="E190" s="4235"/>
      <c r="F190" s="4235">
        <f t="shared" si="10"/>
        <v>0</v>
      </c>
    </row>
    <row r="191" spans="1:6" s="4236" customFormat="1" ht="14.25" customHeight="1">
      <c r="A191" s="4394">
        <v>2.4</v>
      </c>
      <c r="B191" s="4232" t="s">
        <v>3846</v>
      </c>
      <c r="C191" s="4233">
        <v>25.2</v>
      </c>
      <c r="D191" s="4251" t="s">
        <v>2430</v>
      </c>
      <c r="E191" s="4235"/>
      <c r="F191" s="4235">
        <f t="shared" si="10"/>
        <v>0</v>
      </c>
    </row>
    <row r="192" spans="1:6" ht="14.25" customHeight="1">
      <c r="A192" s="4390"/>
      <c r="B192" s="4232"/>
      <c r="C192" s="4233"/>
      <c r="D192" s="4251"/>
      <c r="E192" s="4235"/>
      <c r="F192" s="4235" t="str">
        <f t="shared" si="10"/>
        <v xml:space="preserve"> </v>
      </c>
    </row>
    <row r="193" spans="1:6" s="4236" customFormat="1" ht="15" customHeight="1">
      <c r="A193" s="4391">
        <v>3</v>
      </c>
      <c r="B193" s="4345" t="s">
        <v>3721</v>
      </c>
      <c r="C193" s="4233"/>
      <c r="D193" s="4251"/>
      <c r="E193" s="4235"/>
      <c r="F193" s="4235" t="str">
        <f t="shared" si="10"/>
        <v xml:space="preserve"> </v>
      </c>
    </row>
    <row r="194" spans="1:6" s="4236" customFormat="1" ht="14.25" customHeight="1">
      <c r="A194" s="4394">
        <v>3.1</v>
      </c>
      <c r="B194" s="3433" t="s">
        <v>3977</v>
      </c>
      <c r="C194" s="4233">
        <v>6.57</v>
      </c>
      <c r="D194" s="4251" t="s">
        <v>2430</v>
      </c>
      <c r="E194" s="4235"/>
      <c r="F194" s="4235">
        <f t="shared" si="10"/>
        <v>0</v>
      </c>
    </row>
    <row r="195" spans="1:6" s="4236" customFormat="1" ht="14.25" customHeight="1">
      <c r="A195" s="4394">
        <v>3.2</v>
      </c>
      <c r="B195" s="3433" t="s">
        <v>3978</v>
      </c>
      <c r="C195" s="4233">
        <v>1.5</v>
      </c>
      <c r="D195" s="4251" t="s">
        <v>2430</v>
      </c>
      <c r="E195" s="4235"/>
      <c r="F195" s="4235">
        <f t="shared" si="10"/>
        <v>0</v>
      </c>
    </row>
    <row r="196" spans="1:6" s="4236" customFormat="1" ht="14.25" customHeight="1">
      <c r="A196" s="4394">
        <v>3.3</v>
      </c>
      <c r="B196" s="3433" t="s">
        <v>3979</v>
      </c>
      <c r="C196" s="4233">
        <v>0.19</v>
      </c>
      <c r="D196" s="4251" t="s">
        <v>2430</v>
      </c>
      <c r="E196" s="4235"/>
      <c r="F196" s="4235">
        <f t="shared" si="10"/>
        <v>0</v>
      </c>
    </row>
    <row r="197" spans="1:6" s="4236" customFormat="1" ht="14.25" customHeight="1">
      <c r="A197" s="4394">
        <v>3.4</v>
      </c>
      <c r="B197" s="4232" t="s">
        <v>3980</v>
      </c>
      <c r="C197" s="4233">
        <v>1.1200000000000001</v>
      </c>
      <c r="D197" s="4251" t="s">
        <v>2430</v>
      </c>
      <c r="E197" s="4235"/>
      <c r="F197" s="4235">
        <f t="shared" si="10"/>
        <v>0</v>
      </c>
    </row>
    <row r="198" spans="1:6" s="4236" customFormat="1" ht="14.25" customHeight="1">
      <c r="A198" s="4394">
        <v>3.5</v>
      </c>
      <c r="B198" s="3433" t="s">
        <v>3981</v>
      </c>
      <c r="C198" s="4233">
        <v>2.73</v>
      </c>
      <c r="D198" s="4251" t="s">
        <v>2430</v>
      </c>
      <c r="E198" s="4235"/>
      <c r="F198" s="4235">
        <f t="shared" si="10"/>
        <v>0</v>
      </c>
    </row>
    <row r="199" spans="1:6" s="4236" customFormat="1" ht="14.25" customHeight="1">
      <c r="A199" s="4394">
        <v>3.6</v>
      </c>
      <c r="B199" s="3433" t="s">
        <v>3982</v>
      </c>
      <c r="C199" s="4233">
        <v>1.03</v>
      </c>
      <c r="D199" s="4251" t="s">
        <v>2430</v>
      </c>
      <c r="E199" s="4235"/>
      <c r="F199" s="4235">
        <f t="shared" si="10"/>
        <v>0</v>
      </c>
    </row>
    <row r="200" spans="1:6" s="4236" customFormat="1" ht="14.25" customHeight="1">
      <c r="A200" s="4394">
        <v>3.7</v>
      </c>
      <c r="B200" s="4232" t="s">
        <v>3983</v>
      </c>
      <c r="C200" s="4233">
        <v>0.8</v>
      </c>
      <c r="D200" s="4251" t="s">
        <v>2430</v>
      </c>
      <c r="E200" s="4235"/>
      <c r="F200" s="4235">
        <f t="shared" si="10"/>
        <v>0</v>
      </c>
    </row>
    <row r="201" spans="1:6" s="4236" customFormat="1" ht="14.25" customHeight="1">
      <c r="A201" s="4394">
        <v>3.8</v>
      </c>
      <c r="B201" s="4232" t="s">
        <v>3984</v>
      </c>
      <c r="C201" s="4233">
        <v>1.51</v>
      </c>
      <c r="D201" s="4251" t="s">
        <v>2430</v>
      </c>
      <c r="E201" s="4235"/>
      <c r="F201" s="4235">
        <f t="shared" si="10"/>
        <v>0</v>
      </c>
    </row>
    <row r="202" spans="1:6" s="4236" customFormat="1" ht="14.25" customHeight="1">
      <c r="A202" s="4394">
        <v>3.9</v>
      </c>
      <c r="B202" s="4232" t="s">
        <v>3985</v>
      </c>
      <c r="C202" s="4233">
        <v>1.88</v>
      </c>
      <c r="D202" s="4251" t="s">
        <v>2430</v>
      </c>
      <c r="E202" s="4235"/>
      <c r="F202" s="4235">
        <f t="shared" si="10"/>
        <v>0</v>
      </c>
    </row>
    <row r="203" spans="1:6" s="4236" customFormat="1" ht="14.25" customHeight="1">
      <c r="A203" s="4390">
        <v>3.1</v>
      </c>
      <c r="B203" s="4232" t="s">
        <v>3986</v>
      </c>
      <c r="C203" s="4233">
        <v>1.32</v>
      </c>
      <c r="D203" s="4251" t="s">
        <v>2430</v>
      </c>
      <c r="E203" s="4235"/>
      <c r="F203" s="4235">
        <f t="shared" si="10"/>
        <v>0</v>
      </c>
    </row>
    <row r="204" spans="1:6" s="4236" customFormat="1" ht="14.25" customHeight="1">
      <c r="A204" s="4390">
        <v>3.11</v>
      </c>
      <c r="B204" s="4232" t="s">
        <v>3987</v>
      </c>
      <c r="C204" s="4233">
        <v>12.1</v>
      </c>
      <c r="D204" s="4251" t="s">
        <v>2430</v>
      </c>
      <c r="E204" s="4235"/>
      <c r="F204" s="4235">
        <f t="shared" si="10"/>
        <v>0</v>
      </c>
    </row>
    <row r="205" spans="1:6" s="4236" customFormat="1" ht="14.25" customHeight="1">
      <c r="A205" s="4390">
        <v>3.12</v>
      </c>
      <c r="B205" s="4232" t="s">
        <v>3988</v>
      </c>
      <c r="C205" s="4233">
        <v>1.2</v>
      </c>
      <c r="D205" s="4251" t="s">
        <v>2430</v>
      </c>
      <c r="E205" s="4235"/>
      <c r="F205" s="4235">
        <f t="shared" si="10"/>
        <v>0</v>
      </c>
    </row>
    <row r="206" spans="1:6" s="4236" customFormat="1" ht="14.25" customHeight="1">
      <c r="A206" s="4390">
        <v>3.13</v>
      </c>
      <c r="B206" s="4232" t="s">
        <v>3989</v>
      </c>
      <c r="C206" s="4233">
        <v>1.27</v>
      </c>
      <c r="D206" s="4251" t="s">
        <v>2430</v>
      </c>
      <c r="E206" s="4235"/>
      <c r="F206" s="4235">
        <f t="shared" si="10"/>
        <v>0</v>
      </c>
    </row>
    <row r="207" spans="1:6" s="4236" customFormat="1" ht="14.25" customHeight="1">
      <c r="A207" s="4390">
        <v>3.14</v>
      </c>
      <c r="B207" s="4232" t="s">
        <v>3990</v>
      </c>
      <c r="C207" s="4233">
        <v>0.68</v>
      </c>
      <c r="D207" s="4251" t="s">
        <v>2430</v>
      </c>
      <c r="E207" s="4235"/>
      <c r="F207" s="4235">
        <f t="shared" si="10"/>
        <v>0</v>
      </c>
    </row>
    <row r="208" spans="1:6" s="4236" customFormat="1" ht="14.25" customHeight="1">
      <c r="A208" s="4390">
        <v>3.15</v>
      </c>
      <c r="B208" s="4232" t="s">
        <v>3991</v>
      </c>
      <c r="C208" s="4233">
        <v>1.17</v>
      </c>
      <c r="D208" s="4251" t="s">
        <v>2430</v>
      </c>
      <c r="E208" s="4235"/>
      <c r="F208" s="4235">
        <f t="shared" si="10"/>
        <v>0</v>
      </c>
    </row>
    <row r="209" spans="1:6" s="4236" customFormat="1" ht="14.25" customHeight="1">
      <c r="A209" s="4390">
        <v>3.16</v>
      </c>
      <c r="B209" s="4232" t="s">
        <v>3992</v>
      </c>
      <c r="C209" s="4233">
        <v>1.1200000000000001</v>
      </c>
      <c r="D209" s="4251" t="s">
        <v>2430</v>
      </c>
      <c r="E209" s="4235"/>
      <c r="F209" s="4235">
        <f t="shared" si="10"/>
        <v>0</v>
      </c>
    </row>
    <row r="210" spans="1:6" s="4236" customFormat="1" ht="14.25" customHeight="1">
      <c r="A210" s="4390">
        <v>3.17</v>
      </c>
      <c r="B210" s="4232" t="s">
        <v>3993</v>
      </c>
      <c r="C210" s="4233">
        <v>7.56</v>
      </c>
      <c r="D210" s="4251" t="s">
        <v>2430</v>
      </c>
      <c r="E210" s="4235"/>
      <c r="F210" s="4235">
        <f t="shared" si="10"/>
        <v>0</v>
      </c>
    </row>
    <row r="211" spans="1:6" s="4236" customFormat="1" ht="14.25" customHeight="1">
      <c r="A211" s="4390">
        <v>3.18</v>
      </c>
      <c r="B211" s="4232" t="s">
        <v>3994</v>
      </c>
      <c r="C211" s="4233">
        <v>8.94</v>
      </c>
      <c r="D211" s="4251" t="s">
        <v>2430</v>
      </c>
      <c r="E211" s="4235"/>
      <c r="F211" s="4235">
        <f t="shared" si="10"/>
        <v>0</v>
      </c>
    </row>
    <row r="212" spans="1:6" s="4236" customFormat="1" ht="14.25" customHeight="1">
      <c r="A212" s="4390">
        <v>3.19</v>
      </c>
      <c r="B212" s="4232" t="s">
        <v>3995</v>
      </c>
      <c r="C212" s="4233">
        <v>1.68</v>
      </c>
      <c r="D212" s="4251" t="s">
        <v>2430</v>
      </c>
      <c r="E212" s="4235"/>
      <c r="F212" s="4235">
        <f t="shared" si="10"/>
        <v>0</v>
      </c>
    </row>
    <row r="213" spans="1:6" s="4227" customFormat="1" ht="14.25" customHeight="1">
      <c r="A213" s="4390">
        <v>3.2</v>
      </c>
      <c r="B213" s="4232" t="s">
        <v>3996</v>
      </c>
      <c r="C213" s="4233">
        <v>6.23</v>
      </c>
      <c r="D213" s="4251" t="s">
        <v>2430</v>
      </c>
      <c r="E213" s="4235"/>
      <c r="F213" s="4235">
        <f t="shared" si="10"/>
        <v>0</v>
      </c>
    </row>
    <row r="214" spans="1:6" s="4227" customFormat="1" ht="14.25" customHeight="1">
      <c r="A214" s="4390">
        <v>3.21</v>
      </c>
      <c r="B214" s="4232" t="s">
        <v>3997</v>
      </c>
      <c r="C214" s="4233">
        <v>3.94</v>
      </c>
      <c r="D214" s="4251" t="s">
        <v>2430</v>
      </c>
      <c r="E214" s="4235"/>
      <c r="F214" s="4235">
        <f t="shared" si="10"/>
        <v>0</v>
      </c>
    </row>
    <row r="215" spans="1:6" s="4227" customFormat="1" ht="14.25" customHeight="1">
      <c r="A215" s="4390"/>
      <c r="B215" s="4232"/>
      <c r="C215" s="4233"/>
      <c r="D215" s="4251"/>
      <c r="E215" s="4235"/>
      <c r="F215" s="4235"/>
    </row>
    <row r="216" spans="1:6" ht="15" customHeight="1">
      <c r="A216" s="4391">
        <v>4</v>
      </c>
      <c r="B216" s="4345" t="s">
        <v>784</v>
      </c>
      <c r="C216" s="4233"/>
      <c r="D216" s="4251"/>
      <c r="E216" s="4235"/>
      <c r="F216" s="4235" t="str">
        <f t="shared" si="10"/>
        <v xml:space="preserve"> </v>
      </c>
    </row>
    <row r="217" spans="1:6" s="4227" customFormat="1" ht="14.25" customHeight="1">
      <c r="A217" s="4394">
        <v>4.0999999999999996</v>
      </c>
      <c r="B217" s="4184" t="s">
        <v>3998</v>
      </c>
      <c r="C217" s="4448">
        <v>16.399999999999999</v>
      </c>
      <c r="D217" s="4251" t="s">
        <v>2432</v>
      </c>
      <c r="E217" s="4235"/>
      <c r="F217" s="4235">
        <f t="shared" si="10"/>
        <v>0</v>
      </c>
    </row>
    <row r="218" spans="1:6" s="4227" customFormat="1" ht="14.25" customHeight="1">
      <c r="A218" s="4394">
        <v>4.2</v>
      </c>
      <c r="B218" s="4184" t="s">
        <v>3999</v>
      </c>
      <c r="C218" s="4448">
        <v>190.26</v>
      </c>
      <c r="D218" s="4251" t="s">
        <v>2432</v>
      </c>
      <c r="E218" s="4235"/>
      <c r="F218" s="4235">
        <f t="shared" si="10"/>
        <v>0</v>
      </c>
    </row>
    <row r="219" spans="1:6" s="4227" customFormat="1" ht="14.25" customHeight="1">
      <c r="A219" s="4394">
        <v>4.3</v>
      </c>
      <c r="B219" s="4232" t="s">
        <v>4000</v>
      </c>
      <c r="C219" s="4277">
        <v>22.44</v>
      </c>
      <c r="D219" s="4234" t="s">
        <v>2432</v>
      </c>
      <c r="E219" s="4235"/>
      <c r="F219" s="4235">
        <f t="shared" si="10"/>
        <v>0</v>
      </c>
    </row>
    <row r="220" spans="1:6" ht="14.25" customHeight="1">
      <c r="A220" s="4456"/>
      <c r="B220" s="4452"/>
      <c r="C220" s="4466"/>
      <c r="D220" s="4467"/>
      <c r="E220" s="4468"/>
      <c r="F220" s="4468" t="str">
        <f t="shared" si="10"/>
        <v xml:space="preserve"> </v>
      </c>
    </row>
    <row r="221" spans="1:6" ht="15" customHeight="1">
      <c r="A221" s="4391">
        <v>5</v>
      </c>
      <c r="B221" s="4345" t="s">
        <v>787</v>
      </c>
      <c r="C221" s="4233"/>
      <c r="D221" s="4251"/>
      <c r="E221" s="4235"/>
      <c r="F221" s="4235" t="str">
        <f t="shared" si="10"/>
        <v xml:space="preserve"> </v>
      </c>
    </row>
    <row r="222" spans="1:6" ht="14.25" customHeight="1">
      <c r="A222" s="4394">
        <v>5.0999999999999996</v>
      </c>
      <c r="B222" s="4232" t="s">
        <v>2360</v>
      </c>
      <c r="C222" s="4233">
        <v>521.63</v>
      </c>
      <c r="D222" s="4251" t="s">
        <v>2432</v>
      </c>
      <c r="E222" s="4235"/>
      <c r="F222" s="4235">
        <f t="shared" si="10"/>
        <v>0</v>
      </c>
    </row>
    <row r="223" spans="1:6" ht="14.25" customHeight="1">
      <c r="A223" s="4394">
        <v>5.2</v>
      </c>
      <c r="B223" s="4232" t="s">
        <v>2361</v>
      </c>
      <c r="C223" s="4233">
        <v>73.92</v>
      </c>
      <c r="D223" s="4251" t="s">
        <v>2432</v>
      </c>
      <c r="E223" s="4235"/>
      <c r="F223" s="4235">
        <f t="shared" si="10"/>
        <v>0</v>
      </c>
    </row>
    <row r="224" spans="1:6" ht="14.25" customHeight="1">
      <c r="A224" s="4394">
        <v>5.3</v>
      </c>
      <c r="B224" s="4232" t="s">
        <v>3539</v>
      </c>
      <c r="C224" s="4233">
        <v>33.200000000000003</v>
      </c>
      <c r="D224" s="4251" t="s">
        <v>2432</v>
      </c>
      <c r="E224" s="4235"/>
      <c r="F224" s="4235">
        <f t="shared" si="10"/>
        <v>0</v>
      </c>
    </row>
    <row r="225" spans="1:6" ht="14.25" customHeight="1">
      <c r="A225" s="4394">
        <v>5.4</v>
      </c>
      <c r="B225" s="4232" t="s">
        <v>1548</v>
      </c>
      <c r="C225" s="4233">
        <v>478.68</v>
      </c>
      <c r="D225" s="4251" t="s">
        <v>1</v>
      </c>
      <c r="E225" s="4235"/>
      <c r="F225" s="4235">
        <f t="shared" si="10"/>
        <v>0</v>
      </c>
    </row>
    <row r="226" spans="1:6" ht="14.25" customHeight="1">
      <c r="A226" s="4394">
        <v>5.5</v>
      </c>
      <c r="B226" s="4232" t="s">
        <v>2362</v>
      </c>
      <c r="C226" s="4233">
        <v>33.799999999999997</v>
      </c>
      <c r="D226" s="4251" t="s">
        <v>1</v>
      </c>
      <c r="E226" s="4235"/>
      <c r="F226" s="4235">
        <f t="shared" si="10"/>
        <v>0</v>
      </c>
    </row>
    <row r="227" spans="1:6" ht="14.25" customHeight="1">
      <c r="A227" s="4394">
        <v>5.6</v>
      </c>
      <c r="B227" s="4232" t="s">
        <v>2363</v>
      </c>
      <c r="C227" s="3540">
        <v>3.11</v>
      </c>
      <c r="D227" s="4234" t="s">
        <v>2432</v>
      </c>
      <c r="E227" s="4235"/>
      <c r="F227" s="4235">
        <f t="shared" si="10"/>
        <v>0</v>
      </c>
    </row>
    <row r="228" spans="1:6" ht="14.25" customHeight="1">
      <c r="A228" s="4394">
        <v>5.7</v>
      </c>
      <c r="B228" s="4232" t="s">
        <v>2364</v>
      </c>
      <c r="C228" s="4233">
        <v>15.18</v>
      </c>
      <c r="D228" s="4251" t="s">
        <v>2432</v>
      </c>
      <c r="E228" s="4235"/>
      <c r="F228" s="4235">
        <f t="shared" si="10"/>
        <v>0</v>
      </c>
    </row>
    <row r="229" spans="1:6" ht="14.25" customHeight="1">
      <c r="A229" s="4394">
        <v>5.8</v>
      </c>
      <c r="B229" s="4232" t="s">
        <v>2365</v>
      </c>
      <c r="C229" s="4233">
        <v>4.95</v>
      </c>
      <c r="D229" s="4251" t="s">
        <v>2432</v>
      </c>
      <c r="E229" s="4235"/>
      <c r="F229" s="4235">
        <f t="shared" si="10"/>
        <v>0</v>
      </c>
    </row>
    <row r="230" spans="1:6" s="4227" customFormat="1" ht="14.25" customHeight="1">
      <c r="A230" s="4394">
        <v>5.9</v>
      </c>
      <c r="B230" s="4232" t="s">
        <v>2366</v>
      </c>
      <c r="C230" s="4233">
        <v>20.13</v>
      </c>
      <c r="D230" s="4251" t="s">
        <v>2432</v>
      </c>
      <c r="E230" s="4235"/>
      <c r="F230" s="4235">
        <f t="shared" si="10"/>
        <v>0</v>
      </c>
    </row>
    <row r="231" spans="1:6" ht="14.25" customHeight="1">
      <c r="A231" s="4390">
        <v>5.0999999999999996</v>
      </c>
      <c r="B231" s="4232" t="s">
        <v>2367</v>
      </c>
      <c r="C231" s="4233">
        <v>98.88</v>
      </c>
      <c r="D231" s="4251" t="s">
        <v>2432</v>
      </c>
      <c r="E231" s="4235"/>
      <c r="F231" s="4235">
        <f t="shared" si="10"/>
        <v>0</v>
      </c>
    </row>
    <row r="232" spans="1:6" ht="14.25" customHeight="1">
      <c r="A232" s="4390">
        <v>5.1100000000000003</v>
      </c>
      <c r="B232" s="4232" t="s">
        <v>2368</v>
      </c>
      <c r="C232" s="4233">
        <v>77.150000000000006</v>
      </c>
      <c r="D232" s="4251" t="s">
        <v>1</v>
      </c>
      <c r="E232" s="4235"/>
      <c r="F232" s="4235">
        <f t="shared" si="10"/>
        <v>0</v>
      </c>
    </row>
    <row r="233" spans="1:6" ht="14.25" customHeight="1">
      <c r="A233" s="4390">
        <v>5.12</v>
      </c>
      <c r="B233" s="4232" t="s">
        <v>2369</v>
      </c>
      <c r="C233" s="4233">
        <v>598.66</v>
      </c>
      <c r="D233" s="4251" t="s">
        <v>2432</v>
      </c>
      <c r="E233" s="4235"/>
      <c r="F233" s="4235">
        <f t="shared" si="10"/>
        <v>0</v>
      </c>
    </row>
    <row r="234" spans="1:6" ht="14.25" customHeight="1">
      <c r="A234" s="4390">
        <v>5.13</v>
      </c>
      <c r="B234" s="4232" t="s">
        <v>2352</v>
      </c>
      <c r="C234" s="4233">
        <v>598.66</v>
      </c>
      <c r="D234" s="4251" t="s">
        <v>2432</v>
      </c>
      <c r="E234" s="4235"/>
      <c r="F234" s="4235">
        <f t="shared" si="10"/>
        <v>0</v>
      </c>
    </row>
    <row r="235" spans="1:6" ht="14.25" customHeight="1">
      <c r="A235" s="4390">
        <v>5.14</v>
      </c>
      <c r="B235" s="4232" t="s">
        <v>2346</v>
      </c>
      <c r="C235" s="4233">
        <v>27.84</v>
      </c>
      <c r="D235" s="4251" t="s">
        <v>2432</v>
      </c>
      <c r="E235" s="4235"/>
      <c r="F235" s="4235">
        <f t="shared" si="10"/>
        <v>0</v>
      </c>
    </row>
    <row r="236" spans="1:6" ht="14.25" customHeight="1">
      <c r="A236" s="4390"/>
      <c r="B236" s="4232"/>
      <c r="C236" s="4233"/>
      <c r="D236" s="4251"/>
      <c r="E236" s="4235"/>
      <c r="F236" s="4235" t="str">
        <f t="shared" si="10"/>
        <v xml:space="preserve"> </v>
      </c>
    </row>
    <row r="237" spans="1:6" ht="15" customHeight="1">
      <c r="A237" s="4391">
        <v>6</v>
      </c>
      <c r="B237" s="4345" t="s">
        <v>2743</v>
      </c>
      <c r="C237" s="4233"/>
      <c r="D237" s="4251"/>
      <c r="E237" s="4235"/>
      <c r="F237" s="4235" t="str">
        <f t="shared" si="10"/>
        <v xml:space="preserve"> </v>
      </c>
    </row>
    <row r="238" spans="1:6" s="4227" customFormat="1" ht="14.25" customHeight="1">
      <c r="A238" s="4394">
        <v>6.1</v>
      </c>
      <c r="B238" s="4232" t="s">
        <v>2937</v>
      </c>
      <c r="C238" s="4233">
        <v>5</v>
      </c>
      <c r="D238" s="4234" t="s">
        <v>2433</v>
      </c>
      <c r="E238" s="4235"/>
      <c r="F238" s="4235">
        <f t="shared" si="10"/>
        <v>0</v>
      </c>
    </row>
    <row r="239" spans="1:6" s="4227" customFormat="1" ht="14.25" customHeight="1">
      <c r="A239" s="4394">
        <v>6.2</v>
      </c>
      <c r="B239" s="4232" t="s">
        <v>3617</v>
      </c>
      <c r="C239" s="4233">
        <v>1</v>
      </c>
      <c r="D239" s="4234" t="s">
        <v>2433</v>
      </c>
      <c r="E239" s="4235"/>
      <c r="F239" s="4235">
        <f t="shared" si="10"/>
        <v>0</v>
      </c>
    </row>
    <row r="240" spans="1:6" s="4227" customFormat="1" ht="14.25" customHeight="1">
      <c r="A240" s="4394">
        <v>6.3</v>
      </c>
      <c r="B240" s="4212" t="s">
        <v>3618</v>
      </c>
      <c r="C240" s="4235">
        <v>185.26</v>
      </c>
      <c r="D240" s="4234" t="s">
        <v>2602</v>
      </c>
      <c r="E240" s="4235"/>
      <c r="F240" s="4235">
        <f t="shared" si="10"/>
        <v>0</v>
      </c>
    </row>
    <row r="241" spans="1:6" ht="14.25" customHeight="1">
      <c r="A241" s="4390"/>
      <c r="B241" s="4232"/>
      <c r="C241" s="4233"/>
      <c r="D241" s="4251"/>
      <c r="E241" s="4235"/>
      <c r="F241" s="4235" t="str">
        <f t="shared" si="10"/>
        <v xml:space="preserve"> </v>
      </c>
    </row>
    <row r="242" spans="1:6" ht="15" customHeight="1">
      <c r="A242" s="4391">
        <v>7</v>
      </c>
      <c r="B242" s="4345" t="s">
        <v>3722</v>
      </c>
      <c r="C242" s="4233"/>
      <c r="D242" s="4251"/>
      <c r="E242" s="4235"/>
      <c r="F242" s="4235" t="str">
        <f t="shared" si="10"/>
        <v xml:space="preserve"> </v>
      </c>
    </row>
    <row r="243" spans="1:6" s="4227" customFormat="1" ht="14.25" customHeight="1">
      <c r="A243" s="4394">
        <v>7.1</v>
      </c>
      <c r="B243" s="4232" t="s">
        <v>2370</v>
      </c>
      <c r="C243" s="4233">
        <v>3</v>
      </c>
      <c r="D243" s="4234" t="s">
        <v>2433</v>
      </c>
      <c r="E243" s="4233"/>
      <c r="F243" s="4235">
        <f t="shared" si="10"/>
        <v>0</v>
      </c>
    </row>
    <row r="244" spans="1:6" ht="71.25" customHeight="1">
      <c r="A244" s="4394">
        <v>7.2</v>
      </c>
      <c r="B244" s="4206" t="s">
        <v>4001</v>
      </c>
      <c r="C244" s="4233">
        <v>2</v>
      </c>
      <c r="D244" s="4234" t="s">
        <v>2433</v>
      </c>
      <c r="E244" s="4347"/>
      <c r="F244" s="4235">
        <f t="shared" si="10"/>
        <v>0</v>
      </c>
    </row>
    <row r="245" spans="1:6" ht="14.25" customHeight="1">
      <c r="A245" s="4394">
        <v>7.3</v>
      </c>
      <c r="B245" s="4232" t="s">
        <v>2371</v>
      </c>
      <c r="C245" s="4233">
        <v>1</v>
      </c>
      <c r="D245" s="4234" t="s">
        <v>2433</v>
      </c>
      <c r="E245" s="4235"/>
      <c r="F245" s="4235">
        <f t="shared" si="10"/>
        <v>0</v>
      </c>
    </row>
    <row r="246" spans="1:6" s="4227" customFormat="1" ht="57" customHeight="1">
      <c r="A246" s="4394">
        <v>7.4</v>
      </c>
      <c r="B246" s="4206" t="s">
        <v>3619</v>
      </c>
      <c r="C246" s="4233">
        <v>2</v>
      </c>
      <c r="D246" s="4234" t="s">
        <v>2433</v>
      </c>
      <c r="E246" s="4235"/>
      <c r="F246" s="4235">
        <f t="shared" si="10"/>
        <v>0</v>
      </c>
    </row>
    <row r="247" spans="1:6" s="3532" customFormat="1" ht="15.75" customHeight="1">
      <c r="A247" s="4394">
        <v>7.5</v>
      </c>
      <c r="B247" s="4232" t="s">
        <v>3620</v>
      </c>
      <c r="C247" s="4233">
        <v>1</v>
      </c>
      <c r="D247" s="4234" t="s">
        <v>2433</v>
      </c>
      <c r="E247" s="4235"/>
      <c r="F247" s="4235">
        <f t="shared" si="10"/>
        <v>0</v>
      </c>
    </row>
    <row r="248" spans="1:6" s="3532" customFormat="1" ht="28.5" customHeight="1">
      <c r="A248" s="4394">
        <v>7.6</v>
      </c>
      <c r="B248" s="4232" t="s">
        <v>3621</v>
      </c>
      <c r="C248" s="4233">
        <v>1</v>
      </c>
      <c r="D248" s="4251" t="s">
        <v>42</v>
      </c>
      <c r="E248" s="4235"/>
      <c r="F248" s="4235">
        <f t="shared" si="10"/>
        <v>0</v>
      </c>
    </row>
    <row r="249" spans="1:6" s="4227" customFormat="1" ht="14.25" customHeight="1">
      <c r="A249" s="4394">
        <v>7.7</v>
      </c>
      <c r="B249" s="4212" t="s">
        <v>4002</v>
      </c>
      <c r="C249" s="4233">
        <v>1</v>
      </c>
      <c r="D249" s="4234" t="s">
        <v>2433</v>
      </c>
      <c r="E249" s="4235"/>
      <c r="F249" s="4235">
        <f t="shared" si="10"/>
        <v>0</v>
      </c>
    </row>
    <row r="250" spans="1:6" ht="14.25" customHeight="1">
      <c r="A250" s="4390"/>
      <c r="B250" s="4232"/>
      <c r="C250" s="4233"/>
      <c r="D250" s="4251"/>
      <c r="E250" s="4235"/>
      <c r="F250" s="4235" t="str">
        <f t="shared" si="10"/>
        <v xml:space="preserve"> </v>
      </c>
    </row>
    <row r="251" spans="1:6" ht="15" customHeight="1">
      <c r="A251" s="4391">
        <v>8</v>
      </c>
      <c r="B251" s="4345" t="s">
        <v>808</v>
      </c>
      <c r="C251" s="4233"/>
      <c r="D251" s="4251"/>
      <c r="E251" s="4235"/>
      <c r="F251" s="4235" t="str">
        <f t="shared" ref="F251" si="11">IF(C251&gt;0,(ROUND((E251*C251),2))," ")</f>
        <v xml:space="preserve"> </v>
      </c>
    </row>
    <row r="252" spans="1:6" ht="15" customHeight="1">
      <c r="A252" s="4391"/>
      <c r="B252" s="4207" t="s">
        <v>2028</v>
      </c>
      <c r="C252" s="4208"/>
      <c r="D252" s="4194"/>
      <c r="E252" s="4449"/>
      <c r="F252" s="4235"/>
    </row>
    <row r="253" spans="1:6" ht="15" customHeight="1">
      <c r="A253" s="4391"/>
      <c r="B253" s="4212" t="s">
        <v>4003</v>
      </c>
      <c r="C253" s="4191">
        <v>1</v>
      </c>
      <c r="D253" s="4194" t="s">
        <v>2433</v>
      </c>
      <c r="E253" s="4210"/>
      <c r="F253" s="4235">
        <f t="shared" ref="F253:F292" si="12">IF(C253&gt;0,(ROUND((E253*C253),2))," ")</f>
        <v>0</v>
      </c>
    </row>
    <row r="254" spans="1:6" ht="15" customHeight="1">
      <c r="A254" s="4391"/>
      <c r="B254" s="4212" t="s">
        <v>4004</v>
      </c>
      <c r="C254" s="4191">
        <v>36</v>
      </c>
      <c r="D254" s="4194" t="s">
        <v>2433</v>
      </c>
      <c r="E254" s="4210"/>
      <c r="F254" s="4235">
        <f t="shared" si="12"/>
        <v>0</v>
      </c>
    </row>
    <row r="255" spans="1:6" ht="15" customHeight="1">
      <c r="A255" s="4391"/>
      <c r="B255" s="4212" t="s">
        <v>4005</v>
      </c>
      <c r="C255" s="4191">
        <v>6</v>
      </c>
      <c r="D255" s="4194" t="s">
        <v>2433</v>
      </c>
      <c r="E255" s="4210"/>
      <c r="F255" s="4235">
        <f t="shared" si="12"/>
        <v>0</v>
      </c>
    </row>
    <row r="256" spans="1:6" ht="15" customHeight="1">
      <c r="A256" s="4391"/>
      <c r="B256" s="4212" t="s">
        <v>4006</v>
      </c>
      <c r="C256" s="4191">
        <v>1</v>
      </c>
      <c r="D256" s="4194" t="s">
        <v>2433</v>
      </c>
      <c r="E256" s="4210"/>
      <c r="F256" s="4235">
        <f t="shared" si="12"/>
        <v>0</v>
      </c>
    </row>
    <row r="257" spans="1:6" ht="15" customHeight="1">
      <c r="A257" s="4391"/>
      <c r="B257" s="4212" t="s">
        <v>4007</v>
      </c>
      <c r="C257" s="4191">
        <v>6</v>
      </c>
      <c r="D257" s="4194" t="s">
        <v>2433</v>
      </c>
      <c r="E257" s="4210"/>
      <c r="F257" s="4235">
        <f t="shared" si="12"/>
        <v>0</v>
      </c>
    </row>
    <row r="258" spans="1:6" ht="15" customHeight="1">
      <c r="A258" s="4391"/>
      <c r="B258" s="4212" t="s">
        <v>4008</v>
      </c>
      <c r="C258" s="4191">
        <v>3</v>
      </c>
      <c r="D258" s="4194" t="s">
        <v>2433</v>
      </c>
      <c r="E258" s="4210"/>
      <c r="F258" s="4235">
        <f t="shared" si="12"/>
        <v>0</v>
      </c>
    </row>
    <row r="259" spans="1:6" ht="15" customHeight="1">
      <c r="A259" s="4391"/>
      <c r="B259" s="4212" t="s">
        <v>4009</v>
      </c>
      <c r="C259" s="4191">
        <v>8</v>
      </c>
      <c r="D259" s="4194" t="s">
        <v>2433</v>
      </c>
      <c r="E259" s="4210"/>
      <c r="F259" s="4235">
        <f t="shared" si="12"/>
        <v>0</v>
      </c>
    </row>
    <row r="260" spans="1:6" ht="15" customHeight="1">
      <c r="A260" s="4391"/>
      <c r="B260" s="4212" t="s">
        <v>4010</v>
      </c>
      <c r="C260" s="4191">
        <v>7</v>
      </c>
      <c r="D260" s="4194" t="s">
        <v>2433</v>
      </c>
      <c r="E260" s="4210"/>
      <c r="F260" s="4235">
        <f t="shared" si="12"/>
        <v>0</v>
      </c>
    </row>
    <row r="261" spans="1:6" ht="15" customHeight="1">
      <c r="A261" s="4391"/>
      <c r="B261" s="4212" t="s">
        <v>4011</v>
      </c>
      <c r="C261" s="4191">
        <v>5</v>
      </c>
      <c r="D261" s="4194" t="s">
        <v>2433</v>
      </c>
      <c r="E261" s="4210"/>
      <c r="F261" s="4235">
        <f t="shared" si="12"/>
        <v>0</v>
      </c>
    </row>
    <row r="262" spans="1:6" ht="15" customHeight="1">
      <c r="A262" s="4391"/>
      <c r="B262" s="4212" t="s">
        <v>4012</v>
      </c>
      <c r="C262" s="4191">
        <v>1</v>
      </c>
      <c r="D262" s="4218" t="s">
        <v>42</v>
      </c>
      <c r="E262" s="4210"/>
      <c r="F262" s="4235">
        <f t="shared" si="12"/>
        <v>0</v>
      </c>
    </row>
    <row r="263" spans="1:6" ht="15" customHeight="1">
      <c r="A263" s="4391"/>
      <c r="B263" s="4212" t="s">
        <v>4013</v>
      </c>
      <c r="C263" s="4208">
        <v>16</v>
      </c>
      <c r="D263" s="4194" t="s">
        <v>2433</v>
      </c>
      <c r="E263" s="4361"/>
      <c r="F263" s="4235">
        <f t="shared" si="12"/>
        <v>0</v>
      </c>
    </row>
    <row r="264" spans="1:6" ht="15" customHeight="1">
      <c r="A264" s="4465"/>
      <c r="B264" s="4476" t="s">
        <v>4014</v>
      </c>
      <c r="C264" s="4477">
        <v>1</v>
      </c>
      <c r="D264" s="4478" t="s">
        <v>2433</v>
      </c>
      <c r="E264" s="4479"/>
      <c r="F264" s="4468">
        <f t="shared" si="12"/>
        <v>0</v>
      </c>
    </row>
    <row r="265" spans="1:6" ht="15" customHeight="1">
      <c r="A265" s="4391"/>
      <c r="B265" s="4212" t="s">
        <v>4015</v>
      </c>
      <c r="C265" s="4191">
        <v>8</v>
      </c>
      <c r="D265" s="4194" t="s">
        <v>2433</v>
      </c>
      <c r="E265" s="4210"/>
      <c r="F265" s="4235">
        <f t="shared" si="12"/>
        <v>0</v>
      </c>
    </row>
    <row r="266" spans="1:6" ht="15" customHeight="1">
      <c r="A266" s="4391"/>
      <c r="B266" s="4212" t="s">
        <v>4016</v>
      </c>
      <c r="C266" s="4191">
        <v>2</v>
      </c>
      <c r="D266" s="4194" t="s">
        <v>2433</v>
      </c>
      <c r="E266" s="4210"/>
      <c r="F266" s="4235">
        <f t="shared" si="12"/>
        <v>0</v>
      </c>
    </row>
    <row r="267" spans="1:6" ht="15" customHeight="1">
      <c r="A267" s="4391"/>
      <c r="B267" s="4212" t="s">
        <v>4017</v>
      </c>
      <c r="C267" s="4191">
        <v>5</v>
      </c>
      <c r="D267" s="4194" t="s">
        <v>3970</v>
      </c>
      <c r="E267" s="4210"/>
      <c r="F267" s="4235">
        <f t="shared" si="12"/>
        <v>0</v>
      </c>
    </row>
    <row r="268" spans="1:6" ht="15" customHeight="1">
      <c r="A268" s="4391"/>
      <c r="B268" s="4212" t="s">
        <v>4018</v>
      </c>
      <c r="C268" s="4191">
        <v>4</v>
      </c>
      <c r="D268" s="4194" t="s">
        <v>2433</v>
      </c>
      <c r="E268" s="4210"/>
      <c r="F268" s="4235">
        <f t="shared" si="12"/>
        <v>0</v>
      </c>
    </row>
    <row r="269" spans="1:6" ht="30" customHeight="1">
      <c r="A269" s="4394"/>
      <c r="B269" s="4212" t="s">
        <v>4019</v>
      </c>
      <c r="C269" s="4191">
        <v>1</v>
      </c>
      <c r="D269" s="4194" t="s">
        <v>2433</v>
      </c>
      <c r="E269" s="4210"/>
      <c r="F269" s="4235">
        <f t="shared" si="12"/>
        <v>0</v>
      </c>
    </row>
    <row r="270" spans="1:6" ht="30" customHeight="1">
      <c r="A270" s="4394"/>
      <c r="B270" s="3563" t="s">
        <v>4020</v>
      </c>
      <c r="C270" s="4191">
        <v>1</v>
      </c>
      <c r="D270" s="4194" t="s">
        <v>2433</v>
      </c>
      <c r="E270" s="4347"/>
      <c r="F270" s="4235">
        <f t="shared" si="12"/>
        <v>0</v>
      </c>
    </row>
    <row r="271" spans="1:6" ht="15" customHeight="1">
      <c r="A271" s="4391">
        <v>9</v>
      </c>
      <c r="B271" s="4345" t="s">
        <v>824</v>
      </c>
      <c r="C271" s="4233"/>
      <c r="D271" s="4251"/>
      <c r="E271" s="4235"/>
      <c r="F271" s="4235" t="str">
        <f t="shared" si="12"/>
        <v xml:space="preserve"> </v>
      </c>
    </row>
    <row r="272" spans="1:6" ht="14.25" customHeight="1">
      <c r="A272" s="4394">
        <v>9.1</v>
      </c>
      <c r="B272" s="4232" t="s">
        <v>2377</v>
      </c>
      <c r="C272" s="4233">
        <v>1.6</v>
      </c>
      <c r="D272" s="4251" t="s">
        <v>1</v>
      </c>
      <c r="E272" s="4235"/>
      <c r="F272" s="4235">
        <f t="shared" si="12"/>
        <v>0</v>
      </c>
    </row>
    <row r="273" spans="1:6" ht="14.25" customHeight="1">
      <c r="A273" s="4394">
        <v>9.1999999999999993</v>
      </c>
      <c r="B273" s="4232" t="s">
        <v>2378</v>
      </c>
      <c r="C273" s="4233">
        <v>3</v>
      </c>
      <c r="D273" s="4251" t="s">
        <v>1</v>
      </c>
      <c r="E273" s="4235"/>
      <c r="F273" s="4235">
        <f t="shared" si="12"/>
        <v>0</v>
      </c>
    </row>
    <row r="274" spans="1:6" ht="14.25" customHeight="1">
      <c r="A274" s="4394">
        <v>9.3000000000000007</v>
      </c>
      <c r="B274" s="4232" t="s">
        <v>2379</v>
      </c>
      <c r="C274" s="4233">
        <v>1.8</v>
      </c>
      <c r="D274" s="4251" t="s">
        <v>2432</v>
      </c>
      <c r="E274" s="4235"/>
      <c r="F274" s="4235">
        <f t="shared" si="12"/>
        <v>0</v>
      </c>
    </row>
    <row r="275" spans="1:6" ht="14.25" customHeight="1">
      <c r="A275" s="4390"/>
      <c r="B275" s="4232"/>
      <c r="C275" s="4233"/>
      <c r="D275" s="4251"/>
      <c r="E275" s="4235"/>
      <c r="F275" s="4235" t="str">
        <f t="shared" si="12"/>
        <v xml:space="preserve"> </v>
      </c>
    </row>
    <row r="276" spans="1:6" ht="15" customHeight="1">
      <c r="A276" s="4391">
        <v>10</v>
      </c>
      <c r="B276" s="4345" t="s">
        <v>2065</v>
      </c>
      <c r="C276" s="4233"/>
      <c r="D276" s="4251"/>
      <c r="E276" s="4235"/>
      <c r="F276" s="4235" t="str">
        <f t="shared" si="12"/>
        <v xml:space="preserve"> </v>
      </c>
    </row>
    <row r="277" spans="1:6" ht="14.25" customHeight="1">
      <c r="A277" s="4394">
        <v>10.1</v>
      </c>
      <c r="B277" s="4212" t="s">
        <v>3629</v>
      </c>
      <c r="C277" s="4191">
        <v>1</v>
      </c>
      <c r="D277" s="4194" t="s">
        <v>2433</v>
      </c>
      <c r="E277" s="4210"/>
      <c r="F277" s="4235">
        <f t="shared" si="12"/>
        <v>0</v>
      </c>
    </row>
    <row r="278" spans="1:6" ht="14.25" customHeight="1">
      <c r="A278" s="4394">
        <v>10.199999999999999</v>
      </c>
      <c r="B278" s="4212" t="s">
        <v>3630</v>
      </c>
      <c r="C278" s="4191">
        <v>1</v>
      </c>
      <c r="D278" s="4194" t="s">
        <v>2433</v>
      </c>
      <c r="E278" s="4210"/>
      <c r="F278" s="4235">
        <f t="shared" si="12"/>
        <v>0</v>
      </c>
    </row>
    <row r="279" spans="1:6" ht="14.25" customHeight="1">
      <c r="A279" s="4394">
        <v>10.3</v>
      </c>
      <c r="B279" s="4212" t="s">
        <v>3631</v>
      </c>
      <c r="C279" s="4191">
        <v>1</v>
      </c>
      <c r="D279" s="4194" t="s">
        <v>2433</v>
      </c>
      <c r="E279" s="4210"/>
      <c r="F279" s="4235">
        <f t="shared" si="12"/>
        <v>0</v>
      </c>
    </row>
    <row r="280" spans="1:6" ht="14.25" customHeight="1">
      <c r="A280" s="4394">
        <v>10.4</v>
      </c>
      <c r="B280" s="4212" t="s">
        <v>2380</v>
      </c>
      <c r="C280" s="4191">
        <v>2</v>
      </c>
      <c r="D280" s="4194" t="s">
        <v>2433</v>
      </c>
      <c r="E280" s="4210"/>
      <c r="F280" s="4235">
        <f t="shared" si="12"/>
        <v>0</v>
      </c>
    </row>
    <row r="281" spans="1:6" ht="14.25" customHeight="1">
      <c r="A281" s="4394">
        <v>10.5</v>
      </c>
      <c r="B281" s="4212" t="s">
        <v>3632</v>
      </c>
      <c r="C281" s="4191">
        <v>2</v>
      </c>
      <c r="D281" s="4194" t="s">
        <v>2433</v>
      </c>
      <c r="E281" s="4210"/>
      <c r="F281" s="4235">
        <f t="shared" si="12"/>
        <v>0</v>
      </c>
    </row>
    <row r="282" spans="1:6" ht="14.25" customHeight="1">
      <c r="A282" s="4394">
        <v>10.6</v>
      </c>
      <c r="B282" s="4314" t="s">
        <v>2381</v>
      </c>
      <c r="C282" s="4315">
        <v>12</v>
      </c>
      <c r="D282" s="4316" t="s">
        <v>2433</v>
      </c>
      <c r="E282" s="4317"/>
      <c r="F282" s="4235">
        <f t="shared" si="12"/>
        <v>0</v>
      </c>
    </row>
    <row r="283" spans="1:6" ht="14.25" customHeight="1">
      <c r="A283" s="4394">
        <v>10.7</v>
      </c>
      <c r="B283" s="4212" t="s">
        <v>2382</v>
      </c>
      <c r="C283" s="4191">
        <v>2</v>
      </c>
      <c r="D283" s="4194" t="s">
        <v>2433</v>
      </c>
      <c r="E283" s="4210"/>
      <c r="F283" s="4235">
        <f t="shared" si="12"/>
        <v>0</v>
      </c>
    </row>
    <row r="284" spans="1:6" ht="14.25" customHeight="1">
      <c r="A284" s="4394">
        <v>10.8</v>
      </c>
      <c r="B284" s="4212" t="s">
        <v>2383</v>
      </c>
      <c r="C284" s="4191">
        <v>1</v>
      </c>
      <c r="D284" s="4194" t="s">
        <v>2433</v>
      </c>
      <c r="E284" s="4210"/>
      <c r="F284" s="4235">
        <f t="shared" si="12"/>
        <v>0</v>
      </c>
    </row>
    <row r="285" spans="1:6" ht="13.5" customHeight="1">
      <c r="A285" s="4394">
        <v>10.9</v>
      </c>
      <c r="B285" s="4212" t="s">
        <v>2384</v>
      </c>
      <c r="C285" s="4191">
        <v>1</v>
      </c>
      <c r="D285" s="4194" t="s">
        <v>2433</v>
      </c>
      <c r="E285" s="4210"/>
      <c r="F285" s="4235">
        <f t="shared" si="12"/>
        <v>0</v>
      </c>
    </row>
    <row r="286" spans="1:6" ht="75.75" customHeight="1">
      <c r="A286" s="4390">
        <v>10.1</v>
      </c>
      <c r="B286" s="4206" t="s">
        <v>3957</v>
      </c>
      <c r="C286" s="4191">
        <v>1</v>
      </c>
      <c r="D286" s="4194" t="s">
        <v>2433</v>
      </c>
      <c r="E286" s="4210"/>
      <c r="F286" s="4235">
        <f t="shared" si="12"/>
        <v>0</v>
      </c>
    </row>
    <row r="287" spans="1:6" ht="14.25" customHeight="1">
      <c r="A287" s="4390"/>
      <c r="B287" s="4232"/>
      <c r="C287" s="4233"/>
      <c r="D287" s="4251"/>
      <c r="E287" s="4235"/>
      <c r="F287" s="4235" t="str">
        <f t="shared" si="12"/>
        <v xml:space="preserve"> </v>
      </c>
    </row>
    <row r="288" spans="1:6" ht="15" customHeight="1">
      <c r="A288" s="4391">
        <v>11</v>
      </c>
      <c r="B288" s="4345" t="s">
        <v>833</v>
      </c>
      <c r="C288" s="4233"/>
      <c r="D288" s="4251"/>
      <c r="E288" s="4235"/>
      <c r="F288" s="4235" t="str">
        <f t="shared" si="12"/>
        <v xml:space="preserve"> </v>
      </c>
    </row>
    <row r="289" spans="1:6" ht="14.25" customHeight="1">
      <c r="A289" s="4394">
        <v>11.1</v>
      </c>
      <c r="B289" s="4212" t="s">
        <v>3633</v>
      </c>
      <c r="C289" s="4191">
        <v>3</v>
      </c>
      <c r="D289" s="4194" t="s">
        <v>2433</v>
      </c>
      <c r="E289" s="4210"/>
      <c r="F289" s="4235">
        <f t="shared" si="12"/>
        <v>0</v>
      </c>
    </row>
    <row r="290" spans="1:6" ht="14.25" customHeight="1">
      <c r="A290" s="4394">
        <v>11.2</v>
      </c>
      <c r="B290" s="4212" t="s">
        <v>3634</v>
      </c>
      <c r="C290" s="4191">
        <v>1</v>
      </c>
      <c r="D290" s="4194" t="s">
        <v>2433</v>
      </c>
      <c r="E290" s="4318"/>
      <c r="F290" s="4235">
        <f t="shared" si="12"/>
        <v>0</v>
      </c>
    </row>
    <row r="291" spans="1:6" ht="14.25" customHeight="1">
      <c r="A291" s="4394">
        <v>11.3</v>
      </c>
      <c r="B291" s="4212" t="s">
        <v>3635</v>
      </c>
      <c r="C291" s="4191">
        <v>1</v>
      </c>
      <c r="D291" s="4194" t="s">
        <v>2433</v>
      </c>
      <c r="E291" s="4318"/>
      <c r="F291" s="4235">
        <f t="shared" si="12"/>
        <v>0</v>
      </c>
    </row>
    <row r="292" spans="1:6" ht="14.25" customHeight="1">
      <c r="A292" s="4394">
        <v>11.4</v>
      </c>
      <c r="B292" s="4212" t="s">
        <v>3636</v>
      </c>
      <c r="C292" s="4191">
        <v>2</v>
      </c>
      <c r="D292" s="4194" t="s">
        <v>2433</v>
      </c>
      <c r="E292" s="4318"/>
      <c r="F292" s="4235">
        <f t="shared" si="12"/>
        <v>0</v>
      </c>
    </row>
    <row r="293" spans="1:6" ht="14.25" customHeight="1">
      <c r="A293" s="4390"/>
      <c r="B293" s="4212"/>
      <c r="C293" s="4191"/>
      <c r="D293" s="4194"/>
      <c r="E293" s="4318"/>
      <c r="F293" s="4235"/>
    </row>
    <row r="294" spans="1:6" ht="15" customHeight="1">
      <c r="A294" s="4391">
        <v>12</v>
      </c>
      <c r="B294" s="3435" t="s">
        <v>2073</v>
      </c>
      <c r="C294" s="4233"/>
      <c r="D294" s="4251"/>
      <c r="E294" s="4235"/>
      <c r="F294" s="4235" t="str">
        <f t="shared" ref="F294:F314" si="13">IF(C294&gt;0,(ROUND((E294*C294),2))," ")</f>
        <v xml:space="preserve"> </v>
      </c>
    </row>
    <row r="295" spans="1:6" ht="14.25" customHeight="1">
      <c r="A295" s="4394">
        <v>12.1</v>
      </c>
      <c r="B295" s="3563" t="s">
        <v>2385</v>
      </c>
      <c r="C295" s="4319">
        <v>2</v>
      </c>
      <c r="D295" s="4320" t="s">
        <v>2433</v>
      </c>
      <c r="E295" s="4318"/>
      <c r="F295" s="4235">
        <f t="shared" si="13"/>
        <v>0</v>
      </c>
    </row>
    <row r="296" spans="1:6" ht="14.25" customHeight="1">
      <c r="A296" s="4394">
        <v>12.2</v>
      </c>
      <c r="B296" s="3563" t="s">
        <v>2386</v>
      </c>
      <c r="C296" s="4319">
        <v>4</v>
      </c>
      <c r="D296" s="4320" t="s">
        <v>2433</v>
      </c>
      <c r="E296" s="4318"/>
      <c r="F296" s="4235">
        <f t="shared" si="13"/>
        <v>0</v>
      </c>
    </row>
    <row r="297" spans="1:6" ht="14.25" customHeight="1">
      <c r="A297" s="4394">
        <v>12.3</v>
      </c>
      <c r="B297" s="3563" t="s">
        <v>2387</v>
      </c>
      <c r="C297" s="4319">
        <v>4</v>
      </c>
      <c r="D297" s="4320" t="s">
        <v>2433</v>
      </c>
      <c r="E297" s="4318"/>
      <c r="F297" s="4235">
        <f t="shared" si="13"/>
        <v>0</v>
      </c>
    </row>
    <row r="298" spans="1:6" ht="14.25" customHeight="1">
      <c r="A298" s="4394">
        <v>12.4</v>
      </c>
      <c r="B298" s="3563" t="s">
        <v>3637</v>
      </c>
      <c r="C298" s="4319">
        <v>2</v>
      </c>
      <c r="D298" s="4320" t="s">
        <v>2433</v>
      </c>
      <c r="E298" s="4318"/>
      <c r="F298" s="4235">
        <f t="shared" si="13"/>
        <v>0</v>
      </c>
    </row>
    <row r="299" spans="1:6" ht="14.25" customHeight="1">
      <c r="A299" s="4394">
        <v>12.5</v>
      </c>
      <c r="B299" s="3563" t="s">
        <v>2388</v>
      </c>
      <c r="C299" s="4319">
        <v>2</v>
      </c>
      <c r="D299" s="4320" t="s">
        <v>2433</v>
      </c>
      <c r="E299" s="4318"/>
      <c r="F299" s="4235">
        <f t="shared" si="13"/>
        <v>0</v>
      </c>
    </row>
    <row r="300" spans="1:6" ht="14.25" customHeight="1">
      <c r="A300" s="4394">
        <v>12.6</v>
      </c>
      <c r="B300" s="3563" t="s">
        <v>2389</v>
      </c>
      <c r="C300" s="4319">
        <v>2</v>
      </c>
      <c r="D300" s="4320" t="s">
        <v>2433</v>
      </c>
      <c r="E300" s="4318"/>
      <c r="F300" s="4235">
        <f t="shared" si="13"/>
        <v>0</v>
      </c>
    </row>
    <row r="301" spans="1:6" ht="14.25" customHeight="1">
      <c r="A301" s="4394">
        <v>12.7</v>
      </c>
      <c r="B301" s="3563" t="s">
        <v>2390</v>
      </c>
      <c r="C301" s="4319">
        <v>1</v>
      </c>
      <c r="D301" s="4320" t="s">
        <v>2433</v>
      </c>
      <c r="E301" s="4318"/>
      <c r="F301" s="4235">
        <f t="shared" si="13"/>
        <v>0</v>
      </c>
    </row>
    <row r="302" spans="1:6" ht="14.25" customHeight="1">
      <c r="A302" s="4394">
        <v>12.8</v>
      </c>
      <c r="B302" s="3563" t="s">
        <v>3638</v>
      </c>
      <c r="C302" s="4319">
        <v>2</v>
      </c>
      <c r="D302" s="4320" t="s">
        <v>2433</v>
      </c>
      <c r="E302" s="4318"/>
      <c r="F302" s="4235">
        <f t="shared" si="13"/>
        <v>0</v>
      </c>
    </row>
    <row r="303" spans="1:6" ht="14.25" customHeight="1">
      <c r="A303" s="4394">
        <v>12.9</v>
      </c>
      <c r="B303" s="3563" t="s">
        <v>4034</v>
      </c>
      <c r="C303" s="4319">
        <v>2</v>
      </c>
      <c r="D303" s="4320" t="s">
        <v>2433</v>
      </c>
      <c r="E303" s="4318"/>
      <c r="F303" s="4235">
        <f t="shared" si="13"/>
        <v>0</v>
      </c>
    </row>
    <row r="304" spans="1:6" ht="14.25" customHeight="1">
      <c r="A304" s="4390">
        <v>12.1</v>
      </c>
      <c r="B304" s="3563" t="s">
        <v>2391</v>
      </c>
      <c r="C304" s="4319">
        <v>1</v>
      </c>
      <c r="D304" s="4320" t="s">
        <v>2960</v>
      </c>
      <c r="E304" s="4318"/>
      <c r="F304" s="4235">
        <f t="shared" si="13"/>
        <v>0</v>
      </c>
    </row>
    <row r="305" spans="1:6" ht="14.25" customHeight="1">
      <c r="A305" s="4390">
        <v>12.11</v>
      </c>
      <c r="B305" s="3563" t="s">
        <v>2392</v>
      </c>
      <c r="C305" s="4319">
        <v>2</v>
      </c>
      <c r="D305" s="4320" t="s">
        <v>2433</v>
      </c>
      <c r="E305" s="4318"/>
      <c r="F305" s="4235">
        <f t="shared" si="13"/>
        <v>0</v>
      </c>
    </row>
    <row r="306" spans="1:6" ht="14.25" customHeight="1">
      <c r="A306" s="4390">
        <v>12.13</v>
      </c>
      <c r="B306" s="3563" t="s">
        <v>2393</v>
      </c>
      <c r="C306" s="4319">
        <v>2</v>
      </c>
      <c r="D306" s="4320" t="s">
        <v>2433</v>
      </c>
      <c r="E306" s="4318"/>
      <c r="F306" s="4235">
        <f t="shared" si="13"/>
        <v>0</v>
      </c>
    </row>
    <row r="307" spans="1:6" ht="14.25" customHeight="1">
      <c r="A307" s="4390">
        <v>12.4</v>
      </c>
      <c r="B307" s="3563" t="s">
        <v>3639</v>
      </c>
      <c r="C307" s="4319">
        <v>2</v>
      </c>
      <c r="D307" s="4320" t="s">
        <v>2433</v>
      </c>
      <c r="E307" s="4318"/>
      <c r="F307" s="4235">
        <f t="shared" si="13"/>
        <v>0</v>
      </c>
    </row>
    <row r="308" spans="1:6" ht="14.25" customHeight="1">
      <c r="A308" s="4456"/>
      <c r="B308" s="4452"/>
      <c r="C308" s="4466"/>
      <c r="D308" s="4467"/>
      <c r="E308" s="4468"/>
      <c r="F308" s="4468" t="str">
        <f t="shared" si="13"/>
        <v xml:space="preserve"> </v>
      </c>
    </row>
    <row r="309" spans="1:6" s="4227" customFormat="1" ht="15" customHeight="1">
      <c r="A309" s="4391">
        <v>13</v>
      </c>
      <c r="B309" s="4345" t="s">
        <v>819</v>
      </c>
      <c r="C309" s="4233"/>
      <c r="D309" s="4251"/>
      <c r="E309" s="4235"/>
      <c r="F309" s="4235" t="str">
        <f t="shared" si="13"/>
        <v xml:space="preserve"> </v>
      </c>
    </row>
    <row r="310" spans="1:6" s="4227" customFormat="1" ht="14.25" customHeight="1">
      <c r="A310" s="4394">
        <v>13.1</v>
      </c>
      <c r="B310" s="4232" t="s">
        <v>4021</v>
      </c>
      <c r="C310" s="4450">
        <v>19</v>
      </c>
      <c r="D310" s="4234" t="s">
        <v>2433</v>
      </c>
      <c r="E310" s="4235"/>
      <c r="F310" s="4235">
        <f t="shared" si="13"/>
        <v>0</v>
      </c>
    </row>
    <row r="311" spans="1:6" s="4227" customFormat="1" ht="14.25" customHeight="1">
      <c r="A311" s="4394">
        <v>13.2</v>
      </c>
      <c r="B311" s="4232" t="s">
        <v>4022</v>
      </c>
      <c r="C311" s="4450">
        <v>10</v>
      </c>
      <c r="D311" s="4234" t="s">
        <v>2433</v>
      </c>
      <c r="E311" s="4235"/>
      <c r="F311" s="4235">
        <f t="shared" si="13"/>
        <v>0</v>
      </c>
    </row>
    <row r="312" spans="1:6" s="4227" customFormat="1" ht="14.25" customHeight="1">
      <c r="A312" s="4394">
        <v>13.3</v>
      </c>
      <c r="B312" s="4232" t="s">
        <v>4023</v>
      </c>
      <c r="C312" s="4450">
        <v>4</v>
      </c>
      <c r="D312" s="4234" t="s">
        <v>2433</v>
      </c>
      <c r="E312" s="4235"/>
      <c r="F312" s="4235">
        <f t="shared" si="13"/>
        <v>0</v>
      </c>
    </row>
    <row r="313" spans="1:6" s="4227" customFormat="1" ht="14.25" customHeight="1">
      <c r="A313" s="4394">
        <v>13.4</v>
      </c>
      <c r="B313" s="4232" t="s">
        <v>4024</v>
      </c>
      <c r="C313" s="4450">
        <v>1</v>
      </c>
      <c r="D313" s="4234" t="s">
        <v>2433</v>
      </c>
      <c r="E313" s="4235"/>
      <c r="F313" s="4235">
        <f t="shared" si="13"/>
        <v>0</v>
      </c>
    </row>
    <row r="314" spans="1:6" s="4227" customFormat="1" ht="14.25" customHeight="1">
      <c r="A314" s="4394">
        <v>13.4</v>
      </c>
      <c r="B314" s="4232" t="s">
        <v>4025</v>
      </c>
      <c r="C314" s="4450">
        <v>1</v>
      </c>
      <c r="D314" s="4234" t="s">
        <v>2433</v>
      </c>
      <c r="E314" s="4235"/>
      <c r="F314" s="4235">
        <f t="shared" si="13"/>
        <v>0</v>
      </c>
    </row>
    <row r="315" spans="1:6" s="4223" customFormat="1" ht="14.25" customHeight="1">
      <c r="A315" s="4393"/>
      <c r="B315" s="3563"/>
      <c r="C315" s="4371"/>
      <c r="D315" s="4218"/>
      <c r="E315" s="4217"/>
      <c r="F315" s="4217"/>
    </row>
    <row r="316" spans="1:6" ht="15" customHeight="1">
      <c r="A316" s="4391">
        <v>14</v>
      </c>
      <c r="B316" s="4345" t="s">
        <v>810</v>
      </c>
      <c r="C316" s="4233"/>
      <c r="D316" s="4251"/>
      <c r="E316" s="4235"/>
      <c r="F316" s="4235" t="str">
        <f t="shared" ref="F316:F364" si="14">IF(C316&gt;0,(ROUND((E316*C316),2))," ")</f>
        <v xml:space="preserve"> </v>
      </c>
    </row>
    <row r="317" spans="1:6" ht="14.25" customHeight="1">
      <c r="A317" s="4394">
        <v>14.1</v>
      </c>
      <c r="B317" s="4232" t="s">
        <v>2411</v>
      </c>
      <c r="C317" s="4233">
        <v>1</v>
      </c>
      <c r="D317" s="4234" t="s">
        <v>2433</v>
      </c>
      <c r="E317" s="4235"/>
      <c r="F317" s="4235">
        <f t="shared" si="14"/>
        <v>0</v>
      </c>
    </row>
    <row r="318" spans="1:6" ht="14.25" customHeight="1">
      <c r="A318" s="4394">
        <v>14.2</v>
      </c>
      <c r="B318" s="4232" t="s">
        <v>2410</v>
      </c>
      <c r="C318" s="4233">
        <v>1</v>
      </c>
      <c r="D318" s="4234" t="s">
        <v>2433</v>
      </c>
      <c r="E318" s="4235"/>
      <c r="F318" s="4235">
        <f t="shared" si="14"/>
        <v>0</v>
      </c>
    </row>
    <row r="319" spans="1:6" ht="14.25" customHeight="1">
      <c r="A319" s="4394">
        <v>14.3</v>
      </c>
      <c r="B319" s="4232" t="s">
        <v>2372</v>
      </c>
      <c r="C319" s="4233">
        <v>1</v>
      </c>
      <c r="D319" s="4234" t="s">
        <v>2433</v>
      </c>
      <c r="E319" s="4235"/>
      <c r="F319" s="4235">
        <f t="shared" si="14"/>
        <v>0</v>
      </c>
    </row>
    <row r="320" spans="1:6" ht="14.25" customHeight="1">
      <c r="A320" s="4394">
        <v>14.4</v>
      </c>
      <c r="B320" s="4232" t="s">
        <v>2373</v>
      </c>
      <c r="C320" s="4233">
        <v>1</v>
      </c>
      <c r="D320" s="4234" t="s">
        <v>2433</v>
      </c>
      <c r="E320" s="4235"/>
      <c r="F320" s="4235">
        <f t="shared" si="14"/>
        <v>0</v>
      </c>
    </row>
    <row r="321" spans="1:6" ht="14.25" customHeight="1">
      <c r="A321" s="4394">
        <v>14.5</v>
      </c>
      <c r="B321" s="4232" t="s">
        <v>2374</v>
      </c>
      <c r="C321" s="4233">
        <v>1</v>
      </c>
      <c r="D321" s="4234" t="s">
        <v>2433</v>
      </c>
      <c r="E321" s="4235"/>
      <c r="F321" s="4235">
        <f t="shared" si="14"/>
        <v>0</v>
      </c>
    </row>
    <row r="322" spans="1:6" ht="14.25" customHeight="1">
      <c r="A322" s="4394">
        <v>14.6</v>
      </c>
      <c r="B322" s="4232" t="s">
        <v>2375</v>
      </c>
      <c r="C322" s="4233">
        <v>1</v>
      </c>
      <c r="D322" s="4234" t="s">
        <v>2433</v>
      </c>
      <c r="E322" s="4235"/>
      <c r="F322" s="4235">
        <f t="shared" si="14"/>
        <v>0</v>
      </c>
    </row>
    <row r="323" spans="1:6" ht="14.25" customHeight="1">
      <c r="A323" s="4394">
        <v>14.7</v>
      </c>
      <c r="B323" s="4232" t="s">
        <v>2376</v>
      </c>
      <c r="C323" s="4233">
        <v>1</v>
      </c>
      <c r="D323" s="4234" t="s">
        <v>2433</v>
      </c>
      <c r="E323" s="4235"/>
      <c r="F323" s="4235">
        <f t="shared" si="14"/>
        <v>0</v>
      </c>
    </row>
    <row r="324" spans="1:6" ht="14.25" customHeight="1">
      <c r="A324" s="4394">
        <v>14.8</v>
      </c>
      <c r="B324" s="4232" t="s">
        <v>2940</v>
      </c>
      <c r="C324" s="4233">
        <v>1</v>
      </c>
      <c r="D324" s="4234" t="s">
        <v>2433</v>
      </c>
      <c r="E324" s="4235"/>
      <c r="F324" s="4235">
        <f t="shared" si="14"/>
        <v>0</v>
      </c>
    </row>
    <row r="325" spans="1:6" ht="14.25" customHeight="1">
      <c r="A325" s="4390"/>
      <c r="B325" s="4232"/>
      <c r="C325" s="4233"/>
      <c r="D325" s="4251"/>
      <c r="E325" s="4260"/>
      <c r="F325" s="4235" t="str">
        <f t="shared" si="14"/>
        <v xml:space="preserve"> </v>
      </c>
    </row>
    <row r="326" spans="1:6" s="4238" customFormat="1" ht="15" customHeight="1">
      <c r="A326" s="4391">
        <v>15</v>
      </c>
      <c r="B326" s="4345" t="s">
        <v>3848</v>
      </c>
      <c r="C326" s="4233"/>
      <c r="D326" s="4251"/>
      <c r="E326" s="4235"/>
      <c r="F326" s="4235" t="str">
        <f t="shared" si="14"/>
        <v xml:space="preserve"> </v>
      </c>
    </row>
    <row r="327" spans="1:6" s="4238" customFormat="1" ht="14.25" customHeight="1">
      <c r="A327" s="4394">
        <v>15.1</v>
      </c>
      <c r="B327" s="4232" t="s">
        <v>2394</v>
      </c>
      <c r="C327" s="4233">
        <v>1</v>
      </c>
      <c r="D327" s="4251" t="s">
        <v>42</v>
      </c>
      <c r="E327" s="4235"/>
      <c r="F327" s="4235">
        <f t="shared" si="14"/>
        <v>0</v>
      </c>
    </row>
    <row r="328" spans="1:6" s="4238" customFormat="1" ht="15" customHeight="1">
      <c r="A328" s="4395"/>
      <c r="B328" s="4232"/>
      <c r="C328" s="4233"/>
      <c r="D328" s="4251"/>
      <c r="E328" s="4235"/>
      <c r="F328" s="4235" t="str">
        <f t="shared" si="14"/>
        <v xml:space="preserve"> </v>
      </c>
    </row>
    <row r="329" spans="1:6" s="4238" customFormat="1" ht="27.75" customHeight="1">
      <c r="A329" s="4392">
        <v>15.2</v>
      </c>
      <c r="B329" s="4344" t="s">
        <v>3849</v>
      </c>
      <c r="C329" s="4233">
        <v>1</v>
      </c>
      <c r="D329" s="4251" t="s">
        <v>42</v>
      </c>
      <c r="E329" s="4235"/>
      <c r="F329" s="4235">
        <f t="shared" si="14"/>
        <v>0</v>
      </c>
    </row>
    <row r="330" spans="1:6" s="4238" customFormat="1" ht="15" customHeight="1">
      <c r="A330" s="4395"/>
      <c r="B330" s="3434"/>
      <c r="C330" s="4233"/>
      <c r="D330" s="4251"/>
      <c r="E330" s="4235"/>
      <c r="F330" s="4235" t="str">
        <f t="shared" si="14"/>
        <v xml:space="preserve"> </v>
      </c>
    </row>
    <row r="331" spans="1:6" s="4238" customFormat="1" ht="15" customHeight="1">
      <c r="A331" s="4392">
        <v>15.3</v>
      </c>
      <c r="B331" s="4345" t="s">
        <v>3525</v>
      </c>
      <c r="C331" s="4233"/>
      <c r="D331" s="4251"/>
      <c r="E331" s="4235"/>
      <c r="F331" s="4235" t="str">
        <f t="shared" si="14"/>
        <v xml:space="preserve"> </v>
      </c>
    </row>
    <row r="332" spans="1:6" s="4238" customFormat="1" ht="14.25" customHeight="1">
      <c r="A332" s="4390" t="s">
        <v>3855</v>
      </c>
      <c r="B332" s="4232" t="s">
        <v>3622</v>
      </c>
      <c r="C332" s="4233">
        <v>13.82</v>
      </c>
      <c r="D332" s="4251" t="s">
        <v>1</v>
      </c>
      <c r="E332" s="4224"/>
      <c r="F332" s="4235">
        <f t="shared" si="14"/>
        <v>0</v>
      </c>
    </row>
    <row r="333" spans="1:6" s="4238" customFormat="1" ht="15" customHeight="1">
      <c r="A333" s="4395"/>
      <c r="B333" s="4232"/>
      <c r="C333" s="4233"/>
      <c r="D333" s="4251"/>
      <c r="E333" s="4224"/>
      <c r="F333" s="4235" t="str">
        <f t="shared" si="14"/>
        <v xml:space="preserve"> </v>
      </c>
    </row>
    <row r="334" spans="1:6" s="4238" customFormat="1" ht="15" customHeight="1">
      <c r="A334" s="4392">
        <v>15.4</v>
      </c>
      <c r="B334" s="4345" t="s">
        <v>3526</v>
      </c>
      <c r="C334" s="4233"/>
      <c r="D334" s="4251"/>
      <c r="E334" s="4224"/>
      <c r="F334" s="4235" t="str">
        <f t="shared" si="14"/>
        <v xml:space="preserve"> </v>
      </c>
    </row>
    <row r="335" spans="1:6" s="4238" customFormat="1" ht="14.25" customHeight="1">
      <c r="A335" s="4390" t="s">
        <v>3850</v>
      </c>
      <c r="B335" s="4232" t="s">
        <v>3623</v>
      </c>
      <c r="C335" s="4233">
        <v>13.42</v>
      </c>
      <c r="D335" s="4251" t="s">
        <v>1</v>
      </c>
      <c r="E335" s="4224"/>
      <c r="F335" s="4235">
        <f t="shared" si="14"/>
        <v>0</v>
      </c>
    </row>
    <row r="336" spans="1:6" s="4238" customFormat="1" ht="15" customHeight="1">
      <c r="A336" s="4395"/>
      <c r="B336" s="4232"/>
      <c r="C336" s="4233"/>
      <c r="D336" s="4251"/>
      <c r="E336" s="4224"/>
      <c r="F336" s="4235" t="str">
        <f t="shared" si="14"/>
        <v xml:space="preserve"> </v>
      </c>
    </row>
    <row r="337" spans="1:6" s="4238" customFormat="1" ht="15" customHeight="1">
      <c r="A337" s="4392">
        <v>15.5</v>
      </c>
      <c r="B337" s="4345" t="s">
        <v>3527</v>
      </c>
      <c r="C337" s="4233"/>
      <c r="D337" s="4251"/>
      <c r="E337" s="4224"/>
      <c r="F337" s="4235" t="str">
        <f t="shared" si="14"/>
        <v xml:space="preserve"> </v>
      </c>
    </row>
    <row r="338" spans="1:6" s="4238" customFormat="1" ht="14.25" customHeight="1">
      <c r="A338" s="4390" t="s">
        <v>3856</v>
      </c>
      <c r="B338" s="4232" t="s">
        <v>3653</v>
      </c>
      <c r="C338" s="4233">
        <v>5</v>
      </c>
      <c r="D338" s="4234" t="s">
        <v>2433</v>
      </c>
      <c r="E338" s="4399"/>
      <c r="F338" s="4235">
        <f t="shared" si="14"/>
        <v>0</v>
      </c>
    </row>
    <row r="339" spans="1:6" s="4238" customFormat="1" ht="14.25" customHeight="1">
      <c r="A339" s="4390" t="s">
        <v>3857</v>
      </c>
      <c r="B339" s="4232" t="s">
        <v>3851</v>
      </c>
      <c r="C339" s="4233">
        <v>3</v>
      </c>
      <c r="D339" s="4234" t="s">
        <v>2433</v>
      </c>
      <c r="E339" s="4399"/>
      <c r="F339" s="4235">
        <f t="shared" si="14"/>
        <v>0</v>
      </c>
    </row>
    <row r="340" spans="1:6" s="4238" customFormat="1" ht="14.25" customHeight="1">
      <c r="A340" s="4390" t="s">
        <v>3858</v>
      </c>
      <c r="B340" s="4232" t="s">
        <v>3852</v>
      </c>
      <c r="C340" s="4233">
        <v>1</v>
      </c>
      <c r="D340" s="4234" t="s">
        <v>2433</v>
      </c>
      <c r="E340" s="4399"/>
      <c r="F340" s="4235">
        <f t="shared" si="14"/>
        <v>0</v>
      </c>
    </row>
    <row r="341" spans="1:6" s="4238" customFormat="1" ht="14.25" customHeight="1">
      <c r="A341" s="4390" t="s">
        <v>3859</v>
      </c>
      <c r="B341" s="4232" t="s">
        <v>3565</v>
      </c>
      <c r="C341" s="4233">
        <v>2</v>
      </c>
      <c r="D341" s="4234" t="s">
        <v>2433</v>
      </c>
      <c r="E341" s="4399"/>
      <c r="F341" s="4235">
        <f t="shared" si="14"/>
        <v>0</v>
      </c>
    </row>
    <row r="342" spans="1:6" s="4238" customFormat="1" ht="14.25" customHeight="1">
      <c r="A342" s="4390" t="s">
        <v>3860</v>
      </c>
      <c r="B342" s="4232" t="s">
        <v>3528</v>
      </c>
      <c r="C342" s="4233">
        <v>1</v>
      </c>
      <c r="D342" s="4234" t="s">
        <v>42</v>
      </c>
      <c r="E342" s="4235"/>
      <c r="F342" s="4235">
        <f t="shared" si="14"/>
        <v>0</v>
      </c>
    </row>
    <row r="343" spans="1:6" ht="14.25" customHeight="1">
      <c r="A343" s="4390"/>
      <c r="B343" s="4232"/>
      <c r="C343" s="4233"/>
      <c r="D343" s="4251"/>
      <c r="E343" s="4235"/>
      <c r="F343" s="4235" t="str">
        <f t="shared" si="14"/>
        <v xml:space="preserve"> </v>
      </c>
    </row>
    <row r="344" spans="1:6" s="4236" customFormat="1" ht="15" customHeight="1">
      <c r="A344" s="4392">
        <v>15.6</v>
      </c>
      <c r="B344" s="4345" t="s">
        <v>3551</v>
      </c>
      <c r="C344" s="4233"/>
      <c r="D344" s="4251"/>
      <c r="E344" s="4235"/>
      <c r="F344" s="4235" t="str">
        <f t="shared" si="14"/>
        <v xml:space="preserve"> </v>
      </c>
    </row>
    <row r="345" spans="1:6" s="4236" customFormat="1" ht="14.25" customHeight="1">
      <c r="A345" s="4390" t="s">
        <v>3861</v>
      </c>
      <c r="B345" s="4232" t="s">
        <v>2394</v>
      </c>
      <c r="C345" s="4233">
        <v>1</v>
      </c>
      <c r="D345" s="4251" t="s">
        <v>42</v>
      </c>
      <c r="E345" s="4235"/>
      <c r="F345" s="4235">
        <f>IF(C345&gt;0,(ROUND((E345*C345),2))," ")</f>
        <v>0</v>
      </c>
    </row>
    <row r="346" spans="1:6" s="4236" customFormat="1" ht="15" customHeight="1">
      <c r="A346" s="4395"/>
      <c r="B346" s="4400"/>
      <c r="C346" s="4233"/>
      <c r="D346" s="4251"/>
      <c r="E346" s="4235"/>
      <c r="F346" s="4235" t="str">
        <f t="shared" si="14"/>
        <v xml:space="preserve"> </v>
      </c>
    </row>
    <row r="347" spans="1:6" s="4236" customFormat="1" ht="15" customHeight="1">
      <c r="A347" s="4395" t="s">
        <v>3862</v>
      </c>
      <c r="B347" s="4344" t="s">
        <v>3849</v>
      </c>
      <c r="C347" s="4233">
        <v>1</v>
      </c>
      <c r="D347" s="4251" t="s">
        <v>42</v>
      </c>
      <c r="E347" s="4235"/>
      <c r="F347" s="4235">
        <f t="shared" si="14"/>
        <v>0</v>
      </c>
    </row>
    <row r="348" spans="1:6" s="4236" customFormat="1" ht="15" customHeight="1">
      <c r="A348" s="4395"/>
      <c r="B348" s="4400"/>
      <c r="C348" s="4233"/>
      <c r="D348" s="4251"/>
      <c r="E348" s="4235"/>
      <c r="F348" s="4235" t="str">
        <f t="shared" si="14"/>
        <v xml:space="preserve"> </v>
      </c>
    </row>
    <row r="349" spans="1:6" s="4236" customFormat="1" ht="15" customHeight="1">
      <c r="A349" s="4395" t="s">
        <v>3863</v>
      </c>
      <c r="B349" s="4345" t="s">
        <v>3525</v>
      </c>
      <c r="C349" s="4233"/>
      <c r="D349" s="4251"/>
      <c r="E349" s="4235"/>
      <c r="F349" s="4235" t="str">
        <f t="shared" si="14"/>
        <v xml:space="preserve"> </v>
      </c>
    </row>
    <row r="350" spans="1:6" s="4236" customFormat="1" ht="14.25" customHeight="1">
      <c r="A350" s="4390" t="s">
        <v>3864</v>
      </c>
      <c r="B350" s="4232" t="s">
        <v>3625</v>
      </c>
      <c r="C350" s="4233">
        <v>3.09</v>
      </c>
      <c r="D350" s="4251" t="s">
        <v>1</v>
      </c>
      <c r="E350" s="4235"/>
      <c r="F350" s="4235">
        <f t="shared" si="14"/>
        <v>0</v>
      </c>
    </row>
    <row r="351" spans="1:6" s="4236" customFormat="1" ht="14.25" customHeight="1">
      <c r="A351" s="4390" t="s">
        <v>3865</v>
      </c>
      <c r="B351" s="4232" t="s">
        <v>3624</v>
      </c>
      <c r="C351" s="4233">
        <v>7.28</v>
      </c>
      <c r="D351" s="4251" t="s">
        <v>1</v>
      </c>
      <c r="E351" s="4235"/>
      <c r="F351" s="4235">
        <f t="shared" si="14"/>
        <v>0</v>
      </c>
    </row>
    <row r="352" spans="1:6" s="4236" customFormat="1" ht="15" customHeight="1">
      <c r="A352" s="4395"/>
      <c r="B352" s="4400"/>
      <c r="C352" s="4233"/>
      <c r="D352" s="4251"/>
      <c r="E352" s="4235"/>
      <c r="F352" s="4235" t="str">
        <f t="shared" si="14"/>
        <v xml:space="preserve"> </v>
      </c>
    </row>
    <row r="353" spans="1:6" s="4236" customFormat="1" ht="15" customHeight="1">
      <c r="A353" s="4395" t="s">
        <v>3866</v>
      </c>
      <c r="B353" s="4345" t="s">
        <v>3526</v>
      </c>
      <c r="C353" s="4233"/>
      <c r="D353" s="4251"/>
      <c r="E353" s="4235"/>
      <c r="F353" s="4235" t="str">
        <f t="shared" si="14"/>
        <v xml:space="preserve"> </v>
      </c>
    </row>
    <row r="354" spans="1:6" s="4236" customFormat="1" ht="14.25" customHeight="1">
      <c r="A354" s="4390" t="s">
        <v>3867</v>
      </c>
      <c r="B354" s="4232" t="s">
        <v>3626</v>
      </c>
      <c r="C354" s="4233">
        <v>3</v>
      </c>
      <c r="D354" s="4251" t="s">
        <v>1</v>
      </c>
      <c r="E354" s="4235"/>
      <c r="F354" s="4235">
        <f t="shared" si="14"/>
        <v>0</v>
      </c>
    </row>
    <row r="355" spans="1:6" s="4236" customFormat="1" ht="14.25" customHeight="1">
      <c r="A355" s="4390" t="s">
        <v>3868</v>
      </c>
      <c r="B355" s="4232" t="s">
        <v>3627</v>
      </c>
      <c r="C355" s="4233">
        <v>7</v>
      </c>
      <c r="D355" s="4251" t="s">
        <v>1</v>
      </c>
      <c r="E355" s="4235"/>
      <c r="F355" s="4235">
        <f t="shared" si="14"/>
        <v>0</v>
      </c>
    </row>
    <row r="356" spans="1:6" s="4236" customFormat="1" ht="15" customHeight="1">
      <c r="A356" s="4469"/>
      <c r="B356" s="4480"/>
      <c r="C356" s="4466"/>
      <c r="D356" s="4467"/>
      <c r="E356" s="4468"/>
      <c r="F356" s="4468" t="str">
        <f t="shared" si="14"/>
        <v xml:space="preserve"> </v>
      </c>
    </row>
    <row r="357" spans="1:6" s="4236" customFormat="1" ht="15" customHeight="1">
      <c r="A357" s="4395" t="s">
        <v>3869</v>
      </c>
      <c r="B357" s="4345" t="s">
        <v>3548</v>
      </c>
      <c r="C357" s="4233"/>
      <c r="D357" s="4251"/>
      <c r="E357" s="4235"/>
      <c r="F357" s="4235" t="str">
        <f t="shared" si="14"/>
        <v xml:space="preserve"> </v>
      </c>
    </row>
    <row r="358" spans="1:6" s="4236" customFormat="1" ht="14.25" customHeight="1">
      <c r="A358" s="4390" t="s">
        <v>3870</v>
      </c>
      <c r="B358" s="4232" t="s">
        <v>3566</v>
      </c>
      <c r="C358" s="4233">
        <v>1</v>
      </c>
      <c r="D358" s="4234" t="s">
        <v>2433</v>
      </c>
      <c r="E358" s="4235"/>
      <c r="F358" s="4235">
        <f t="shared" si="14"/>
        <v>0</v>
      </c>
    </row>
    <row r="359" spans="1:6" s="4236" customFormat="1" ht="14.25" customHeight="1">
      <c r="A359" s="4390" t="s">
        <v>3871</v>
      </c>
      <c r="B359" s="4232" t="s">
        <v>3549</v>
      </c>
      <c r="C359" s="4233">
        <v>1</v>
      </c>
      <c r="D359" s="4234" t="s">
        <v>2433</v>
      </c>
      <c r="E359" s="4235"/>
      <c r="F359" s="4235">
        <f t="shared" si="14"/>
        <v>0</v>
      </c>
    </row>
    <row r="360" spans="1:6" s="4236" customFormat="1" ht="14.25" customHeight="1">
      <c r="A360" s="4390" t="s">
        <v>3872</v>
      </c>
      <c r="B360" s="4232" t="s">
        <v>3550</v>
      </c>
      <c r="C360" s="4233">
        <v>1</v>
      </c>
      <c r="D360" s="4234" t="s">
        <v>2433</v>
      </c>
      <c r="E360" s="4235"/>
      <c r="F360" s="4235">
        <f t="shared" si="14"/>
        <v>0</v>
      </c>
    </row>
    <row r="361" spans="1:6" s="4236" customFormat="1" ht="14.25" customHeight="1">
      <c r="A361" s="4390" t="s">
        <v>3873</v>
      </c>
      <c r="B361" s="4232" t="s">
        <v>3567</v>
      </c>
      <c r="C361" s="4233">
        <v>1</v>
      </c>
      <c r="D361" s="4234" t="s">
        <v>2433</v>
      </c>
      <c r="E361" s="4235"/>
      <c r="F361" s="4235">
        <f t="shared" si="14"/>
        <v>0</v>
      </c>
    </row>
    <row r="362" spans="1:6" s="4236" customFormat="1" ht="14.25" customHeight="1">
      <c r="A362" s="4390" t="s">
        <v>3874</v>
      </c>
      <c r="B362" s="4232" t="s">
        <v>3568</v>
      </c>
      <c r="C362" s="4233">
        <v>1</v>
      </c>
      <c r="D362" s="4234" t="s">
        <v>2433</v>
      </c>
      <c r="E362" s="4235"/>
      <c r="F362" s="4235">
        <f t="shared" si="14"/>
        <v>0</v>
      </c>
    </row>
    <row r="363" spans="1:6" s="4236" customFormat="1" ht="14.25" customHeight="1">
      <c r="A363" s="4390" t="s">
        <v>3875</v>
      </c>
      <c r="B363" s="4232" t="s">
        <v>3853</v>
      </c>
      <c r="C363" s="4233">
        <v>1</v>
      </c>
      <c r="D363" s="4234" t="s">
        <v>42</v>
      </c>
      <c r="E363" s="4235"/>
      <c r="F363" s="4235">
        <f t="shared" si="14"/>
        <v>0</v>
      </c>
    </row>
    <row r="364" spans="1:6" s="4236" customFormat="1" ht="14.25" customHeight="1">
      <c r="A364" s="4390" t="s">
        <v>3876</v>
      </c>
      <c r="B364" s="4232" t="s">
        <v>3854</v>
      </c>
      <c r="C364" s="4233">
        <v>2</v>
      </c>
      <c r="D364" s="4234" t="s">
        <v>2433</v>
      </c>
      <c r="E364" s="4235"/>
      <c r="F364" s="4235">
        <f t="shared" si="14"/>
        <v>0</v>
      </c>
    </row>
    <row r="365" spans="1:6" s="4236" customFormat="1" ht="14.25" customHeight="1">
      <c r="A365" s="4390"/>
      <c r="B365" s="4232"/>
      <c r="C365" s="4233"/>
      <c r="D365" s="4234"/>
      <c r="E365" s="4235"/>
      <c r="F365" s="4235"/>
    </row>
    <row r="366" spans="1:6" ht="14.25" customHeight="1">
      <c r="A366" s="4391">
        <v>16</v>
      </c>
      <c r="B366" s="4232" t="s">
        <v>2596</v>
      </c>
      <c r="C366" s="4233">
        <v>1</v>
      </c>
      <c r="D366" s="4234" t="s">
        <v>2433</v>
      </c>
      <c r="E366" s="4235"/>
      <c r="F366" s="4235">
        <f t="shared" ref="F366" si="15">IF(C366&gt;0,(ROUND((E366*C366),2))," ")</f>
        <v>0</v>
      </c>
    </row>
    <row r="367" spans="1:6" s="4268" customFormat="1" ht="12.75" customHeight="1">
      <c r="A367" s="4306"/>
      <c r="B367" s="4306" t="s">
        <v>2126</v>
      </c>
      <c r="C367" s="4306"/>
      <c r="D367" s="4306"/>
      <c r="E367" s="4306"/>
      <c r="F367" s="4321">
        <f>SUM(F183:F366)</f>
        <v>0</v>
      </c>
    </row>
    <row r="368" spans="1:6" s="4242" customFormat="1" ht="15" customHeight="1">
      <c r="A368" s="4395"/>
      <c r="B368" s="3435"/>
      <c r="C368" s="3538"/>
      <c r="D368" s="4265"/>
      <c r="E368" s="4266"/>
      <c r="F368" s="4266"/>
    </row>
    <row r="369" spans="1:6" s="4223" customFormat="1" ht="15">
      <c r="A369" s="4398" t="s">
        <v>851</v>
      </c>
      <c r="B369" s="3435" t="s">
        <v>1771</v>
      </c>
      <c r="C369" s="4222"/>
      <c r="D369" s="4313"/>
      <c r="E369" s="4217"/>
      <c r="F369" s="4217" t="str">
        <f t="shared" ref="F369:F432" si="16">IF(C369&gt;0,(ROUND((E369*C369),2))," ")</f>
        <v xml:space="preserve"> </v>
      </c>
    </row>
    <row r="370" spans="1:6" ht="15" customHeight="1">
      <c r="A370" s="4390"/>
      <c r="B370" s="3435"/>
      <c r="C370" s="4233"/>
      <c r="D370" s="4251"/>
      <c r="E370" s="4235"/>
      <c r="F370" s="4235" t="str">
        <f t="shared" si="16"/>
        <v xml:space="preserve"> </v>
      </c>
    </row>
    <row r="371" spans="1:6" ht="15" customHeight="1">
      <c r="A371" s="4391">
        <v>1</v>
      </c>
      <c r="B371" s="4345" t="s">
        <v>2165</v>
      </c>
      <c r="C371" s="4233"/>
      <c r="D371" s="4251"/>
      <c r="E371" s="4235"/>
      <c r="F371" s="4235" t="str">
        <f t="shared" si="16"/>
        <v xml:space="preserve"> </v>
      </c>
    </row>
    <row r="372" spans="1:6" ht="14.25" customHeight="1">
      <c r="A372" s="4394">
        <v>1.1000000000000001</v>
      </c>
      <c r="B372" s="4232" t="s">
        <v>4042</v>
      </c>
      <c r="C372" s="4233">
        <v>25.88</v>
      </c>
      <c r="D372" s="4251" t="s">
        <v>2432</v>
      </c>
      <c r="E372" s="4235"/>
      <c r="F372" s="4235">
        <f t="shared" si="16"/>
        <v>0</v>
      </c>
    </row>
    <row r="373" spans="1:6" ht="14.25" customHeight="1">
      <c r="A373" s="4390"/>
      <c r="B373" s="4232"/>
      <c r="C373" s="4233"/>
      <c r="D373" s="4251"/>
      <c r="E373" s="4235"/>
      <c r="F373" s="4235"/>
    </row>
    <row r="374" spans="1:6" s="4268" customFormat="1" ht="12.75" customHeight="1">
      <c r="A374" s="4352">
        <v>2</v>
      </c>
      <c r="B374" s="4353" t="s">
        <v>3766</v>
      </c>
      <c r="C374" s="3535"/>
      <c r="D374" s="3534"/>
      <c r="E374" s="3535"/>
      <c r="F374" s="4354"/>
    </row>
    <row r="375" spans="1:6" s="4227" customFormat="1" ht="14.25" customHeight="1">
      <c r="A375" s="4394">
        <v>2.1</v>
      </c>
      <c r="B375" s="4232" t="s">
        <v>2398</v>
      </c>
      <c r="C375" s="4233">
        <v>14.21</v>
      </c>
      <c r="D375" s="4251" t="s">
        <v>2430</v>
      </c>
      <c r="E375" s="4235"/>
      <c r="F375" s="4235">
        <f t="shared" si="16"/>
        <v>0</v>
      </c>
    </row>
    <row r="376" spans="1:6" s="4227" customFormat="1" ht="14.25" customHeight="1">
      <c r="A376" s="4394">
        <v>2.2000000000000002</v>
      </c>
      <c r="B376" s="3434" t="s">
        <v>3877</v>
      </c>
      <c r="C376" s="4235">
        <v>7.49</v>
      </c>
      <c r="D376" s="4251" t="s">
        <v>2431</v>
      </c>
      <c r="E376" s="4235"/>
      <c r="F376" s="4235">
        <f t="shared" si="16"/>
        <v>0</v>
      </c>
    </row>
    <row r="377" spans="1:6" s="4227" customFormat="1" ht="14.25" customHeight="1">
      <c r="A377" s="4394">
        <v>2.2999999999999998</v>
      </c>
      <c r="B377" s="4232" t="s">
        <v>4035</v>
      </c>
      <c r="C377" s="4233">
        <v>7.49</v>
      </c>
      <c r="D377" s="4251" t="s">
        <v>2430</v>
      </c>
      <c r="E377" s="4235"/>
      <c r="F377" s="4235">
        <f t="shared" si="16"/>
        <v>0</v>
      </c>
    </row>
    <row r="378" spans="1:6" s="4227" customFormat="1" ht="29.25" customHeight="1">
      <c r="A378" s="4394">
        <v>2.4</v>
      </c>
      <c r="B378" s="3434" t="s">
        <v>3847</v>
      </c>
      <c r="C378" s="4233">
        <v>8.73</v>
      </c>
      <c r="D378" s="4234" t="s">
        <v>2525</v>
      </c>
      <c r="E378" s="4235"/>
      <c r="F378" s="4235">
        <f>IF(C378&gt;0,(ROUND((E378*C378),2))," ")</f>
        <v>0</v>
      </c>
    </row>
    <row r="379" spans="1:6" ht="14.25" customHeight="1">
      <c r="A379" s="4390"/>
      <c r="B379" s="4232"/>
      <c r="C379" s="4233"/>
      <c r="D379" s="4251"/>
      <c r="E379" s="4235"/>
      <c r="F379" s="4235" t="str">
        <f t="shared" si="16"/>
        <v xml:space="preserve"> </v>
      </c>
    </row>
    <row r="380" spans="1:6" ht="15" customHeight="1">
      <c r="A380" s="4391">
        <v>3</v>
      </c>
      <c r="B380" s="4345" t="s">
        <v>1776</v>
      </c>
      <c r="C380" s="4233"/>
      <c r="D380" s="4251"/>
      <c r="E380" s="4235"/>
      <c r="F380" s="4235" t="str">
        <f t="shared" si="16"/>
        <v xml:space="preserve"> </v>
      </c>
    </row>
    <row r="381" spans="1:6" ht="14.25" customHeight="1">
      <c r="A381" s="4394">
        <v>3.1</v>
      </c>
      <c r="B381" s="4212" t="s">
        <v>3756</v>
      </c>
      <c r="C381" s="3533">
        <v>1.28</v>
      </c>
      <c r="D381" s="4350" t="s">
        <v>3761</v>
      </c>
      <c r="E381" s="4235"/>
      <c r="F381" s="4235">
        <f t="shared" si="16"/>
        <v>0</v>
      </c>
    </row>
    <row r="382" spans="1:6" ht="14.25" customHeight="1">
      <c r="A382" s="4394">
        <v>3.2</v>
      </c>
      <c r="B382" s="4212" t="s">
        <v>3762</v>
      </c>
      <c r="C382" s="4351">
        <v>2.59</v>
      </c>
      <c r="D382" s="4350" t="s">
        <v>3761</v>
      </c>
      <c r="E382" s="4235"/>
      <c r="F382" s="4235">
        <f t="shared" si="16"/>
        <v>0</v>
      </c>
    </row>
    <row r="383" spans="1:6" ht="14.25" customHeight="1">
      <c r="A383" s="4394">
        <v>3.3</v>
      </c>
      <c r="B383" s="4206" t="s">
        <v>4036</v>
      </c>
      <c r="C383" s="4351">
        <v>2.11</v>
      </c>
      <c r="D383" s="4350" t="s">
        <v>3761</v>
      </c>
      <c r="E383" s="4235"/>
      <c r="F383" s="4235">
        <f t="shared" si="16"/>
        <v>0</v>
      </c>
    </row>
    <row r="384" spans="1:6" ht="14.25" customHeight="1">
      <c r="A384" s="4394">
        <v>3.4</v>
      </c>
      <c r="B384" s="3563" t="s">
        <v>3757</v>
      </c>
      <c r="C384" s="4351">
        <v>0.5</v>
      </c>
      <c r="D384" s="4350" t="s">
        <v>3761</v>
      </c>
      <c r="E384" s="4235"/>
      <c r="F384" s="4235">
        <f t="shared" si="16"/>
        <v>0</v>
      </c>
    </row>
    <row r="385" spans="1:6" ht="14.25" customHeight="1">
      <c r="A385" s="4394">
        <v>3.5</v>
      </c>
      <c r="B385" s="3563" t="s">
        <v>3758</v>
      </c>
      <c r="C385" s="4351">
        <v>0.78</v>
      </c>
      <c r="D385" s="4350" t="s">
        <v>3761</v>
      </c>
      <c r="E385" s="4235"/>
      <c r="F385" s="4235">
        <f t="shared" si="16"/>
        <v>0</v>
      </c>
    </row>
    <row r="386" spans="1:6" ht="14.25" customHeight="1">
      <c r="A386" s="4394">
        <v>3.6</v>
      </c>
      <c r="B386" s="3563" t="s">
        <v>3759</v>
      </c>
      <c r="C386" s="4351">
        <v>0.84</v>
      </c>
      <c r="D386" s="4350" t="s">
        <v>3761</v>
      </c>
      <c r="E386" s="4235"/>
      <c r="F386" s="4235">
        <f t="shared" si="16"/>
        <v>0</v>
      </c>
    </row>
    <row r="387" spans="1:6" ht="14.25" customHeight="1">
      <c r="A387" s="4394">
        <v>3.7</v>
      </c>
      <c r="B387" s="3563" t="s">
        <v>3760</v>
      </c>
      <c r="C387" s="3533">
        <v>2.17</v>
      </c>
      <c r="D387" s="4350" t="s">
        <v>3761</v>
      </c>
      <c r="E387" s="4235"/>
      <c r="F387" s="4235">
        <f t="shared" si="16"/>
        <v>0</v>
      </c>
    </row>
    <row r="388" spans="1:6" ht="14.25" customHeight="1">
      <c r="A388" s="4394">
        <v>3.8</v>
      </c>
      <c r="B388" s="3563" t="s">
        <v>4037</v>
      </c>
      <c r="C388" s="3533">
        <v>3.5</v>
      </c>
      <c r="D388" s="4350" t="s">
        <v>3761</v>
      </c>
      <c r="E388" s="4235"/>
      <c r="F388" s="4235">
        <f t="shared" si="16"/>
        <v>0</v>
      </c>
    </row>
    <row r="389" spans="1:6" ht="14.25" customHeight="1">
      <c r="A389" s="4390"/>
      <c r="B389" s="4232"/>
      <c r="C389" s="4233"/>
      <c r="D389" s="4251"/>
      <c r="E389" s="4235"/>
      <c r="F389" s="4235"/>
    </row>
    <row r="390" spans="1:6" s="4223" customFormat="1" ht="15" customHeight="1">
      <c r="A390" s="4396">
        <v>4</v>
      </c>
      <c r="B390" s="4211" t="s">
        <v>1784</v>
      </c>
      <c r="C390" s="4222"/>
      <c r="D390" s="4313"/>
      <c r="E390" s="4217"/>
      <c r="F390" s="4217" t="str">
        <f t="shared" si="16"/>
        <v xml:space="preserve"> </v>
      </c>
    </row>
    <row r="391" spans="1:6" s="4223" customFormat="1" ht="14.25" customHeight="1">
      <c r="A391" s="4401">
        <v>4.0999999999999996</v>
      </c>
      <c r="B391" s="4212" t="s">
        <v>3753</v>
      </c>
      <c r="C391" s="4212">
        <v>6.968</v>
      </c>
      <c r="D391" s="4218" t="s">
        <v>2432</v>
      </c>
      <c r="E391" s="4217"/>
      <c r="F391" s="4217">
        <f t="shared" si="16"/>
        <v>0</v>
      </c>
    </row>
    <row r="392" spans="1:6" s="4223" customFormat="1" ht="14.25" customHeight="1">
      <c r="A392" s="4401">
        <v>4.2</v>
      </c>
      <c r="B392" s="4212" t="s">
        <v>3754</v>
      </c>
      <c r="C392" s="4222">
        <v>40.700000000000003</v>
      </c>
      <c r="D392" s="4218" t="s">
        <v>2432</v>
      </c>
      <c r="E392" s="4217"/>
      <c r="F392" s="4217">
        <f t="shared" si="16"/>
        <v>0</v>
      </c>
    </row>
    <row r="393" spans="1:6" s="4223" customFormat="1" ht="14.25" customHeight="1">
      <c r="A393" s="4401">
        <v>4.3</v>
      </c>
      <c r="B393" s="3563" t="s">
        <v>2362</v>
      </c>
      <c r="C393" s="4222">
        <v>17.8</v>
      </c>
      <c r="D393" s="4313" t="s">
        <v>1</v>
      </c>
      <c r="E393" s="4217"/>
      <c r="F393" s="4217">
        <f t="shared" si="16"/>
        <v>0</v>
      </c>
    </row>
    <row r="394" spans="1:6" s="4223" customFormat="1" ht="15" customHeight="1">
      <c r="A394" s="4402"/>
      <c r="B394" s="4221"/>
      <c r="C394" s="4222"/>
      <c r="D394" s="4313"/>
      <c r="E394" s="4217"/>
      <c r="F394" s="4217" t="str">
        <f t="shared" si="16"/>
        <v xml:space="preserve"> </v>
      </c>
    </row>
    <row r="395" spans="1:6" s="4223" customFormat="1" ht="15" customHeight="1">
      <c r="A395" s="4396">
        <v>5</v>
      </c>
      <c r="B395" s="4211" t="s">
        <v>859</v>
      </c>
      <c r="C395" s="4222"/>
      <c r="D395" s="4313"/>
      <c r="E395" s="4217"/>
      <c r="F395" s="4217" t="str">
        <f t="shared" si="16"/>
        <v xml:space="preserve"> </v>
      </c>
    </row>
    <row r="396" spans="1:6" s="4268" customFormat="1" ht="14.25" customHeight="1">
      <c r="A396" s="4401">
        <v>5.0999999999999996</v>
      </c>
      <c r="B396" s="3563" t="s">
        <v>2568</v>
      </c>
      <c r="C396" s="4222">
        <v>66.63</v>
      </c>
      <c r="D396" s="4313" t="s">
        <v>2432</v>
      </c>
      <c r="E396" s="4217"/>
      <c r="F396" s="4217">
        <f t="shared" si="16"/>
        <v>0</v>
      </c>
    </row>
    <row r="397" spans="1:6" s="4223" customFormat="1" ht="14.25" customHeight="1">
      <c r="A397" s="4401">
        <v>5.2</v>
      </c>
      <c r="B397" s="3563" t="s">
        <v>2396</v>
      </c>
      <c r="C397" s="4222">
        <v>47.93</v>
      </c>
      <c r="D397" s="4313" t="s">
        <v>2432</v>
      </c>
      <c r="E397" s="4217"/>
      <c r="F397" s="4217">
        <f t="shared" si="16"/>
        <v>0</v>
      </c>
    </row>
    <row r="398" spans="1:6" s="4223" customFormat="1" ht="14.25" customHeight="1">
      <c r="A398" s="4401">
        <v>5.3</v>
      </c>
      <c r="B398" s="3563" t="s">
        <v>2395</v>
      </c>
      <c r="C398" s="4222">
        <v>51.06</v>
      </c>
      <c r="D398" s="4313" t="s">
        <v>2432</v>
      </c>
      <c r="E398" s="4217"/>
      <c r="F398" s="4217">
        <f t="shared" si="16"/>
        <v>0</v>
      </c>
    </row>
    <row r="399" spans="1:6" s="4268" customFormat="1" ht="14.25">
      <c r="A399" s="4401">
        <v>5.4</v>
      </c>
      <c r="B399" s="4212" t="s">
        <v>3468</v>
      </c>
      <c r="C399" s="3533">
        <v>26.94</v>
      </c>
      <c r="D399" s="3534" t="s">
        <v>3755</v>
      </c>
      <c r="E399" s="3535"/>
      <c r="F399" s="4349">
        <f t="shared" ref="F399" si="17">ROUND(C399*E399,2)</f>
        <v>0</v>
      </c>
    </row>
    <row r="400" spans="1:6" s="4223" customFormat="1" ht="14.25" customHeight="1">
      <c r="A400" s="4401">
        <v>5.5</v>
      </c>
      <c r="B400" s="3563" t="s">
        <v>2397</v>
      </c>
      <c r="C400" s="4222">
        <v>29.81</v>
      </c>
      <c r="D400" s="4313" t="s">
        <v>2432</v>
      </c>
      <c r="E400" s="4217"/>
      <c r="F400" s="4217">
        <f t="shared" si="16"/>
        <v>0</v>
      </c>
    </row>
    <row r="401" spans="1:6" s="4223" customFormat="1" ht="14.25" customHeight="1">
      <c r="A401" s="4401">
        <v>5.6</v>
      </c>
      <c r="B401" s="3563" t="s">
        <v>1548</v>
      </c>
      <c r="C401" s="4222">
        <v>104</v>
      </c>
      <c r="D401" s="4313" t="s">
        <v>1</v>
      </c>
      <c r="E401" s="4217"/>
      <c r="F401" s="4217">
        <f t="shared" si="16"/>
        <v>0</v>
      </c>
    </row>
    <row r="402" spans="1:6" s="4223" customFormat="1" ht="14.25" customHeight="1">
      <c r="A402" s="4401">
        <v>5.7</v>
      </c>
      <c r="B402" s="3563" t="s">
        <v>3541</v>
      </c>
      <c r="C402" s="4222">
        <v>18.8</v>
      </c>
      <c r="D402" s="4313" t="s">
        <v>1</v>
      </c>
      <c r="E402" s="4217"/>
      <c r="F402" s="4217">
        <f t="shared" si="16"/>
        <v>0</v>
      </c>
    </row>
    <row r="403" spans="1:6" s="4223" customFormat="1" ht="14.25" customHeight="1">
      <c r="A403" s="4401">
        <v>5.8</v>
      </c>
      <c r="B403" s="3563" t="s">
        <v>2352</v>
      </c>
      <c r="C403" s="4222">
        <v>125.93</v>
      </c>
      <c r="D403" s="4313" t="s">
        <v>2432</v>
      </c>
      <c r="E403" s="4217"/>
      <c r="F403" s="4217">
        <f t="shared" si="16"/>
        <v>0</v>
      </c>
    </row>
    <row r="404" spans="1:6" s="4223" customFormat="1" ht="14.25" customHeight="1">
      <c r="A404" s="4401">
        <v>5.9</v>
      </c>
      <c r="B404" s="3563" t="s">
        <v>2346</v>
      </c>
      <c r="C404" s="4222">
        <v>15.86</v>
      </c>
      <c r="D404" s="4313" t="s">
        <v>2432</v>
      </c>
      <c r="E404" s="4217"/>
      <c r="F404" s="4217">
        <f t="shared" si="16"/>
        <v>0</v>
      </c>
    </row>
    <row r="405" spans="1:6" s="4223" customFormat="1" ht="14.25" customHeight="1">
      <c r="A405" s="4393">
        <v>5.0999999999999996</v>
      </c>
      <c r="B405" s="4212" t="s">
        <v>3878</v>
      </c>
      <c r="C405" s="4222">
        <v>1</v>
      </c>
      <c r="D405" s="4218" t="s">
        <v>2433</v>
      </c>
      <c r="E405" s="4217"/>
      <c r="F405" s="4217">
        <f t="shared" si="16"/>
        <v>0</v>
      </c>
    </row>
    <row r="406" spans="1:6" ht="14.25" customHeight="1">
      <c r="A406" s="4456"/>
      <c r="B406" s="4452"/>
      <c r="C406" s="4466"/>
      <c r="D406" s="4467"/>
      <c r="E406" s="4468"/>
      <c r="F406" s="4468" t="str">
        <f t="shared" si="16"/>
        <v xml:space="preserve"> </v>
      </c>
    </row>
    <row r="407" spans="1:6" s="4242" customFormat="1" ht="15" customHeight="1">
      <c r="A407" s="4391">
        <v>6</v>
      </c>
      <c r="B407" s="4211" t="s">
        <v>2951</v>
      </c>
      <c r="C407" s="4264"/>
      <c r="D407" s="4273"/>
      <c r="E407" s="4266"/>
      <c r="F407" s="4266" t="str">
        <f t="shared" si="16"/>
        <v xml:space="preserve"> </v>
      </c>
    </row>
    <row r="408" spans="1:6" ht="14.25" customHeight="1">
      <c r="A408" s="4394">
        <v>6.1</v>
      </c>
      <c r="B408" s="4232" t="s">
        <v>2952</v>
      </c>
      <c r="C408" s="4233">
        <v>630</v>
      </c>
      <c r="D408" s="4251" t="s">
        <v>2603</v>
      </c>
      <c r="E408" s="4235"/>
      <c r="F408" s="4235">
        <f t="shared" si="16"/>
        <v>0</v>
      </c>
    </row>
    <row r="409" spans="1:6" ht="14.25" customHeight="1">
      <c r="A409" s="4394">
        <v>6.2</v>
      </c>
      <c r="B409" s="4232" t="s">
        <v>2953</v>
      </c>
      <c r="C409" s="4233">
        <v>127.5</v>
      </c>
      <c r="D409" s="4251" t="s">
        <v>2603</v>
      </c>
      <c r="E409" s="4235"/>
      <c r="F409" s="4235">
        <f t="shared" si="16"/>
        <v>0</v>
      </c>
    </row>
    <row r="410" spans="1:6" ht="14.25" customHeight="1">
      <c r="A410" s="4394">
        <v>6.3</v>
      </c>
      <c r="B410" s="4232" t="s">
        <v>2954</v>
      </c>
      <c r="C410" s="4233">
        <v>6</v>
      </c>
      <c r="D410" s="4234" t="s">
        <v>2433</v>
      </c>
      <c r="E410" s="4235"/>
      <c r="F410" s="4235">
        <f t="shared" si="16"/>
        <v>0</v>
      </c>
    </row>
    <row r="411" spans="1:6" ht="14.25" customHeight="1">
      <c r="A411" s="4394">
        <v>6.4</v>
      </c>
      <c r="B411" s="4232" t="s">
        <v>2955</v>
      </c>
      <c r="C411" s="4233">
        <v>8</v>
      </c>
      <c r="D411" s="4234" t="s">
        <v>2433</v>
      </c>
      <c r="E411" s="4235"/>
      <c r="F411" s="4235">
        <f t="shared" si="16"/>
        <v>0</v>
      </c>
    </row>
    <row r="412" spans="1:6" ht="14.25" customHeight="1">
      <c r="A412" s="4394">
        <v>6.5</v>
      </c>
      <c r="B412" s="4232" t="s">
        <v>2956</v>
      </c>
      <c r="C412" s="4233">
        <v>1</v>
      </c>
      <c r="D412" s="4234" t="s">
        <v>2433</v>
      </c>
      <c r="E412" s="4235"/>
      <c r="F412" s="4235">
        <f t="shared" si="16"/>
        <v>0</v>
      </c>
    </row>
    <row r="413" spans="1:6" ht="14.25" customHeight="1">
      <c r="A413" s="4394">
        <v>6.6</v>
      </c>
      <c r="B413" s="4232" t="s">
        <v>2957</v>
      </c>
      <c r="C413" s="4233">
        <v>1</v>
      </c>
      <c r="D413" s="4251" t="s">
        <v>42</v>
      </c>
      <c r="E413" s="4235"/>
      <c r="F413" s="4235">
        <f t="shared" si="16"/>
        <v>0</v>
      </c>
    </row>
    <row r="414" spans="1:6" ht="14.25" customHeight="1">
      <c r="A414" s="4390"/>
      <c r="B414" s="4232"/>
      <c r="C414" s="4233"/>
      <c r="D414" s="4251"/>
      <c r="E414" s="4235"/>
      <c r="F414" s="4235" t="str">
        <f t="shared" si="16"/>
        <v xml:space="preserve"> </v>
      </c>
    </row>
    <row r="415" spans="1:6" s="4223" customFormat="1" ht="15" customHeight="1">
      <c r="A415" s="4396">
        <v>7</v>
      </c>
      <c r="B415" s="4211" t="s">
        <v>3879</v>
      </c>
      <c r="C415" s="4222"/>
      <c r="D415" s="4313"/>
      <c r="E415" s="4217"/>
      <c r="F415" s="4217" t="str">
        <f t="shared" si="16"/>
        <v xml:space="preserve"> </v>
      </c>
    </row>
    <row r="416" spans="1:6" s="4223" customFormat="1" ht="14.25" customHeight="1">
      <c r="A416" s="4401">
        <v>7.1</v>
      </c>
      <c r="B416" s="4212" t="s">
        <v>3763</v>
      </c>
      <c r="C416" s="3533">
        <v>4</v>
      </c>
      <c r="D416" s="3534" t="s">
        <v>2433</v>
      </c>
      <c r="E416" s="3535"/>
      <c r="F416" s="4217">
        <f t="shared" si="16"/>
        <v>0</v>
      </c>
    </row>
    <row r="417" spans="1:6" s="4223" customFormat="1" ht="14.25" customHeight="1">
      <c r="A417" s="4401">
        <v>7.2</v>
      </c>
      <c r="B417" s="3563" t="s">
        <v>3764</v>
      </c>
      <c r="C417" s="3533">
        <v>1</v>
      </c>
      <c r="D417" s="3534" t="s">
        <v>2433</v>
      </c>
      <c r="E417" s="3535"/>
      <c r="F417" s="4217">
        <f t="shared" si="16"/>
        <v>0</v>
      </c>
    </row>
    <row r="418" spans="1:6" s="4223" customFormat="1" ht="14.25" customHeight="1">
      <c r="A418" s="4401">
        <v>7.3</v>
      </c>
      <c r="B418" s="3563" t="s">
        <v>3765</v>
      </c>
      <c r="C418" s="3533">
        <v>2</v>
      </c>
      <c r="D418" s="3534" t="s">
        <v>2433</v>
      </c>
      <c r="E418" s="3535"/>
      <c r="F418" s="4217">
        <f t="shared" si="16"/>
        <v>0</v>
      </c>
    </row>
    <row r="419" spans="1:6" s="4223" customFormat="1" ht="14.25" customHeight="1">
      <c r="A419" s="4401">
        <v>7.4</v>
      </c>
      <c r="B419" s="3563" t="s">
        <v>3880</v>
      </c>
      <c r="C419" s="3533">
        <v>1</v>
      </c>
      <c r="D419" s="3534" t="s">
        <v>2433</v>
      </c>
      <c r="E419" s="4347"/>
      <c r="F419" s="4217">
        <f t="shared" si="16"/>
        <v>0</v>
      </c>
    </row>
    <row r="420" spans="1:6" ht="14.25" customHeight="1">
      <c r="A420" s="4390"/>
      <c r="B420" s="4232"/>
      <c r="C420" s="4233"/>
      <c r="D420" s="4251"/>
      <c r="E420" s="4235"/>
      <c r="F420" s="4235" t="str">
        <f t="shared" si="16"/>
        <v xml:space="preserve"> </v>
      </c>
    </row>
    <row r="421" spans="1:6" ht="15" customHeight="1">
      <c r="A421" s="4391">
        <v>8</v>
      </c>
      <c r="B421" s="4345" t="s">
        <v>1816</v>
      </c>
      <c r="C421" s="4233"/>
      <c r="D421" s="4251"/>
      <c r="E421" s="4235"/>
      <c r="F421" s="4235" t="str">
        <f t="shared" si="16"/>
        <v xml:space="preserve"> </v>
      </c>
    </row>
    <row r="422" spans="1:6" ht="28.5" customHeight="1">
      <c r="A422" s="4394">
        <v>8.1</v>
      </c>
      <c r="B422" s="3563" t="s">
        <v>4038</v>
      </c>
      <c r="C422" s="4277">
        <v>2</v>
      </c>
      <c r="D422" s="4234" t="s">
        <v>2433</v>
      </c>
      <c r="E422" s="4235"/>
      <c r="F422" s="4235">
        <f t="shared" si="16"/>
        <v>0</v>
      </c>
    </row>
    <row r="423" spans="1:6" ht="14.25" customHeight="1">
      <c r="A423" s="4394">
        <v>8.1999999999999993</v>
      </c>
      <c r="B423" s="3563" t="s">
        <v>4039</v>
      </c>
      <c r="C423" s="4277">
        <v>2</v>
      </c>
      <c r="D423" s="4234" t="s">
        <v>2433</v>
      </c>
      <c r="E423" s="4235"/>
      <c r="F423" s="4235">
        <f t="shared" si="16"/>
        <v>0</v>
      </c>
    </row>
    <row r="424" spans="1:6" ht="14.25" customHeight="1">
      <c r="A424" s="4394">
        <v>8.3000000000000007</v>
      </c>
      <c r="B424" s="4212" t="s">
        <v>3640</v>
      </c>
      <c r="C424" s="4277">
        <v>3</v>
      </c>
      <c r="D424" s="4234" t="s">
        <v>2433</v>
      </c>
      <c r="E424" s="4235"/>
      <c r="F424" s="4235">
        <f t="shared" si="16"/>
        <v>0</v>
      </c>
    </row>
    <row r="425" spans="1:6" ht="14.25" customHeight="1">
      <c r="A425" s="4394">
        <v>8.4</v>
      </c>
      <c r="B425" s="4212" t="s">
        <v>3641</v>
      </c>
      <c r="C425" s="4277">
        <v>1</v>
      </c>
      <c r="D425" s="4234" t="s">
        <v>2433</v>
      </c>
      <c r="E425" s="4235"/>
      <c r="F425" s="4235">
        <f t="shared" si="16"/>
        <v>0</v>
      </c>
    </row>
    <row r="426" spans="1:6" ht="14.25" customHeight="1">
      <c r="A426" s="4394">
        <v>8.5</v>
      </c>
      <c r="B426" s="4212" t="s">
        <v>3642</v>
      </c>
      <c r="C426" s="4277">
        <v>1</v>
      </c>
      <c r="D426" s="4234" t="s">
        <v>2433</v>
      </c>
      <c r="E426" s="4235"/>
      <c r="F426" s="4235">
        <f t="shared" si="16"/>
        <v>0</v>
      </c>
    </row>
    <row r="427" spans="1:6" ht="14.25" customHeight="1">
      <c r="A427" s="4394">
        <v>8.6</v>
      </c>
      <c r="B427" s="4322" t="s">
        <v>3643</v>
      </c>
      <c r="C427" s="4277">
        <v>5</v>
      </c>
      <c r="D427" s="4234" t="s">
        <v>2433</v>
      </c>
      <c r="E427" s="4235"/>
      <c r="F427" s="4235">
        <f t="shared" si="16"/>
        <v>0</v>
      </c>
    </row>
    <row r="428" spans="1:6" ht="14.25" customHeight="1">
      <c r="A428" s="4394">
        <v>8.6999999999999993</v>
      </c>
      <c r="B428" s="3563" t="s">
        <v>3644</v>
      </c>
      <c r="C428" s="4277">
        <v>4</v>
      </c>
      <c r="D428" s="4234" t="s">
        <v>2433</v>
      </c>
      <c r="E428" s="4235"/>
      <c r="F428" s="4235">
        <f t="shared" si="16"/>
        <v>0</v>
      </c>
    </row>
    <row r="429" spans="1:6" ht="14.25" customHeight="1">
      <c r="A429" s="4394">
        <v>8.8000000000000007</v>
      </c>
      <c r="B429" s="4212" t="s">
        <v>3645</v>
      </c>
      <c r="C429" s="4277">
        <v>1</v>
      </c>
      <c r="D429" s="4234" t="s">
        <v>2433</v>
      </c>
      <c r="E429" s="4235"/>
      <c r="F429" s="4235">
        <f t="shared" si="16"/>
        <v>0</v>
      </c>
    </row>
    <row r="430" spans="1:6" ht="14.25" customHeight="1">
      <c r="A430" s="4394">
        <v>8.9</v>
      </c>
      <c r="B430" s="4212" t="s">
        <v>3646</v>
      </c>
      <c r="C430" s="4277">
        <v>1</v>
      </c>
      <c r="D430" s="4234" t="s">
        <v>2433</v>
      </c>
      <c r="E430" s="4235"/>
      <c r="F430" s="4235">
        <f t="shared" si="16"/>
        <v>0</v>
      </c>
    </row>
    <row r="431" spans="1:6" ht="14.25" customHeight="1">
      <c r="A431" s="4390">
        <v>8.1</v>
      </c>
      <c r="B431" s="3563" t="s">
        <v>3647</v>
      </c>
      <c r="C431" s="4277">
        <v>1</v>
      </c>
      <c r="D431" s="4234" t="s">
        <v>2433</v>
      </c>
      <c r="E431" s="4235"/>
      <c r="F431" s="4235">
        <f t="shared" si="16"/>
        <v>0</v>
      </c>
    </row>
    <row r="432" spans="1:6" ht="14.25" customHeight="1">
      <c r="A432" s="4390">
        <v>8.11</v>
      </c>
      <c r="B432" s="4212" t="s">
        <v>2948</v>
      </c>
      <c r="C432" s="4277">
        <v>1</v>
      </c>
      <c r="D432" s="4234" t="s">
        <v>2433</v>
      </c>
      <c r="E432" s="4235"/>
      <c r="F432" s="4235">
        <f t="shared" si="16"/>
        <v>0</v>
      </c>
    </row>
    <row r="433" spans="1:6" ht="14.25" customHeight="1">
      <c r="A433" s="4390">
        <v>8.1199999999999992</v>
      </c>
      <c r="B433" s="4212" t="s">
        <v>2949</v>
      </c>
      <c r="C433" s="4277">
        <v>8</v>
      </c>
      <c r="D433" s="4234" t="s">
        <v>2433</v>
      </c>
      <c r="E433" s="4235"/>
      <c r="F433" s="4235">
        <f t="shared" ref="F433:F444" si="18">IF(C433&gt;0,(ROUND((E433*C433),2))," ")</f>
        <v>0</v>
      </c>
    </row>
    <row r="434" spans="1:6" ht="14.25" customHeight="1">
      <c r="A434" s="4390">
        <v>8.1300000000000008</v>
      </c>
      <c r="B434" s="4212" t="s">
        <v>2950</v>
      </c>
      <c r="C434" s="4277">
        <v>1</v>
      </c>
      <c r="D434" s="4234" t="s">
        <v>2433</v>
      </c>
      <c r="E434" s="4235"/>
      <c r="F434" s="4235">
        <f t="shared" si="18"/>
        <v>0</v>
      </c>
    </row>
    <row r="435" spans="1:6" ht="14.25" customHeight="1">
      <c r="A435" s="4390"/>
      <c r="B435" s="4276"/>
      <c r="C435" s="4277"/>
      <c r="D435" s="4278"/>
      <c r="E435" s="4235"/>
      <c r="F435" s="4235" t="str">
        <f t="shared" si="18"/>
        <v xml:space="preserve"> </v>
      </c>
    </row>
    <row r="436" spans="1:6" s="4242" customFormat="1" ht="15" customHeight="1">
      <c r="A436" s="4391">
        <v>9</v>
      </c>
      <c r="B436" s="4345" t="s">
        <v>2961</v>
      </c>
      <c r="C436" s="4279"/>
      <c r="D436" s="4280"/>
      <c r="E436" s="4266"/>
      <c r="F436" s="4235" t="str">
        <f t="shared" si="18"/>
        <v xml:space="preserve"> </v>
      </c>
    </row>
    <row r="437" spans="1:6" ht="14.25" customHeight="1">
      <c r="A437" s="4394">
        <v>9.1</v>
      </c>
      <c r="B437" s="4276" t="s">
        <v>2394</v>
      </c>
      <c r="C437" s="4277">
        <v>37</v>
      </c>
      <c r="D437" s="4234" t="s">
        <v>1</v>
      </c>
      <c r="E437" s="4235"/>
      <c r="F437" s="4235">
        <f t="shared" si="18"/>
        <v>0</v>
      </c>
    </row>
    <row r="438" spans="1:6" ht="14.25" customHeight="1">
      <c r="A438" s="4394">
        <v>9.1999999999999993</v>
      </c>
      <c r="B438" s="4276" t="s">
        <v>2958</v>
      </c>
      <c r="C438" s="4277">
        <v>14.8</v>
      </c>
      <c r="D438" s="4251" t="s">
        <v>3157</v>
      </c>
      <c r="E438" s="4235"/>
      <c r="F438" s="4235">
        <f t="shared" si="18"/>
        <v>0</v>
      </c>
    </row>
    <row r="439" spans="1:6" ht="14.25" customHeight="1">
      <c r="A439" s="4394">
        <v>9.3000000000000007</v>
      </c>
      <c r="B439" s="4276" t="s">
        <v>2546</v>
      </c>
      <c r="C439" s="4277">
        <v>1.85</v>
      </c>
      <c r="D439" s="4278" t="s">
        <v>2620</v>
      </c>
      <c r="E439" s="4235"/>
      <c r="F439" s="4235">
        <f t="shared" si="18"/>
        <v>0</v>
      </c>
    </row>
    <row r="440" spans="1:6" ht="14.25" customHeight="1">
      <c r="A440" s="4394">
        <v>9.4</v>
      </c>
      <c r="B440" s="3434" t="s">
        <v>2399</v>
      </c>
      <c r="C440" s="4277">
        <v>10.36</v>
      </c>
      <c r="D440" s="4251" t="s">
        <v>2431</v>
      </c>
      <c r="E440" s="4235"/>
      <c r="F440" s="4235">
        <f t="shared" si="18"/>
        <v>0</v>
      </c>
    </row>
    <row r="441" spans="1:6" ht="28.5" customHeight="1">
      <c r="A441" s="4394">
        <v>9.5</v>
      </c>
      <c r="B441" s="4276" t="s">
        <v>2959</v>
      </c>
      <c r="C441" s="4277">
        <v>5.33</v>
      </c>
      <c r="D441" s="4278" t="s">
        <v>2525</v>
      </c>
      <c r="E441" s="4235"/>
      <c r="F441" s="4235">
        <f t="shared" si="18"/>
        <v>0</v>
      </c>
    </row>
    <row r="442" spans="1:6" ht="14.25" customHeight="1">
      <c r="A442" s="4394">
        <v>9.6</v>
      </c>
      <c r="B442" s="4276" t="s">
        <v>3492</v>
      </c>
      <c r="C442" s="4277">
        <v>37</v>
      </c>
      <c r="D442" s="4278" t="s">
        <v>1</v>
      </c>
      <c r="E442" s="4235"/>
      <c r="F442" s="4235">
        <f t="shared" si="18"/>
        <v>0</v>
      </c>
    </row>
    <row r="443" spans="1:6" ht="14.25" customHeight="1">
      <c r="A443" s="4394">
        <v>9.6999999999999993</v>
      </c>
      <c r="B443" s="4276" t="s">
        <v>2962</v>
      </c>
      <c r="C443" s="4277">
        <v>7</v>
      </c>
      <c r="D443" s="4234" t="s">
        <v>2433</v>
      </c>
      <c r="E443" s="4235"/>
      <c r="F443" s="4235">
        <f t="shared" si="18"/>
        <v>0</v>
      </c>
    </row>
    <row r="444" spans="1:6" ht="14.25" customHeight="1">
      <c r="A444" s="4394">
        <v>9.8000000000000007</v>
      </c>
      <c r="B444" s="4276" t="s">
        <v>3881</v>
      </c>
      <c r="C444" s="4277">
        <v>1</v>
      </c>
      <c r="D444" s="4278" t="s">
        <v>42</v>
      </c>
      <c r="E444" s="4235"/>
      <c r="F444" s="4235">
        <f t="shared" si="18"/>
        <v>0</v>
      </c>
    </row>
    <row r="445" spans="1:6" s="4268" customFormat="1" ht="12.75" customHeight="1">
      <c r="A445" s="4307"/>
      <c r="B445" s="4306" t="s">
        <v>2125</v>
      </c>
      <c r="C445" s="4307"/>
      <c r="D445" s="4307"/>
      <c r="E445" s="4307"/>
      <c r="F445" s="4309">
        <f>SUM(F369:F444)</f>
        <v>0</v>
      </c>
    </row>
    <row r="446" spans="1:6" ht="15" customHeight="1">
      <c r="A446" s="4395"/>
      <c r="B446" s="3435"/>
      <c r="C446" s="3538"/>
      <c r="D446" s="4265"/>
      <c r="E446" s="4266"/>
      <c r="F446" s="4266"/>
    </row>
    <row r="447" spans="1:6" s="4223" customFormat="1" ht="15">
      <c r="A447" s="4398" t="s">
        <v>877</v>
      </c>
      <c r="B447" s="3435" t="s">
        <v>3126</v>
      </c>
      <c r="C447" s="4323"/>
      <c r="D447" s="4324"/>
      <c r="E447" s="4325"/>
      <c r="F447" s="4325" t="str">
        <f t="shared" ref="F447:F485" si="19">IF(C447&gt;0,(ROUND((E447*C447),2))," ")</f>
        <v xml:space="preserve"> </v>
      </c>
    </row>
    <row r="448" spans="1:6" s="4242" customFormat="1" ht="15" customHeight="1">
      <c r="A448" s="4391">
        <v>1</v>
      </c>
      <c r="B448" s="4345" t="s">
        <v>2165</v>
      </c>
      <c r="C448" s="4264"/>
      <c r="D448" s="4273"/>
      <c r="E448" s="4266"/>
      <c r="F448" s="4266" t="str">
        <f t="shared" si="19"/>
        <v xml:space="preserve"> </v>
      </c>
    </row>
    <row r="449" spans="1:6" ht="14.25" customHeight="1">
      <c r="A449" s="4394">
        <v>1.1000000000000001</v>
      </c>
      <c r="B449" s="4232" t="s">
        <v>4042</v>
      </c>
      <c r="C449" s="4208">
        <v>1</v>
      </c>
      <c r="D449" s="4234" t="s">
        <v>2433</v>
      </c>
      <c r="E449" s="4210"/>
      <c r="F449" s="4228">
        <f t="shared" si="19"/>
        <v>0</v>
      </c>
    </row>
    <row r="450" spans="1:6" ht="14.25" customHeight="1">
      <c r="A450" s="4390"/>
      <c r="B450" s="4232"/>
      <c r="C450" s="4233"/>
      <c r="D450" s="4251"/>
      <c r="E450" s="4235"/>
      <c r="F450" s="4235" t="str">
        <f t="shared" si="19"/>
        <v xml:space="preserve"> </v>
      </c>
    </row>
    <row r="451" spans="1:6" ht="15" customHeight="1">
      <c r="A451" s="4391">
        <v>2</v>
      </c>
      <c r="B451" s="4345" t="s">
        <v>3723</v>
      </c>
      <c r="C451" s="4233"/>
      <c r="D451" s="4251"/>
      <c r="E451" s="4235"/>
      <c r="F451" s="4235" t="str">
        <f t="shared" si="19"/>
        <v xml:space="preserve"> </v>
      </c>
    </row>
    <row r="452" spans="1:6" ht="14.25" customHeight="1">
      <c r="A452" s="4394">
        <v>2.1</v>
      </c>
      <c r="B452" s="3434" t="s">
        <v>2398</v>
      </c>
      <c r="C452" s="4233">
        <v>8.9499999999999993</v>
      </c>
      <c r="D452" s="4251" t="s">
        <v>2430</v>
      </c>
      <c r="E452" s="4235"/>
      <c r="F452" s="4235">
        <f t="shared" si="19"/>
        <v>0</v>
      </c>
    </row>
    <row r="453" spans="1:6" ht="14.25" customHeight="1">
      <c r="A453" s="4394">
        <v>2.2000000000000002</v>
      </c>
      <c r="B453" s="3434" t="s">
        <v>2399</v>
      </c>
      <c r="C453" s="4235">
        <v>4.33</v>
      </c>
      <c r="D453" s="4251" t="s">
        <v>2431</v>
      </c>
      <c r="E453" s="4235"/>
      <c r="F453" s="4235">
        <f t="shared" si="19"/>
        <v>0</v>
      </c>
    </row>
    <row r="454" spans="1:6" ht="29.25" customHeight="1">
      <c r="A454" s="4394">
        <v>2.2999999999999998</v>
      </c>
      <c r="B454" s="3434" t="s">
        <v>3847</v>
      </c>
      <c r="C454" s="4233">
        <v>6</v>
      </c>
      <c r="D454" s="4234" t="s">
        <v>2525</v>
      </c>
      <c r="E454" s="4235"/>
      <c r="F454" s="4235">
        <f t="shared" si="19"/>
        <v>0</v>
      </c>
    </row>
    <row r="455" spans="1:6" ht="14.25" customHeight="1">
      <c r="A455" s="4456"/>
      <c r="B455" s="4452"/>
      <c r="C455" s="4466"/>
      <c r="D455" s="4467"/>
      <c r="E455" s="4468"/>
      <c r="F455" s="4468" t="str">
        <f t="shared" si="19"/>
        <v xml:space="preserve"> </v>
      </c>
    </row>
    <row r="456" spans="1:6" ht="15" customHeight="1">
      <c r="A456" s="4391">
        <v>3</v>
      </c>
      <c r="B456" s="4345" t="s">
        <v>3724</v>
      </c>
      <c r="C456" s="4233"/>
      <c r="D456" s="4251"/>
      <c r="E456" s="4235"/>
      <c r="F456" s="4235" t="str">
        <f t="shared" si="19"/>
        <v xml:space="preserve"> </v>
      </c>
    </row>
    <row r="457" spans="1:6" ht="14.25" customHeight="1">
      <c r="A457" s="4394">
        <v>3.1</v>
      </c>
      <c r="B457" s="4232" t="s">
        <v>3530</v>
      </c>
      <c r="C457" s="4191">
        <v>1.78</v>
      </c>
      <c r="D457" s="4251" t="s">
        <v>2430</v>
      </c>
      <c r="E457" s="4235"/>
      <c r="F457" s="4235">
        <f t="shared" si="19"/>
        <v>0</v>
      </c>
    </row>
    <row r="458" spans="1:6" ht="14.25" customHeight="1">
      <c r="A458" s="4394">
        <v>3.2</v>
      </c>
      <c r="B458" s="4232" t="s">
        <v>3531</v>
      </c>
      <c r="C458" s="4191">
        <v>1.32</v>
      </c>
      <c r="D458" s="4251" t="s">
        <v>2430</v>
      </c>
      <c r="E458" s="4235"/>
      <c r="F458" s="4235">
        <f t="shared" si="19"/>
        <v>0</v>
      </c>
    </row>
    <row r="459" spans="1:6" ht="14.25" customHeight="1">
      <c r="A459" s="4394">
        <v>3.3</v>
      </c>
      <c r="B459" s="4232" t="s">
        <v>3532</v>
      </c>
      <c r="C459" s="4191">
        <v>1.22</v>
      </c>
      <c r="D459" s="4251" t="s">
        <v>2430</v>
      </c>
      <c r="E459" s="4235"/>
      <c r="F459" s="4235">
        <f t="shared" si="19"/>
        <v>0</v>
      </c>
    </row>
    <row r="460" spans="1:6" ht="14.25" customHeight="1">
      <c r="A460" s="4394">
        <v>3.4</v>
      </c>
      <c r="B460" s="4232" t="s">
        <v>3533</v>
      </c>
      <c r="C460" s="4191">
        <v>0.51</v>
      </c>
      <c r="D460" s="4251" t="s">
        <v>2430</v>
      </c>
      <c r="E460" s="4235"/>
      <c r="F460" s="4235">
        <f t="shared" si="19"/>
        <v>0</v>
      </c>
    </row>
    <row r="461" spans="1:6" ht="14.25" customHeight="1">
      <c r="A461" s="4394">
        <v>3.5</v>
      </c>
      <c r="B461" s="4232" t="s">
        <v>3534</v>
      </c>
      <c r="C461" s="4191">
        <v>0.98</v>
      </c>
      <c r="D461" s="4251" t="s">
        <v>2430</v>
      </c>
      <c r="E461" s="4235"/>
      <c r="F461" s="4235">
        <f t="shared" si="19"/>
        <v>0</v>
      </c>
    </row>
    <row r="462" spans="1:6" ht="14.25" customHeight="1">
      <c r="A462" s="4394">
        <v>3.6</v>
      </c>
      <c r="B462" s="4232" t="s">
        <v>3153</v>
      </c>
      <c r="C462" s="4191">
        <v>0.16</v>
      </c>
      <c r="D462" s="4234" t="s">
        <v>2430</v>
      </c>
      <c r="E462" s="4235"/>
      <c r="F462" s="4235">
        <f t="shared" si="19"/>
        <v>0</v>
      </c>
    </row>
    <row r="463" spans="1:6" ht="14.25" customHeight="1">
      <c r="A463" s="4394">
        <v>3.7</v>
      </c>
      <c r="B463" s="4232" t="s">
        <v>3535</v>
      </c>
      <c r="C463" s="4191">
        <v>2.1800000000000002</v>
      </c>
      <c r="D463" s="4234" t="s">
        <v>2430</v>
      </c>
      <c r="E463" s="4235"/>
      <c r="F463" s="4235">
        <f t="shared" si="19"/>
        <v>0</v>
      </c>
    </row>
    <row r="464" spans="1:6" ht="14.25" customHeight="1">
      <c r="A464" s="4394">
        <v>3.8</v>
      </c>
      <c r="B464" s="4232" t="s">
        <v>3570</v>
      </c>
      <c r="C464" s="4191">
        <v>1.07</v>
      </c>
      <c r="D464" s="4234" t="s">
        <v>2430</v>
      </c>
      <c r="E464" s="4235"/>
      <c r="F464" s="4235">
        <f t="shared" si="19"/>
        <v>0</v>
      </c>
    </row>
    <row r="465" spans="1:6" ht="14.25" customHeight="1">
      <c r="A465" s="4390"/>
      <c r="B465" s="4232"/>
      <c r="C465" s="4233"/>
      <c r="D465" s="4251"/>
      <c r="E465" s="4235"/>
      <c r="F465" s="4235" t="str">
        <f t="shared" si="19"/>
        <v xml:space="preserve"> </v>
      </c>
    </row>
    <row r="466" spans="1:6" ht="15" customHeight="1">
      <c r="A466" s="4391">
        <v>4</v>
      </c>
      <c r="B466" s="4345" t="s">
        <v>1848</v>
      </c>
      <c r="C466" s="4233"/>
      <c r="D466" s="4251"/>
      <c r="E466" s="4235"/>
      <c r="F466" s="4235" t="str">
        <f t="shared" si="19"/>
        <v xml:space="preserve"> </v>
      </c>
    </row>
    <row r="467" spans="1:6" ht="14.25" customHeight="1">
      <c r="A467" s="4394">
        <v>4.0999999999999996</v>
      </c>
      <c r="B467" s="4274" t="s">
        <v>3536</v>
      </c>
      <c r="C467" s="4233">
        <v>5.0599999999999996</v>
      </c>
      <c r="D467" s="4251" t="s">
        <v>2432</v>
      </c>
      <c r="E467" s="4235"/>
      <c r="F467" s="4235">
        <f t="shared" si="19"/>
        <v>0</v>
      </c>
    </row>
    <row r="468" spans="1:6" ht="14.25" customHeight="1">
      <c r="A468" s="4394">
        <v>4.2</v>
      </c>
      <c r="B468" s="4274" t="s">
        <v>3537</v>
      </c>
      <c r="C468" s="4233">
        <v>25.13</v>
      </c>
      <c r="D468" s="4251" t="s">
        <v>2432</v>
      </c>
      <c r="E468" s="4235"/>
      <c r="F468" s="4235">
        <f t="shared" si="19"/>
        <v>0</v>
      </c>
    </row>
    <row r="469" spans="1:6" ht="14.25" customHeight="1">
      <c r="A469" s="4394">
        <v>4.3</v>
      </c>
      <c r="B469" s="4232" t="s">
        <v>2401</v>
      </c>
      <c r="C469" s="4233">
        <v>5.2</v>
      </c>
      <c r="D469" s="4251" t="s">
        <v>2432</v>
      </c>
      <c r="E469" s="4235"/>
      <c r="F469" s="4235">
        <f t="shared" si="19"/>
        <v>0</v>
      </c>
    </row>
    <row r="470" spans="1:6" ht="14.25" customHeight="1">
      <c r="A470" s="4390"/>
      <c r="B470" s="4232"/>
      <c r="C470" s="4233"/>
      <c r="D470" s="4251"/>
      <c r="E470" s="4235"/>
      <c r="F470" s="4235" t="str">
        <f t="shared" si="19"/>
        <v xml:space="preserve"> </v>
      </c>
    </row>
    <row r="471" spans="1:6" ht="15" customHeight="1">
      <c r="A471" s="4391">
        <v>5</v>
      </c>
      <c r="B471" s="4345" t="s">
        <v>586</v>
      </c>
      <c r="C471" s="4233"/>
      <c r="D471" s="4251"/>
      <c r="E471" s="4235"/>
      <c r="F471" s="4235" t="str">
        <f t="shared" si="19"/>
        <v xml:space="preserve"> </v>
      </c>
    </row>
    <row r="472" spans="1:6" ht="14.25" customHeight="1">
      <c r="A472" s="4394">
        <v>5.0999999999999996</v>
      </c>
      <c r="B472" s="4232" t="s">
        <v>2568</v>
      </c>
      <c r="C472" s="4233">
        <v>33.71</v>
      </c>
      <c r="D472" s="4251" t="s">
        <v>2432</v>
      </c>
      <c r="E472" s="4235"/>
      <c r="F472" s="4235">
        <f t="shared" si="19"/>
        <v>0</v>
      </c>
    </row>
    <row r="473" spans="1:6" ht="14.25" customHeight="1">
      <c r="A473" s="4394">
        <v>5.2</v>
      </c>
      <c r="B473" s="4232" t="s">
        <v>2402</v>
      </c>
      <c r="C473" s="4233">
        <v>40.64</v>
      </c>
      <c r="D473" s="4251" t="s">
        <v>2432</v>
      </c>
      <c r="E473" s="4235"/>
      <c r="F473" s="4235">
        <f t="shared" si="19"/>
        <v>0</v>
      </c>
    </row>
    <row r="474" spans="1:6" ht="14.25" customHeight="1">
      <c r="A474" s="4394">
        <v>5.3</v>
      </c>
      <c r="B474" s="4232" t="s">
        <v>2345</v>
      </c>
      <c r="C474" s="4191">
        <v>34.11</v>
      </c>
      <c r="D474" s="4251" t="s">
        <v>2432</v>
      </c>
      <c r="E474" s="4235"/>
      <c r="F474" s="4235">
        <f t="shared" si="19"/>
        <v>0</v>
      </c>
    </row>
    <row r="475" spans="1:6" ht="14.25" customHeight="1">
      <c r="A475" s="4394">
        <v>5.4</v>
      </c>
      <c r="B475" s="4232" t="s">
        <v>2343</v>
      </c>
      <c r="C475" s="4233">
        <v>18.09</v>
      </c>
      <c r="D475" s="4251" t="s">
        <v>2432</v>
      </c>
      <c r="E475" s="4235"/>
      <c r="F475" s="4235">
        <f t="shared" si="19"/>
        <v>0</v>
      </c>
    </row>
    <row r="476" spans="1:6" ht="14.25" customHeight="1">
      <c r="A476" s="4394">
        <v>5.5</v>
      </c>
      <c r="B476" s="3563" t="s">
        <v>3575</v>
      </c>
      <c r="C476" s="4191">
        <v>85.15</v>
      </c>
      <c r="D476" s="4251" t="s">
        <v>2432</v>
      </c>
      <c r="E476" s="4235"/>
      <c r="F476" s="4235">
        <f t="shared" si="19"/>
        <v>0</v>
      </c>
    </row>
    <row r="477" spans="1:6" ht="14.25" customHeight="1">
      <c r="A477" s="4394">
        <v>5.6</v>
      </c>
      <c r="B477" s="4232" t="s">
        <v>2558</v>
      </c>
      <c r="C477" s="4233">
        <v>14.3</v>
      </c>
      <c r="D477" s="4251" t="s">
        <v>2432</v>
      </c>
      <c r="E477" s="4235"/>
      <c r="F477" s="4235">
        <f t="shared" si="19"/>
        <v>0</v>
      </c>
    </row>
    <row r="478" spans="1:6" ht="14.25" customHeight="1">
      <c r="A478" s="4394">
        <v>5.7</v>
      </c>
      <c r="B478" s="3563" t="s">
        <v>3538</v>
      </c>
      <c r="C478" s="4233">
        <v>147.72</v>
      </c>
      <c r="D478" s="4251" t="s">
        <v>1</v>
      </c>
      <c r="E478" s="4235"/>
      <c r="F478" s="4235">
        <f t="shared" si="19"/>
        <v>0</v>
      </c>
    </row>
    <row r="479" spans="1:6" ht="14.25" customHeight="1">
      <c r="A479" s="4394">
        <v>5.8</v>
      </c>
      <c r="B479" s="3563" t="s">
        <v>3541</v>
      </c>
      <c r="C479" s="4233">
        <v>15.14</v>
      </c>
      <c r="D479" s="4251" t="s">
        <v>1</v>
      </c>
      <c r="E479" s="4235"/>
      <c r="F479" s="4235">
        <f t="shared" si="19"/>
        <v>0</v>
      </c>
    </row>
    <row r="480" spans="1:6" ht="14.25" customHeight="1">
      <c r="A480" s="4394">
        <v>5.9</v>
      </c>
      <c r="B480" s="4232" t="s">
        <v>2346</v>
      </c>
      <c r="C480" s="4191">
        <v>12.11</v>
      </c>
      <c r="D480" s="4251" t="s">
        <v>2432</v>
      </c>
      <c r="E480" s="4235"/>
      <c r="F480" s="4235">
        <f t="shared" si="19"/>
        <v>0</v>
      </c>
    </row>
    <row r="481" spans="1:6" ht="14.25" customHeight="1">
      <c r="A481" s="4390">
        <v>5.0999999999999996</v>
      </c>
      <c r="B481" s="4212" t="s">
        <v>3878</v>
      </c>
      <c r="C481" s="4233">
        <v>1</v>
      </c>
      <c r="D481" s="4234" t="s">
        <v>2433</v>
      </c>
      <c r="E481" s="4235"/>
      <c r="F481" s="4235">
        <f t="shared" si="19"/>
        <v>0</v>
      </c>
    </row>
    <row r="482" spans="1:6" ht="14.25" customHeight="1">
      <c r="A482" s="4390"/>
      <c r="B482" s="4212"/>
      <c r="C482" s="4233"/>
      <c r="D482" s="4251"/>
      <c r="E482" s="4235"/>
      <c r="F482" s="4235" t="str">
        <f t="shared" si="19"/>
        <v xml:space="preserve"> </v>
      </c>
    </row>
    <row r="483" spans="1:6" ht="15" customHeight="1">
      <c r="A483" s="4391">
        <v>6</v>
      </c>
      <c r="B483" s="4345" t="s">
        <v>3545</v>
      </c>
      <c r="C483" s="4191"/>
      <c r="D483" s="4194"/>
      <c r="E483" s="4210"/>
      <c r="F483" s="4235" t="str">
        <f t="shared" si="19"/>
        <v xml:space="preserve"> </v>
      </c>
    </row>
    <row r="484" spans="1:6" ht="14.25" customHeight="1">
      <c r="A484" s="4394">
        <v>6.1</v>
      </c>
      <c r="B484" s="4212" t="s">
        <v>3546</v>
      </c>
      <c r="C484" s="4191">
        <v>1</v>
      </c>
      <c r="D484" s="4234" t="s">
        <v>2433</v>
      </c>
      <c r="E484" s="4210"/>
      <c r="F484" s="4235">
        <f t="shared" si="19"/>
        <v>0</v>
      </c>
    </row>
    <row r="485" spans="1:6" ht="14.25" customHeight="1">
      <c r="A485" s="4394">
        <v>6.2</v>
      </c>
      <c r="B485" s="4212" t="s">
        <v>2418</v>
      </c>
      <c r="C485" s="4191">
        <v>22.6</v>
      </c>
      <c r="D485" s="4234" t="s">
        <v>2602</v>
      </c>
      <c r="E485" s="4210"/>
      <c r="F485" s="4235">
        <f t="shared" si="19"/>
        <v>0</v>
      </c>
    </row>
    <row r="486" spans="1:6" ht="14.25" customHeight="1">
      <c r="A486" s="4390"/>
      <c r="B486" s="4212"/>
      <c r="C486" s="4191"/>
      <c r="D486" s="4234"/>
      <c r="E486" s="4210"/>
      <c r="F486" s="4235"/>
    </row>
    <row r="487" spans="1:6" ht="15" customHeight="1">
      <c r="A487" s="4391">
        <v>7</v>
      </c>
      <c r="B487" s="4345" t="s">
        <v>904</v>
      </c>
      <c r="C487" s="4233"/>
      <c r="D487" s="4251"/>
      <c r="E487" s="4235"/>
      <c r="F487" s="4235" t="str">
        <f t="shared" ref="F487:F491" si="20">IF(C487&gt;0,(ROUND((E487*C487),2))," ")</f>
        <v xml:space="preserve"> </v>
      </c>
    </row>
    <row r="488" spans="1:6" s="4275" customFormat="1" ht="14.25" customHeight="1">
      <c r="A488" s="4394">
        <v>7.1</v>
      </c>
      <c r="B488" s="4232" t="s">
        <v>3547</v>
      </c>
      <c r="C488" s="4191">
        <v>1</v>
      </c>
      <c r="D488" s="4234" t="s">
        <v>2433</v>
      </c>
      <c r="E488" s="4235"/>
      <c r="F488" s="4235">
        <f t="shared" si="20"/>
        <v>0</v>
      </c>
    </row>
    <row r="489" spans="1:6" s="4275" customFormat="1" ht="14.25" customHeight="1">
      <c r="A489" s="4394">
        <v>7.2</v>
      </c>
      <c r="B489" s="4232" t="s">
        <v>3628</v>
      </c>
      <c r="C489" s="4191">
        <v>2</v>
      </c>
      <c r="D489" s="4234" t="s">
        <v>2433</v>
      </c>
      <c r="E489" s="4235"/>
      <c r="F489" s="4235">
        <f t="shared" si="20"/>
        <v>0</v>
      </c>
    </row>
    <row r="490" spans="1:6" s="4275" customFormat="1" ht="14.25" customHeight="1">
      <c r="A490" s="4394">
        <v>7.3</v>
      </c>
      <c r="B490" s="4232" t="s">
        <v>2521</v>
      </c>
      <c r="C490" s="4191">
        <v>1</v>
      </c>
      <c r="D490" s="4234" t="s">
        <v>2433</v>
      </c>
      <c r="E490" s="4235"/>
      <c r="F490" s="4235">
        <f t="shared" si="20"/>
        <v>0</v>
      </c>
    </row>
    <row r="491" spans="1:6" s="4275" customFormat="1" ht="14.25" customHeight="1">
      <c r="A491" s="4394">
        <v>7.4</v>
      </c>
      <c r="B491" s="4232" t="s">
        <v>3648</v>
      </c>
      <c r="C491" s="4191">
        <v>2</v>
      </c>
      <c r="D491" s="4234" t="s">
        <v>2433</v>
      </c>
      <c r="E491" s="4235"/>
      <c r="F491" s="4235">
        <f t="shared" si="20"/>
        <v>0</v>
      </c>
    </row>
    <row r="492" spans="1:6" s="4268" customFormat="1" ht="12.75" customHeight="1">
      <c r="A492" s="4307"/>
      <c r="B492" s="4306" t="s">
        <v>2121</v>
      </c>
      <c r="C492" s="4307"/>
      <c r="D492" s="4307"/>
      <c r="E492" s="4307"/>
      <c r="F492" s="4309">
        <f>SUM(F448:F491)</f>
        <v>0</v>
      </c>
    </row>
    <row r="493" spans="1:6" ht="14.25" customHeight="1">
      <c r="A493" s="4390"/>
      <c r="B493" s="4232"/>
      <c r="C493" s="4233"/>
      <c r="D493" s="4251"/>
      <c r="E493" s="4235"/>
      <c r="F493" s="4235" t="str">
        <f>IF(C493&gt;0,(ROUND((E493*C493),2))," ")</f>
        <v xml:space="preserve"> </v>
      </c>
    </row>
    <row r="494" spans="1:6" s="4223" customFormat="1" ht="15">
      <c r="A494" s="4398" t="s">
        <v>912</v>
      </c>
      <c r="B494" s="3435" t="s">
        <v>1668</v>
      </c>
      <c r="C494" s="4310"/>
      <c r="D494" s="4311"/>
      <c r="E494" s="4312"/>
      <c r="F494" s="4312" t="str">
        <f t="shared" si="8"/>
        <v xml:space="preserve"> </v>
      </c>
    </row>
    <row r="495" spans="1:6" s="4223" customFormat="1" ht="15">
      <c r="A495" s="4398"/>
      <c r="B495" s="3435"/>
      <c r="C495" s="4310"/>
      <c r="D495" s="4311"/>
      <c r="E495" s="4312"/>
      <c r="F495" s="4312"/>
    </row>
    <row r="496" spans="1:6" ht="15">
      <c r="A496" s="4391">
        <v>1</v>
      </c>
      <c r="B496" s="4345" t="s">
        <v>2165</v>
      </c>
      <c r="C496" s="4233"/>
      <c r="D496" s="4251"/>
      <c r="E496" s="4235"/>
      <c r="F496" s="4235" t="str">
        <f t="shared" si="8"/>
        <v xml:space="preserve"> </v>
      </c>
    </row>
    <row r="497" spans="1:6" ht="14.25">
      <c r="A497" s="4394">
        <v>1.1000000000000001</v>
      </c>
      <c r="B497" s="4232" t="s">
        <v>4042</v>
      </c>
      <c r="C497" s="4233">
        <v>92.31</v>
      </c>
      <c r="D497" s="4251" t="s">
        <v>2432</v>
      </c>
      <c r="E497" s="4235"/>
      <c r="F497" s="4235">
        <f>IF(C497&gt;0,(ROUND((E497*C497),2))," ")</f>
        <v>0</v>
      </c>
    </row>
    <row r="498" spans="1:6" ht="14.25">
      <c r="A498" s="4390"/>
      <c r="B498" s="4232"/>
      <c r="C498" s="4233"/>
      <c r="D498" s="4234"/>
      <c r="E498" s="4235"/>
      <c r="F498" s="4235" t="str">
        <f t="shared" si="8"/>
        <v xml:space="preserve"> </v>
      </c>
    </row>
    <row r="499" spans="1:6" ht="15">
      <c r="A499" s="4391">
        <v>2</v>
      </c>
      <c r="B499" s="4345" t="s">
        <v>38</v>
      </c>
      <c r="C499" s="4233"/>
      <c r="D499" s="4234"/>
      <c r="E499" s="4235"/>
      <c r="F499" s="4235" t="str">
        <f t="shared" si="8"/>
        <v xml:space="preserve"> </v>
      </c>
    </row>
    <row r="500" spans="1:6" ht="14.25">
      <c r="A500" s="4394">
        <v>2.1</v>
      </c>
      <c r="B500" s="4250" t="s">
        <v>2403</v>
      </c>
      <c r="C500" s="4233">
        <v>29.83</v>
      </c>
      <c r="D500" s="4251" t="s">
        <v>2430</v>
      </c>
      <c r="E500" s="4235"/>
      <c r="F500" s="4235">
        <f t="shared" si="8"/>
        <v>0</v>
      </c>
    </row>
    <row r="501" spans="1:6" ht="15" customHeight="1">
      <c r="A501" s="4394">
        <v>2.2000000000000002</v>
      </c>
      <c r="B501" s="4250" t="s">
        <v>2399</v>
      </c>
      <c r="C501" s="4233">
        <v>28.26</v>
      </c>
      <c r="D501" s="4251" t="s">
        <v>2431</v>
      </c>
      <c r="E501" s="4235"/>
      <c r="F501" s="4235">
        <f t="shared" si="8"/>
        <v>0</v>
      </c>
    </row>
    <row r="502" spans="1:6" ht="14.25">
      <c r="A502" s="4394">
        <v>2.2999999999999998</v>
      </c>
      <c r="B502" s="4250" t="s">
        <v>2400</v>
      </c>
      <c r="C502" s="4233">
        <v>11.12</v>
      </c>
      <c r="D502" s="4234" t="s">
        <v>2525</v>
      </c>
      <c r="E502" s="4235"/>
      <c r="F502" s="4235">
        <f t="shared" si="8"/>
        <v>0</v>
      </c>
    </row>
    <row r="503" spans="1:6" ht="14.25">
      <c r="A503" s="4390"/>
      <c r="B503" s="4232"/>
      <c r="C503" s="4233"/>
      <c r="D503" s="4251"/>
      <c r="E503" s="4235"/>
      <c r="F503" s="4235" t="str">
        <f t="shared" si="8"/>
        <v xml:space="preserve"> </v>
      </c>
    </row>
    <row r="504" spans="1:6" ht="15">
      <c r="A504" s="4391">
        <v>3</v>
      </c>
      <c r="B504" s="4345" t="s">
        <v>3725</v>
      </c>
      <c r="C504" s="4233"/>
      <c r="D504" s="4251"/>
      <c r="E504" s="4235"/>
      <c r="F504" s="4235" t="str">
        <f t="shared" si="8"/>
        <v xml:space="preserve"> </v>
      </c>
    </row>
    <row r="505" spans="1:6" ht="14.25">
      <c r="A505" s="4394">
        <v>3.1</v>
      </c>
      <c r="B505" s="4232" t="s">
        <v>3884</v>
      </c>
      <c r="C505" s="4233">
        <v>8.24</v>
      </c>
      <c r="D505" s="4251" t="s">
        <v>2430</v>
      </c>
      <c r="E505" s="4235"/>
      <c r="F505" s="4235">
        <f t="shared" si="8"/>
        <v>0</v>
      </c>
    </row>
    <row r="506" spans="1:6" ht="14.25">
      <c r="A506" s="4394">
        <v>3.2</v>
      </c>
      <c r="B506" s="4232" t="s">
        <v>3885</v>
      </c>
      <c r="C506" s="4233">
        <v>0.93</v>
      </c>
      <c r="D506" s="4251" t="s">
        <v>2430</v>
      </c>
      <c r="E506" s="4235"/>
      <c r="F506" s="4235">
        <f t="shared" si="8"/>
        <v>0</v>
      </c>
    </row>
    <row r="507" spans="1:6" ht="14.25">
      <c r="A507" s="4394">
        <v>3.3</v>
      </c>
      <c r="B507" s="4232" t="s">
        <v>3883</v>
      </c>
      <c r="C507" s="4233">
        <v>8.83</v>
      </c>
      <c r="D507" s="4251" t="s">
        <v>2430</v>
      </c>
      <c r="E507" s="4235"/>
      <c r="F507" s="4235">
        <f t="shared" si="8"/>
        <v>0</v>
      </c>
    </row>
    <row r="508" spans="1:6" ht="14.25">
      <c r="A508" s="4451">
        <v>3.4</v>
      </c>
      <c r="B508" s="4452" t="s">
        <v>3882</v>
      </c>
      <c r="C508" s="4466">
        <v>2</v>
      </c>
      <c r="D508" s="4454" t="s">
        <v>2433</v>
      </c>
      <c r="E508" s="4468"/>
      <c r="F508" s="4468">
        <f t="shared" si="8"/>
        <v>0</v>
      </c>
    </row>
    <row r="509" spans="1:6" ht="14.25">
      <c r="A509" s="4390"/>
      <c r="B509" s="4232"/>
      <c r="C509" s="4233"/>
      <c r="D509" s="4251"/>
      <c r="E509" s="4235"/>
      <c r="F509" s="4235" t="str">
        <f t="shared" si="8"/>
        <v xml:space="preserve"> </v>
      </c>
    </row>
    <row r="510" spans="1:6" ht="15">
      <c r="A510" s="4391">
        <v>4</v>
      </c>
      <c r="B510" s="4345" t="s">
        <v>884</v>
      </c>
      <c r="C510" s="4233"/>
      <c r="D510" s="4251"/>
      <c r="E510" s="4235"/>
      <c r="F510" s="4235" t="str">
        <f t="shared" si="8"/>
        <v xml:space="preserve"> </v>
      </c>
    </row>
    <row r="511" spans="1:6" ht="14.25">
      <c r="A511" s="4394">
        <v>4.0999999999999996</v>
      </c>
      <c r="B511" s="4232" t="s">
        <v>3649</v>
      </c>
      <c r="C511" s="4233">
        <v>47.35</v>
      </c>
      <c r="D511" s="4251" t="s">
        <v>2432</v>
      </c>
      <c r="E511" s="4235"/>
      <c r="F511" s="4235">
        <f t="shared" si="8"/>
        <v>0</v>
      </c>
    </row>
    <row r="512" spans="1:6" ht="14.25">
      <c r="A512" s="4394">
        <v>4.2</v>
      </c>
      <c r="B512" s="4232" t="s">
        <v>3616</v>
      </c>
      <c r="C512" s="4233">
        <v>136.49</v>
      </c>
      <c r="D512" s="4251" t="s">
        <v>2432</v>
      </c>
      <c r="E512" s="4235"/>
      <c r="F512" s="4235">
        <f t="shared" si="8"/>
        <v>0</v>
      </c>
    </row>
    <row r="513" spans="1:6" ht="14.25">
      <c r="A513" s="4394">
        <v>4.3</v>
      </c>
      <c r="B513" s="4232" t="s">
        <v>2404</v>
      </c>
      <c r="C513" s="4233">
        <v>4.29</v>
      </c>
      <c r="D513" s="4251" t="s">
        <v>2432</v>
      </c>
      <c r="E513" s="4235"/>
      <c r="F513" s="4235">
        <f t="shared" si="8"/>
        <v>0</v>
      </c>
    </row>
    <row r="514" spans="1:6" ht="14.25">
      <c r="A514" s="4390"/>
      <c r="B514" s="4232"/>
      <c r="C514" s="4233"/>
      <c r="D514" s="4251"/>
      <c r="E514" s="4235"/>
      <c r="F514" s="4235" t="str">
        <f t="shared" si="8"/>
        <v xml:space="preserve"> </v>
      </c>
    </row>
    <row r="515" spans="1:6" ht="15">
      <c r="A515" s="4391">
        <v>5</v>
      </c>
      <c r="B515" s="4345" t="s">
        <v>886</v>
      </c>
      <c r="C515" s="4233"/>
      <c r="D515" s="4251"/>
      <c r="E515" s="4235"/>
      <c r="F515" s="4235" t="str">
        <f t="shared" si="8"/>
        <v xml:space="preserve"> </v>
      </c>
    </row>
    <row r="516" spans="1:6" ht="14.25">
      <c r="A516" s="4394">
        <v>5.0999999999999996</v>
      </c>
      <c r="B516" s="4232" t="s">
        <v>2568</v>
      </c>
      <c r="C516" s="4233">
        <v>88.34</v>
      </c>
      <c r="D516" s="4251" t="s">
        <v>2432</v>
      </c>
      <c r="E516" s="4235"/>
      <c r="F516" s="4235">
        <f t="shared" si="8"/>
        <v>0</v>
      </c>
    </row>
    <row r="517" spans="1:6" ht="14.25">
      <c r="A517" s="4394">
        <v>5.2</v>
      </c>
      <c r="B517" s="4232" t="s">
        <v>2405</v>
      </c>
      <c r="C517" s="4233">
        <v>369.85</v>
      </c>
      <c r="D517" s="4251" t="s">
        <v>2432</v>
      </c>
      <c r="E517" s="4235"/>
      <c r="F517" s="4235">
        <f t="shared" si="8"/>
        <v>0</v>
      </c>
    </row>
    <row r="518" spans="1:6" ht="14.25">
      <c r="A518" s="4394">
        <v>5.3</v>
      </c>
      <c r="B518" s="4232" t="s">
        <v>1548</v>
      </c>
      <c r="C518" s="4233">
        <v>201.45</v>
      </c>
      <c r="D518" s="4251" t="s">
        <v>1</v>
      </c>
      <c r="E518" s="4235"/>
      <c r="F518" s="4235">
        <f t="shared" si="8"/>
        <v>0</v>
      </c>
    </row>
    <row r="519" spans="1:6" ht="14.25">
      <c r="A519" s="4394">
        <v>5.4</v>
      </c>
      <c r="B519" s="4232" t="s">
        <v>2562</v>
      </c>
      <c r="C519" s="3540">
        <v>61.58</v>
      </c>
      <c r="D519" s="4234" t="s">
        <v>2432</v>
      </c>
      <c r="E519" s="4235"/>
      <c r="F519" s="4235">
        <f t="shared" si="8"/>
        <v>0</v>
      </c>
    </row>
    <row r="520" spans="1:6" ht="14.25">
      <c r="A520" s="4394">
        <v>5.5</v>
      </c>
      <c r="B520" s="4232" t="s">
        <v>3650</v>
      </c>
      <c r="C520" s="4233">
        <v>46.2</v>
      </c>
      <c r="D520" s="4251" t="s">
        <v>2432</v>
      </c>
      <c r="E520" s="4235"/>
      <c r="F520" s="4235">
        <f t="shared" si="8"/>
        <v>0</v>
      </c>
    </row>
    <row r="521" spans="1:6" ht="14.25">
      <c r="A521" s="4394">
        <v>5.6</v>
      </c>
      <c r="B521" s="4232" t="s">
        <v>2397</v>
      </c>
      <c r="C521" s="4233">
        <v>86.58</v>
      </c>
      <c r="D521" s="4251" t="s">
        <v>2432</v>
      </c>
      <c r="E521" s="4235"/>
      <c r="F521" s="4235">
        <f t="shared" si="8"/>
        <v>0</v>
      </c>
    </row>
    <row r="522" spans="1:6" ht="14.25">
      <c r="A522" s="4394">
        <v>5.7</v>
      </c>
      <c r="B522" s="4232" t="s">
        <v>2406</v>
      </c>
      <c r="C522" s="4233">
        <v>54.95</v>
      </c>
      <c r="D522" s="4251" t="s">
        <v>1</v>
      </c>
      <c r="E522" s="4235"/>
      <c r="F522" s="4235">
        <f t="shared" si="8"/>
        <v>0</v>
      </c>
    </row>
    <row r="523" spans="1:6" ht="14.25">
      <c r="A523" s="4394">
        <v>5.8</v>
      </c>
      <c r="B523" s="4232" t="s">
        <v>2407</v>
      </c>
      <c r="C523" s="4233">
        <v>38.1</v>
      </c>
      <c r="D523" s="4251" t="s">
        <v>2432</v>
      </c>
      <c r="E523" s="4235"/>
      <c r="F523" s="4235">
        <f t="shared" si="8"/>
        <v>0</v>
      </c>
    </row>
    <row r="524" spans="1:6" ht="14.25">
      <c r="A524" s="4394">
        <v>5.9</v>
      </c>
      <c r="B524" s="4232" t="s">
        <v>2408</v>
      </c>
      <c r="C524" s="4233">
        <v>334.81</v>
      </c>
      <c r="D524" s="4251" t="s">
        <v>2432</v>
      </c>
      <c r="E524" s="4235"/>
      <c r="F524" s="4235">
        <f t="shared" ref="F524:F532" si="21">IF(C524&gt;0,(ROUND((E524*C524),2))," ")</f>
        <v>0</v>
      </c>
    </row>
    <row r="525" spans="1:6" ht="14.25">
      <c r="A525" s="4390">
        <v>5.0999999999999996</v>
      </c>
      <c r="B525" s="4184" t="s">
        <v>3540</v>
      </c>
      <c r="C525" s="4175">
        <v>20.100000000000001</v>
      </c>
      <c r="D525" s="4271" t="s">
        <v>1</v>
      </c>
      <c r="E525" s="4235"/>
      <c r="F525" s="4235">
        <f t="shared" si="21"/>
        <v>0</v>
      </c>
    </row>
    <row r="526" spans="1:6" ht="14.25">
      <c r="A526" s="4390"/>
      <c r="B526" s="4232"/>
      <c r="C526" s="4233"/>
      <c r="D526" s="4251"/>
      <c r="E526" s="4235"/>
      <c r="F526" s="4235" t="str">
        <f t="shared" si="21"/>
        <v xml:space="preserve"> </v>
      </c>
    </row>
    <row r="527" spans="1:6" ht="15">
      <c r="A527" s="4391">
        <v>6</v>
      </c>
      <c r="B527" s="4345" t="s">
        <v>909</v>
      </c>
      <c r="C527" s="4233"/>
      <c r="D527" s="4251"/>
      <c r="E527" s="4235"/>
      <c r="F527" s="4235" t="str">
        <f t="shared" si="21"/>
        <v xml:space="preserve"> </v>
      </c>
    </row>
    <row r="528" spans="1:6" ht="14.25">
      <c r="A528" s="4394">
        <v>6.1</v>
      </c>
      <c r="B528" s="4232" t="s">
        <v>2937</v>
      </c>
      <c r="C528" s="4233">
        <v>6</v>
      </c>
      <c r="D528" s="4234" t="s">
        <v>2433</v>
      </c>
      <c r="E528" s="4235"/>
      <c r="F528" s="4235">
        <f>IF(C528&gt;0,(ROUND((E528*C528),2))," ")</f>
        <v>0</v>
      </c>
    </row>
    <row r="529" spans="1:6" ht="14.25">
      <c r="A529" s="4390"/>
      <c r="B529" s="4232"/>
      <c r="C529" s="4233"/>
      <c r="D529" s="4251"/>
      <c r="E529" s="4235"/>
      <c r="F529" s="4235" t="str">
        <f t="shared" si="21"/>
        <v xml:space="preserve"> </v>
      </c>
    </row>
    <row r="530" spans="1:6" ht="15">
      <c r="A530" s="4391">
        <v>7</v>
      </c>
      <c r="B530" s="4345" t="s">
        <v>910</v>
      </c>
      <c r="C530" s="4233"/>
      <c r="D530" s="4251"/>
      <c r="E530" s="4235"/>
      <c r="F530" s="4235" t="str">
        <f t="shared" si="21"/>
        <v xml:space="preserve"> </v>
      </c>
    </row>
    <row r="531" spans="1:6" ht="14.25">
      <c r="A531" s="4394">
        <v>7.1</v>
      </c>
      <c r="B531" s="4232" t="s">
        <v>2418</v>
      </c>
      <c r="C531" s="4233">
        <v>80.48</v>
      </c>
      <c r="D531" s="4234" t="s">
        <v>2602</v>
      </c>
      <c r="E531" s="4235"/>
      <c r="F531" s="4235">
        <f>IF(C531&gt;0,(ROUND((E531*C531),2))," ")</f>
        <v>0</v>
      </c>
    </row>
    <row r="532" spans="1:6" ht="14.25">
      <c r="A532" s="4390"/>
      <c r="B532" s="4232"/>
      <c r="C532" s="4233"/>
      <c r="D532" s="4251"/>
      <c r="E532" s="4235"/>
      <c r="F532" s="4235" t="str">
        <f t="shared" si="21"/>
        <v xml:space="preserve"> </v>
      </c>
    </row>
    <row r="533" spans="1:6" ht="15">
      <c r="A533" s="4391">
        <v>8</v>
      </c>
      <c r="B533" s="4345" t="s">
        <v>904</v>
      </c>
      <c r="C533" s="4233"/>
      <c r="D533" s="4251"/>
      <c r="E533" s="4235"/>
      <c r="F533" s="4235" t="str">
        <f>IF(C533&gt;0,(ROUND((E533*C533),2))," ")</f>
        <v xml:space="preserve"> </v>
      </c>
    </row>
    <row r="534" spans="1:6" ht="14.25">
      <c r="A534" s="4394">
        <v>8.1</v>
      </c>
      <c r="B534" s="4232" t="s">
        <v>2417</v>
      </c>
      <c r="C534" s="4233">
        <v>8</v>
      </c>
      <c r="D534" s="4234" t="s">
        <v>2433</v>
      </c>
      <c r="E534" s="4235"/>
      <c r="F534" s="4235">
        <f>IF(C534&gt;0,(ROUND((E534*C534),2))," ")</f>
        <v>0</v>
      </c>
    </row>
    <row r="535" spans="1:6" ht="14.25">
      <c r="A535" s="4394">
        <v>8.1999999999999993</v>
      </c>
      <c r="B535" s="4232" t="s">
        <v>2520</v>
      </c>
      <c r="C535" s="4233">
        <v>10</v>
      </c>
      <c r="D535" s="4234" t="s">
        <v>2433</v>
      </c>
      <c r="E535" s="4235"/>
      <c r="F535" s="4235">
        <f>IF(C535&gt;0,(ROUND((E535*C535),2))," ")</f>
        <v>0</v>
      </c>
    </row>
    <row r="536" spans="1:6" ht="14.25">
      <c r="A536" s="4394">
        <v>8.3000000000000007</v>
      </c>
      <c r="B536" s="4232" t="s">
        <v>2521</v>
      </c>
      <c r="C536" s="4233">
        <v>8</v>
      </c>
      <c r="D536" s="4234" t="s">
        <v>2433</v>
      </c>
      <c r="E536" s="4235"/>
      <c r="F536" s="4235">
        <f>IF(C536&gt;0,(ROUND((E536*C536),2))," ")</f>
        <v>0</v>
      </c>
    </row>
    <row r="537" spans="1:6" ht="14.25">
      <c r="A537" s="4394">
        <v>8.4</v>
      </c>
      <c r="B537" s="4232" t="s">
        <v>2522</v>
      </c>
      <c r="C537" s="4233">
        <v>1</v>
      </c>
      <c r="D537" s="4234" t="s">
        <v>2433</v>
      </c>
      <c r="E537" s="4235"/>
      <c r="F537" s="4235">
        <f>IF(C537&gt;0,(ROUND((E537*C537),2))," ")</f>
        <v>0</v>
      </c>
    </row>
    <row r="538" spans="1:6" ht="14.25">
      <c r="A538" s="4394"/>
      <c r="B538" s="4232"/>
      <c r="C538" s="4233"/>
      <c r="D538" s="4234"/>
      <c r="E538" s="4235"/>
      <c r="F538" s="4235"/>
    </row>
    <row r="539" spans="1:6" ht="15">
      <c r="A539" s="4391">
        <v>9</v>
      </c>
      <c r="B539" s="4345" t="s">
        <v>892</v>
      </c>
      <c r="C539" s="4233"/>
      <c r="D539" s="4251"/>
      <c r="E539" s="4235"/>
      <c r="F539" s="4235" t="str">
        <f t="shared" ref="F539:F550" si="22">IF(C539&gt;0,(ROUND((E539*C539),2))," ")</f>
        <v xml:space="preserve"> </v>
      </c>
    </row>
    <row r="540" spans="1:6" s="4236" customFormat="1" ht="14.25">
      <c r="A540" s="4394">
        <v>9.1</v>
      </c>
      <c r="B540" s="4232" t="s">
        <v>2409</v>
      </c>
      <c r="C540" s="4233">
        <v>1</v>
      </c>
      <c r="D540" s="4234" t="s">
        <v>2433</v>
      </c>
      <c r="E540" s="4235"/>
      <c r="F540" s="4235">
        <f t="shared" si="22"/>
        <v>0</v>
      </c>
    </row>
    <row r="541" spans="1:6" s="4236" customFormat="1" ht="14.25">
      <c r="A541" s="4394">
        <v>9.1999999999999993</v>
      </c>
      <c r="B541" s="4232" t="s">
        <v>2410</v>
      </c>
      <c r="C541" s="4233">
        <v>1</v>
      </c>
      <c r="D541" s="4234" t="s">
        <v>2433</v>
      </c>
      <c r="E541" s="4235"/>
      <c r="F541" s="4235">
        <f t="shared" si="22"/>
        <v>0</v>
      </c>
    </row>
    <row r="542" spans="1:6" s="4236" customFormat="1" ht="14.25">
      <c r="A542" s="4394">
        <v>9.3000000000000007</v>
      </c>
      <c r="B542" s="4232" t="s">
        <v>2411</v>
      </c>
      <c r="C542" s="4233">
        <v>1</v>
      </c>
      <c r="D542" s="4234" t="s">
        <v>2433</v>
      </c>
      <c r="E542" s="4235"/>
      <c r="F542" s="4235">
        <f t="shared" si="22"/>
        <v>0</v>
      </c>
    </row>
    <row r="543" spans="1:6" s="4236" customFormat="1" ht="14.25">
      <c r="A543" s="4394">
        <v>9.4</v>
      </c>
      <c r="B543" s="4232" t="s">
        <v>2412</v>
      </c>
      <c r="C543" s="4233">
        <v>1</v>
      </c>
      <c r="D543" s="4234" t="s">
        <v>2433</v>
      </c>
      <c r="E543" s="4235"/>
      <c r="F543" s="4235">
        <f t="shared" si="22"/>
        <v>0</v>
      </c>
    </row>
    <row r="544" spans="1:6" s="4236" customFormat="1" ht="14.25">
      <c r="A544" s="4394">
        <v>9.5</v>
      </c>
      <c r="B544" s="4232" t="s">
        <v>2413</v>
      </c>
      <c r="C544" s="4233">
        <v>1</v>
      </c>
      <c r="D544" s="4234" t="s">
        <v>2433</v>
      </c>
      <c r="E544" s="4235"/>
      <c r="F544" s="4235">
        <f t="shared" si="22"/>
        <v>0</v>
      </c>
    </row>
    <row r="545" spans="1:6" s="4236" customFormat="1" ht="14.25">
      <c r="A545" s="4394">
        <v>9.6</v>
      </c>
      <c r="B545" s="4232" t="s">
        <v>2414</v>
      </c>
      <c r="C545" s="4233">
        <v>1</v>
      </c>
      <c r="D545" s="4234" t="s">
        <v>2433</v>
      </c>
      <c r="E545" s="4235"/>
      <c r="F545" s="4235">
        <f t="shared" si="22"/>
        <v>0</v>
      </c>
    </row>
    <row r="546" spans="1:6" ht="14.25">
      <c r="A546" s="4394">
        <v>9.6999999999999993</v>
      </c>
      <c r="B546" s="4212" t="s">
        <v>3544</v>
      </c>
      <c r="C546" s="4233">
        <v>3</v>
      </c>
      <c r="D546" s="4234" t="s">
        <v>2433</v>
      </c>
      <c r="E546" s="4235"/>
      <c r="F546" s="4235">
        <f t="shared" si="22"/>
        <v>0</v>
      </c>
    </row>
    <row r="547" spans="1:6" s="4236" customFormat="1" ht="14.25">
      <c r="A547" s="4394">
        <v>9.8000000000000007</v>
      </c>
      <c r="B547" s="4232" t="s">
        <v>3031</v>
      </c>
      <c r="C547" s="4233">
        <v>1</v>
      </c>
      <c r="D547" s="4234" t="s">
        <v>2433</v>
      </c>
      <c r="E547" s="4235"/>
      <c r="F547" s="4235">
        <f t="shared" si="22"/>
        <v>0</v>
      </c>
    </row>
    <row r="548" spans="1:6" s="4238" customFormat="1" ht="14.25">
      <c r="A548" s="4394">
        <v>9.9</v>
      </c>
      <c r="B548" s="4232" t="s">
        <v>2376</v>
      </c>
      <c r="C548" s="4233">
        <v>3</v>
      </c>
      <c r="D548" s="4234" t="s">
        <v>2433</v>
      </c>
      <c r="E548" s="4235"/>
      <c r="F548" s="4235">
        <f t="shared" si="22"/>
        <v>0</v>
      </c>
    </row>
    <row r="549" spans="1:6" s="4238" customFormat="1" ht="14.25">
      <c r="A549" s="4390">
        <v>9.1</v>
      </c>
      <c r="B549" s="4232" t="s">
        <v>2415</v>
      </c>
      <c r="C549" s="4233">
        <v>1</v>
      </c>
      <c r="D549" s="4234" t="s">
        <v>2433</v>
      </c>
      <c r="E549" s="4235"/>
      <c r="F549" s="4235">
        <f t="shared" si="22"/>
        <v>0</v>
      </c>
    </row>
    <row r="550" spans="1:6" s="4236" customFormat="1" ht="14.25">
      <c r="A550" s="4390">
        <v>9.11</v>
      </c>
      <c r="B550" s="4232" t="s">
        <v>2416</v>
      </c>
      <c r="C550" s="4233">
        <v>1</v>
      </c>
      <c r="D550" s="4234" t="s">
        <v>42</v>
      </c>
      <c r="E550" s="4235"/>
      <c r="F550" s="4235">
        <f t="shared" si="22"/>
        <v>0</v>
      </c>
    </row>
    <row r="551" spans="1:6" s="4327" customFormat="1" ht="14.25">
      <c r="A551" s="4326">
        <v>9.1199999999999992</v>
      </c>
      <c r="B551" s="4212" t="s">
        <v>3651</v>
      </c>
      <c r="C551" s="4191">
        <v>1</v>
      </c>
      <c r="D551" s="4194" t="s">
        <v>2433</v>
      </c>
      <c r="E551" s="4210"/>
      <c r="F551" s="4228">
        <f t="shared" ref="F551" si="23">ROUND(C551*E551,2)</f>
        <v>0</v>
      </c>
    </row>
    <row r="552" spans="1:6" s="4327" customFormat="1" ht="14.25">
      <c r="A552" s="4326"/>
      <c r="B552" s="4212"/>
      <c r="C552" s="4191"/>
      <c r="D552" s="4194"/>
      <c r="E552" s="4210"/>
      <c r="F552" s="4228"/>
    </row>
    <row r="553" spans="1:6" s="4262" customFormat="1" ht="15">
      <c r="A553" s="4391">
        <v>14</v>
      </c>
      <c r="B553" s="4345" t="s">
        <v>3887</v>
      </c>
      <c r="C553" s="4259"/>
      <c r="D553" s="4272"/>
      <c r="E553" s="4260"/>
      <c r="F553" s="4260" t="str">
        <f t="shared" ref="F553:F592" si="24">IF(C553&gt;0,(ROUND((E553*C553),2))," ")</f>
        <v xml:space="preserve"> </v>
      </c>
    </row>
    <row r="554" spans="1:6" s="4262" customFormat="1" ht="14.25">
      <c r="A554" s="4394">
        <v>14.1</v>
      </c>
      <c r="B554" s="4232" t="s">
        <v>3524</v>
      </c>
      <c r="C554" s="4233">
        <v>1</v>
      </c>
      <c r="D554" s="4251" t="s">
        <v>42</v>
      </c>
      <c r="E554" s="4235"/>
      <c r="F554" s="4235">
        <f t="shared" si="24"/>
        <v>0</v>
      </c>
    </row>
    <row r="555" spans="1:6" s="4262" customFormat="1" ht="15">
      <c r="A555" s="4395"/>
      <c r="B555" s="4400"/>
      <c r="C555" s="4259"/>
      <c r="D555" s="4272"/>
      <c r="E555" s="4260"/>
      <c r="F555" s="4260" t="str">
        <f t="shared" si="24"/>
        <v xml:space="preserve"> </v>
      </c>
    </row>
    <row r="556" spans="1:6" s="4238" customFormat="1" ht="25.5">
      <c r="A556" s="4392">
        <v>14.2</v>
      </c>
      <c r="B556" s="4344" t="s">
        <v>3849</v>
      </c>
      <c r="C556" s="4233">
        <v>1</v>
      </c>
      <c r="D556" s="4251" t="s">
        <v>42</v>
      </c>
      <c r="E556" s="4235"/>
      <c r="F556" s="4235">
        <f t="shared" si="24"/>
        <v>0</v>
      </c>
    </row>
    <row r="557" spans="1:6" s="4238" customFormat="1" ht="15">
      <c r="A557" s="4395"/>
      <c r="B557" s="4400"/>
      <c r="C557" s="4233"/>
      <c r="D557" s="4251"/>
      <c r="E557" s="4235"/>
      <c r="F557" s="4235" t="str">
        <f t="shared" si="24"/>
        <v xml:space="preserve"> </v>
      </c>
    </row>
    <row r="558" spans="1:6" s="4238" customFormat="1" ht="15">
      <c r="A558" s="4392">
        <v>14.3</v>
      </c>
      <c r="B558" s="4345" t="s">
        <v>3525</v>
      </c>
      <c r="C558" s="4233"/>
      <c r="D558" s="4251"/>
      <c r="E558" s="4235"/>
      <c r="F558" s="4235" t="str">
        <f t="shared" si="24"/>
        <v xml:space="preserve"> </v>
      </c>
    </row>
    <row r="559" spans="1:6" s="4238" customFormat="1" ht="14.25">
      <c r="A559" s="4390" t="s">
        <v>3888</v>
      </c>
      <c r="B559" s="4232" t="s">
        <v>3622</v>
      </c>
      <c r="C559" s="4233">
        <v>43.34</v>
      </c>
      <c r="D559" s="4251" t="s">
        <v>1</v>
      </c>
      <c r="E559" s="4235"/>
      <c r="F559" s="4235">
        <f t="shared" si="24"/>
        <v>0</v>
      </c>
    </row>
    <row r="560" spans="1:6" s="4238" customFormat="1" ht="15">
      <c r="A560" s="4469"/>
      <c r="B560" s="4480"/>
      <c r="C560" s="4466"/>
      <c r="D560" s="4467"/>
      <c r="E560" s="4468"/>
      <c r="F560" s="4468" t="str">
        <f t="shared" si="24"/>
        <v xml:space="preserve"> </v>
      </c>
    </row>
    <row r="561" spans="1:6" s="4238" customFormat="1" ht="15">
      <c r="A561" s="4392">
        <v>14.4</v>
      </c>
      <c r="B561" s="4345" t="s">
        <v>3526</v>
      </c>
      <c r="C561" s="4233"/>
      <c r="D561" s="4251"/>
      <c r="E561" s="4235"/>
      <c r="F561" s="4235" t="str">
        <f t="shared" si="24"/>
        <v xml:space="preserve"> </v>
      </c>
    </row>
    <row r="562" spans="1:6" s="4238" customFormat="1" ht="14.25">
      <c r="A562" s="4390" t="s">
        <v>3889</v>
      </c>
      <c r="B562" s="4232" t="s">
        <v>3652</v>
      </c>
      <c r="C562" s="4233">
        <v>42.08</v>
      </c>
      <c r="D562" s="4251" t="s">
        <v>1</v>
      </c>
      <c r="E562" s="4235"/>
      <c r="F562" s="4235">
        <f t="shared" si="24"/>
        <v>0</v>
      </c>
    </row>
    <row r="563" spans="1:6" s="4238" customFormat="1" ht="15">
      <c r="A563" s="4395"/>
      <c r="B563" s="4345"/>
      <c r="C563" s="4233"/>
      <c r="D563" s="4251"/>
      <c r="E563" s="4235"/>
      <c r="F563" s="4235" t="str">
        <f t="shared" si="24"/>
        <v xml:space="preserve"> </v>
      </c>
    </row>
    <row r="564" spans="1:6" s="4238" customFormat="1" ht="15">
      <c r="A564" s="4392">
        <v>14.5</v>
      </c>
      <c r="B564" s="4345" t="s">
        <v>3527</v>
      </c>
      <c r="C564" s="4233"/>
      <c r="D564" s="4251"/>
      <c r="E564" s="4235"/>
      <c r="F564" s="4235" t="str">
        <f t="shared" si="24"/>
        <v xml:space="preserve"> </v>
      </c>
    </row>
    <row r="565" spans="1:6" s="4238" customFormat="1" ht="14.25">
      <c r="A565" s="4390" t="s">
        <v>3890</v>
      </c>
      <c r="B565" s="4232" t="s">
        <v>3653</v>
      </c>
      <c r="C565" s="4233">
        <v>8</v>
      </c>
      <c r="D565" s="4234" t="s">
        <v>2433</v>
      </c>
      <c r="E565" s="4235"/>
      <c r="F565" s="4235">
        <f t="shared" si="24"/>
        <v>0</v>
      </c>
    </row>
    <row r="566" spans="1:6" s="4238" customFormat="1" ht="14.25">
      <c r="A566" s="4390" t="s">
        <v>3891</v>
      </c>
      <c r="B566" s="4232" t="s">
        <v>3654</v>
      </c>
      <c r="C566" s="4233">
        <v>2</v>
      </c>
      <c r="D566" s="4234" t="s">
        <v>2433</v>
      </c>
      <c r="E566" s="4235"/>
      <c r="F566" s="4235">
        <f t="shared" si="24"/>
        <v>0</v>
      </c>
    </row>
    <row r="567" spans="1:6" s="4238" customFormat="1" ht="14.25">
      <c r="A567" s="4390" t="s">
        <v>3892</v>
      </c>
      <c r="B567" s="4232" t="s">
        <v>3655</v>
      </c>
      <c r="C567" s="4233">
        <v>3</v>
      </c>
      <c r="D567" s="4234" t="s">
        <v>2433</v>
      </c>
      <c r="E567" s="4235"/>
      <c r="F567" s="4235">
        <f t="shared" si="24"/>
        <v>0</v>
      </c>
    </row>
    <row r="568" spans="1:6" s="4238" customFormat="1" ht="14.25">
      <c r="A568" s="4390" t="s">
        <v>3893</v>
      </c>
      <c r="B568" s="4232" t="s">
        <v>3528</v>
      </c>
      <c r="C568" s="4233">
        <v>1</v>
      </c>
      <c r="D568" s="4234" t="s">
        <v>42</v>
      </c>
      <c r="E568" s="4235"/>
      <c r="F568" s="4235">
        <f t="shared" si="24"/>
        <v>0</v>
      </c>
    </row>
    <row r="569" spans="1:6" s="4262" customFormat="1" ht="15">
      <c r="A569" s="4403"/>
      <c r="B569" s="4252"/>
      <c r="C569" s="4259"/>
      <c r="D569" s="4272"/>
      <c r="E569" s="4260"/>
      <c r="F569" s="4235" t="str">
        <f t="shared" si="24"/>
        <v xml:space="preserve"> </v>
      </c>
    </row>
    <row r="570" spans="1:6" s="4238" customFormat="1" ht="15">
      <c r="A570" s="4392">
        <v>14.6</v>
      </c>
      <c r="B570" s="4345" t="s">
        <v>3551</v>
      </c>
      <c r="C570" s="4233"/>
      <c r="D570" s="4251"/>
      <c r="E570" s="4235"/>
      <c r="F570" s="4235" t="str">
        <f t="shared" si="24"/>
        <v xml:space="preserve"> </v>
      </c>
    </row>
    <row r="571" spans="1:6" s="4238" customFormat="1" ht="14.25">
      <c r="A571" s="4390" t="s">
        <v>3894</v>
      </c>
      <c r="B571" s="4404" t="s">
        <v>3524</v>
      </c>
      <c r="C571" s="4233">
        <v>22.68</v>
      </c>
      <c r="D571" s="4251" t="s">
        <v>1</v>
      </c>
      <c r="E571" s="4235"/>
      <c r="F571" s="4235">
        <f t="shared" si="24"/>
        <v>0</v>
      </c>
    </row>
    <row r="572" spans="1:6" s="4261" customFormat="1" ht="15">
      <c r="A572" s="4403"/>
      <c r="B572" s="4252"/>
      <c r="C572" s="4233"/>
      <c r="D572" s="4251"/>
      <c r="E572" s="4235"/>
      <c r="F572" s="4235" t="str">
        <f t="shared" si="24"/>
        <v xml:space="preserve"> </v>
      </c>
    </row>
    <row r="573" spans="1:6" s="4236" customFormat="1" ht="25.5">
      <c r="A573" s="4395" t="s">
        <v>3895</v>
      </c>
      <c r="B573" s="4344" t="s">
        <v>3849</v>
      </c>
      <c r="C573" s="4233">
        <v>1</v>
      </c>
      <c r="D573" s="4251" t="s">
        <v>42</v>
      </c>
      <c r="E573" s="4235"/>
      <c r="F573" s="4235">
        <f t="shared" si="24"/>
        <v>0</v>
      </c>
    </row>
    <row r="574" spans="1:6" s="4236" customFormat="1" ht="15">
      <c r="A574" s="4395"/>
      <c r="B574" s="4400"/>
      <c r="C574" s="4233"/>
      <c r="D574" s="4251"/>
      <c r="E574" s="4235"/>
      <c r="F574" s="4235" t="str">
        <f t="shared" si="24"/>
        <v xml:space="preserve"> </v>
      </c>
    </row>
    <row r="575" spans="1:6" s="4236" customFormat="1" ht="15">
      <c r="A575" s="4395" t="s">
        <v>3896</v>
      </c>
      <c r="B575" s="4345" t="s">
        <v>3525</v>
      </c>
      <c r="C575" s="4233"/>
      <c r="D575" s="4251"/>
      <c r="E575" s="4235"/>
      <c r="F575" s="4235" t="str">
        <f t="shared" si="24"/>
        <v xml:space="preserve"> </v>
      </c>
    </row>
    <row r="576" spans="1:6" s="4236" customFormat="1" ht="14.25">
      <c r="A576" s="4390" t="s">
        <v>3897</v>
      </c>
      <c r="B576" s="4404" t="s">
        <v>3656</v>
      </c>
      <c r="C576" s="4233">
        <v>7.62</v>
      </c>
      <c r="D576" s="4251" t="s">
        <v>1</v>
      </c>
      <c r="E576" s="4224"/>
      <c r="F576" s="4235">
        <f t="shared" si="24"/>
        <v>0</v>
      </c>
    </row>
    <row r="577" spans="1:6" s="4236" customFormat="1" ht="14.25">
      <c r="A577" s="4390" t="s">
        <v>3898</v>
      </c>
      <c r="B577" s="4404" t="s">
        <v>3625</v>
      </c>
      <c r="C577" s="4233">
        <v>1.8</v>
      </c>
      <c r="D577" s="4251" t="s">
        <v>1</v>
      </c>
      <c r="E577" s="4224"/>
      <c r="F577" s="4235">
        <f t="shared" si="24"/>
        <v>0</v>
      </c>
    </row>
    <row r="578" spans="1:6" s="4236" customFormat="1" ht="14.25">
      <c r="A578" s="4390" t="s">
        <v>3899</v>
      </c>
      <c r="B578" s="4404" t="s">
        <v>3624</v>
      </c>
      <c r="C578" s="4233">
        <v>14.07</v>
      </c>
      <c r="D578" s="4251" t="s">
        <v>1</v>
      </c>
      <c r="E578" s="4224"/>
      <c r="F578" s="4235">
        <f t="shared" si="24"/>
        <v>0</v>
      </c>
    </row>
    <row r="579" spans="1:6" s="4236" customFormat="1" ht="15">
      <c r="A579" s="4395"/>
      <c r="B579" s="4400"/>
      <c r="C579" s="4233"/>
      <c r="D579" s="4251"/>
      <c r="E579" s="4224"/>
      <c r="F579" s="4235" t="str">
        <f t="shared" si="24"/>
        <v xml:space="preserve"> </v>
      </c>
    </row>
    <row r="580" spans="1:6" s="4236" customFormat="1" ht="15">
      <c r="A580" s="4395" t="s">
        <v>3900</v>
      </c>
      <c r="B580" s="4345" t="s">
        <v>3526</v>
      </c>
      <c r="C580" s="4233"/>
      <c r="D580" s="4251"/>
      <c r="E580" s="4224"/>
      <c r="F580" s="4235" t="str">
        <f t="shared" si="24"/>
        <v xml:space="preserve"> </v>
      </c>
    </row>
    <row r="581" spans="1:6" s="4236" customFormat="1" ht="14.25">
      <c r="A581" s="4390" t="s">
        <v>3901</v>
      </c>
      <c r="B581" s="4404" t="s">
        <v>3657</v>
      </c>
      <c r="C581" s="4233">
        <v>7.4</v>
      </c>
      <c r="D581" s="4251" t="s">
        <v>1</v>
      </c>
      <c r="E581" s="4224"/>
      <c r="F581" s="4235">
        <f t="shared" si="24"/>
        <v>0</v>
      </c>
    </row>
    <row r="582" spans="1:6" s="4236" customFormat="1" ht="14.25">
      <c r="A582" s="4390" t="s">
        <v>3902</v>
      </c>
      <c r="B582" s="4404" t="s">
        <v>3626</v>
      </c>
      <c r="C582" s="4233">
        <v>1.75</v>
      </c>
      <c r="D582" s="4251" t="s">
        <v>1</v>
      </c>
      <c r="E582" s="4224"/>
      <c r="F582" s="4235">
        <f t="shared" si="24"/>
        <v>0</v>
      </c>
    </row>
    <row r="583" spans="1:6" s="4236" customFormat="1" ht="14.25">
      <c r="A583" s="4390" t="s">
        <v>3903</v>
      </c>
      <c r="B583" s="4404" t="s">
        <v>3627</v>
      </c>
      <c r="C583" s="4233">
        <v>13.53</v>
      </c>
      <c r="D583" s="4251" t="s">
        <v>1</v>
      </c>
      <c r="E583" s="4224"/>
      <c r="F583" s="4235">
        <f t="shared" si="24"/>
        <v>0</v>
      </c>
    </row>
    <row r="584" spans="1:6" s="4236" customFormat="1" ht="15">
      <c r="A584" s="4395"/>
      <c r="B584" s="4400"/>
      <c r="C584" s="4233"/>
      <c r="D584" s="4251"/>
      <c r="E584" s="4224"/>
      <c r="F584" s="4235" t="str">
        <f t="shared" si="24"/>
        <v xml:space="preserve"> </v>
      </c>
    </row>
    <row r="585" spans="1:6" s="4236" customFormat="1" ht="15">
      <c r="A585" s="4395" t="s">
        <v>3904</v>
      </c>
      <c r="B585" s="4345" t="s">
        <v>3548</v>
      </c>
      <c r="C585" s="4233"/>
      <c r="D585" s="4251"/>
      <c r="E585" s="4224"/>
      <c r="F585" s="4235" t="str">
        <f t="shared" si="24"/>
        <v xml:space="preserve"> </v>
      </c>
    </row>
    <row r="586" spans="1:6" s="4236" customFormat="1" ht="14.25">
      <c r="A586" s="4390" t="s">
        <v>3905</v>
      </c>
      <c r="B586" s="4404" t="s">
        <v>3907</v>
      </c>
      <c r="C586" s="4233">
        <v>1</v>
      </c>
      <c r="D586" s="4234" t="s">
        <v>2433</v>
      </c>
      <c r="E586" s="4399"/>
      <c r="F586" s="4235">
        <f t="shared" si="24"/>
        <v>0</v>
      </c>
    </row>
    <row r="587" spans="1:6" s="4236" customFormat="1" ht="14.25">
      <c r="A587" s="4390" t="s">
        <v>3906</v>
      </c>
      <c r="B587" s="4404" t="s">
        <v>3908</v>
      </c>
      <c r="C587" s="4233">
        <v>2</v>
      </c>
      <c r="D587" s="4234" t="s">
        <v>2433</v>
      </c>
      <c r="E587" s="4399"/>
      <c r="F587" s="4235">
        <f t="shared" si="24"/>
        <v>0</v>
      </c>
    </row>
    <row r="588" spans="1:6" s="4236" customFormat="1" ht="14.25">
      <c r="A588" s="4390" t="s">
        <v>3912</v>
      </c>
      <c r="B588" s="4404" t="s">
        <v>3909</v>
      </c>
      <c r="C588" s="4233">
        <v>1</v>
      </c>
      <c r="D588" s="4234" t="s">
        <v>2433</v>
      </c>
      <c r="E588" s="4399"/>
      <c r="F588" s="4235">
        <f t="shared" si="24"/>
        <v>0</v>
      </c>
    </row>
    <row r="589" spans="1:6" s="4236" customFormat="1" ht="14.25">
      <c r="A589" s="4390" t="s">
        <v>3913</v>
      </c>
      <c r="B589" s="4404" t="s">
        <v>3910</v>
      </c>
      <c r="C589" s="4233">
        <v>2</v>
      </c>
      <c r="D589" s="4234" t="s">
        <v>2433</v>
      </c>
      <c r="E589" s="4399"/>
      <c r="F589" s="4235">
        <f t="shared" si="24"/>
        <v>0</v>
      </c>
    </row>
    <row r="590" spans="1:6" s="4236" customFormat="1" ht="14.25">
      <c r="A590" s="4390" t="s">
        <v>3914</v>
      </c>
      <c r="B590" s="4404" t="s">
        <v>3911</v>
      </c>
      <c r="C590" s="4233">
        <v>1</v>
      </c>
      <c r="D590" s="4234" t="s">
        <v>42</v>
      </c>
      <c r="E590" s="4399"/>
      <c r="F590" s="4235">
        <f t="shared" si="24"/>
        <v>0</v>
      </c>
    </row>
    <row r="591" spans="1:6" s="4236" customFormat="1" ht="14.25">
      <c r="A591" s="4390"/>
      <c r="B591" s="4404"/>
      <c r="C591" s="4233"/>
      <c r="D591" s="4234"/>
      <c r="E591" s="4399"/>
      <c r="F591" s="4235"/>
    </row>
    <row r="592" spans="1:6" s="4236" customFormat="1" ht="15">
      <c r="A592" s="4395">
        <v>14.7</v>
      </c>
      <c r="B592" s="4212" t="s">
        <v>3774</v>
      </c>
      <c r="C592" s="4233">
        <v>3</v>
      </c>
      <c r="D592" s="4234" t="s">
        <v>2433</v>
      </c>
      <c r="E592" s="4405"/>
      <c r="F592" s="4235">
        <f t="shared" si="24"/>
        <v>0</v>
      </c>
    </row>
    <row r="593" spans="1:6" s="4242" customFormat="1" ht="15">
      <c r="A593" s="4395"/>
      <c r="B593" s="3435"/>
      <c r="C593" s="3538"/>
      <c r="D593" s="4265"/>
      <c r="E593" s="4266"/>
      <c r="F593" s="4266"/>
    </row>
    <row r="594" spans="1:6" s="4223" customFormat="1" ht="15">
      <c r="A594" s="4406">
        <v>15</v>
      </c>
      <c r="B594" s="4345" t="s">
        <v>3123</v>
      </c>
      <c r="C594" s="4222"/>
      <c r="D594" s="4218"/>
      <c r="E594" s="4217"/>
      <c r="F594" s="4217" t="str">
        <f t="shared" ref="F594:F623" si="25">IF(C594&gt;0,(ROUND((E594*C594),2))," ")</f>
        <v xml:space="preserve"> </v>
      </c>
    </row>
    <row r="595" spans="1:6" ht="14.25" customHeight="1">
      <c r="A595" s="4394">
        <v>15.1</v>
      </c>
      <c r="B595" s="4232" t="s">
        <v>4042</v>
      </c>
      <c r="C595" s="4233">
        <v>12.24</v>
      </c>
      <c r="D595" s="4251" t="s">
        <v>2432</v>
      </c>
      <c r="E595" s="4235"/>
      <c r="F595" s="4235">
        <f>IF(C595&gt;0,(ROUND((E595*C595),2))," ")</f>
        <v>0</v>
      </c>
    </row>
    <row r="596" spans="1:6" ht="14.25" customHeight="1">
      <c r="A596" s="4390"/>
      <c r="B596" s="4232"/>
      <c r="C596" s="4233"/>
      <c r="D596" s="4251"/>
      <c r="E596" s="4235"/>
      <c r="F596" s="4235" t="str">
        <f t="shared" si="25"/>
        <v xml:space="preserve"> </v>
      </c>
    </row>
    <row r="597" spans="1:6" ht="15" customHeight="1">
      <c r="A597" s="4392">
        <v>15.2</v>
      </c>
      <c r="B597" s="4345" t="s">
        <v>38</v>
      </c>
      <c r="C597" s="4233"/>
      <c r="D597" s="4234"/>
      <c r="E597" s="4235"/>
      <c r="F597" s="4235" t="str">
        <f t="shared" si="25"/>
        <v xml:space="preserve"> </v>
      </c>
    </row>
    <row r="598" spans="1:6" ht="14.25" customHeight="1">
      <c r="A598" s="4390" t="s">
        <v>725</v>
      </c>
      <c r="B598" s="4250" t="s">
        <v>2403</v>
      </c>
      <c r="C598" s="4233">
        <v>27.3</v>
      </c>
      <c r="D598" s="4251" t="s">
        <v>2430</v>
      </c>
      <c r="E598" s="4235"/>
      <c r="F598" s="4235">
        <f t="shared" si="25"/>
        <v>0</v>
      </c>
    </row>
    <row r="599" spans="1:6" ht="14.25" customHeight="1">
      <c r="A599" s="4390" t="s">
        <v>726</v>
      </c>
      <c r="B599" s="4250" t="s">
        <v>2399</v>
      </c>
      <c r="C599" s="4233">
        <v>7.95</v>
      </c>
      <c r="D599" s="4251" t="s">
        <v>2431</v>
      </c>
      <c r="E599" s="4235"/>
      <c r="F599" s="4235">
        <f t="shared" si="25"/>
        <v>0</v>
      </c>
    </row>
    <row r="600" spans="1:6" ht="31.5" customHeight="1">
      <c r="A600" s="4390" t="s">
        <v>727</v>
      </c>
      <c r="B600" s="4250" t="s">
        <v>3847</v>
      </c>
      <c r="C600" s="4233">
        <v>19.34</v>
      </c>
      <c r="D600" s="4234" t="s">
        <v>2525</v>
      </c>
      <c r="E600" s="4235"/>
      <c r="F600" s="4235">
        <f t="shared" si="25"/>
        <v>0</v>
      </c>
    </row>
    <row r="601" spans="1:6" ht="13.5" customHeight="1">
      <c r="A601" s="4390"/>
      <c r="B601" s="4250"/>
      <c r="C601" s="4233"/>
      <c r="D601" s="4234"/>
      <c r="E601" s="4235"/>
      <c r="F601" s="4235" t="str">
        <f t="shared" si="25"/>
        <v xml:space="preserve"> </v>
      </c>
    </row>
    <row r="602" spans="1:6" ht="15" customHeight="1">
      <c r="A602" s="4392">
        <v>15.3</v>
      </c>
      <c r="B602" s="4345" t="s">
        <v>880</v>
      </c>
      <c r="C602" s="4233"/>
      <c r="D602" s="4234"/>
      <c r="E602" s="4235"/>
      <c r="F602" s="4235" t="str">
        <f t="shared" si="25"/>
        <v xml:space="preserve"> </v>
      </c>
    </row>
    <row r="603" spans="1:6" ht="14.25" customHeight="1">
      <c r="A603" s="4390" t="s">
        <v>3855</v>
      </c>
      <c r="B603" s="4212" t="s">
        <v>3767</v>
      </c>
      <c r="C603" s="4233">
        <v>1.1499999999999999</v>
      </c>
      <c r="D603" s="4251" t="s">
        <v>2430</v>
      </c>
      <c r="E603" s="4235"/>
      <c r="F603" s="4235">
        <f t="shared" si="25"/>
        <v>0</v>
      </c>
    </row>
    <row r="604" spans="1:6" ht="14.25" customHeight="1">
      <c r="A604" s="4390" t="s">
        <v>3915</v>
      </c>
      <c r="B604" s="4355" t="s">
        <v>3768</v>
      </c>
      <c r="C604" s="4233">
        <v>0.51</v>
      </c>
      <c r="D604" s="4251" t="s">
        <v>2430</v>
      </c>
      <c r="E604" s="4235"/>
      <c r="F604" s="4235">
        <f t="shared" si="25"/>
        <v>0</v>
      </c>
    </row>
    <row r="605" spans="1:6" ht="14.25" customHeight="1">
      <c r="A605" s="4390" t="s">
        <v>3916</v>
      </c>
      <c r="B605" s="4212" t="s">
        <v>3769</v>
      </c>
      <c r="C605" s="4233">
        <v>0.41</v>
      </c>
      <c r="D605" s="4251" t="s">
        <v>2430</v>
      </c>
      <c r="E605" s="4235"/>
      <c r="F605" s="4235">
        <f t="shared" si="25"/>
        <v>0</v>
      </c>
    </row>
    <row r="606" spans="1:6" ht="14.25" customHeight="1">
      <c r="A606" s="4390"/>
      <c r="B606" s="4250"/>
      <c r="C606" s="4233"/>
      <c r="D606" s="4234"/>
      <c r="E606" s="4235"/>
      <c r="F606" s="4235" t="str">
        <f t="shared" si="25"/>
        <v xml:space="preserve"> </v>
      </c>
    </row>
    <row r="607" spans="1:6" ht="15" customHeight="1">
      <c r="A607" s="4392">
        <v>15.4</v>
      </c>
      <c r="B607" s="4345" t="s">
        <v>3124</v>
      </c>
      <c r="C607" s="4233"/>
      <c r="D607" s="4234"/>
      <c r="E607" s="4235"/>
      <c r="F607" s="4235" t="str">
        <f t="shared" si="25"/>
        <v xml:space="preserve"> </v>
      </c>
    </row>
    <row r="608" spans="1:6" ht="14.25" customHeight="1">
      <c r="A608" s="4390" t="s">
        <v>3917</v>
      </c>
      <c r="B608" s="4250" t="s">
        <v>3127</v>
      </c>
      <c r="C608" s="4233">
        <v>43.75</v>
      </c>
      <c r="D608" s="4251" t="s">
        <v>2432</v>
      </c>
      <c r="E608" s="4235"/>
      <c r="F608" s="4235">
        <f>IF(C608&gt;0,(ROUND((E608*C608),2))," ")</f>
        <v>0</v>
      </c>
    </row>
    <row r="609" spans="1:8" ht="14.25" customHeight="1">
      <c r="A609" s="4456"/>
      <c r="B609" s="4481"/>
      <c r="C609" s="4466"/>
      <c r="D609" s="4454"/>
      <c r="E609" s="4468"/>
      <c r="F609" s="4468" t="str">
        <f t="shared" si="25"/>
        <v xml:space="preserve"> </v>
      </c>
    </row>
    <row r="610" spans="1:8" ht="15" customHeight="1">
      <c r="A610" s="4392">
        <v>15.5</v>
      </c>
      <c r="B610" s="4345" t="s">
        <v>3720</v>
      </c>
      <c r="C610" s="4233"/>
      <c r="D610" s="4234"/>
      <c r="E610" s="4235"/>
      <c r="F610" s="4235" t="str">
        <f t="shared" si="25"/>
        <v xml:space="preserve"> </v>
      </c>
    </row>
    <row r="611" spans="1:8" s="4223" customFormat="1" ht="14.25" customHeight="1">
      <c r="A611" s="4390" t="s">
        <v>3856</v>
      </c>
      <c r="B611" s="3563" t="s">
        <v>3125</v>
      </c>
      <c r="C611" s="4222">
        <v>18.899999999999999</v>
      </c>
      <c r="D611" s="4313" t="s">
        <v>2432</v>
      </c>
      <c r="E611" s="4217"/>
      <c r="F611" s="4217">
        <f t="shared" si="25"/>
        <v>0</v>
      </c>
    </row>
    <row r="612" spans="1:8" s="4223" customFormat="1" ht="14.25" customHeight="1">
      <c r="A612" s="4390" t="s">
        <v>3857</v>
      </c>
      <c r="B612" s="3563" t="s">
        <v>2435</v>
      </c>
      <c r="C612" s="4222">
        <v>3.3</v>
      </c>
      <c r="D612" s="4313" t="s">
        <v>2432</v>
      </c>
      <c r="E612" s="4217"/>
      <c r="F612" s="4217">
        <f t="shared" si="25"/>
        <v>0</v>
      </c>
    </row>
    <row r="613" spans="1:8" s="4223" customFormat="1" ht="14.25" customHeight="1">
      <c r="A613" s="4390" t="s">
        <v>3858</v>
      </c>
      <c r="B613" s="3563" t="s">
        <v>3658</v>
      </c>
      <c r="C613" s="4222">
        <v>8.8000000000000007</v>
      </c>
      <c r="D613" s="4313" t="s">
        <v>1</v>
      </c>
      <c r="E613" s="4217"/>
      <c r="F613" s="4217">
        <f t="shared" si="25"/>
        <v>0</v>
      </c>
    </row>
    <row r="614" spans="1:8" s="4358" customFormat="1" ht="13.5" customHeight="1">
      <c r="A614" s="4390" t="s">
        <v>3859</v>
      </c>
      <c r="B614" s="4212" t="s">
        <v>1548</v>
      </c>
      <c r="C614" s="4191">
        <v>19.88</v>
      </c>
      <c r="D614" s="4194" t="s">
        <v>1</v>
      </c>
      <c r="E614" s="4210"/>
      <c r="F614" s="4210">
        <f t="shared" ref="F614:F615" si="26">ROUND(C614*E614,2)</f>
        <v>0</v>
      </c>
      <c r="G614" s="4357"/>
      <c r="H614" s="4357"/>
    </row>
    <row r="615" spans="1:8" s="4358" customFormat="1" ht="13.5" customHeight="1">
      <c r="A615" s="4390" t="s">
        <v>3860</v>
      </c>
      <c r="B615" s="4212" t="s">
        <v>3770</v>
      </c>
      <c r="C615" s="4191">
        <v>4.2699999999999996</v>
      </c>
      <c r="D615" s="4194" t="s">
        <v>3755</v>
      </c>
      <c r="E615" s="4210"/>
      <c r="F615" s="4210">
        <f t="shared" si="26"/>
        <v>0</v>
      </c>
      <c r="G615" s="4357"/>
      <c r="H615" s="4357"/>
    </row>
    <row r="616" spans="1:8" ht="14.25" customHeight="1">
      <c r="A616" s="4390"/>
      <c r="B616" s="4232"/>
      <c r="C616" s="4233"/>
      <c r="D616" s="4251"/>
      <c r="E616" s="4235"/>
      <c r="F616" s="4235" t="str">
        <f t="shared" si="25"/>
        <v xml:space="preserve"> </v>
      </c>
    </row>
    <row r="617" spans="1:8" s="4358" customFormat="1">
      <c r="A617" s="4336">
        <v>15.6</v>
      </c>
      <c r="B617" s="4207" t="s">
        <v>3771</v>
      </c>
      <c r="C617" s="4191"/>
      <c r="D617" s="4194"/>
      <c r="E617" s="4210"/>
      <c r="F617" s="4228"/>
      <c r="G617" s="4357"/>
      <c r="H617" s="4357"/>
    </row>
    <row r="618" spans="1:8" s="4358" customFormat="1">
      <c r="A618" s="4356" t="s">
        <v>3861</v>
      </c>
      <c r="B618" s="4274" t="s">
        <v>3772</v>
      </c>
      <c r="C618" s="4191">
        <v>0.36</v>
      </c>
      <c r="D618" s="4194" t="s">
        <v>3761</v>
      </c>
      <c r="E618" s="4210"/>
      <c r="F618" s="4210">
        <f>+C618*E618</f>
        <v>0</v>
      </c>
      <c r="G618" s="4357"/>
      <c r="H618" s="4357"/>
    </row>
    <row r="619" spans="1:8" s="4358" customFormat="1">
      <c r="A619" s="4356" t="s">
        <v>3862</v>
      </c>
      <c r="B619" s="4274" t="s">
        <v>3773</v>
      </c>
      <c r="C619" s="4191">
        <v>0.27</v>
      </c>
      <c r="D619" s="4194" t="s">
        <v>3761</v>
      </c>
      <c r="E619" s="4210"/>
      <c r="F619" s="4210">
        <f>+C619*E619</f>
        <v>0</v>
      </c>
      <c r="G619" s="4357"/>
      <c r="H619" s="4357"/>
    </row>
    <row r="620" spans="1:8" s="4358" customFormat="1">
      <c r="A620" s="4356"/>
      <c r="B620" s="4274"/>
      <c r="C620" s="4191"/>
      <c r="D620" s="4194"/>
      <c r="E620" s="4210"/>
      <c r="F620" s="4210"/>
      <c r="G620" s="4357"/>
      <c r="H620" s="4357"/>
    </row>
    <row r="621" spans="1:8" ht="14.25" customHeight="1">
      <c r="A621" s="4392">
        <v>15.7</v>
      </c>
      <c r="B621" s="4250" t="s">
        <v>3958</v>
      </c>
      <c r="C621" s="4233">
        <v>3</v>
      </c>
      <c r="D621" s="4234" t="s">
        <v>2433</v>
      </c>
      <c r="E621" s="4235"/>
      <c r="F621" s="4235">
        <f>IF(C621&gt;0,(ROUND((E621*C621),2))," ")</f>
        <v>0</v>
      </c>
    </row>
    <row r="622" spans="1:8" ht="14.25" customHeight="1">
      <c r="A622" s="4392"/>
      <c r="B622" s="4250"/>
      <c r="C622" s="4233"/>
      <c r="D622" s="4234"/>
      <c r="E622" s="4235"/>
      <c r="F622" s="4235"/>
    </row>
    <row r="623" spans="1:8" s="4268" customFormat="1" ht="14.25" customHeight="1">
      <c r="A623" s="4397">
        <v>15.8</v>
      </c>
      <c r="B623" s="4212" t="s">
        <v>3775</v>
      </c>
      <c r="C623" s="4222">
        <v>1</v>
      </c>
      <c r="D623" s="4218" t="s">
        <v>2433</v>
      </c>
      <c r="E623" s="4210"/>
      <c r="F623" s="4217">
        <f t="shared" si="25"/>
        <v>0</v>
      </c>
    </row>
    <row r="624" spans="1:8" s="4268" customFormat="1" ht="12.75" customHeight="1">
      <c r="A624" s="4307"/>
      <c r="B624" s="4306" t="s">
        <v>2122</v>
      </c>
      <c r="C624" s="4307"/>
      <c r="D624" s="4307"/>
      <c r="E624" s="4307"/>
      <c r="F624" s="4309">
        <f>SUM(F494:F623)</f>
        <v>0</v>
      </c>
    </row>
    <row r="625" spans="1:6" ht="14.25" customHeight="1">
      <c r="A625" s="4390"/>
      <c r="B625" s="4232"/>
      <c r="C625" s="4233"/>
      <c r="D625" s="4234"/>
      <c r="E625" s="4235"/>
      <c r="F625" s="4235" t="str">
        <f t="shared" ref="F625:F693" si="27">IF(C625&gt;0,(ROUND((E625*C625),2))," ")</f>
        <v xml:space="preserve"> </v>
      </c>
    </row>
    <row r="626" spans="1:6" s="4223" customFormat="1" ht="15">
      <c r="A626" s="4398" t="s">
        <v>2120</v>
      </c>
      <c r="B626" s="3435" t="s">
        <v>3485</v>
      </c>
      <c r="C626" s="4222"/>
      <c r="D626" s="4313"/>
      <c r="E626" s="4217"/>
      <c r="F626" s="4217" t="str">
        <f t="shared" si="27"/>
        <v xml:space="preserve"> </v>
      </c>
    </row>
    <row r="627" spans="1:6" ht="14.25" customHeight="1">
      <c r="A627" s="4390"/>
      <c r="B627" s="3434"/>
      <c r="C627" s="4233"/>
      <c r="D627" s="4251"/>
      <c r="E627" s="4235"/>
      <c r="F627" s="4235" t="str">
        <f t="shared" si="27"/>
        <v xml:space="preserve"> </v>
      </c>
    </row>
    <row r="628" spans="1:6" ht="14.25" customHeight="1">
      <c r="A628" s="4182">
        <v>1</v>
      </c>
      <c r="B628" s="4345" t="s">
        <v>2165</v>
      </c>
      <c r="C628" s="4173"/>
      <c r="D628" s="4271"/>
      <c r="E628" s="4235"/>
      <c r="F628" s="4235" t="str">
        <f t="shared" si="27"/>
        <v xml:space="preserve"> </v>
      </c>
    </row>
    <row r="629" spans="1:6" ht="14.25" customHeight="1">
      <c r="A629" s="4179">
        <v>1.1000000000000001</v>
      </c>
      <c r="B629" s="3540" t="s">
        <v>4043</v>
      </c>
      <c r="C629" s="4172">
        <v>22.36</v>
      </c>
      <c r="D629" s="4251" t="s">
        <v>2432</v>
      </c>
      <c r="E629" s="4235"/>
      <c r="F629" s="4235">
        <f t="shared" si="27"/>
        <v>0</v>
      </c>
    </row>
    <row r="630" spans="1:6" ht="14.25" customHeight="1">
      <c r="A630" s="4180"/>
      <c r="B630" s="4181"/>
      <c r="C630" s="4173"/>
      <c r="D630" s="4271"/>
      <c r="E630" s="4235"/>
      <c r="F630" s="4235" t="str">
        <f t="shared" si="27"/>
        <v xml:space="preserve"> </v>
      </c>
    </row>
    <row r="631" spans="1:6" ht="14.25" customHeight="1">
      <c r="A631" s="4182">
        <v>2</v>
      </c>
      <c r="B631" s="4183" t="s">
        <v>38</v>
      </c>
      <c r="C631" s="4173"/>
      <c r="D631" s="4271"/>
      <c r="E631" s="4235"/>
      <c r="F631" s="4235" t="str">
        <f t="shared" si="27"/>
        <v xml:space="preserve"> </v>
      </c>
    </row>
    <row r="632" spans="1:6" ht="14.25" customHeight="1">
      <c r="A632" s="4180">
        <v>2.1</v>
      </c>
      <c r="B632" s="3540" t="s">
        <v>3459</v>
      </c>
      <c r="C632" s="4173">
        <v>11.48</v>
      </c>
      <c r="D632" s="4271" t="s">
        <v>2430</v>
      </c>
      <c r="E632" s="4235"/>
      <c r="F632" s="4235">
        <f t="shared" si="27"/>
        <v>0</v>
      </c>
    </row>
    <row r="633" spans="1:6" ht="14.25" customHeight="1">
      <c r="A633" s="4180">
        <v>2.2000000000000002</v>
      </c>
      <c r="B633" s="4232" t="s">
        <v>2984</v>
      </c>
      <c r="C633" s="4173">
        <v>6.02</v>
      </c>
      <c r="D633" s="4271" t="s">
        <v>2430</v>
      </c>
      <c r="E633" s="4235"/>
      <c r="F633" s="4235">
        <f t="shared" si="27"/>
        <v>0</v>
      </c>
    </row>
    <row r="634" spans="1:6" ht="14.25" customHeight="1">
      <c r="A634" s="4180">
        <v>2.2999999999999998</v>
      </c>
      <c r="B634" s="4206" t="s">
        <v>3780</v>
      </c>
      <c r="C634" s="4173">
        <v>7.09</v>
      </c>
      <c r="D634" s="4271" t="s">
        <v>2430</v>
      </c>
      <c r="E634" s="4235"/>
      <c r="F634" s="4235">
        <f t="shared" si="27"/>
        <v>0</v>
      </c>
    </row>
    <row r="635" spans="1:6" ht="14.25" customHeight="1">
      <c r="A635" s="4180"/>
      <c r="B635" s="4181"/>
      <c r="C635" s="4174"/>
      <c r="D635" s="4286"/>
      <c r="E635" s="4235"/>
      <c r="F635" s="4235" t="str">
        <f t="shared" si="27"/>
        <v xml:space="preserve"> </v>
      </c>
    </row>
    <row r="636" spans="1:6" ht="14.25" customHeight="1">
      <c r="A636" s="4182">
        <v>3</v>
      </c>
      <c r="B636" s="4183" t="s">
        <v>3726</v>
      </c>
      <c r="C636" s="4173"/>
      <c r="D636" s="4287"/>
      <c r="E636" s="4235"/>
      <c r="F636" s="4235" t="str">
        <f t="shared" si="27"/>
        <v xml:space="preserve"> </v>
      </c>
    </row>
    <row r="637" spans="1:6" ht="16.5" customHeight="1">
      <c r="A637" s="4180">
        <v>3.1</v>
      </c>
      <c r="B637" s="3540" t="s">
        <v>3460</v>
      </c>
      <c r="C637" s="4175">
        <v>1.94</v>
      </c>
      <c r="D637" s="4271" t="s">
        <v>2430</v>
      </c>
      <c r="E637" s="4235"/>
      <c r="F637" s="4235">
        <f t="shared" si="27"/>
        <v>0</v>
      </c>
    </row>
    <row r="638" spans="1:6" ht="16.5" customHeight="1">
      <c r="A638" s="4180">
        <v>3.2</v>
      </c>
      <c r="B638" s="3540" t="s">
        <v>3461</v>
      </c>
      <c r="C638" s="4175">
        <v>1.73</v>
      </c>
      <c r="D638" s="4271" t="s">
        <v>2430</v>
      </c>
      <c r="E638" s="4235"/>
      <c r="F638" s="4235">
        <f t="shared" si="27"/>
        <v>0</v>
      </c>
    </row>
    <row r="639" spans="1:6" ht="16.5" customHeight="1">
      <c r="A639" s="4180">
        <v>3.3</v>
      </c>
      <c r="B639" s="3540" t="s">
        <v>3462</v>
      </c>
      <c r="C639" s="4175">
        <v>0.66</v>
      </c>
      <c r="D639" s="4271" t="s">
        <v>2430</v>
      </c>
      <c r="E639" s="4235"/>
      <c r="F639" s="4235">
        <f t="shared" si="27"/>
        <v>0</v>
      </c>
    </row>
    <row r="640" spans="1:6" ht="16.5" customHeight="1">
      <c r="A640" s="4180">
        <v>3.4</v>
      </c>
      <c r="B640" s="3540" t="s">
        <v>3463</v>
      </c>
      <c r="C640" s="4175">
        <v>1.35</v>
      </c>
      <c r="D640" s="4444" t="s">
        <v>2430</v>
      </c>
      <c r="E640" s="4235"/>
      <c r="F640" s="4445">
        <f t="shared" si="27"/>
        <v>0</v>
      </c>
    </row>
    <row r="641" spans="1:6" ht="16.5" customHeight="1">
      <c r="A641" s="4180">
        <v>3.5</v>
      </c>
      <c r="B641" s="3540" t="s">
        <v>3464</v>
      </c>
      <c r="C641" s="4175">
        <v>1.59</v>
      </c>
      <c r="D641" s="4271" t="s">
        <v>2430</v>
      </c>
      <c r="E641" s="4235"/>
      <c r="F641" s="4235">
        <f t="shared" si="27"/>
        <v>0</v>
      </c>
    </row>
    <row r="642" spans="1:6" s="4223" customFormat="1" ht="16.5" customHeight="1">
      <c r="A642" s="4359">
        <v>3.6</v>
      </c>
      <c r="B642" s="4212" t="s">
        <v>3465</v>
      </c>
      <c r="C642" s="4330">
        <v>4.22</v>
      </c>
      <c r="D642" s="4328" t="s">
        <v>2430</v>
      </c>
      <c r="E642" s="4235"/>
      <c r="F642" s="4217">
        <f t="shared" si="27"/>
        <v>0</v>
      </c>
    </row>
    <row r="643" spans="1:6" ht="14.25" customHeight="1">
      <c r="A643" s="4180">
        <v>3.7</v>
      </c>
      <c r="B643" s="3540" t="s">
        <v>3466</v>
      </c>
      <c r="C643" s="4175">
        <v>4</v>
      </c>
      <c r="D643" s="4234" t="s">
        <v>2433</v>
      </c>
      <c r="E643" s="4235"/>
      <c r="F643" s="4235">
        <f t="shared" si="27"/>
        <v>0</v>
      </c>
    </row>
    <row r="644" spans="1:6" ht="14.25" customHeight="1">
      <c r="A644" s="4359">
        <v>3.8</v>
      </c>
      <c r="B644" s="4184" t="s">
        <v>3570</v>
      </c>
      <c r="C644" s="4175">
        <v>18.07</v>
      </c>
      <c r="D644" s="4251" t="s">
        <v>2432</v>
      </c>
      <c r="E644" s="4235"/>
      <c r="F644" s="4235">
        <f t="shared" si="27"/>
        <v>0</v>
      </c>
    </row>
    <row r="645" spans="1:6" ht="14.25" customHeight="1">
      <c r="A645" s="4179"/>
      <c r="B645" s="4183"/>
      <c r="C645" s="4176"/>
      <c r="D645" s="4287"/>
      <c r="E645" s="4235"/>
      <c r="F645" s="4235" t="str">
        <f t="shared" si="27"/>
        <v xml:space="preserve"> </v>
      </c>
    </row>
    <row r="646" spans="1:6" ht="14.25" customHeight="1">
      <c r="A646" s="4185">
        <v>4</v>
      </c>
      <c r="B646" s="4183" t="s">
        <v>3467</v>
      </c>
      <c r="C646" s="4176"/>
      <c r="D646" s="4287"/>
      <c r="E646" s="4235"/>
      <c r="F646" s="4235" t="str">
        <f t="shared" si="27"/>
        <v xml:space="preserve"> </v>
      </c>
    </row>
    <row r="647" spans="1:6" s="4223" customFormat="1" ht="14.25" customHeight="1">
      <c r="A647" s="4167">
        <v>4.0999999999999996</v>
      </c>
      <c r="B647" s="4333" t="s">
        <v>3660</v>
      </c>
      <c r="C647" s="4334">
        <v>6.6</v>
      </c>
      <c r="D647" s="4313" t="s">
        <v>2432</v>
      </c>
      <c r="E647" s="4235"/>
      <c r="F647" s="4217">
        <f t="shared" si="27"/>
        <v>0</v>
      </c>
    </row>
    <row r="648" spans="1:6" s="4223" customFormat="1" ht="14.25" customHeight="1">
      <c r="A648" s="4167">
        <v>4.2</v>
      </c>
      <c r="B648" s="4333" t="s">
        <v>3659</v>
      </c>
      <c r="C648" s="4334">
        <v>44.55</v>
      </c>
      <c r="D648" s="4313" t="s">
        <v>2432</v>
      </c>
      <c r="E648" s="4235"/>
      <c r="F648" s="4217">
        <f t="shared" si="27"/>
        <v>0</v>
      </c>
    </row>
    <row r="649" spans="1:6" ht="14.25" customHeight="1">
      <c r="A649" s="4179"/>
      <c r="B649" s="4183"/>
      <c r="C649" s="4176"/>
      <c r="D649" s="4287"/>
      <c r="E649" s="4235"/>
      <c r="F649" s="4235" t="str">
        <f t="shared" si="27"/>
        <v xml:space="preserve"> </v>
      </c>
    </row>
    <row r="650" spans="1:6" ht="14.25" customHeight="1">
      <c r="A650" s="4182">
        <v>5</v>
      </c>
      <c r="B650" s="4183" t="s">
        <v>859</v>
      </c>
      <c r="C650" s="4177"/>
      <c r="D650" s="4287"/>
      <c r="E650" s="4235"/>
      <c r="F650" s="4235" t="str">
        <f t="shared" si="27"/>
        <v xml:space="preserve"> </v>
      </c>
    </row>
    <row r="651" spans="1:6" ht="14.25" customHeight="1">
      <c r="A651" s="4180">
        <v>5.0999999999999996</v>
      </c>
      <c r="B651" s="4184" t="s">
        <v>2568</v>
      </c>
      <c r="C651" s="4175">
        <v>26.08</v>
      </c>
      <c r="D651" s="4251" t="s">
        <v>2432</v>
      </c>
      <c r="E651" s="4235"/>
      <c r="F651" s="4235">
        <f t="shared" si="27"/>
        <v>0</v>
      </c>
    </row>
    <row r="652" spans="1:6" ht="14.25" customHeight="1">
      <c r="A652" s="4180">
        <v>5.2</v>
      </c>
      <c r="B652" s="4184" t="s">
        <v>2395</v>
      </c>
      <c r="C652" s="4175">
        <v>56.3</v>
      </c>
      <c r="D652" s="4251" t="s">
        <v>2432</v>
      </c>
      <c r="E652" s="4235"/>
      <c r="F652" s="4235">
        <f t="shared" si="27"/>
        <v>0</v>
      </c>
    </row>
    <row r="653" spans="1:6" ht="14.25" customHeight="1">
      <c r="A653" s="4180">
        <v>5.3</v>
      </c>
      <c r="B653" s="4184" t="s">
        <v>2396</v>
      </c>
      <c r="C653" s="4175">
        <v>44.1</v>
      </c>
      <c r="D653" s="4251" t="s">
        <v>2432</v>
      </c>
      <c r="E653" s="4235"/>
      <c r="F653" s="4235">
        <f t="shared" si="27"/>
        <v>0</v>
      </c>
    </row>
    <row r="654" spans="1:6" ht="14.25" customHeight="1">
      <c r="A654" s="4180">
        <v>5.4</v>
      </c>
      <c r="B654" s="4184" t="s">
        <v>3468</v>
      </c>
      <c r="C654" s="4175">
        <v>27.12</v>
      </c>
      <c r="D654" s="4251" t="s">
        <v>2432</v>
      </c>
      <c r="E654" s="4235"/>
      <c r="F654" s="4235">
        <f t="shared" si="27"/>
        <v>0</v>
      </c>
    </row>
    <row r="655" spans="1:6" ht="14.25" customHeight="1">
      <c r="A655" s="4180">
        <v>5.5</v>
      </c>
      <c r="B655" s="4184" t="s">
        <v>3469</v>
      </c>
      <c r="C655" s="4175">
        <v>25.11</v>
      </c>
      <c r="D655" s="4251" t="s">
        <v>2432</v>
      </c>
      <c r="E655" s="4235"/>
      <c r="F655" s="4235">
        <f t="shared" si="27"/>
        <v>0</v>
      </c>
    </row>
    <row r="656" spans="1:6" ht="14.25" customHeight="1">
      <c r="A656" s="4180">
        <v>5.6</v>
      </c>
      <c r="B656" s="4184" t="s">
        <v>2362</v>
      </c>
      <c r="C656" s="4178">
        <v>20.9</v>
      </c>
      <c r="D656" s="4271" t="s">
        <v>1</v>
      </c>
      <c r="E656" s="4235"/>
      <c r="F656" s="4235">
        <f t="shared" si="27"/>
        <v>0</v>
      </c>
    </row>
    <row r="657" spans="1:6" ht="14.25" customHeight="1">
      <c r="A657" s="4180">
        <v>5.7</v>
      </c>
      <c r="B657" s="4184" t="s">
        <v>3470</v>
      </c>
      <c r="C657" s="4175">
        <v>62.6</v>
      </c>
      <c r="D657" s="4271" t="s">
        <v>1</v>
      </c>
      <c r="E657" s="4235"/>
      <c r="F657" s="4235">
        <f t="shared" si="27"/>
        <v>0</v>
      </c>
    </row>
    <row r="658" spans="1:6" ht="14.25" customHeight="1">
      <c r="A658" s="4180">
        <v>5.8</v>
      </c>
      <c r="B658" s="4184" t="s">
        <v>3540</v>
      </c>
      <c r="C658" s="4175">
        <v>20.100000000000001</v>
      </c>
      <c r="D658" s="4271" t="s">
        <v>1</v>
      </c>
      <c r="E658" s="4235"/>
      <c r="F658" s="4235">
        <f t="shared" si="27"/>
        <v>0</v>
      </c>
    </row>
    <row r="659" spans="1:6" s="4238" customFormat="1" ht="14.25" customHeight="1">
      <c r="A659" s="4180">
        <v>5.9</v>
      </c>
      <c r="B659" s="4184" t="s">
        <v>3471</v>
      </c>
      <c r="C659" s="4175">
        <v>127.52</v>
      </c>
      <c r="D659" s="4251" t="s">
        <v>2432</v>
      </c>
      <c r="E659" s="4235"/>
      <c r="F659" s="4235">
        <f t="shared" si="27"/>
        <v>0</v>
      </c>
    </row>
    <row r="660" spans="1:6" ht="14.25" customHeight="1">
      <c r="A660" s="4180"/>
      <c r="B660" s="4184"/>
      <c r="C660" s="4175"/>
      <c r="D660" s="4271"/>
      <c r="E660" s="4235"/>
      <c r="F660" s="4235" t="str">
        <f t="shared" si="27"/>
        <v xml:space="preserve"> </v>
      </c>
    </row>
    <row r="661" spans="1:6" ht="14.25" customHeight="1">
      <c r="A661" s="4182">
        <v>6</v>
      </c>
      <c r="B661" s="4184" t="s">
        <v>3472</v>
      </c>
      <c r="C661" s="4175">
        <v>15.12</v>
      </c>
      <c r="D661" s="4251" t="s">
        <v>2432</v>
      </c>
      <c r="E661" s="4103"/>
      <c r="F661" s="4235">
        <f t="shared" si="27"/>
        <v>0</v>
      </c>
    </row>
    <row r="662" spans="1:6" ht="14.25" customHeight="1">
      <c r="A662" s="4482"/>
      <c r="B662" s="4483"/>
      <c r="C662" s="4484"/>
      <c r="D662" s="4485"/>
      <c r="E662" s="4468"/>
      <c r="F662" s="4468" t="str">
        <f t="shared" si="27"/>
        <v xml:space="preserve"> </v>
      </c>
    </row>
    <row r="663" spans="1:6" ht="14.25" customHeight="1">
      <c r="A663" s="4182">
        <v>7</v>
      </c>
      <c r="B663" s="4183" t="s">
        <v>3473</v>
      </c>
      <c r="C663" s="4175"/>
      <c r="D663" s="4271"/>
      <c r="E663" s="4235"/>
      <c r="F663" s="4235" t="str">
        <f t="shared" si="27"/>
        <v xml:space="preserve"> </v>
      </c>
    </row>
    <row r="664" spans="1:6" ht="14.25" customHeight="1">
      <c r="A664" s="4180">
        <v>7.1</v>
      </c>
      <c r="B664" s="4184" t="s">
        <v>3474</v>
      </c>
      <c r="C664" s="4175">
        <v>1</v>
      </c>
      <c r="D664" s="4234" t="s">
        <v>2433</v>
      </c>
      <c r="E664" s="4235"/>
      <c r="F664" s="4235">
        <f t="shared" si="27"/>
        <v>0</v>
      </c>
    </row>
    <row r="665" spans="1:6" ht="14.25" customHeight="1">
      <c r="A665" s="4180">
        <v>7.2</v>
      </c>
      <c r="B665" s="4232" t="s">
        <v>3475</v>
      </c>
      <c r="C665" s="4175">
        <v>15.06</v>
      </c>
      <c r="D665" s="4234" t="s">
        <v>2602</v>
      </c>
      <c r="E665" s="4235"/>
      <c r="F665" s="4235">
        <f t="shared" si="27"/>
        <v>0</v>
      </c>
    </row>
    <row r="666" spans="1:6" ht="14.25" customHeight="1">
      <c r="A666" s="4179">
        <v>7.3</v>
      </c>
      <c r="B666" s="4212" t="s">
        <v>3918</v>
      </c>
      <c r="C666" s="4175">
        <v>1</v>
      </c>
      <c r="D666" s="4234" t="s">
        <v>2433</v>
      </c>
      <c r="E666" s="4235"/>
      <c r="F666" s="4235">
        <f t="shared" si="27"/>
        <v>0</v>
      </c>
    </row>
    <row r="667" spans="1:6" ht="14.25" customHeight="1">
      <c r="A667" s="4180"/>
      <c r="B667" s="4184"/>
      <c r="C667" s="4233"/>
      <c r="D667" s="4251"/>
      <c r="E667" s="4235"/>
      <c r="F667" s="4235" t="str">
        <f t="shared" si="27"/>
        <v xml:space="preserve"> </v>
      </c>
    </row>
    <row r="668" spans="1:6" ht="14.25" customHeight="1">
      <c r="A668" s="4185">
        <v>8</v>
      </c>
      <c r="B668" s="4183" t="s">
        <v>3476</v>
      </c>
      <c r="C668" s="4233"/>
      <c r="D668" s="4251"/>
      <c r="E668" s="4235"/>
      <c r="F668" s="4235" t="str">
        <f t="shared" si="27"/>
        <v xml:space="preserve"> </v>
      </c>
    </row>
    <row r="669" spans="1:6" ht="14.25" customHeight="1">
      <c r="A669" s="4180">
        <v>8.1</v>
      </c>
      <c r="B669" s="4232" t="s">
        <v>3477</v>
      </c>
      <c r="C669" s="4175">
        <v>4</v>
      </c>
      <c r="D669" s="4234" t="s">
        <v>2433</v>
      </c>
      <c r="E669" s="4235"/>
      <c r="F669" s="4235">
        <f t="shared" si="27"/>
        <v>0</v>
      </c>
    </row>
    <row r="670" spans="1:6" ht="14.25" customHeight="1">
      <c r="A670" s="4180">
        <v>8.1999999999999993</v>
      </c>
      <c r="B670" s="4232" t="s">
        <v>3478</v>
      </c>
      <c r="C670" s="4175">
        <v>1</v>
      </c>
      <c r="D670" s="4234" t="s">
        <v>2433</v>
      </c>
      <c r="E670" s="4235"/>
      <c r="F670" s="4235">
        <f t="shared" si="27"/>
        <v>0</v>
      </c>
    </row>
    <row r="671" spans="1:6" ht="14.25" customHeight="1">
      <c r="A671" s="4180">
        <v>8.3000000000000007</v>
      </c>
      <c r="B671" s="4232" t="s">
        <v>3479</v>
      </c>
      <c r="C671" s="4175">
        <v>2</v>
      </c>
      <c r="D671" s="4234" t="s">
        <v>2433</v>
      </c>
      <c r="E671" s="4235"/>
      <c r="F671" s="4235">
        <f t="shared" si="27"/>
        <v>0</v>
      </c>
    </row>
    <row r="672" spans="1:6" ht="14.25" customHeight="1">
      <c r="A672" s="4167"/>
      <c r="B672" s="4169"/>
      <c r="C672" s="4233"/>
      <c r="D672" s="4251"/>
      <c r="E672" s="4235"/>
      <c r="F672" s="4235" t="str">
        <f t="shared" si="27"/>
        <v xml:space="preserve"> </v>
      </c>
    </row>
    <row r="673" spans="1:8" ht="14.25" customHeight="1">
      <c r="A673" s="4168">
        <v>9</v>
      </c>
      <c r="B673" s="4170" t="s">
        <v>3480</v>
      </c>
      <c r="C673" s="4233"/>
      <c r="D673" s="4251"/>
      <c r="E673" s="4235"/>
      <c r="F673" s="4235" t="str">
        <f t="shared" si="27"/>
        <v xml:space="preserve"> </v>
      </c>
    </row>
    <row r="674" spans="1:8" ht="14.25" customHeight="1">
      <c r="A674" s="4167">
        <v>9.1</v>
      </c>
      <c r="B674" s="4171" t="s">
        <v>3661</v>
      </c>
      <c r="C674" s="4186">
        <v>2</v>
      </c>
      <c r="D674" s="4328" t="s">
        <v>2433</v>
      </c>
      <c r="E674" s="4210"/>
      <c r="F674" s="4235">
        <f t="shared" si="27"/>
        <v>0</v>
      </c>
    </row>
    <row r="675" spans="1:8" ht="14.25" customHeight="1">
      <c r="A675" s="4167">
        <v>9.1999999999999993</v>
      </c>
      <c r="B675" s="4171" t="s">
        <v>3481</v>
      </c>
      <c r="C675" s="4186">
        <v>2</v>
      </c>
      <c r="D675" s="4328" t="s">
        <v>2433</v>
      </c>
      <c r="E675" s="4210"/>
      <c r="F675" s="4235">
        <f t="shared" si="27"/>
        <v>0</v>
      </c>
    </row>
    <row r="676" spans="1:8" ht="14.25" customHeight="1">
      <c r="A676" s="4167">
        <v>9.3000000000000007</v>
      </c>
      <c r="B676" s="4171" t="s">
        <v>3662</v>
      </c>
      <c r="C676" s="4187">
        <v>1</v>
      </c>
      <c r="D676" s="4328" t="s">
        <v>2433</v>
      </c>
      <c r="E676" s="4210"/>
      <c r="F676" s="4235">
        <f t="shared" si="27"/>
        <v>0</v>
      </c>
    </row>
    <row r="677" spans="1:8" ht="14.25" customHeight="1">
      <c r="A677" s="4167">
        <v>9.4</v>
      </c>
      <c r="B677" s="4171" t="s">
        <v>3482</v>
      </c>
      <c r="C677" s="4187">
        <v>95</v>
      </c>
      <c r="D677" s="4329" t="s">
        <v>1</v>
      </c>
      <c r="E677" s="4210"/>
      <c r="F677" s="4235">
        <f t="shared" si="27"/>
        <v>0</v>
      </c>
    </row>
    <row r="678" spans="1:8" ht="14.25" customHeight="1">
      <c r="A678" s="4167">
        <v>9.5</v>
      </c>
      <c r="B678" s="4171" t="s">
        <v>3663</v>
      </c>
      <c r="C678" s="4186">
        <v>33</v>
      </c>
      <c r="D678" s="4328" t="s">
        <v>2433</v>
      </c>
      <c r="E678" s="4210"/>
      <c r="F678" s="4235">
        <f t="shared" si="27"/>
        <v>0</v>
      </c>
    </row>
    <row r="679" spans="1:8" ht="14.25" customHeight="1">
      <c r="A679" s="4167">
        <v>9.6</v>
      </c>
      <c r="B679" s="4171" t="s">
        <v>3664</v>
      </c>
      <c r="C679" s="4186">
        <v>4</v>
      </c>
      <c r="D679" s="4328" t="s">
        <v>2433</v>
      </c>
      <c r="E679" s="4210"/>
      <c r="F679" s="4235">
        <f t="shared" si="27"/>
        <v>0</v>
      </c>
    </row>
    <row r="680" spans="1:8" ht="14.25" customHeight="1">
      <c r="A680" s="4167">
        <v>9.6999999999999993</v>
      </c>
      <c r="B680" s="4171" t="s">
        <v>3665</v>
      </c>
      <c r="C680" s="4186">
        <v>9</v>
      </c>
      <c r="D680" s="4328" t="s">
        <v>2433</v>
      </c>
      <c r="E680" s="4210"/>
      <c r="F680" s="4235">
        <f t="shared" si="27"/>
        <v>0</v>
      </c>
    </row>
    <row r="681" spans="1:8" ht="14.25" customHeight="1">
      <c r="A681" s="4167">
        <v>9.8000000000000007</v>
      </c>
      <c r="B681" s="4171" t="s">
        <v>3666</v>
      </c>
      <c r="C681" s="4186">
        <v>4</v>
      </c>
      <c r="D681" s="4328" t="s">
        <v>2433</v>
      </c>
      <c r="E681" s="4210"/>
      <c r="F681" s="4235">
        <f t="shared" si="27"/>
        <v>0</v>
      </c>
    </row>
    <row r="682" spans="1:8" ht="14.25" customHeight="1">
      <c r="A682" s="4167">
        <v>9.9</v>
      </c>
      <c r="B682" s="4171" t="s">
        <v>4040</v>
      </c>
      <c r="C682" s="4186">
        <v>7</v>
      </c>
      <c r="D682" s="4328" t="s">
        <v>2433</v>
      </c>
      <c r="E682" s="4210"/>
      <c r="F682" s="4235">
        <f t="shared" si="27"/>
        <v>0</v>
      </c>
    </row>
    <row r="683" spans="1:8" ht="15" customHeight="1">
      <c r="A683" s="4179">
        <v>9.1</v>
      </c>
      <c r="B683" s="4171" t="s">
        <v>3667</v>
      </c>
      <c r="C683" s="4186">
        <v>16</v>
      </c>
      <c r="D683" s="4328" t="s">
        <v>2433</v>
      </c>
      <c r="E683" s="4210"/>
      <c r="F683" s="4235">
        <f t="shared" si="27"/>
        <v>0</v>
      </c>
    </row>
    <row r="684" spans="1:8" ht="14.25" customHeight="1">
      <c r="A684" s="4179">
        <v>9.11</v>
      </c>
      <c r="B684" s="4171" t="s">
        <v>3668</v>
      </c>
      <c r="C684" s="4186">
        <v>1</v>
      </c>
      <c r="D684" s="4328" t="s">
        <v>2433</v>
      </c>
      <c r="E684" s="4210"/>
      <c r="F684" s="4235">
        <f t="shared" si="27"/>
        <v>0</v>
      </c>
    </row>
    <row r="685" spans="1:8" ht="14.25" customHeight="1">
      <c r="A685" s="4192">
        <v>9.1199999999999992</v>
      </c>
      <c r="B685" s="4171" t="s">
        <v>3483</v>
      </c>
      <c r="C685" s="4186">
        <v>1</v>
      </c>
      <c r="D685" s="4218" t="s">
        <v>42</v>
      </c>
      <c r="E685" s="4210"/>
      <c r="F685" s="4235">
        <f t="shared" si="27"/>
        <v>0</v>
      </c>
    </row>
    <row r="686" spans="1:8" ht="14.25" customHeight="1">
      <c r="A686" s="4179">
        <v>9.1300000000000008</v>
      </c>
      <c r="B686" s="4171" t="s">
        <v>3669</v>
      </c>
      <c r="C686" s="4186">
        <v>1</v>
      </c>
      <c r="D686" s="4218" t="s">
        <v>42</v>
      </c>
      <c r="E686" s="4210"/>
      <c r="F686" s="4235">
        <f t="shared" si="27"/>
        <v>0</v>
      </c>
    </row>
    <row r="687" spans="1:8" ht="14.25" customHeight="1">
      <c r="A687" s="4179"/>
      <c r="B687" s="4171"/>
      <c r="C687" s="4186"/>
      <c r="D687" s="4218" t="s">
        <v>42</v>
      </c>
      <c r="E687" s="4210"/>
      <c r="F687" s="4235" t="str">
        <f t="shared" si="27"/>
        <v xml:space="preserve"> </v>
      </c>
    </row>
    <row r="688" spans="1:8" s="4332" customFormat="1" ht="15" customHeight="1">
      <c r="A688" s="4167">
        <v>10</v>
      </c>
      <c r="B688" s="4214" t="s">
        <v>3484</v>
      </c>
      <c r="C688" s="4330">
        <v>1</v>
      </c>
      <c r="D688" s="4218" t="s">
        <v>42</v>
      </c>
      <c r="E688" s="4210"/>
      <c r="F688" s="4228">
        <f t="shared" ref="F688" si="28">ROUND(C688*E688,2)</f>
        <v>0</v>
      </c>
      <c r="G688" s="4331"/>
      <c r="H688" s="4331"/>
    </row>
    <row r="689" spans="1:6" s="4268" customFormat="1" ht="12.75" customHeight="1">
      <c r="A689" s="4306"/>
      <c r="B689" s="4306" t="s">
        <v>2123</v>
      </c>
      <c r="C689" s="4307"/>
      <c r="D689" s="4307"/>
      <c r="E689" s="4307"/>
      <c r="F689" s="4309">
        <f>SUM(F626:F688)</f>
        <v>0</v>
      </c>
    </row>
    <row r="690" spans="1:6" s="4268" customFormat="1" ht="12.75" customHeight="1">
      <c r="A690" s="4335"/>
      <c r="B690" s="4335"/>
      <c r="C690" s="4336"/>
      <c r="D690" s="4336"/>
      <c r="E690" s="4336"/>
      <c r="F690" s="4407"/>
    </row>
    <row r="691" spans="1:6" s="4223" customFormat="1" ht="15">
      <c r="A691" s="4398" t="s">
        <v>2323</v>
      </c>
      <c r="B691" s="3435" t="s">
        <v>2164</v>
      </c>
      <c r="C691" s="4337"/>
      <c r="D691" s="4338"/>
      <c r="E691" s="4312"/>
      <c r="F691" s="4312" t="str">
        <f t="shared" si="27"/>
        <v xml:space="preserve"> </v>
      </c>
    </row>
    <row r="692" spans="1:6" ht="14.25" customHeight="1">
      <c r="A692" s="4390"/>
      <c r="B692" s="4232"/>
      <c r="C692" s="4233"/>
      <c r="D692" s="4234"/>
      <c r="E692" s="4235"/>
      <c r="F692" s="4235" t="str">
        <f t="shared" si="27"/>
        <v xml:space="preserve"> </v>
      </c>
    </row>
    <row r="693" spans="1:6" ht="15" customHeight="1">
      <c r="A693" s="4391">
        <v>1</v>
      </c>
      <c r="B693" s="4211" t="s">
        <v>2261</v>
      </c>
      <c r="C693" s="4233"/>
      <c r="D693" s="4234"/>
      <c r="E693" s="4235"/>
      <c r="F693" s="4235" t="str">
        <f t="shared" si="27"/>
        <v xml:space="preserve"> </v>
      </c>
    </row>
    <row r="694" spans="1:6" ht="15" customHeight="1">
      <c r="A694" s="4392">
        <v>1.1000000000000001</v>
      </c>
      <c r="B694" s="4211" t="s">
        <v>38</v>
      </c>
      <c r="C694" s="4233"/>
      <c r="D694" s="4251"/>
      <c r="E694" s="4235"/>
      <c r="F694" s="4235"/>
    </row>
    <row r="695" spans="1:6" ht="14.25" customHeight="1">
      <c r="A695" s="4390" t="s">
        <v>3928</v>
      </c>
      <c r="B695" s="4232" t="s">
        <v>3007</v>
      </c>
      <c r="C695" s="4235">
        <v>218.92</v>
      </c>
      <c r="D695" s="4234" t="s">
        <v>2430</v>
      </c>
      <c r="E695" s="4235"/>
      <c r="F695" s="4235">
        <f t="shared" ref="F695:F697" si="29">IF(C695&gt;0,(ROUND((E695*C695),2))," ")</f>
        <v>0</v>
      </c>
    </row>
    <row r="696" spans="1:6" ht="14.25" customHeight="1">
      <c r="A696" s="4390" t="s">
        <v>3929</v>
      </c>
      <c r="B696" s="4232" t="s">
        <v>3927</v>
      </c>
      <c r="C696" s="4233">
        <v>80.7</v>
      </c>
      <c r="D696" s="4251" t="s">
        <v>2430</v>
      </c>
      <c r="E696" s="4235"/>
      <c r="F696" s="4235">
        <f t="shared" si="29"/>
        <v>0</v>
      </c>
    </row>
    <row r="697" spans="1:6" ht="27" customHeight="1">
      <c r="A697" s="4390" t="s">
        <v>3930</v>
      </c>
      <c r="B697" s="4206" t="s">
        <v>3780</v>
      </c>
      <c r="C697" s="4233">
        <v>186.6</v>
      </c>
      <c r="D697" s="4234" t="s">
        <v>2525</v>
      </c>
      <c r="E697" s="4235"/>
      <c r="F697" s="4235">
        <f t="shared" si="29"/>
        <v>0</v>
      </c>
    </row>
    <row r="698" spans="1:6" ht="14.25" customHeight="1">
      <c r="A698" s="4390"/>
      <c r="B698" s="4232"/>
      <c r="C698" s="4233"/>
      <c r="D698" s="4251"/>
      <c r="E698" s="4235"/>
      <c r="F698" s="4235"/>
    </row>
    <row r="699" spans="1:6" ht="15" customHeight="1">
      <c r="A699" s="4392">
        <v>1.2</v>
      </c>
      <c r="B699" s="4211" t="s">
        <v>3727</v>
      </c>
      <c r="C699" s="4233"/>
      <c r="D699" s="4251"/>
      <c r="E699" s="4235"/>
      <c r="F699" s="4235"/>
    </row>
    <row r="700" spans="1:6" ht="14.25" customHeight="1">
      <c r="A700" s="4390" t="s">
        <v>3919</v>
      </c>
      <c r="B700" s="4232" t="s">
        <v>3020</v>
      </c>
      <c r="C700" s="4233">
        <v>0.77</v>
      </c>
      <c r="D700" s="4251" t="s">
        <v>2430</v>
      </c>
      <c r="E700" s="4235"/>
      <c r="F700" s="4235">
        <f t="shared" ref="F700:F703" si="30">IF(C700&gt;0,(ROUND((E700*C700),2))," ")</f>
        <v>0</v>
      </c>
    </row>
    <row r="701" spans="1:6" ht="14.25" customHeight="1">
      <c r="A701" s="4390" t="s">
        <v>3920</v>
      </c>
      <c r="B701" s="4232" t="s">
        <v>2420</v>
      </c>
      <c r="C701" s="4233">
        <v>32.58</v>
      </c>
      <c r="D701" s="4251" t="s">
        <v>2430</v>
      </c>
      <c r="E701" s="4235"/>
      <c r="F701" s="4235">
        <f t="shared" si="30"/>
        <v>0</v>
      </c>
    </row>
    <row r="702" spans="1:6" ht="14.25" customHeight="1">
      <c r="A702" s="4390" t="s">
        <v>3921</v>
      </c>
      <c r="B702" s="4232" t="s">
        <v>2421</v>
      </c>
      <c r="C702" s="4233">
        <v>22.07</v>
      </c>
      <c r="D702" s="4251" t="s">
        <v>2430</v>
      </c>
      <c r="E702" s="4235"/>
      <c r="F702" s="4235">
        <f t="shared" si="30"/>
        <v>0</v>
      </c>
    </row>
    <row r="703" spans="1:6" ht="14.25" customHeight="1">
      <c r="A703" s="4390" t="s">
        <v>3931</v>
      </c>
      <c r="B703" s="4232" t="s">
        <v>2422</v>
      </c>
      <c r="C703" s="4233">
        <v>0.81</v>
      </c>
      <c r="D703" s="4251" t="s">
        <v>2430</v>
      </c>
      <c r="E703" s="4235"/>
      <c r="F703" s="4235">
        <f t="shared" si="30"/>
        <v>0</v>
      </c>
    </row>
    <row r="704" spans="1:6" ht="14.25" customHeight="1">
      <c r="A704" s="4390"/>
      <c r="B704" s="4232"/>
      <c r="C704" s="4233"/>
      <c r="D704" s="4251"/>
      <c r="E704" s="4235"/>
      <c r="F704" s="4235"/>
    </row>
    <row r="705" spans="1:6" ht="15" customHeight="1">
      <c r="A705" s="4392">
        <v>1.3</v>
      </c>
      <c r="B705" s="4211" t="s">
        <v>787</v>
      </c>
      <c r="C705" s="4233"/>
      <c r="D705" s="4251"/>
      <c r="E705" s="4235"/>
      <c r="F705" s="4235"/>
    </row>
    <row r="706" spans="1:6" ht="14.25" customHeight="1">
      <c r="A706" s="4390" t="s">
        <v>3922</v>
      </c>
      <c r="B706" s="4232" t="s">
        <v>2402</v>
      </c>
      <c r="C706" s="4233">
        <v>171.69</v>
      </c>
      <c r="D706" s="4251" t="s">
        <v>2432</v>
      </c>
      <c r="E706" s="4235"/>
      <c r="F706" s="4235">
        <f t="shared" ref="F706:F709" si="31">IF(C706&gt;0,(ROUND((E706*C706),2))," ")</f>
        <v>0</v>
      </c>
    </row>
    <row r="707" spans="1:6" ht="14.25" customHeight="1">
      <c r="A707" s="4390" t="s">
        <v>3923</v>
      </c>
      <c r="B707" s="4232" t="s">
        <v>2395</v>
      </c>
      <c r="C707" s="4233">
        <v>38.770000000000003</v>
      </c>
      <c r="D707" s="4251" t="s">
        <v>2432</v>
      </c>
      <c r="E707" s="4235"/>
      <c r="F707" s="4235">
        <f t="shared" si="31"/>
        <v>0</v>
      </c>
    </row>
    <row r="708" spans="1:6" ht="14.25" customHeight="1">
      <c r="A708" s="4390" t="s">
        <v>3924</v>
      </c>
      <c r="B708" s="4232" t="s">
        <v>2423</v>
      </c>
      <c r="C708" s="4233">
        <v>73.569999999999993</v>
      </c>
      <c r="D708" s="4251" t="s">
        <v>2432</v>
      </c>
      <c r="E708" s="4235"/>
      <c r="F708" s="4235">
        <f t="shared" si="31"/>
        <v>0</v>
      </c>
    </row>
    <row r="709" spans="1:6" s="4166" customFormat="1" ht="14.25" customHeight="1">
      <c r="A709" s="4390" t="s">
        <v>3925</v>
      </c>
      <c r="B709" s="4232" t="s">
        <v>1548</v>
      </c>
      <c r="C709" s="4233">
        <v>114.22</v>
      </c>
      <c r="D709" s="4251" t="s">
        <v>1</v>
      </c>
      <c r="E709" s="4235"/>
      <c r="F709" s="4235">
        <f t="shared" si="31"/>
        <v>0</v>
      </c>
    </row>
    <row r="710" spans="1:6" ht="14.25" customHeight="1">
      <c r="A710" s="4456"/>
      <c r="B710" s="4452"/>
      <c r="C710" s="4466"/>
      <c r="D710" s="4467"/>
      <c r="E710" s="4468"/>
      <c r="F710" s="4468"/>
    </row>
    <row r="711" spans="1:6" ht="15" customHeight="1">
      <c r="A711" s="4391">
        <v>2</v>
      </c>
      <c r="B711" s="4211" t="s">
        <v>2278</v>
      </c>
      <c r="C711" s="4233"/>
      <c r="D711" s="4251"/>
      <c r="E711" s="4235"/>
      <c r="F711" s="4235"/>
    </row>
    <row r="712" spans="1:6" ht="15" customHeight="1">
      <c r="A712" s="4392">
        <v>2.1</v>
      </c>
      <c r="B712" s="4211" t="s">
        <v>38</v>
      </c>
      <c r="C712" s="4233"/>
      <c r="D712" s="4251"/>
      <c r="E712" s="4235"/>
      <c r="F712" s="4235"/>
    </row>
    <row r="713" spans="1:6" ht="14.25" customHeight="1">
      <c r="A713" s="4390" t="s">
        <v>1182</v>
      </c>
      <c r="B713" s="4232" t="s">
        <v>3007</v>
      </c>
      <c r="C713" s="4233">
        <v>262.64</v>
      </c>
      <c r="D713" s="4251" t="s">
        <v>2430</v>
      </c>
      <c r="E713" s="4235"/>
      <c r="F713" s="4235">
        <f t="shared" ref="F713:F715" si="32">IF(C713&gt;0,(ROUND((E713*C713),2))," ")</f>
        <v>0</v>
      </c>
    </row>
    <row r="714" spans="1:6" ht="14.25" customHeight="1">
      <c r="A714" s="4390" t="s">
        <v>1183</v>
      </c>
      <c r="B714" s="4232" t="s">
        <v>2419</v>
      </c>
      <c r="C714" s="4233">
        <v>70.58</v>
      </c>
      <c r="D714" s="4251" t="s">
        <v>2430</v>
      </c>
      <c r="E714" s="4235"/>
      <c r="F714" s="4235">
        <f t="shared" si="32"/>
        <v>0</v>
      </c>
    </row>
    <row r="715" spans="1:6" ht="14.25" customHeight="1">
      <c r="A715" s="4390" t="s">
        <v>1958</v>
      </c>
      <c r="B715" s="4206" t="s">
        <v>3780</v>
      </c>
      <c r="C715" s="4233">
        <v>259.27999999999997</v>
      </c>
      <c r="D715" s="4234" t="s">
        <v>2525</v>
      </c>
      <c r="E715" s="4235"/>
      <c r="F715" s="4235">
        <f t="shared" si="32"/>
        <v>0</v>
      </c>
    </row>
    <row r="716" spans="1:6" ht="14.25" customHeight="1">
      <c r="A716" s="4390"/>
      <c r="B716" s="4232"/>
      <c r="C716" s="4233"/>
      <c r="D716" s="4251"/>
      <c r="E716" s="4235"/>
      <c r="F716" s="4235"/>
    </row>
    <row r="717" spans="1:6" ht="15" customHeight="1">
      <c r="A717" s="4392">
        <v>2.2000000000000002</v>
      </c>
      <c r="B717" s="4211" t="s">
        <v>3728</v>
      </c>
      <c r="C717" s="4233"/>
      <c r="D717" s="4251"/>
      <c r="E717" s="4235"/>
      <c r="F717" s="4235"/>
    </row>
    <row r="718" spans="1:6" ht="14.25" customHeight="1">
      <c r="A718" s="4390" t="s">
        <v>3932</v>
      </c>
      <c r="B718" s="4232" t="s">
        <v>3022</v>
      </c>
      <c r="C718" s="4233">
        <v>19.190000000000001</v>
      </c>
      <c r="D718" s="4251" t="s">
        <v>2430</v>
      </c>
      <c r="E718" s="4235"/>
      <c r="F718" s="4235">
        <f t="shared" ref="F718:F722" si="33">IF(C718&gt;0,(ROUND((E718*C718),2))," ")</f>
        <v>0</v>
      </c>
    </row>
    <row r="719" spans="1:6" ht="14.25" customHeight="1">
      <c r="A719" s="4390" t="s">
        <v>3933</v>
      </c>
      <c r="B719" s="4232" t="s">
        <v>3027</v>
      </c>
      <c r="C719" s="4233">
        <v>1.31</v>
      </c>
      <c r="D719" s="4251" t="s">
        <v>2430</v>
      </c>
      <c r="E719" s="4235"/>
      <c r="F719" s="4235">
        <f t="shared" si="33"/>
        <v>0</v>
      </c>
    </row>
    <row r="720" spans="1:6" ht="14.25" customHeight="1">
      <c r="A720" s="4390" t="s">
        <v>3934</v>
      </c>
      <c r="B720" s="4232" t="s">
        <v>3021</v>
      </c>
      <c r="C720" s="4233">
        <v>30.2</v>
      </c>
      <c r="D720" s="4251" t="s">
        <v>2430</v>
      </c>
      <c r="E720" s="4235"/>
      <c r="F720" s="4235">
        <f t="shared" si="33"/>
        <v>0</v>
      </c>
    </row>
    <row r="721" spans="1:6" ht="14.25" customHeight="1">
      <c r="A721" s="4390" t="s">
        <v>3935</v>
      </c>
      <c r="B721" s="4232" t="s">
        <v>2424</v>
      </c>
      <c r="C721" s="4233">
        <v>11.27</v>
      </c>
      <c r="D721" s="4251" t="s">
        <v>2430</v>
      </c>
      <c r="E721" s="4235"/>
      <c r="F721" s="4235">
        <f t="shared" si="33"/>
        <v>0</v>
      </c>
    </row>
    <row r="722" spans="1:6" ht="14.25" customHeight="1">
      <c r="A722" s="4390" t="s">
        <v>3936</v>
      </c>
      <c r="B722" s="4232" t="s">
        <v>2422</v>
      </c>
      <c r="C722" s="4233">
        <v>1.32</v>
      </c>
      <c r="D722" s="4251" t="s">
        <v>2430</v>
      </c>
      <c r="E722" s="4235"/>
      <c r="F722" s="4235">
        <f t="shared" si="33"/>
        <v>0</v>
      </c>
    </row>
    <row r="723" spans="1:6" ht="14.25" customHeight="1">
      <c r="A723" s="4390"/>
      <c r="B723" s="4232"/>
      <c r="C723" s="4233"/>
      <c r="D723" s="4251"/>
      <c r="E723" s="4235"/>
      <c r="F723" s="4235"/>
    </row>
    <row r="724" spans="1:6" ht="15" customHeight="1">
      <c r="A724" s="4392">
        <v>2.2999999999999998</v>
      </c>
      <c r="B724" s="4211" t="s">
        <v>859</v>
      </c>
      <c r="C724" s="4233"/>
      <c r="D724" s="4251"/>
      <c r="E724" s="4235"/>
      <c r="F724" s="4235"/>
    </row>
    <row r="725" spans="1:6" ht="14.25" customHeight="1">
      <c r="A725" s="4390" t="s">
        <v>3937</v>
      </c>
      <c r="B725" s="4232" t="s">
        <v>2402</v>
      </c>
      <c r="C725" s="4233">
        <v>158.15</v>
      </c>
      <c r="D725" s="4251" t="s">
        <v>2432</v>
      </c>
      <c r="E725" s="4235"/>
      <c r="F725" s="4235">
        <f t="shared" ref="F725:F728" si="34">IF(C725&gt;0,(ROUND((E725*C725),2))," ")</f>
        <v>0</v>
      </c>
    </row>
    <row r="726" spans="1:6" ht="14.25" customHeight="1">
      <c r="A726" s="4390" t="s">
        <v>3938</v>
      </c>
      <c r="B726" s="4232" t="s">
        <v>2395</v>
      </c>
      <c r="C726" s="4233">
        <v>39.5</v>
      </c>
      <c r="D726" s="4251" t="s">
        <v>2432</v>
      </c>
      <c r="E726" s="4235"/>
      <c r="F726" s="4235">
        <f t="shared" si="34"/>
        <v>0</v>
      </c>
    </row>
    <row r="727" spans="1:6" ht="14.25" customHeight="1">
      <c r="A727" s="4390" t="s">
        <v>3939</v>
      </c>
      <c r="B727" s="4232" t="s">
        <v>2423</v>
      </c>
      <c r="C727" s="4233">
        <v>93.25</v>
      </c>
      <c r="D727" s="4251" t="s">
        <v>2432</v>
      </c>
      <c r="E727" s="4235"/>
      <c r="F727" s="4235">
        <f t="shared" si="34"/>
        <v>0</v>
      </c>
    </row>
    <row r="728" spans="1:6" s="4166" customFormat="1" ht="14.25" customHeight="1">
      <c r="A728" s="4390" t="s">
        <v>3940</v>
      </c>
      <c r="B728" s="4232" t="s">
        <v>1548</v>
      </c>
      <c r="C728" s="4233">
        <v>119.75</v>
      </c>
      <c r="D728" s="4251" t="s">
        <v>1</v>
      </c>
      <c r="E728" s="4235"/>
      <c r="F728" s="4235">
        <f t="shared" si="34"/>
        <v>0</v>
      </c>
    </row>
    <row r="729" spans="1:6" s="4268" customFormat="1" ht="12.75" customHeight="1">
      <c r="A729" s="4306"/>
      <c r="B729" s="4306" t="s">
        <v>2324</v>
      </c>
      <c r="C729" s="4307"/>
      <c r="D729" s="4307"/>
      <c r="E729" s="4307"/>
      <c r="F729" s="4309">
        <f>SUM(F691:F728)</f>
        <v>0</v>
      </c>
    </row>
    <row r="730" spans="1:6" ht="15" customHeight="1">
      <c r="A730" s="4395"/>
      <c r="B730" s="3435"/>
      <c r="C730" s="3538"/>
      <c r="D730" s="4265"/>
      <c r="E730" s="4266"/>
      <c r="F730" s="4266"/>
    </row>
    <row r="731" spans="1:6" s="4223" customFormat="1" ht="30">
      <c r="A731" s="4398" t="s">
        <v>2545</v>
      </c>
      <c r="B731" s="3435" t="s">
        <v>3961</v>
      </c>
      <c r="C731" s="4337"/>
      <c r="D731" s="4338"/>
      <c r="E731" s="4312"/>
      <c r="F731" s="4312" t="str">
        <f t="shared" ref="F731:F794" si="35">IF(C731&gt;0,(ROUND((E731*C731),2))," ")</f>
        <v xml:space="preserve"> </v>
      </c>
    </row>
    <row r="732" spans="1:6" ht="14.25" customHeight="1">
      <c r="A732" s="4390"/>
      <c r="B732" s="3432"/>
      <c r="C732" s="4233"/>
      <c r="D732" s="4251"/>
      <c r="E732" s="4235"/>
      <c r="F732" s="4235" t="str">
        <f t="shared" si="35"/>
        <v xml:space="preserve"> </v>
      </c>
    </row>
    <row r="733" spans="1:6" ht="14.25" customHeight="1">
      <c r="A733" s="4391">
        <v>1</v>
      </c>
      <c r="B733" s="3432" t="s">
        <v>2353</v>
      </c>
      <c r="C733" s="4233">
        <v>460.4</v>
      </c>
      <c r="D733" s="4251" t="s">
        <v>1</v>
      </c>
      <c r="E733" s="4235"/>
      <c r="F733" s="4235">
        <f>+E733*C733</f>
        <v>0</v>
      </c>
    </row>
    <row r="734" spans="1:6" ht="14.25" customHeight="1">
      <c r="A734" s="4390"/>
      <c r="B734" s="3432"/>
      <c r="C734" s="4233"/>
      <c r="D734" s="4251"/>
      <c r="E734" s="4235"/>
      <c r="F734" s="4235"/>
    </row>
    <row r="735" spans="1:6" ht="18" customHeight="1">
      <c r="A735" s="4391">
        <v>2</v>
      </c>
      <c r="B735" s="4344" t="s">
        <v>14</v>
      </c>
      <c r="C735" s="4233"/>
      <c r="D735" s="4251"/>
      <c r="E735" s="4235"/>
      <c r="F735" s="4235" t="str">
        <f t="shared" si="35"/>
        <v xml:space="preserve"> </v>
      </c>
    </row>
    <row r="736" spans="1:6" ht="15" customHeight="1">
      <c r="A736" s="4394">
        <v>2.1</v>
      </c>
      <c r="B736" s="4232" t="s">
        <v>3740</v>
      </c>
      <c r="C736" s="4233">
        <v>824.2</v>
      </c>
      <c r="D736" s="4234" t="s">
        <v>2527</v>
      </c>
      <c r="E736" s="4235"/>
      <c r="F736" s="4235">
        <f t="shared" si="35"/>
        <v>0</v>
      </c>
    </row>
    <row r="737" spans="1:6" ht="15" customHeight="1">
      <c r="A737" s="4394">
        <v>2.2000000000000002</v>
      </c>
      <c r="B737" s="4232" t="s">
        <v>3491</v>
      </c>
      <c r="C737" s="4233">
        <v>759.11</v>
      </c>
      <c r="D737" s="4234" t="s">
        <v>2526</v>
      </c>
      <c r="E737" s="4235"/>
      <c r="F737" s="4235">
        <f t="shared" si="35"/>
        <v>0</v>
      </c>
    </row>
    <row r="738" spans="1:6" ht="15" customHeight="1">
      <c r="A738" s="4394">
        <v>2.2999999999999998</v>
      </c>
      <c r="B738" s="4232" t="s">
        <v>3779</v>
      </c>
      <c r="C738" s="4233">
        <v>31.6</v>
      </c>
      <c r="D738" s="4234" t="s">
        <v>2430</v>
      </c>
      <c r="E738" s="4235"/>
      <c r="F738" s="4235">
        <f t="shared" si="35"/>
        <v>0</v>
      </c>
    </row>
    <row r="739" spans="1:6" ht="30" customHeight="1">
      <c r="A739" s="4394">
        <v>2.4</v>
      </c>
      <c r="B739" s="4206" t="s">
        <v>3780</v>
      </c>
      <c r="C739" s="4233">
        <v>78.099999999999994</v>
      </c>
      <c r="D739" s="4234" t="s">
        <v>2525</v>
      </c>
      <c r="E739" s="4235"/>
      <c r="F739" s="4235">
        <f t="shared" si="35"/>
        <v>0</v>
      </c>
    </row>
    <row r="740" spans="1:6" ht="15" customHeight="1">
      <c r="A740" s="4395"/>
      <c r="B740" s="3435"/>
      <c r="C740" s="4233"/>
      <c r="D740" s="4251"/>
      <c r="E740" s="4235"/>
      <c r="F740" s="4235" t="str">
        <f t="shared" si="35"/>
        <v xml:space="preserve"> </v>
      </c>
    </row>
    <row r="741" spans="1:6" ht="15" customHeight="1">
      <c r="A741" s="4391">
        <v>3</v>
      </c>
      <c r="B741" s="4344" t="s">
        <v>3741</v>
      </c>
      <c r="C741" s="4233"/>
      <c r="D741" s="4251"/>
      <c r="E741" s="4235"/>
      <c r="F741" s="4235" t="str">
        <f t="shared" si="35"/>
        <v xml:space="preserve"> </v>
      </c>
    </row>
    <row r="742" spans="1:6" ht="15" customHeight="1">
      <c r="A742" s="4394">
        <v>3.1</v>
      </c>
      <c r="B742" s="4232" t="s">
        <v>3744</v>
      </c>
      <c r="C742" s="4233">
        <v>46</v>
      </c>
      <c r="D742" s="4234" t="s">
        <v>1</v>
      </c>
      <c r="E742" s="4235"/>
      <c r="F742" s="4235">
        <f t="shared" si="35"/>
        <v>0</v>
      </c>
    </row>
    <row r="743" spans="1:6" ht="15" customHeight="1">
      <c r="A743" s="4394">
        <v>3.2</v>
      </c>
      <c r="B743" s="4232" t="s">
        <v>3743</v>
      </c>
      <c r="C743" s="4233">
        <v>2</v>
      </c>
      <c r="D743" s="4234" t="s">
        <v>1</v>
      </c>
      <c r="E743" s="4235"/>
      <c r="F743" s="4235">
        <f t="shared" si="35"/>
        <v>0</v>
      </c>
    </row>
    <row r="744" spans="1:6" ht="15" customHeight="1">
      <c r="A744" s="4394">
        <v>3.3</v>
      </c>
      <c r="B744" s="4232" t="s">
        <v>3742</v>
      </c>
      <c r="C744" s="4408">
        <v>399.78</v>
      </c>
      <c r="D744" s="4234" t="s">
        <v>1</v>
      </c>
      <c r="E744" s="4235"/>
      <c r="F744" s="4235">
        <f>IF(C744&gt;0,(ROUND((E744*C744),2))," ")</f>
        <v>0</v>
      </c>
    </row>
    <row r="745" spans="1:6" ht="15" customHeight="1">
      <c r="A745" s="4394">
        <v>3.4</v>
      </c>
      <c r="B745" s="4232" t="s">
        <v>3941</v>
      </c>
      <c r="C745" s="4233">
        <v>49.92</v>
      </c>
      <c r="D745" s="4234" t="s">
        <v>1</v>
      </c>
      <c r="E745" s="4235"/>
      <c r="F745" s="4235">
        <f>IF(C745&gt;0,(ROUND((E745*C745),2))," ")</f>
        <v>0</v>
      </c>
    </row>
    <row r="746" spans="1:6" ht="15" customHeight="1">
      <c r="A746" s="4395"/>
      <c r="B746" s="3435"/>
      <c r="C746" s="4233"/>
      <c r="D746" s="4251"/>
      <c r="E746" s="4235"/>
      <c r="F746" s="4235" t="str">
        <f t="shared" si="35"/>
        <v xml:space="preserve"> </v>
      </c>
    </row>
    <row r="747" spans="1:6" ht="15" customHeight="1">
      <c r="A747" s="4391">
        <v>4</v>
      </c>
      <c r="B747" s="4344" t="s">
        <v>3746</v>
      </c>
      <c r="C747" s="4233"/>
      <c r="D747" s="4251"/>
      <c r="E747" s="4235"/>
      <c r="F747" s="4235" t="str">
        <f t="shared" si="35"/>
        <v xml:space="preserve"> </v>
      </c>
    </row>
    <row r="748" spans="1:6" ht="15" customHeight="1">
      <c r="A748" s="4394">
        <v>4.0999999999999996</v>
      </c>
      <c r="B748" s="4232" t="s">
        <v>3493</v>
      </c>
      <c r="C748" s="4233">
        <v>46</v>
      </c>
      <c r="D748" s="4234" t="s">
        <v>1</v>
      </c>
      <c r="E748" s="4405"/>
      <c r="F748" s="4235">
        <f t="shared" si="35"/>
        <v>0</v>
      </c>
    </row>
    <row r="749" spans="1:6" ht="15" customHeight="1">
      <c r="A749" s="4394">
        <v>4.2</v>
      </c>
      <c r="B749" s="4232" t="s">
        <v>3494</v>
      </c>
      <c r="C749" s="4233">
        <v>2</v>
      </c>
      <c r="D749" s="4234" t="s">
        <v>1</v>
      </c>
      <c r="E749" s="4405"/>
      <c r="F749" s="4235">
        <f t="shared" si="35"/>
        <v>0</v>
      </c>
    </row>
    <row r="750" spans="1:6" ht="15" customHeight="1">
      <c r="A750" s="4394">
        <v>4.3</v>
      </c>
      <c r="B750" s="4232" t="s">
        <v>3745</v>
      </c>
      <c r="C750" s="4233">
        <v>364.4</v>
      </c>
      <c r="D750" s="4234" t="s">
        <v>1</v>
      </c>
      <c r="E750" s="4409"/>
      <c r="F750" s="4235">
        <f>IF(C750&gt;0,(ROUND((E750*C750),2))," ")</f>
        <v>0</v>
      </c>
    </row>
    <row r="751" spans="1:6" ht="15" customHeight="1">
      <c r="A751" s="4394">
        <v>4.4000000000000004</v>
      </c>
      <c r="B751" s="4232" t="s">
        <v>3739</v>
      </c>
      <c r="C751" s="4233">
        <v>48</v>
      </c>
      <c r="D751" s="4234" t="s">
        <v>1</v>
      </c>
      <c r="E751" s="4409"/>
      <c r="F751" s="4235">
        <f>IF(C751&gt;0,(ROUND((E751*C751),2))," ")</f>
        <v>0</v>
      </c>
    </row>
    <row r="752" spans="1:6" ht="15" customHeight="1">
      <c r="A752" s="4395"/>
      <c r="B752" s="4232"/>
      <c r="C752" s="4233"/>
      <c r="D752" s="4234"/>
      <c r="E752" s="4235"/>
      <c r="F752" s="4235" t="str">
        <f t="shared" si="35"/>
        <v xml:space="preserve"> </v>
      </c>
    </row>
    <row r="753" spans="1:6" ht="14.25" customHeight="1">
      <c r="A753" s="4391">
        <v>5</v>
      </c>
      <c r="B753" s="4344" t="s">
        <v>3781</v>
      </c>
      <c r="C753" s="4233"/>
      <c r="D753" s="4251"/>
      <c r="E753" s="4235"/>
      <c r="F753" s="4235" t="str">
        <f t="shared" si="35"/>
        <v xml:space="preserve"> </v>
      </c>
    </row>
    <row r="754" spans="1:6" ht="15" customHeight="1">
      <c r="A754" s="4394">
        <v>5.0999999999999996</v>
      </c>
      <c r="B754" s="4232" t="s">
        <v>3747</v>
      </c>
      <c r="C754" s="4233">
        <v>6</v>
      </c>
      <c r="D754" s="4234" t="s">
        <v>2433</v>
      </c>
      <c r="E754" s="4235"/>
      <c r="F754" s="4235">
        <f>IF(C754&gt;0,(ROUND((E754*C754),2))," ")</f>
        <v>0</v>
      </c>
    </row>
    <row r="755" spans="1:6" ht="15" customHeight="1">
      <c r="A755" s="4394">
        <v>5.2</v>
      </c>
      <c r="B755" s="4232" t="s">
        <v>3748</v>
      </c>
      <c r="C755" s="4233">
        <v>4</v>
      </c>
      <c r="D755" s="4234" t="s">
        <v>2433</v>
      </c>
      <c r="E755" s="4235"/>
      <c r="F755" s="4235">
        <f>IF(C755&gt;0,(ROUND((E755*C755),2))," ")</f>
        <v>0</v>
      </c>
    </row>
    <row r="756" spans="1:6" ht="15" customHeight="1">
      <c r="A756" s="4394">
        <v>5.3</v>
      </c>
      <c r="B756" s="4232" t="s">
        <v>3782</v>
      </c>
      <c r="C756" s="4233">
        <v>2</v>
      </c>
      <c r="D756" s="4234" t="s">
        <v>2433</v>
      </c>
      <c r="E756" s="4235"/>
      <c r="F756" s="4235">
        <f t="shared" si="35"/>
        <v>0</v>
      </c>
    </row>
    <row r="757" spans="1:6" ht="15" customHeight="1">
      <c r="A757" s="4394">
        <v>5.4</v>
      </c>
      <c r="B757" s="4232" t="s">
        <v>3782</v>
      </c>
      <c r="C757" s="4233">
        <v>1</v>
      </c>
      <c r="D757" s="4234" t="s">
        <v>2433</v>
      </c>
      <c r="E757" s="4235"/>
      <c r="F757" s="4235">
        <f t="shared" si="35"/>
        <v>0</v>
      </c>
    </row>
    <row r="758" spans="1:6" ht="15" customHeight="1">
      <c r="A758" s="4394">
        <v>5.5</v>
      </c>
      <c r="B758" s="4232" t="s">
        <v>3785</v>
      </c>
      <c r="C758" s="4233">
        <v>6</v>
      </c>
      <c r="D758" s="4234" t="s">
        <v>2433</v>
      </c>
      <c r="E758" s="4235"/>
      <c r="F758" s="4235">
        <f t="shared" si="35"/>
        <v>0</v>
      </c>
    </row>
    <row r="759" spans="1:6" ht="15" customHeight="1">
      <c r="A759" s="4451">
        <v>5.6</v>
      </c>
      <c r="B759" s="4452" t="s">
        <v>3783</v>
      </c>
      <c r="C759" s="4466">
        <v>2</v>
      </c>
      <c r="D759" s="4454" t="s">
        <v>2433</v>
      </c>
      <c r="E759" s="4468"/>
      <c r="F759" s="4468">
        <f t="shared" si="35"/>
        <v>0</v>
      </c>
    </row>
    <row r="760" spans="1:6" ht="15" customHeight="1">
      <c r="A760" s="4394">
        <v>5.7</v>
      </c>
      <c r="B760" s="4232" t="s">
        <v>3784</v>
      </c>
      <c r="C760" s="4233">
        <v>3</v>
      </c>
      <c r="D760" s="4234" t="s">
        <v>2433</v>
      </c>
      <c r="E760" s="4235"/>
      <c r="F760" s="4235">
        <f t="shared" si="35"/>
        <v>0</v>
      </c>
    </row>
    <row r="761" spans="1:6" ht="15" customHeight="1">
      <c r="A761" s="4394">
        <v>5.8</v>
      </c>
      <c r="B761" s="4232" t="s">
        <v>3784</v>
      </c>
      <c r="C761" s="4233">
        <v>3</v>
      </c>
      <c r="D761" s="4234" t="s">
        <v>2433</v>
      </c>
      <c r="E761" s="4235"/>
      <c r="F761" s="4235">
        <f t="shared" si="35"/>
        <v>0</v>
      </c>
    </row>
    <row r="762" spans="1:6" ht="15" customHeight="1">
      <c r="A762" s="4394">
        <v>5.9</v>
      </c>
      <c r="B762" s="4232" t="s">
        <v>3787</v>
      </c>
      <c r="C762" s="4233">
        <v>3</v>
      </c>
      <c r="D762" s="4234" t="s">
        <v>2433</v>
      </c>
      <c r="E762" s="4235"/>
      <c r="F762" s="4235">
        <f t="shared" si="35"/>
        <v>0</v>
      </c>
    </row>
    <row r="763" spans="1:6" ht="15" customHeight="1">
      <c r="A763" s="4390">
        <v>5.0999999999999996</v>
      </c>
      <c r="B763" s="4232" t="s">
        <v>3788</v>
      </c>
      <c r="C763" s="4233">
        <v>3</v>
      </c>
      <c r="D763" s="4234" t="s">
        <v>2433</v>
      </c>
      <c r="E763" s="4235"/>
      <c r="F763" s="4235">
        <f t="shared" si="35"/>
        <v>0</v>
      </c>
    </row>
    <row r="764" spans="1:6" ht="15" customHeight="1">
      <c r="A764" s="4390">
        <v>5.1100000000000003</v>
      </c>
      <c r="B764" s="4232" t="s">
        <v>3511</v>
      </c>
      <c r="C764" s="4233">
        <v>2</v>
      </c>
      <c r="D764" s="4234" t="s">
        <v>2433</v>
      </c>
      <c r="E764" s="4405"/>
      <c r="F764" s="4235">
        <f>IF(C764&gt;0,(ROUND((E764*C764),2))," ")</f>
        <v>0</v>
      </c>
    </row>
    <row r="765" spans="1:6" ht="15" customHeight="1">
      <c r="A765" s="4390">
        <v>5.12</v>
      </c>
      <c r="B765" s="4232" t="s">
        <v>3529</v>
      </c>
      <c r="C765" s="4233">
        <v>2</v>
      </c>
      <c r="D765" s="4234" t="s">
        <v>2433</v>
      </c>
      <c r="E765" s="4405"/>
      <c r="F765" s="4235">
        <f>IF(C765&gt;0,(ROUND((E765*C765),2))," ")</f>
        <v>0</v>
      </c>
    </row>
    <row r="766" spans="1:6" ht="15" customHeight="1">
      <c r="A766" s="4390">
        <v>5.13</v>
      </c>
      <c r="B766" s="4232" t="s">
        <v>3512</v>
      </c>
      <c r="C766" s="4233">
        <v>4</v>
      </c>
      <c r="D766" s="4234" t="s">
        <v>2433</v>
      </c>
      <c r="E766" s="4405"/>
      <c r="F766" s="4235">
        <f>IF(C766&gt;0,(ROUND((E766*C766),2))," ")</f>
        <v>0</v>
      </c>
    </row>
    <row r="767" spans="1:6" ht="15" customHeight="1">
      <c r="A767" s="4390">
        <v>5.14</v>
      </c>
      <c r="B767" s="4232" t="s">
        <v>3513</v>
      </c>
      <c r="C767" s="4233">
        <v>4</v>
      </c>
      <c r="D767" s="4234" t="s">
        <v>2433</v>
      </c>
      <c r="E767" s="4405"/>
      <c r="F767" s="4235">
        <f>IF(C767&gt;0,(ROUND((E767*C767),2))," ")</f>
        <v>0</v>
      </c>
    </row>
    <row r="768" spans="1:6" ht="15" customHeight="1">
      <c r="A768" s="4390">
        <v>5.15</v>
      </c>
      <c r="B768" s="4232" t="s">
        <v>3514</v>
      </c>
      <c r="C768" s="4233">
        <v>1</v>
      </c>
      <c r="D768" s="4234" t="s">
        <v>2433</v>
      </c>
      <c r="E768" s="4405"/>
      <c r="F768" s="4235">
        <f>IF(C768&gt;0,(ROUND((E768*C768),2))," ")</f>
        <v>0</v>
      </c>
    </row>
    <row r="769" spans="1:6" ht="15" customHeight="1">
      <c r="A769" s="4390">
        <v>5.16</v>
      </c>
      <c r="B769" s="4232" t="s">
        <v>3786</v>
      </c>
      <c r="C769" s="4233">
        <v>1</v>
      </c>
      <c r="D769" s="4234" t="s">
        <v>2433</v>
      </c>
      <c r="E769" s="4235"/>
      <c r="F769" s="4235">
        <f t="shared" si="35"/>
        <v>0</v>
      </c>
    </row>
    <row r="770" spans="1:6" ht="15.75" customHeight="1">
      <c r="A770" s="4390">
        <v>5.17</v>
      </c>
      <c r="B770" s="4232" t="s">
        <v>3778</v>
      </c>
      <c r="C770" s="4233">
        <v>1</v>
      </c>
      <c r="D770" s="4234" t="s">
        <v>2433</v>
      </c>
      <c r="E770" s="4405"/>
      <c r="F770" s="4235">
        <f t="shared" si="35"/>
        <v>0</v>
      </c>
    </row>
    <row r="771" spans="1:6" ht="15" customHeight="1">
      <c r="A771" s="4390">
        <v>5.18</v>
      </c>
      <c r="B771" s="4232" t="s">
        <v>3776</v>
      </c>
      <c r="C771" s="4233">
        <v>2</v>
      </c>
      <c r="D771" s="4234" t="s">
        <v>2433</v>
      </c>
      <c r="E771" s="4405"/>
      <c r="F771" s="4235">
        <f t="shared" si="35"/>
        <v>0</v>
      </c>
    </row>
    <row r="772" spans="1:6" ht="15" customHeight="1">
      <c r="A772" s="4390">
        <v>5.19</v>
      </c>
      <c r="B772" s="4232" t="s">
        <v>3777</v>
      </c>
      <c r="C772" s="4233">
        <v>2</v>
      </c>
      <c r="D772" s="4234" t="s">
        <v>2433</v>
      </c>
      <c r="E772" s="4405"/>
      <c r="F772" s="4235">
        <f t="shared" si="35"/>
        <v>0</v>
      </c>
    </row>
    <row r="773" spans="1:6" ht="15" customHeight="1">
      <c r="A773" s="4390">
        <v>5.2</v>
      </c>
      <c r="B773" s="4232" t="s">
        <v>3789</v>
      </c>
      <c r="C773" s="4233">
        <v>1</v>
      </c>
      <c r="D773" s="4234" t="s">
        <v>42</v>
      </c>
      <c r="E773" s="4405"/>
      <c r="F773" s="4235">
        <f t="shared" si="35"/>
        <v>0</v>
      </c>
    </row>
    <row r="774" spans="1:6" ht="15" customHeight="1">
      <c r="A774" s="4395"/>
      <c r="B774" s="4232"/>
      <c r="C774" s="4233"/>
      <c r="D774" s="4234"/>
      <c r="E774" s="4235"/>
      <c r="F774" s="4235" t="str">
        <f t="shared" si="35"/>
        <v xml:space="preserve"> </v>
      </c>
    </row>
    <row r="775" spans="1:6" ht="15.75" customHeight="1">
      <c r="A775" s="4391">
        <v>6</v>
      </c>
      <c r="B775" s="4344" t="s">
        <v>3733</v>
      </c>
      <c r="C775" s="4233"/>
      <c r="D775" s="4251"/>
      <c r="E775" s="4235"/>
      <c r="F775" s="4235" t="str">
        <f t="shared" si="35"/>
        <v xml:space="preserve"> </v>
      </c>
    </row>
    <row r="776" spans="1:6" s="4227" customFormat="1" ht="14.25" customHeight="1">
      <c r="A776" s="4394">
        <v>6.1</v>
      </c>
      <c r="B776" s="4232" t="s">
        <v>3734</v>
      </c>
      <c r="C776" s="4233">
        <v>1</v>
      </c>
      <c r="D776" s="4234" t="s">
        <v>2433</v>
      </c>
      <c r="E776" s="4235"/>
      <c r="F776" s="4235">
        <f t="shared" si="35"/>
        <v>0</v>
      </c>
    </row>
    <row r="777" spans="1:6" s="4227" customFormat="1" ht="14.25" customHeight="1">
      <c r="A777" s="4394">
        <v>6.2</v>
      </c>
      <c r="B777" s="4232" t="s">
        <v>3729</v>
      </c>
      <c r="C777" s="4233">
        <v>2</v>
      </c>
      <c r="D777" s="4234" t="s">
        <v>2433</v>
      </c>
      <c r="E777" s="4235"/>
      <c r="F777" s="4235">
        <f t="shared" si="35"/>
        <v>0</v>
      </c>
    </row>
    <row r="778" spans="1:6" s="4227" customFormat="1" ht="14.25" customHeight="1">
      <c r="A778" s="4394">
        <v>6.3</v>
      </c>
      <c r="B778" s="4232" t="s">
        <v>3730</v>
      </c>
      <c r="C778" s="4233">
        <v>5</v>
      </c>
      <c r="D778" s="4234" t="s">
        <v>2433</v>
      </c>
      <c r="E778" s="4235"/>
      <c r="F778" s="4235">
        <f t="shared" si="35"/>
        <v>0</v>
      </c>
    </row>
    <row r="779" spans="1:6" s="4227" customFormat="1" ht="14.25" customHeight="1">
      <c r="A779" s="4394">
        <v>6.4</v>
      </c>
      <c r="B779" s="4232" t="s">
        <v>3731</v>
      </c>
      <c r="C779" s="4233">
        <v>1</v>
      </c>
      <c r="D779" s="4234" t="s">
        <v>2433</v>
      </c>
      <c r="E779" s="4235"/>
      <c r="F779" s="4235">
        <f t="shared" si="35"/>
        <v>0</v>
      </c>
    </row>
    <row r="780" spans="1:6" s="4227" customFormat="1" ht="14.25" customHeight="1">
      <c r="A780" s="4394">
        <v>6.5</v>
      </c>
      <c r="B780" s="4232" t="s">
        <v>3790</v>
      </c>
      <c r="C780" s="4233">
        <v>2</v>
      </c>
      <c r="D780" s="4234" t="s">
        <v>2433</v>
      </c>
      <c r="E780" s="4235"/>
      <c r="F780" s="4235">
        <f t="shared" si="35"/>
        <v>0</v>
      </c>
    </row>
    <row r="781" spans="1:6" s="4227" customFormat="1" ht="14.25" customHeight="1">
      <c r="A781" s="4394">
        <v>6.6</v>
      </c>
      <c r="B781" s="4232" t="s">
        <v>3732</v>
      </c>
      <c r="C781" s="4233">
        <v>1</v>
      </c>
      <c r="D781" s="4234" t="s">
        <v>2433</v>
      </c>
      <c r="E781" s="4235"/>
      <c r="F781" s="4235">
        <f t="shared" si="35"/>
        <v>0</v>
      </c>
    </row>
    <row r="782" spans="1:6" s="4227" customFormat="1" ht="14.25" customHeight="1">
      <c r="A782" s="4390"/>
      <c r="B782" s="4232"/>
      <c r="C782" s="4233"/>
      <c r="D782" s="4251"/>
      <c r="E782" s="4235"/>
      <c r="F782" s="4235" t="str">
        <f t="shared" si="35"/>
        <v xml:space="preserve"> </v>
      </c>
    </row>
    <row r="783" spans="1:6" s="4262" customFormat="1" ht="15" customHeight="1">
      <c r="A783" s="4391">
        <v>7</v>
      </c>
      <c r="B783" s="4344" t="s">
        <v>3521</v>
      </c>
      <c r="C783" s="4259"/>
      <c r="D783" s="4272"/>
      <c r="E783" s="4260"/>
      <c r="F783" s="4260" t="str">
        <f t="shared" si="35"/>
        <v xml:space="preserve"> </v>
      </c>
    </row>
    <row r="784" spans="1:6" ht="14.25" customHeight="1">
      <c r="A784" s="4394">
        <v>7.1</v>
      </c>
      <c r="B784" s="4232" t="s">
        <v>3522</v>
      </c>
      <c r="C784" s="4233">
        <v>2</v>
      </c>
      <c r="D784" s="4234" t="s">
        <v>2433</v>
      </c>
      <c r="E784" s="4235"/>
      <c r="F784" s="4235">
        <f t="shared" si="35"/>
        <v>0</v>
      </c>
    </row>
    <row r="785" spans="1:6" s="4268" customFormat="1" ht="12.75" customHeight="1">
      <c r="A785" s="4306"/>
      <c r="B785" s="4306" t="s">
        <v>3670</v>
      </c>
      <c r="C785" s="4307"/>
      <c r="D785" s="4307"/>
      <c r="E785" s="4307"/>
      <c r="F785" s="4309">
        <f>SUM(F731:F784)</f>
        <v>0</v>
      </c>
    </row>
    <row r="786" spans="1:6" s="4268" customFormat="1" ht="12.75" customHeight="1">
      <c r="A786" s="4335"/>
      <c r="B786" s="4335"/>
      <c r="C786" s="4336"/>
      <c r="D786" s="4336"/>
      <c r="E786" s="4336"/>
      <c r="F786" s="4407"/>
    </row>
    <row r="787" spans="1:6" s="4268" customFormat="1" ht="12.75" customHeight="1">
      <c r="A787" s="4335" t="s">
        <v>2597</v>
      </c>
      <c r="B787" s="3435" t="s">
        <v>3942</v>
      </c>
      <c r="C787" s="4336"/>
      <c r="D787" s="4336"/>
      <c r="E787" s="4336"/>
      <c r="F787" s="4407"/>
    </row>
    <row r="788" spans="1:6" s="4227" customFormat="1" ht="15" customHeight="1">
      <c r="A788" s="4391">
        <v>1</v>
      </c>
      <c r="B788" s="4344" t="s">
        <v>3793</v>
      </c>
      <c r="C788" s="3538"/>
      <c r="D788" s="4265"/>
      <c r="E788" s="4235"/>
      <c r="F788" s="4235" t="str">
        <f t="shared" si="35"/>
        <v xml:space="preserve"> </v>
      </c>
    </row>
    <row r="789" spans="1:6" ht="14.25" customHeight="1">
      <c r="A789" s="4394">
        <v>1.1000000000000001</v>
      </c>
      <c r="B789" s="4232" t="s">
        <v>3791</v>
      </c>
      <c r="C789" s="4233">
        <v>196.08</v>
      </c>
      <c r="D789" s="4251" t="s">
        <v>2430</v>
      </c>
      <c r="E789" s="4235"/>
      <c r="F789" s="4235">
        <f t="shared" si="35"/>
        <v>0</v>
      </c>
    </row>
    <row r="790" spans="1:6" ht="14.25" customHeight="1">
      <c r="A790" s="4394">
        <v>1.2</v>
      </c>
      <c r="B790" s="4232" t="s">
        <v>3122</v>
      </c>
      <c r="C790" s="4233">
        <v>163.4</v>
      </c>
      <c r="D790" s="4251" t="s">
        <v>2430</v>
      </c>
      <c r="E790" s="4235"/>
      <c r="F790" s="4235">
        <f t="shared" si="35"/>
        <v>0</v>
      </c>
    </row>
    <row r="791" spans="1:6" ht="14.25" customHeight="1">
      <c r="A791" s="4394">
        <v>1.3</v>
      </c>
      <c r="B791" s="4232" t="s">
        <v>3192</v>
      </c>
      <c r="C791" s="4233">
        <v>163.4</v>
      </c>
      <c r="D791" s="4251" t="s">
        <v>2431</v>
      </c>
      <c r="E791" s="4235"/>
      <c r="F791" s="4235">
        <f t="shared" si="35"/>
        <v>0</v>
      </c>
    </row>
    <row r="792" spans="1:6" ht="14.25" customHeight="1">
      <c r="A792" s="4394">
        <v>1.4</v>
      </c>
      <c r="B792" s="4232" t="s">
        <v>3792</v>
      </c>
      <c r="C792" s="4233">
        <v>817</v>
      </c>
      <c r="D792" s="4251" t="s">
        <v>2432</v>
      </c>
      <c r="E792" s="4235"/>
      <c r="F792" s="4235">
        <f t="shared" si="35"/>
        <v>0</v>
      </c>
    </row>
    <row r="793" spans="1:6" s="4238" customFormat="1" ht="14.25" customHeight="1">
      <c r="A793" s="4394">
        <v>1.5</v>
      </c>
      <c r="B793" s="4232" t="s">
        <v>4026</v>
      </c>
      <c r="C793" s="4233">
        <v>817</v>
      </c>
      <c r="D793" s="4251" t="s">
        <v>2432</v>
      </c>
      <c r="E793" s="4235"/>
      <c r="F793" s="4235">
        <f t="shared" si="35"/>
        <v>0</v>
      </c>
    </row>
    <row r="794" spans="1:6" ht="14.25" customHeight="1">
      <c r="A794" s="4394">
        <v>1.6</v>
      </c>
      <c r="B794" s="4232" t="s">
        <v>3976</v>
      </c>
      <c r="C794" s="4233">
        <v>3890.96</v>
      </c>
      <c r="D794" s="4251" t="s">
        <v>3974</v>
      </c>
      <c r="E794" s="4235"/>
      <c r="F794" s="4235">
        <f t="shared" si="35"/>
        <v>0</v>
      </c>
    </row>
    <row r="795" spans="1:6" ht="14.25" customHeight="1">
      <c r="A795" s="4390"/>
      <c r="B795" s="4232"/>
      <c r="C795" s="4233"/>
      <c r="D795" s="4251"/>
      <c r="E795" s="4235"/>
      <c r="F795" s="4235"/>
    </row>
    <row r="796" spans="1:6" ht="14.25" customHeight="1">
      <c r="A796" s="4391">
        <v>2</v>
      </c>
      <c r="B796" s="4232" t="s">
        <v>3975</v>
      </c>
      <c r="C796" s="4233">
        <v>1220.55</v>
      </c>
      <c r="D796" s="4234" t="s">
        <v>2432</v>
      </c>
      <c r="E796" s="4235"/>
      <c r="F796" s="4235">
        <f t="shared" ref="F796:F859" si="36">IF(C796&gt;0,(ROUND((E796*C796),2))," ")</f>
        <v>0</v>
      </c>
    </row>
    <row r="797" spans="1:6" ht="14.25" customHeight="1">
      <c r="A797" s="4391">
        <v>3</v>
      </c>
      <c r="B797" s="4232" t="s">
        <v>2346</v>
      </c>
      <c r="C797" s="4233">
        <v>245.67</v>
      </c>
      <c r="D797" s="4234" t="s">
        <v>2432</v>
      </c>
      <c r="E797" s="4235"/>
      <c r="F797" s="4235">
        <f t="shared" si="36"/>
        <v>0</v>
      </c>
    </row>
    <row r="798" spans="1:6" ht="14.25" customHeight="1">
      <c r="A798" s="4391">
        <v>5</v>
      </c>
      <c r="B798" s="3432" t="s">
        <v>3569</v>
      </c>
      <c r="C798" s="4233">
        <v>116</v>
      </c>
      <c r="D798" s="4251" t="s">
        <v>1</v>
      </c>
      <c r="E798" s="4235"/>
      <c r="F798" s="4235">
        <f>IF(C798&gt;0,(ROUND((E798*C798),2))," ")</f>
        <v>0</v>
      </c>
    </row>
    <row r="799" spans="1:6" ht="14.25" customHeight="1">
      <c r="A799" s="4391">
        <v>4</v>
      </c>
      <c r="B799" s="3432" t="s">
        <v>3735</v>
      </c>
      <c r="C799" s="4233">
        <v>341.07</v>
      </c>
      <c r="D799" s="4251" t="s">
        <v>2432</v>
      </c>
      <c r="E799" s="4235"/>
      <c r="F799" s="4235">
        <f t="shared" si="36"/>
        <v>0</v>
      </c>
    </row>
    <row r="800" spans="1:6" s="4238" customFormat="1" ht="14.25" customHeight="1">
      <c r="A800" s="4391">
        <v>5</v>
      </c>
      <c r="B800" s="3432" t="s">
        <v>4027</v>
      </c>
      <c r="C800" s="4436">
        <v>47.9</v>
      </c>
      <c r="D800" s="4437" t="s">
        <v>1</v>
      </c>
      <c r="E800" s="4438"/>
      <c r="F800" s="4235">
        <f t="shared" si="36"/>
        <v>0</v>
      </c>
    </row>
    <row r="801" spans="1:6" s="4262" customFormat="1" ht="14.25" customHeight="1">
      <c r="A801" s="4391">
        <v>6</v>
      </c>
      <c r="B801" s="4232" t="s">
        <v>4028</v>
      </c>
      <c r="C801" s="4248">
        <v>1</v>
      </c>
      <c r="D801" s="4218" t="s">
        <v>42</v>
      </c>
      <c r="E801" s="1263"/>
      <c r="F801" s="1263">
        <f t="shared" ref="F801" si="37">+ROUND((E801*C801),2)</f>
        <v>0</v>
      </c>
    </row>
    <row r="802" spans="1:6" s="4262" customFormat="1" ht="14.25" customHeight="1">
      <c r="A802" s="4439"/>
      <c r="B802" s="4440"/>
      <c r="C802" s="4441"/>
      <c r="D802" s="4442"/>
      <c r="E802" s="4443"/>
      <c r="F802" s="4235"/>
    </row>
    <row r="803" spans="1:6" s="4268" customFormat="1" ht="12.75" customHeight="1">
      <c r="A803" s="4306"/>
      <c r="B803" s="4306" t="s">
        <v>3943</v>
      </c>
      <c r="C803" s="4307"/>
      <c r="D803" s="4307"/>
      <c r="E803" s="4307"/>
      <c r="F803" s="4309">
        <f>SUM(F789:F801)</f>
        <v>0</v>
      </c>
    </row>
    <row r="804" spans="1:6" ht="15" customHeight="1" outlineLevel="1">
      <c r="A804" s="4395"/>
      <c r="B804" s="3435"/>
      <c r="C804" s="3538"/>
      <c r="D804" s="4265"/>
      <c r="E804" s="4235"/>
      <c r="F804" s="4266" t="str">
        <f t="shared" si="36"/>
        <v xml:space="preserve"> </v>
      </c>
    </row>
    <row r="805" spans="1:6" s="4342" customFormat="1" ht="15">
      <c r="A805" s="4410" t="s">
        <v>2561</v>
      </c>
      <c r="B805" s="3435" t="s">
        <v>3944</v>
      </c>
      <c r="C805" s="4339"/>
      <c r="D805" s="4340"/>
      <c r="E805" s="4341"/>
      <c r="F805" s="4341" t="str">
        <f t="shared" si="36"/>
        <v xml:space="preserve"> </v>
      </c>
    </row>
    <row r="806" spans="1:6" ht="15" customHeight="1">
      <c r="A806" s="4411">
        <v>1</v>
      </c>
      <c r="B806" s="4345" t="s">
        <v>2631</v>
      </c>
      <c r="C806" s="4282"/>
      <c r="D806" s="4251"/>
      <c r="E806" s="4235"/>
      <c r="F806" s="4235" t="str">
        <f t="shared" si="36"/>
        <v xml:space="preserve"> </v>
      </c>
    </row>
    <row r="807" spans="1:6" ht="14.25" customHeight="1">
      <c r="A807" s="4394">
        <v>1.1000000000000001</v>
      </c>
      <c r="B807" s="4232" t="s">
        <v>3675</v>
      </c>
      <c r="C807" s="4283">
        <v>8</v>
      </c>
      <c r="D807" s="4234" t="s">
        <v>2433</v>
      </c>
      <c r="E807" s="4284"/>
      <c r="F807" s="4235">
        <f t="shared" si="36"/>
        <v>0</v>
      </c>
    </row>
    <row r="808" spans="1:6" ht="14.25" customHeight="1">
      <c r="A808" s="4394">
        <v>1.2</v>
      </c>
      <c r="B808" s="4232" t="s">
        <v>3676</v>
      </c>
      <c r="C808" s="4285">
        <v>12</v>
      </c>
      <c r="D808" s="4234" t="s">
        <v>2433</v>
      </c>
      <c r="E808" s="4284"/>
      <c r="F808" s="4235">
        <f t="shared" si="36"/>
        <v>0</v>
      </c>
    </row>
    <row r="809" spans="1:6" ht="14.25" customHeight="1">
      <c r="A809" s="4394">
        <v>1.3</v>
      </c>
      <c r="B809" s="4232" t="s">
        <v>2425</v>
      </c>
      <c r="C809" s="4283">
        <v>800</v>
      </c>
      <c r="D809" s="4251" t="s">
        <v>1</v>
      </c>
      <c r="E809" s="4284"/>
      <c r="F809" s="4235">
        <f t="shared" si="36"/>
        <v>0</v>
      </c>
    </row>
    <row r="810" spans="1:6" ht="14.25" customHeight="1">
      <c r="A810" s="4394">
        <v>1.4</v>
      </c>
      <c r="B810" s="4232" t="s">
        <v>3688</v>
      </c>
      <c r="C810" s="4283">
        <v>8</v>
      </c>
      <c r="D810" s="4234" t="s">
        <v>2433</v>
      </c>
      <c r="E810" s="4284"/>
      <c r="F810" s="4235">
        <f t="shared" si="36"/>
        <v>0</v>
      </c>
    </row>
    <row r="811" spans="1:6" ht="14.25" customHeight="1">
      <c r="A811" s="4451">
        <v>1.5</v>
      </c>
      <c r="B811" s="4452" t="s">
        <v>3687</v>
      </c>
      <c r="C811" s="4486">
        <v>8</v>
      </c>
      <c r="D811" s="4454" t="s">
        <v>2433</v>
      </c>
      <c r="E811" s="4487"/>
      <c r="F811" s="4468">
        <f t="shared" si="36"/>
        <v>0</v>
      </c>
    </row>
    <row r="812" spans="1:6" ht="14.25" customHeight="1">
      <c r="A812" s="4412"/>
      <c r="B812" s="4232"/>
      <c r="C812" s="4282"/>
      <c r="D812" s="4251"/>
      <c r="E812" s="4235"/>
      <c r="F812" s="4235" t="str">
        <f t="shared" si="36"/>
        <v xml:space="preserve"> </v>
      </c>
    </row>
    <row r="813" spans="1:6" ht="15" customHeight="1">
      <c r="A813" s="4413">
        <v>2</v>
      </c>
      <c r="B813" s="4345" t="s">
        <v>3959</v>
      </c>
      <c r="C813" s="4282"/>
      <c r="D813" s="4251"/>
      <c r="E813" s="4235"/>
      <c r="F813" s="4235" t="str">
        <f t="shared" si="36"/>
        <v xml:space="preserve"> </v>
      </c>
    </row>
    <row r="814" spans="1:6" ht="14.25" customHeight="1">
      <c r="A814" s="4394">
        <v>2.1</v>
      </c>
      <c r="B814" s="4232" t="s">
        <v>3671</v>
      </c>
      <c r="C814" s="4233">
        <v>1</v>
      </c>
      <c r="D814" s="4234" t="s">
        <v>2433</v>
      </c>
      <c r="E814" s="4235"/>
      <c r="F814" s="4235">
        <f t="shared" si="36"/>
        <v>0</v>
      </c>
    </row>
    <row r="815" spans="1:6" ht="14.25" customHeight="1">
      <c r="A815" s="4394">
        <v>2.2000000000000002</v>
      </c>
      <c r="B815" s="4232" t="s">
        <v>3672</v>
      </c>
      <c r="C815" s="4233">
        <v>8</v>
      </c>
      <c r="D815" s="4234" t="s">
        <v>2433</v>
      </c>
      <c r="E815" s="4235"/>
      <c r="F815" s="4235">
        <f t="shared" si="36"/>
        <v>0</v>
      </c>
    </row>
    <row r="816" spans="1:6" ht="14.25" customHeight="1">
      <c r="A816" s="4394">
        <v>2.2999999999999998</v>
      </c>
      <c r="B816" s="4232" t="s">
        <v>3673</v>
      </c>
      <c r="C816" s="4233">
        <v>3000</v>
      </c>
      <c r="D816" s="4251" t="s">
        <v>3970</v>
      </c>
      <c r="E816" s="4235"/>
      <c r="F816" s="4235">
        <f t="shared" si="36"/>
        <v>0</v>
      </c>
    </row>
    <row r="817" spans="1:6" ht="14.25" customHeight="1">
      <c r="A817" s="4394">
        <v>2.4</v>
      </c>
      <c r="B817" s="4232" t="s">
        <v>3674</v>
      </c>
      <c r="C817" s="4233">
        <v>3</v>
      </c>
      <c r="D817" s="4234" t="s">
        <v>2433</v>
      </c>
      <c r="E817" s="4235"/>
      <c r="F817" s="4235">
        <f t="shared" si="36"/>
        <v>0</v>
      </c>
    </row>
    <row r="818" spans="1:6" ht="14.25" customHeight="1">
      <c r="A818" s="4394">
        <v>2.5</v>
      </c>
      <c r="B818" s="4232" t="s">
        <v>3677</v>
      </c>
      <c r="C818" s="4233">
        <v>1</v>
      </c>
      <c r="D818" s="4234" t="s">
        <v>2433</v>
      </c>
      <c r="E818" s="4235"/>
      <c r="F818" s="4235">
        <f t="shared" si="36"/>
        <v>0</v>
      </c>
    </row>
    <row r="819" spans="1:6" ht="14.25" customHeight="1">
      <c r="A819" s="4394">
        <v>2.6</v>
      </c>
      <c r="B819" s="4232" t="s">
        <v>3678</v>
      </c>
      <c r="C819" s="4233">
        <v>4</v>
      </c>
      <c r="D819" s="4234" t="s">
        <v>2433</v>
      </c>
      <c r="E819" s="4235"/>
      <c r="F819" s="4235">
        <f t="shared" si="36"/>
        <v>0</v>
      </c>
    </row>
    <row r="820" spans="1:6" ht="14.25" customHeight="1">
      <c r="A820" s="4394">
        <v>2.7</v>
      </c>
      <c r="B820" s="4232" t="s">
        <v>3679</v>
      </c>
      <c r="C820" s="4233">
        <v>1</v>
      </c>
      <c r="D820" s="4234" t="s">
        <v>2433</v>
      </c>
      <c r="E820" s="4235"/>
      <c r="F820" s="4235">
        <f t="shared" si="36"/>
        <v>0</v>
      </c>
    </row>
    <row r="821" spans="1:6" ht="14.25" customHeight="1">
      <c r="A821" s="4394">
        <v>2.8</v>
      </c>
      <c r="B821" s="4232" t="s">
        <v>3946</v>
      </c>
      <c r="C821" s="4233">
        <v>10</v>
      </c>
      <c r="D821" s="4234" t="s">
        <v>2433</v>
      </c>
      <c r="E821" s="4235"/>
      <c r="F821" s="4235">
        <f t="shared" si="36"/>
        <v>0</v>
      </c>
    </row>
    <row r="822" spans="1:6" ht="14.25" customHeight="1">
      <c r="A822" s="4394">
        <v>2.9</v>
      </c>
      <c r="B822" s="4232" t="s">
        <v>3680</v>
      </c>
      <c r="C822" s="4233">
        <v>9</v>
      </c>
      <c r="D822" s="4234" t="s">
        <v>2433</v>
      </c>
      <c r="E822" s="4235"/>
      <c r="F822" s="4235">
        <f t="shared" si="36"/>
        <v>0</v>
      </c>
    </row>
    <row r="823" spans="1:6" ht="14.25" customHeight="1">
      <c r="A823" s="4390">
        <v>2.1</v>
      </c>
      <c r="B823" s="4232" t="s">
        <v>3681</v>
      </c>
      <c r="C823" s="4233">
        <v>9</v>
      </c>
      <c r="D823" s="4234" t="s">
        <v>2433</v>
      </c>
      <c r="E823" s="4235"/>
      <c r="F823" s="4235">
        <f t="shared" si="36"/>
        <v>0</v>
      </c>
    </row>
    <row r="824" spans="1:6" ht="14.25" customHeight="1">
      <c r="A824" s="4390">
        <v>2.11</v>
      </c>
      <c r="B824" s="4232" t="s">
        <v>3682</v>
      </c>
      <c r="C824" s="4233">
        <v>1</v>
      </c>
      <c r="D824" s="4234" t="s">
        <v>2433</v>
      </c>
      <c r="E824" s="4235"/>
      <c r="F824" s="4235">
        <f t="shared" si="36"/>
        <v>0</v>
      </c>
    </row>
    <row r="825" spans="1:6" ht="14.25" customHeight="1">
      <c r="A825" s="4390">
        <v>2.12</v>
      </c>
      <c r="B825" s="4232" t="s">
        <v>3683</v>
      </c>
      <c r="C825" s="4233">
        <v>9</v>
      </c>
      <c r="D825" s="4234" t="s">
        <v>2433</v>
      </c>
      <c r="E825" s="4235"/>
      <c r="F825" s="4235">
        <f t="shared" si="36"/>
        <v>0</v>
      </c>
    </row>
    <row r="826" spans="1:6" ht="14.25" customHeight="1">
      <c r="A826" s="4390">
        <v>2.13</v>
      </c>
      <c r="B826" s="4232" t="s">
        <v>3684</v>
      </c>
      <c r="C826" s="4233">
        <v>1</v>
      </c>
      <c r="D826" s="4234" t="s">
        <v>2433</v>
      </c>
      <c r="E826" s="4235"/>
      <c r="F826" s="4235">
        <f t="shared" si="36"/>
        <v>0</v>
      </c>
    </row>
    <row r="827" spans="1:6" ht="14.25" customHeight="1">
      <c r="A827" s="4390">
        <v>2.14</v>
      </c>
      <c r="B827" s="4232" t="s">
        <v>3685</v>
      </c>
      <c r="C827" s="4233">
        <v>1</v>
      </c>
      <c r="D827" s="4234" t="s">
        <v>2433</v>
      </c>
      <c r="E827" s="4235"/>
      <c r="F827" s="4235">
        <f t="shared" si="36"/>
        <v>0</v>
      </c>
    </row>
    <row r="828" spans="1:6" ht="14.25" customHeight="1">
      <c r="A828" s="4390">
        <v>2.15</v>
      </c>
      <c r="B828" s="4232" t="s">
        <v>3686</v>
      </c>
      <c r="C828" s="4233">
        <v>2</v>
      </c>
      <c r="D828" s="4234" t="s">
        <v>2433</v>
      </c>
      <c r="E828" s="4235"/>
      <c r="F828" s="4235">
        <f t="shared" si="36"/>
        <v>0</v>
      </c>
    </row>
    <row r="829" spans="1:6" ht="14.25" customHeight="1">
      <c r="A829" s="4390">
        <v>2.16</v>
      </c>
      <c r="B829" s="4232" t="s">
        <v>3687</v>
      </c>
      <c r="C829" s="4233">
        <v>9</v>
      </c>
      <c r="D829" s="4234" t="s">
        <v>2433</v>
      </c>
      <c r="E829" s="4235"/>
      <c r="F829" s="4235">
        <f t="shared" si="36"/>
        <v>0</v>
      </c>
    </row>
    <row r="830" spans="1:6" ht="14.25" customHeight="1">
      <c r="A830" s="4390">
        <v>2.17</v>
      </c>
      <c r="B830" s="4232" t="s">
        <v>3688</v>
      </c>
      <c r="C830" s="4233">
        <v>9</v>
      </c>
      <c r="D830" s="4234" t="s">
        <v>2433</v>
      </c>
      <c r="E830" s="4235"/>
      <c r="F830" s="4235">
        <f t="shared" si="36"/>
        <v>0</v>
      </c>
    </row>
    <row r="831" spans="1:6" ht="14.25" customHeight="1">
      <c r="A831" s="4390">
        <v>2.1800000000000002</v>
      </c>
      <c r="B831" s="4232" t="s">
        <v>3945</v>
      </c>
      <c r="C831" s="4233">
        <v>10</v>
      </c>
      <c r="D831" s="4234" t="s">
        <v>2433</v>
      </c>
      <c r="E831" s="4235"/>
      <c r="F831" s="4235">
        <f t="shared" si="36"/>
        <v>0</v>
      </c>
    </row>
    <row r="832" spans="1:6" ht="14.25" customHeight="1">
      <c r="A832" s="4390">
        <v>2.19</v>
      </c>
      <c r="B832" s="4232" t="s">
        <v>2426</v>
      </c>
      <c r="C832" s="4233">
        <v>1</v>
      </c>
      <c r="D832" s="4234" t="s">
        <v>2433</v>
      </c>
      <c r="E832" s="4235"/>
      <c r="F832" s="4235">
        <f t="shared" si="36"/>
        <v>0</v>
      </c>
    </row>
    <row r="833" spans="1:6" ht="14.25" customHeight="1">
      <c r="A833" s="4412"/>
      <c r="B833" s="4232"/>
      <c r="C833" s="4282"/>
      <c r="D833" s="4251"/>
      <c r="E833" s="4235"/>
      <c r="F833" s="4235" t="str">
        <f t="shared" si="36"/>
        <v xml:space="preserve"> </v>
      </c>
    </row>
    <row r="834" spans="1:6" ht="15" customHeight="1">
      <c r="A834" s="4413">
        <v>3</v>
      </c>
      <c r="B834" s="4345" t="s">
        <v>3960</v>
      </c>
      <c r="C834" s="4282"/>
      <c r="D834" s="4251"/>
      <c r="E834" s="4235"/>
      <c r="F834" s="4235" t="str">
        <f t="shared" si="36"/>
        <v xml:space="preserve"> </v>
      </c>
    </row>
    <row r="835" spans="1:6" ht="42.75" customHeight="1">
      <c r="A835" s="4394">
        <v>3.1</v>
      </c>
      <c r="B835" s="4232" t="s">
        <v>3702</v>
      </c>
      <c r="C835" s="4233">
        <v>14</v>
      </c>
      <c r="D835" s="4251" t="s">
        <v>1</v>
      </c>
      <c r="E835" s="4235"/>
      <c r="F835" s="4235">
        <f t="shared" si="36"/>
        <v>0</v>
      </c>
    </row>
    <row r="836" spans="1:6" ht="42.75" customHeight="1">
      <c r="A836" s="4394">
        <v>3.2</v>
      </c>
      <c r="B836" s="4232" t="s">
        <v>4041</v>
      </c>
      <c r="C836" s="4233">
        <v>4</v>
      </c>
      <c r="D836" s="4251" t="s">
        <v>1</v>
      </c>
      <c r="E836" s="4235"/>
      <c r="F836" s="4235">
        <f t="shared" si="36"/>
        <v>0</v>
      </c>
    </row>
    <row r="837" spans="1:6" ht="42.75" customHeight="1">
      <c r="A837" s="4394">
        <v>3.3</v>
      </c>
      <c r="B837" s="4232" t="s">
        <v>3703</v>
      </c>
      <c r="C837" s="4233">
        <v>4</v>
      </c>
      <c r="D837" s="4251" t="s">
        <v>1</v>
      </c>
      <c r="E837" s="4235"/>
      <c r="F837" s="4235">
        <f t="shared" si="36"/>
        <v>0</v>
      </c>
    </row>
    <row r="838" spans="1:6" ht="42.75" customHeight="1">
      <c r="A838" s="4394">
        <v>3.4</v>
      </c>
      <c r="B838" s="4232" t="s">
        <v>3704</v>
      </c>
      <c r="C838" s="4233">
        <v>20</v>
      </c>
      <c r="D838" s="4251" t="s">
        <v>1</v>
      </c>
      <c r="E838" s="4235"/>
      <c r="F838" s="4235">
        <f t="shared" si="36"/>
        <v>0</v>
      </c>
    </row>
    <row r="839" spans="1:6" ht="42.75" customHeight="1">
      <c r="A839" s="4394">
        <v>3.5</v>
      </c>
      <c r="B839" s="4232" t="s">
        <v>3705</v>
      </c>
      <c r="C839" s="4233">
        <v>20</v>
      </c>
      <c r="D839" s="4251" t="s">
        <v>1</v>
      </c>
      <c r="E839" s="4235"/>
      <c r="F839" s="4235">
        <f t="shared" si="36"/>
        <v>0</v>
      </c>
    </row>
    <row r="840" spans="1:6" ht="42.75" customHeight="1">
      <c r="A840" s="4394">
        <v>3.6</v>
      </c>
      <c r="B840" s="4232" t="s">
        <v>3706</v>
      </c>
      <c r="C840" s="4233">
        <v>4</v>
      </c>
      <c r="D840" s="4251" t="s">
        <v>1</v>
      </c>
      <c r="E840" s="4235"/>
      <c r="F840" s="4235">
        <f t="shared" si="36"/>
        <v>0</v>
      </c>
    </row>
    <row r="841" spans="1:6" ht="42.75" customHeight="1">
      <c r="A841" s="4394">
        <v>3.7</v>
      </c>
      <c r="B841" s="4232" t="s">
        <v>3707</v>
      </c>
      <c r="C841" s="4233">
        <v>30</v>
      </c>
      <c r="D841" s="4251" t="s">
        <v>1</v>
      </c>
      <c r="E841" s="4235"/>
      <c r="F841" s="4235">
        <f t="shared" si="36"/>
        <v>0</v>
      </c>
    </row>
    <row r="842" spans="1:6" ht="42.75" customHeight="1">
      <c r="A842" s="4394">
        <v>3.8</v>
      </c>
      <c r="B842" s="4232" t="s">
        <v>3708</v>
      </c>
      <c r="C842" s="4233">
        <v>30</v>
      </c>
      <c r="D842" s="4251" t="s">
        <v>1</v>
      </c>
      <c r="E842" s="4235"/>
      <c r="F842" s="4235">
        <f t="shared" si="36"/>
        <v>0</v>
      </c>
    </row>
    <row r="843" spans="1:6" ht="42.75" customHeight="1">
      <c r="A843" s="4394">
        <v>3.9</v>
      </c>
      <c r="B843" s="4232" t="s">
        <v>3709</v>
      </c>
      <c r="C843" s="4233">
        <v>20</v>
      </c>
      <c r="D843" s="4251" t="s">
        <v>1</v>
      </c>
      <c r="E843" s="4235"/>
      <c r="F843" s="4235">
        <f t="shared" si="36"/>
        <v>0</v>
      </c>
    </row>
    <row r="844" spans="1:6" ht="14.25" customHeight="1">
      <c r="A844" s="4456">
        <v>3.1</v>
      </c>
      <c r="B844" s="4452" t="s">
        <v>3710</v>
      </c>
      <c r="C844" s="4466">
        <v>1</v>
      </c>
      <c r="D844" s="4454" t="s">
        <v>2433</v>
      </c>
      <c r="E844" s="4468"/>
      <c r="F844" s="4468">
        <f t="shared" si="36"/>
        <v>0</v>
      </c>
    </row>
    <row r="845" spans="1:6" ht="42.75" customHeight="1">
      <c r="A845" s="4390">
        <v>3.11</v>
      </c>
      <c r="B845" s="4232" t="s">
        <v>3711</v>
      </c>
      <c r="C845" s="4233">
        <v>1</v>
      </c>
      <c r="D845" s="4234" t="s">
        <v>2433</v>
      </c>
      <c r="E845" s="4235"/>
      <c r="F845" s="4235">
        <f t="shared" si="36"/>
        <v>0</v>
      </c>
    </row>
    <row r="846" spans="1:6" ht="14.25" customHeight="1">
      <c r="A846" s="4390">
        <v>3.12</v>
      </c>
      <c r="B846" s="4232" t="s">
        <v>2632</v>
      </c>
      <c r="C846" s="4233">
        <v>2</v>
      </c>
      <c r="D846" s="4234" t="s">
        <v>2433</v>
      </c>
      <c r="E846" s="4235"/>
      <c r="F846" s="4235">
        <f t="shared" si="36"/>
        <v>0</v>
      </c>
    </row>
    <row r="847" spans="1:6" ht="14.25" customHeight="1">
      <c r="A847" s="4390">
        <v>3.13</v>
      </c>
      <c r="B847" s="4232" t="s">
        <v>2427</v>
      </c>
      <c r="C847" s="4233">
        <v>1</v>
      </c>
      <c r="D847" s="4234" t="s">
        <v>2433</v>
      </c>
      <c r="E847" s="4235"/>
      <c r="F847" s="4235">
        <f t="shared" si="36"/>
        <v>0</v>
      </c>
    </row>
    <row r="848" spans="1:6" ht="14.25" customHeight="1">
      <c r="A848" s="4390">
        <v>3.14</v>
      </c>
      <c r="B848" s="4232" t="s">
        <v>2633</v>
      </c>
      <c r="C848" s="4233">
        <v>1</v>
      </c>
      <c r="D848" s="4234" t="s">
        <v>2433</v>
      </c>
      <c r="E848" s="4235"/>
      <c r="F848" s="4235">
        <f t="shared" si="36"/>
        <v>0</v>
      </c>
    </row>
    <row r="849" spans="1:6" ht="14.25" customHeight="1">
      <c r="A849" s="4390">
        <v>3.15</v>
      </c>
      <c r="B849" s="4232" t="s">
        <v>2634</v>
      </c>
      <c r="C849" s="4233">
        <v>1</v>
      </c>
      <c r="D849" s="4234" t="s">
        <v>2433</v>
      </c>
      <c r="E849" s="4235"/>
      <c r="F849" s="4235">
        <f t="shared" si="36"/>
        <v>0</v>
      </c>
    </row>
    <row r="850" spans="1:6" ht="14.25" customHeight="1">
      <c r="A850" s="4390">
        <v>3.16</v>
      </c>
      <c r="B850" s="4232" t="s">
        <v>3712</v>
      </c>
      <c r="C850" s="4233">
        <v>7</v>
      </c>
      <c r="D850" s="4234" t="s">
        <v>2433</v>
      </c>
      <c r="E850" s="4235"/>
      <c r="F850" s="4235">
        <f t="shared" si="36"/>
        <v>0</v>
      </c>
    </row>
    <row r="851" spans="1:6" ht="14.25" customHeight="1">
      <c r="A851" s="4390">
        <v>3.17</v>
      </c>
      <c r="B851" s="4232" t="s">
        <v>3713</v>
      </c>
      <c r="C851" s="4233">
        <v>1</v>
      </c>
      <c r="D851" s="4234" t="s">
        <v>2433</v>
      </c>
      <c r="E851" s="4235"/>
      <c r="F851" s="4235">
        <f t="shared" si="36"/>
        <v>0</v>
      </c>
    </row>
    <row r="852" spans="1:6" ht="14.25" customHeight="1">
      <c r="A852" s="4390">
        <v>3.18</v>
      </c>
      <c r="B852" s="4232" t="s">
        <v>3714</v>
      </c>
      <c r="C852" s="4233">
        <v>1</v>
      </c>
      <c r="D852" s="4234" t="s">
        <v>2433</v>
      </c>
      <c r="E852" s="4235"/>
      <c r="F852" s="4235">
        <f t="shared" si="36"/>
        <v>0</v>
      </c>
    </row>
    <row r="853" spans="1:6" ht="14.25" customHeight="1">
      <c r="A853" s="4390">
        <v>3.19</v>
      </c>
      <c r="B853" s="4232" t="s">
        <v>2428</v>
      </c>
      <c r="C853" s="4233">
        <v>1</v>
      </c>
      <c r="D853" s="4234" t="s">
        <v>2433</v>
      </c>
      <c r="E853" s="4235"/>
      <c r="F853" s="4235">
        <f t="shared" si="36"/>
        <v>0</v>
      </c>
    </row>
    <row r="854" spans="1:6" ht="14.25" customHeight="1">
      <c r="A854" s="4390"/>
      <c r="B854" s="4232"/>
      <c r="C854" s="4233"/>
      <c r="D854" s="4251"/>
      <c r="E854" s="4235"/>
      <c r="F854" s="4235" t="str">
        <f t="shared" si="36"/>
        <v xml:space="preserve"> </v>
      </c>
    </row>
    <row r="855" spans="1:6" ht="29.25" customHeight="1">
      <c r="A855" s="4413">
        <v>4</v>
      </c>
      <c r="B855" s="4345" t="s">
        <v>3689</v>
      </c>
      <c r="C855" s="4282"/>
      <c r="D855" s="4251"/>
      <c r="E855" s="4235"/>
      <c r="F855" s="4235" t="str">
        <f t="shared" si="36"/>
        <v xml:space="preserve"> </v>
      </c>
    </row>
    <row r="856" spans="1:6" ht="14.25" customHeight="1">
      <c r="A856" s="4394">
        <v>4.0999999999999996</v>
      </c>
      <c r="B856" s="4232" t="s">
        <v>3715</v>
      </c>
      <c r="C856" s="4233">
        <v>1</v>
      </c>
      <c r="D856" s="4234" t="s">
        <v>2433</v>
      </c>
      <c r="E856" s="4235"/>
      <c r="F856" s="4235">
        <f t="shared" si="36"/>
        <v>0</v>
      </c>
    </row>
    <row r="857" spans="1:6" ht="14.25" customHeight="1">
      <c r="A857" s="4394">
        <v>4.2</v>
      </c>
      <c r="B857" s="4232" t="s">
        <v>3716</v>
      </c>
      <c r="C857" s="4233">
        <v>1</v>
      </c>
      <c r="D857" s="4234" t="s">
        <v>2433</v>
      </c>
      <c r="E857" s="4235"/>
      <c r="F857" s="4235">
        <f t="shared" si="36"/>
        <v>0</v>
      </c>
    </row>
    <row r="858" spans="1:6" ht="42.75" customHeight="1">
      <c r="A858" s="4394">
        <v>4.3</v>
      </c>
      <c r="B858" s="4343" t="s">
        <v>3717</v>
      </c>
      <c r="C858" s="4233">
        <v>10</v>
      </c>
      <c r="D858" s="4234" t="s">
        <v>2433</v>
      </c>
      <c r="E858" s="4235"/>
      <c r="F858" s="4235">
        <f t="shared" si="36"/>
        <v>0</v>
      </c>
    </row>
    <row r="859" spans="1:6" ht="14.25" customHeight="1">
      <c r="A859" s="4394">
        <v>4.4000000000000004</v>
      </c>
      <c r="B859" s="4232" t="s">
        <v>2429</v>
      </c>
      <c r="C859" s="4233">
        <v>1</v>
      </c>
      <c r="D859" s="4251" t="s">
        <v>42</v>
      </c>
      <c r="E859" s="4235"/>
      <c r="F859" s="4235">
        <f t="shared" si="36"/>
        <v>0</v>
      </c>
    </row>
    <row r="860" spans="1:6" s="4268" customFormat="1" ht="12.75" customHeight="1">
      <c r="A860" s="4306"/>
      <c r="B860" s="4306" t="s">
        <v>3947</v>
      </c>
      <c r="C860" s="4307"/>
      <c r="D860" s="4307"/>
      <c r="E860" s="4307"/>
      <c r="F860" s="4309">
        <f>SUM(F805:F859)</f>
        <v>0</v>
      </c>
    </row>
    <row r="861" spans="1:6" ht="14.25" customHeight="1" outlineLevel="1" collapsed="1">
      <c r="A861" s="4414"/>
      <c r="B861" s="4232"/>
      <c r="C861" s="4233"/>
      <c r="D861" s="4251"/>
      <c r="E861" s="4233"/>
      <c r="F861" s="4235" t="str">
        <f t="shared" ref="F861:F924" si="38">IF(C861&gt;0,(ROUND((E861*C861),2))," ")</f>
        <v xml:space="preserve"> </v>
      </c>
    </row>
    <row r="862" spans="1:6" s="4268" customFormat="1" ht="15">
      <c r="A862" s="4398" t="s">
        <v>3948</v>
      </c>
      <c r="B862" s="3435" t="s">
        <v>3154</v>
      </c>
      <c r="C862" s="4337"/>
      <c r="D862" s="4338"/>
      <c r="E862" s="4312"/>
      <c r="F862" s="4312" t="str">
        <f t="shared" si="38"/>
        <v xml:space="preserve"> </v>
      </c>
    </row>
    <row r="863" spans="1:6" ht="15" customHeight="1">
      <c r="A863" s="4395"/>
      <c r="B863" s="4232"/>
      <c r="C863" s="4233"/>
      <c r="D863" s="4251"/>
      <c r="E863" s="4235"/>
      <c r="F863" s="4235" t="str">
        <f t="shared" si="38"/>
        <v xml:space="preserve"> </v>
      </c>
    </row>
    <row r="864" spans="1:6" ht="15" customHeight="1">
      <c r="A864" s="4413">
        <v>1</v>
      </c>
      <c r="B864" s="4345" t="s">
        <v>3155</v>
      </c>
      <c r="C864" s="4282"/>
      <c r="D864" s="4251"/>
      <c r="E864" s="4235"/>
      <c r="F864" s="4235" t="str">
        <f t="shared" si="38"/>
        <v xml:space="preserve"> </v>
      </c>
    </row>
    <row r="865" spans="1:6" ht="14.25" customHeight="1">
      <c r="A865" s="4394">
        <v>1.1000000000000001</v>
      </c>
      <c r="B865" s="4232" t="s">
        <v>2353</v>
      </c>
      <c r="C865" s="4283">
        <v>72.25</v>
      </c>
      <c r="D865" s="4251" t="s">
        <v>2432</v>
      </c>
      <c r="E865" s="4235"/>
      <c r="F865" s="4235">
        <f t="shared" si="38"/>
        <v>0</v>
      </c>
    </row>
    <row r="866" spans="1:6" ht="14.25" customHeight="1">
      <c r="A866" s="4390"/>
      <c r="B866" s="4232"/>
      <c r="C866" s="4283"/>
      <c r="D866" s="4251"/>
      <c r="E866" s="4115"/>
      <c r="F866" s="4235" t="str">
        <f t="shared" si="38"/>
        <v xml:space="preserve"> </v>
      </c>
    </row>
    <row r="867" spans="1:6" ht="15" customHeight="1">
      <c r="A867" s="4109">
        <v>2</v>
      </c>
      <c r="B867" s="4345" t="s">
        <v>38</v>
      </c>
      <c r="C867" s="4288"/>
      <c r="D867" s="4251"/>
      <c r="E867" s="4115"/>
      <c r="F867" s="4235" t="str">
        <f t="shared" si="38"/>
        <v xml:space="preserve"> </v>
      </c>
    </row>
    <row r="868" spans="1:6" ht="14.25" customHeight="1">
      <c r="A868" s="4102">
        <v>2.1</v>
      </c>
      <c r="B868" s="4289" t="s">
        <v>3156</v>
      </c>
      <c r="C868" s="4288">
        <v>219.34</v>
      </c>
      <c r="D868" s="4251" t="s">
        <v>3157</v>
      </c>
      <c r="E868" s="4235"/>
      <c r="F868" s="4235">
        <f t="shared" si="38"/>
        <v>0</v>
      </c>
    </row>
    <row r="869" spans="1:6" ht="14.25" customHeight="1">
      <c r="A869" s="4102">
        <v>2.2000000000000002</v>
      </c>
      <c r="B869" s="4113" t="s">
        <v>3158</v>
      </c>
      <c r="C869" s="4288">
        <v>56.3</v>
      </c>
      <c r="D869" s="4251" t="s">
        <v>2431</v>
      </c>
      <c r="E869" s="4235"/>
      <c r="F869" s="4235">
        <f t="shared" si="38"/>
        <v>0</v>
      </c>
    </row>
    <row r="870" spans="1:6" ht="28.5" customHeight="1">
      <c r="A870" s="4102">
        <v>2.2999999999999998</v>
      </c>
      <c r="B870" s="4113" t="s">
        <v>3571</v>
      </c>
      <c r="C870" s="4288">
        <v>195.6</v>
      </c>
      <c r="D870" s="4251" t="s">
        <v>3160</v>
      </c>
      <c r="E870" s="4235"/>
      <c r="F870" s="4235">
        <f t="shared" si="38"/>
        <v>0</v>
      </c>
    </row>
    <row r="871" spans="1:6" ht="15" customHeight="1">
      <c r="A871" s="4415"/>
      <c r="B871" s="3435"/>
      <c r="C871" s="4282"/>
      <c r="D871" s="4251"/>
      <c r="E871" s="4235"/>
      <c r="F871" s="4235" t="str">
        <f t="shared" si="38"/>
        <v xml:space="preserve"> </v>
      </c>
    </row>
    <row r="872" spans="1:6" ht="15" customHeight="1">
      <c r="A872" s="4110">
        <v>3</v>
      </c>
      <c r="B872" s="4345" t="s">
        <v>3693</v>
      </c>
      <c r="C872" s="4288"/>
      <c r="D872" s="4251"/>
      <c r="E872" s="4235"/>
      <c r="F872" s="4235" t="str">
        <f t="shared" si="38"/>
        <v xml:space="preserve"> </v>
      </c>
    </row>
    <row r="873" spans="1:6" ht="14.25" customHeight="1">
      <c r="A873" s="4114">
        <v>3.1</v>
      </c>
      <c r="B873" s="4112" t="s">
        <v>3690</v>
      </c>
      <c r="C873" s="4106">
        <v>13.3</v>
      </c>
      <c r="D873" s="4251" t="s">
        <v>2430</v>
      </c>
      <c r="E873" s="4235"/>
      <c r="F873" s="4235">
        <f t="shared" si="38"/>
        <v>0</v>
      </c>
    </row>
    <row r="874" spans="1:6" ht="14.25" customHeight="1">
      <c r="A874" s="4114">
        <v>3.2</v>
      </c>
      <c r="B874" s="4112" t="s">
        <v>3161</v>
      </c>
      <c r="C874" s="4106">
        <v>0.86</v>
      </c>
      <c r="D874" s="4251" t="s">
        <v>2430</v>
      </c>
      <c r="E874" s="4235"/>
      <c r="F874" s="4235">
        <f t="shared" si="38"/>
        <v>0</v>
      </c>
    </row>
    <row r="875" spans="1:6" ht="14.25" customHeight="1">
      <c r="A875" s="4114">
        <v>3.3</v>
      </c>
      <c r="B875" s="4112" t="s">
        <v>3691</v>
      </c>
      <c r="C875" s="4106">
        <v>7.01</v>
      </c>
      <c r="D875" s="4251" t="s">
        <v>2430</v>
      </c>
      <c r="E875" s="4235"/>
      <c r="F875" s="4235">
        <f t="shared" si="38"/>
        <v>0</v>
      </c>
    </row>
    <row r="876" spans="1:6" ht="14.25" customHeight="1">
      <c r="A876" s="4114">
        <v>3.4</v>
      </c>
      <c r="B876" s="4112" t="s">
        <v>3162</v>
      </c>
      <c r="C876" s="4106">
        <v>0.35</v>
      </c>
      <c r="D876" s="4251" t="s">
        <v>2430</v>
      </c>
      <c r="E876" s="4235"/>
      <c r="F876" s="4235">
        <f t="shared" si="38"/>
        <v>0</v>
      </c>
    </row>
    <row r="877" spans="1:6" ht="14.25" customHeight="1">
      <c r="A877" s="4114">
        <v>3.5</v>
      </c>
      <c r="B877" s="4112" t="s">
        <v>3163</v>
      </c>
      <c r="C877" s="4106">
        <v>1.03</v>
      </c>
      <c r="D877" s="4251" t="s">
        <v>2430</v>
      </c>
      <c r="E877" s="4235"/>
      <c r="F877" s="4235">
        <f t="shared" si="38"/>
        <v>0</v>
      </c>
    </row>
    <row r="878" spans="1:6" ht="14.25" customHeight="1">
      <c r="A878" s="4114">
        <v>3.6</v>
      </c>
      <c r="B878" s="4112" t="s">
        <v>3164</v>
      </c>
      <c r="C878" s="4106">
        <v>27.52</v>
      </c>
      <c r="D878" s="4251" t="s">
        <v>2430</v>
      </c>
      <c r="E878" s="4235"/>
      <c r="F878" s="4235">
        <f t="shared" si="38"/>
        <v>0</v>
      </c>
    </row>
    <row r="879" spans="1:6" ht="14.25" customHeight="1">
      <c r="A879" s="4114">
        <v>3.7</v>
      </c>
      <c r="B879" s="4112" t="s">
        <v>3165</v>
      </c>
      <c r="C879" s="4106">
        <v>1.0900000000000001</v>
      </c>
      <c r="D879" s="4251" t="s">
        <v>2430</v>
      </c>
      <c r="E879" s="4235"/>
      <c r="F879" s="4235">
        <f t="shared" si="38"/>
        <v>0</v>
      </c>
    </row>
    <row r="880" spans="1:6" ht="14.25" customHeight="1">
      <c r="A880" s="4114">
        <v>3.8</v>
      </c>
      <c r="B880" s="4112" t="s">
        <v>3692</v>
      </c>
      <c r="C880" s="4106">
        <v>7.49</v>
      </c>
      <c r="D880" s="4251" t="s">
        <v>2430</v>
      </c>
      <c r="E880" s="4235"/>
      <c r="F880" s="4235">
        <f t="shared" si="38"/>
        <v>0</v>
      </c>
    </row>
    <row r="881" spans="1:6" ht="14.25" customHeight="1">
      <c r="A881" s="4114">
        <v>3.9</v>
      </c>
      <c r="B881" s="4112" t="s">
        <v>3166</v>
      </c>
      <c r="C881" s="4106">
        <v>0.11</v>
      </c>
      <c r="D881" s="4251" t="s">
        <v>2430</v>
      </c>
      <c r="E881" s="4235"/>
      <c r="F881" s="4235">
        <f t="shared" si="38"/>
        <v>0</v>
      </c>
    </row>
    <row r="882" spans="1:6" ht="14.25" customHeight="1">
      <c r="A882" s="4107"/>
      <c r="B882" s="4112"/>
      <c r="C882" s="4106"/>
      <c r="D882" s="4251"/>
      <c r="E882" s="4235"/>
      <c r="F882" s="4235" t="str">
        <f t="shared" si="38"/>
        <v xml:space="preserve"> </v>
      </c>
    </row>
    <row r="883" spans="1:6" ht="16.5" customHeight="1">
      <c r="A883" s="4101">
        <v>4</v>
      </c>
      <c r="B883" s="4112" t="s">
        <v>3694</v>
      </c>
      <c r="C883" s="4106">
        <v>3.87</v>
      </c>
      <c r="D883" s="4251" t="s">
        <v>2430</v>
      </c>
      <c r="E883" s="4235"/>
      <c r="F883" s="4235">
        <f t="shared" si="38"/>
        <v>0</v>
      </c>
    </row>
    <row r="884" spans="1:6" ht="14.25" customHeight="1">
      <c r="A884" s="4107"/>
      <c r="B884" s="4112"/>
      <c r="C884" s="4106"/>
      <c r="D884" s="4251"/>
      <c r="E884" s="4235"/>
      <c r="F884" s="4235" t="str">
        <f t="shared" si="38"/>
        <v xml:space="preserve"> </v>
      </c>
    </row>
    <row r="885" spans="1:6" ht="28.5" customHeight="1">
      <c r="A885" s="4114">
        <v>5</v>
      </c>
      <c r="B885" s="4104" t="s">
        <v>3167</v>
      </c>
      <c r="C885" s="4106">
        <v>91.2</v>
      </c>
      <c r="D885" s="4251" t="s">
        <v>1</v>
      </c>
      <c r="E885" s="4235"/>
      <c r="F885" s="4235">
        <f t="shared" si="38"/>
        <v>0</v>
      </c>
    </row>
    <row r="886" spans="1:6" ht="14.25" customHeight="1">
      <c r="A886" s="4114">
        <v>6</v>
      </c>
      <c r="B886" s="4112" t="s">
        <v>3738</v>
      </c>
      <c r="C886" s="4106">
        <v>110</v>
      </c>
      <c r="D886" s="4251" t="s">
        <v>2567</v>
      </c>
      <c r="E886" s="4235"/>
      <c r="F886" s="4235">
        <f t="shared" si="38"/>
        <v>0</v>
      </c>
    </row>
    <row r="887" spans="1:6" ht="14.25" customHeight="1">
      <c r="A887" s="4488"/>
      <c r="B887" s="4489"/>
      <c r="C887" s="4490"/>
      <c r="D887" s="4467"/>
      <c r="E887" s="4468"/>
      <c r="F887" s="4468" t="str">
        <f t="shared" si="38"/>
        <v xml:space="preserve"> </v>
      </c>
    </row>
    <row r="888" spans="1:6" ht="15" customHeight="1">
      <c r="A888" s="4110">
        <v>7</v>
      </c>
      <c r="B888" s="4345" t="s">
        <v>787</v>
      </c>
      <c r="C888" s="4106"/>
      <c r="D888" s="4251"/>
      <c r="E888" s="4235"/>
      <c r="F888" s="4235" t="str">
        <f t="shared" si="38"/>
        <v xml:space="preserve"> </v>
      </c>
    </row>
    <row r="889" spans="1:6" ht="14.25" customHeight="1">
      <c r="A889" s="4114">
        <v>7.1</v>
      </c>
      <c r="B889" s="4112" t="s">
        <v>2568</v>
      </c>
      <c r="C889" s="4106">
        <v>217.47</v>
      </c>
      <c r="D889" s="4251" t="s">
        <v>2432</v>
      </c>
      <c r="E889" s="4235"/>
      <c r="F889" s="4235">
        <f t="shared" si="38"/>
        <v>0</v>
      </c>
    </row>
    <row r="890" spans="1:6" ht="14.25" customHeight="1">
      <c r="A890" s="4114">
        <v>7.2</v>
      </c>
      <c r="B890" s="4112" t="s">
        <v>2345</v>
      </c>
      <c r="C890" s="4103">
        <v>102.7</v>
      </c>
      <c r="D890" s="4251" t="s">
        <v>2432</v>
      </c>
      <c r="E890" s="4235"/>
      <c r="F890" s="4235">
        <f t="shared" si="38"/>
        <v>0</v>
      </c>
    </row>
    <row r="891" spans="1:6" ht="14.25" customHeight="1">
      <c r="A891" s="4114">
        <v>7.3</v>
      </c>
      <c r="B891" s="4112" t="s">
        <v>2344</v>
      </c>
      <c r="C891" s="4103">
        <v>114.77</v>
      </c>
      <c r="D891" s="4251" t="s">
        <v>2432</v>
      </c>
      <c r="E891" s="4235"/>
      <c r="F891" s="4235">
        <f t="shared" si="38"/>
        <v>0</v>
      </c>
    </row>
    <row r="892" spans="1:6" ht="14.25" customHeight="1">
      <c r="A892" s="4114">
        <v>7.4</v>
      </c>
      <c r="B892" s="4114" t="s">
        <v>3168</v>
      </c>
      <c r="C892" s="4103">
        <v>53.17</v>
      </c>
      <c r="D892" s="4251" t="s">
        <v>2432</v>
      </c>
      <c r="E892" s="4235"/>
      <c r="F892" s="4235">
        <f t="shared" si="38"/>
        <v>0</v>
      </c>
    </row>
    <row r="893" spans="1:6" ht="14.25" customHeight="1">
      <c r="A893" s="4114">
        <v>7.5</v>
      </c>
      <c r="B893" s="4114" t="s">
        <v>3169</v>
      </c>
      <c r="C893" s="4103">
        <v>62.41</v>
      </c>
      <c r="D893" s="4251" t="s">
        <v>2432</v>
      </c>
      <c r="E893" s="4235"/>
      <c r="F893" s="4235">
        <f t="shared" si="38"/>
        <v>0</v>
      </c>
    </row>
    <row r="894" spans="1:6" s="4166" customFormat="1" ht="14.25" customHeight="1">
      <c r="A894" s="4114">
        <v>7.6</v>
      </c>
      <c r="B894" s="4114" t="s">
        <v>1548</v>
      </c>
      <c r="C894" s="4103">
        <v>112.4</v>
      </c>
      <c r="D894" s="4251" t="s">
        <v>1</v>
      </c>
      <c r="E894" s="4235"/>
      <c r="F894" s="4235">
        <f t="shared" si="38"/>
        <v>0</v>
      </c>
    </row>
    <row r="895" spans="1:6" ht="14.25" customHeight="1">
      <c r="A895" s="4114">
        <v>7.7</v>
      </c>
      <c r="B895" s="4114" t="s">
        <v>3542</v>
      </c>
      <c r="C895" s="4103">
        <v>29.2</v>
      </c>
      <c r="D895" s="4251" t="s">
        <v>1</v>
      </c>
      <c r="E895" s="4235"/>
      <c r="F895" s="4235">
        <f t="shared" si="38"/>
        <v>0</v>
      </c>
    </row>
    <row r="896" spans="1:6" ht="14.25" customHeight="1">
      <c r="A896" s="4114"/>
      <c r="B896" s="4114"/>
      <c r="C896" s="4103"/>
      <c r="D896" s="4251"/>
      <c r="E896" s="4235"/>
      <c r="F896" s="4235" t="str">
        <f t="shared" si="38"/>
        <v xml:space="preserve"> </v>
      </c>
    </row>
    <row r="897" spans="1:6" ht="15" customHeight="1">
      <c r="A897" s="4110">
        <v>8</v>
      </c>
      <c r="B897" s="4345" t="s">
        <v>202</v>
      </c>
      <c r="C897" s="4103"/>
      <c r="D897" s="4251"/>
      <c r="E897" s="4235"/>
      <c r="F897" s="4235" t="str">
        <f t="shared" si="38"/>
        <v xml:space="preserve"> </v>
      </c>
    </row>
    <row r="898" spans="1:6" ht="14.25" customHeight="1">
      <c r="A898" s="4114">
        <v>8.1</v>
      </c>
      <c r="B898" s="4114" t="s">
        <v>3170</v>
      </c>
      <c r="C898" s="4103">
        <v>35.39</v>
      </c>
      <c r="D898" s="4251" t="s">
        <v>2432</v>
      </c>
      <c r="E898" s="4235"/>
      <c r="F898" s="4235">
        <f t="shared" si="38"/>
        <v>0</v>
      </c>
    </row>
    <row r="899" spans="1:6" ht="14.25" customHeight="1">
      <c r="A899" s="4114">
        <v>8.1999999999999993</v>
      </c>
      <c r="B899" s="4114" t="s">
        <v>3171</v>
      </c>
      <c r="C899" s="4103">
        <v>35.39</v>
      </c>
      <c r="D899" s="4251" t="s">
        <v>2432</v>
      </c>
      <c r="E899" s="4235"/>
      <c r="F899" s="4235">
        <f t="shared" si="38"/>
        <v>0</v>
      </c>
    </row>
    <row r="900" spans="1:6" ht="14.25" customHeight="1">
      <c r="A900" s="4114"/>
      <c r="B900" s="4114"/>
      <c r="C900" s="4103"/>
      <c r="D900" s="4251"/>
      <c r="E900" s="4235"/>
      <c r="F900" s="4235" t="str">
        <f t="shared" si="38"/>
        <v xml:space="preserve"> </v>
      </c>
    </row>
    <row r="901" spans="1:6" ht="15" customHeight="1">
      <c r="A901" s="4110">
        <v>9</v>
      </c>
      <c r="B901" s="4345" t="s">
        <v>697</v>
      </c>
      <c r="C901" s="4103"/>
      <c r="D901" s="4251"/>
      <c r="E901" s="4235"/>
      <c r="F901" s="4235" t="str">
        <f t="shared" si="38"/>
        <v xml:space="preserve"> </v>
      </c>
    </row>
    <row r="902" spans="1:6" ht="30" customHeight="1">
      <c r="A902" s="4110">
        <v>9.1</v>
      </c>
      <c r="B902" s="4345" t="s">
        <v>3564</v>
      </c>
      <c r="C902" s="4103"/>
      <c r="D902" s="4251"/>
      <c r="E902" s="4235"/>
      <c r="F902" s="4235" t="str">
        <f t="shared" si="38"/>
        <v xml:space="preserve"> </v>
      </c>
    </row>
    <row r="903" spans="1:6" ht="14.25" customHeight="1">
      <c r="A903" s="4111" t="s">
        <v>541</v>
      </c>
      <c r="B903" s="4108" t="s">
        <v>3172</v>
      </c>
      <c r="C903" s="4103">
        <v>14.22</v>
      </c>
      <c r="D903" s="4251" t="s">
        <v>1</v>
      </c>
      <c r="E903" s="4235"/>
      <c r="F903" s="4235">
        <f t="shared" si="38"/>
        <v>0</v>
      </c>
    </row>
    <row r="904" spans="1:6" ht="14.25" customHeight="1">
      <c r="A904" s="4111" t="s">
        <v>542</v>
      </c>
      <c r="B904" s="4108" t="s">
        <v>3695</v>
      </c>
      <c r="C904" s="4103">
        <v>17.37</v>
      </c>
      <c r="D904" s="4251" t="s">
        <v>1</v>
      </c>
      <c r="E904" s="4235"/>
      <c r="F904" s="4235">
        <f t="shared" si="38"/>
        <v>0</v>
      </c>
    </row>
    <row r="905" spans="1:6" ht="14.25" customHeight="1">
      <c r="A905" s="4111" t="s">
        <v>3173</v>
      </c>
      <c r="B905" s="4108" t="s">
        <v>3696</v>
      </c>
      <c r="C905" s="4103">
        <v>5</v>
      </c>
      <c r="D905" s="4234" t="s">
        <v>2433</v>
      </c>
      <c r="E905" s="4235"/>
      <c r="F905" s="4235">
        <f t="shared" si="38"/>
        <v>0</v>
      </c>
    </row>
    <row r="906" spans="1:6" ht="14.25" customHeight="1">
      <c r="A906" s="4111" t="s">
        <v>3174</v>
      </c>
      <c r="B906" s="4108" t="s">
        <v>3697</v>
      </c>
      <c r="C906" s="4103">
        <v>8</v>
      </c>
      <c r="D906" s="4234" t="s">
        <v>2433</v>
      </c>
      <c r="E906" s="4235"/>
      <c r="F906" s="4235">
        <f t="shared" si="38"/>
        <v>0</v>
      </c>
    </row>
    <row r="907" spans="1:6" ht="14.25" customHeight="1">
      <c r="A907" s="4111" t="s">
        <v>3175</v>
      </c>
      <c r="B907" s="4108" t="s">
        <v>3698</v>
      </c>
      <c r="C907" s="4103">
        <v>2</v>
      </c>
      <c r="D907" s="4234" t="s">
        <v>2433</v>
      </c>
      <c r="E907" s="4235"/>
      <c r="F907" s="4235">
        <f t="shared" si="38"/>
        <v>0</v>
      </c>
    </row>
    <row r="908" spans="1:6" ht="14.25" customHeight="1">
      <c r="A908" s="4111" t="s">
        <v>3176</v>
      </c>
      <c r="B908" s="4114" t="s">
        <v>3508</v>
      </c>
      <c r="C908" s="4103">
        <v>3</v>
      </c>
      <c r="D908" s="4234" t="s">
        <v>2433</v>
      </c>
      <c r="E908" s="4235"/>
      <c r="F908" s="4235">
        <f t="shared" si="38"/>
        <v>0</v>
      </c>
    </row>
    <row r="909" spans="1:6" ht="14.25" customHeight="1">
      <c r="A909" s="4111" t="s">
        <v>3177</v>
      </c>
      <c r="B909" s="4114" t="s">
        <v>3699</v>
      </c>
      <c r="C909" s="4103">
        <v>7</v>
      </c>
      <c r="D909" s="4234" t="s">
        <v>2433</v>
      </c>
      <c r="E909" s="4235"/>
      <c r="F909" s="4235">
        <f t="shared" si="38"/>
        <v>0</v>
      </c>
    </row>
    <row r="910" spans="1:6" ht="14.25" customHeight="1">
      <c r="A910" s="4111" t="s">
        <v>3178</v>
      </c>
      <c r="B910" s="4114" t="s">
        <v>3700</v>
      </c>
      <c r="C910" s="4103">
        <v>2</v>
      </c>
      <c r="D910" s="4234" t="s">
        <v>2433</v>
      </c>
      <c r="E910" s="4235"/>
      <c r="F910" s="4235">
        <f t="shared" si="38"/>
        <v>0</v>
      </c>
    </row>
    <row r="911" spans="1:6" ht="14.25" customHeight="1">
      <c r="A911" s="4111" t="s">
        <v>3179</v>
      </c>
      <c r="B911" s="4114" t="s">
        <v>3736</v>
      </c>
      <c r="C911" s="4103">
        <v>2</v>
      </c>
      <c r="D911" s="4234" t="s">
        <v>2433</v>
      </c>
      <c r="E911" s="4235"/>
      <c r="F911" s="4235">
        <f t="shared" si="38"/>
        <v>0</v>
      </c>
    </row>
    <row r="912" spans="1:6" ht="14.25" customHeight="1">
      <c r="A912" s="4114"/>
      <c r="B912" s="4114"/>
      <c r="C912" s="4103"/>
      <c r="D912" s="4251"/>
      <c r="E912" s="4235"/>
      <c r="F912" s="4235" t="str">
        <f t="shared" si="38"/>
        <v xml:space="preserve"> </v>
      </c>
    </row>
    <row r="913" spans="1:6" ht="15" customHeight="1">
      <c r="A913" s="4110">
        <v>9.1999999999999993</v>
      </c>
      <c r="B913" s="4345" t="s">
        <v>3701</v>
      </c>
      <c r="C913" s="4103"/>
      <c r="D913" s="4251"/>
      <c r="E913" s="4235"/>
      <c r="F913" s="4235" t="str">
        <f t="shared" si="38"/>
        <v xml:space="preserve"> </v>
      </c>
    </row>
    <row r="914" spans="1:6" ht="14.25" customHeight="1">
      <c r="A914" s="4111" t="s">
        <v>543</v>
      </c>
      <c r="B914" s="4114" t="s">
        <v>2353</v>
      </c>
      <c r="C914" s="4103">
        <v>26.49</v>
      </c>
      <c r="D914" s="4251" t="s">
        <v>1</v>
      </c>
      <c r="E914" s="4235"/>
      <c r="F914" s="4235">
        <f t="shared" si="38"/>
        <v>0</v>
      </c>
    </row>
    <row r="915" spans="1:6" ht="14.25" customHeight="1">
      <c r="A915" s="4111" t="s">
        <v>544</v>
      </c>
      <c r="B915" s="4108" t="s">
        <v>3180</v>
      </c>
      <c r="C915" s="4103">
        <v>23.31</v>
      </c>
      <c r="D915" s="4251" t="s">
        <v>3157</v>
      </c>
      <c r="E915" s="4235"/>
      <c r="F915" s="4235">
        <f t="shared" si="38"/>
        <v>0</v>
      </c>
    </row>
    <row r="916" spans="1:6" ht="14.25" customHeight="1">
      <c r="A916" s="4111" t="s">
        <v>545</v>
      </c>
      <c r="B916" s="4114" t="s">
        <v>2546</v>
      </c>
      <c r="C916" s="4103">
        <v>1.22</v>
      </c>
      <c r="D916" s="4251" t="s">
        <v>3181</v>
      </c>
      <c r="E916" s="4235"/>
      <c r="F916" s="4235">
        <f t="shared" si="38"/>
        <v>0</v>
      </c>
    </row>
    <row r="917" spans="1:6" ht="14.25" customHeight="1">
      <c r="A917" s="4111" t="s">
        <v>3182</v>
      </c>
      <c r="B917" s="4108" t="s">
        <v>3572</v>
      </c>
      <c r="C917" s="4103">
        <v>20.54</v>
      </c>
      <c r="D917" s="4251" t="s">
        <v>2431</v>
      </c>
      <c r="E917" s="4235"/>
      <c r="F917" s="4235">
        <f t="shared" si="38"/>
        <v>0</v>
      </c>
    </row>
    <row r="918" spans="1:6" ht="28.5" customHeight="1">
      <c r="A918" s="4111" t="s">
        <v>3183</v>
      </c>
      <c r="B918" s="4108" t="s">
        <v>3571</v>
      </c>
      <c r="C918" s="4103">
        <v>3.33</v>
      </c>
      <c r="D918" s="4251" t="s">
        <v>3160</v>
      </c>
      <c r="E918" s="4416"/>
      <c r="F918" s="4235">
        <f t="shared" si="38"/>
        <v>0</v>
      </c>
    </row>
    <row r="919" spans="1:6" ht="14.25" customHeight="1">
      <c r="A919" s="4114"/>
      <c r="B919" s="4114"/>
      <c r="C919" s="4103"/>
      <c r="D919" s="4251"/>
      <c r="E919" s="4103"/>
      <c r="F919" s="4235" t="str">
        <f t="shared" si="38"/>
        <v xml:space="preserve"> </v>
      </c>
    </row>
    <row r="920" spans="1:6" ht="15" customHeight="1">
      <c r="A920" s="4110">
        <v>9.3000000000000007</v>
      </c>
      <c r="B920" s="4345" t="s">
        <v>3563</v>
      </c>
      <c r="C920" s="4103"/>
      <c r="D920" s="4251"/>
      <c r="E920" s="4103"/>
      <c r="F920" s="4235" t="str">
        <f t="shared" si="38"/>
        <v xml:space="preserve"> </v>
      </c>
    </row>
    <row r="921" spans="1:6" ht="14.25" customHeight="1">
      <c r="A921" s="4111" t="s">
        <v>3184</v>
      </c>
      <c r="B921" s="4114" t="s">
        <v>3737</v>
      </c>
      <c r="C921" s="4103">
        <v>1</v>
      </c>
      <c r="D921" s="4234" t="s">
        <v>2433</v>
      </c>
      <c r="E921" s="4417"/>
      <c r="F921" s="4235">
        <f t="shared" si="38"/>
        <v>0</v>
      </c>
    </row>
    <row r="922" spans="1:6" ht="14.25" customHeight="1">
      <c r="A922" s="4111" t="s">
        <v>3185</v>
      </c>
      <c r="B922" s="4114" t="s">
        <v>3186</v>
      </c>
      <c r="C922" s="4103">
        <v>1</v>
      </c>
      <c r="D922" s="4234" t="s">
        <v>2433</v>
      </c>
      <c r="E922" s="4417"/>
      <c r="F922" s="4235">
        <f t="shared" si="38"/>
        <v>0</v>
      </c>
    </row>
    <row r="923" spans="1:6" ht="14.25" customHeight="1">
      <c r="A923" s="4111" t="s">
        <v>3187</v>
      </c>
      <c r="B923" s="4114" t="s">
        <v>3188</v>
      </c>
      <c r="C923" s="4103">
        <v>1</v>
      </c>
      <c r="D923" s="4234" t="s">
        <v>2433</v>
      </c>
      <c r="E923" s="4417"/>
      <c r="F923" s="4235">
        <f t="shared" si="38"/>
        <v>0</v>
      </c>
    </row>
    <row r="924" spans="1:6" ht="14.25" customHeight="1">
      <c r="A924" s="4111" t="s">
        <v>3189</v>
      </c>
      <c r="B924" s="4114" t="s">
        <v>3190</v>
      </c>
      <c r="C924" s="4103">
        <v>1</v>
      </c>
      <c r="D924" s="4234" t="s">
        <v>2433</v>
      </c>
      <c r="E924" s="4417"/>
      <c r="F924" s="4235">
        <f t="shared" si="38"/>
        <v>0</v>
      </c>
    </row>
    <row r="925" spans="1:6" ht="14.25" customHeight="1">
      <c r="A925" s="4114"/>
      <c r="B925" s="4114"/>
      <c r="C925" s="4103"/>
      <c r="D925" s="4251"/>
      <c r="E925" s="4103"/>
      <c r="F925" s="4235" t="str">
        <f t="shared" ref="F925:F928" si="39">IF(C925&gt;0,(ROUND((E925*C925),2))," ")</f>
        <v xml:space="preserve"> </v>
      </c>
    </row>
    <row r="926" spans="1:6" ht="15" customHeight="1">
      <c r="A926" s="4110">
        <v>10</v>
      </c>
      <c r="B926" s="4345" t="s">
        <v>2523</v>
      </c>
      <c r="C926" s="4103"/>
      <c r="D926" s="4251"/>
      <c r="E926" s="4103"/>
      <c r="F926" s="4235" t="str">
        <f t="shared" si="39"/>
        <v xml:space="preserve"> </v>
      </c>
    </row>
    <row r="927" spans="1:6" ht="14.25" customHeight="1">
      <c r="A927" s="4114">
        <v>10.1</v>
      </c>
      <c r="B927" s="4114" t="s">
        <v>3191</v>
      </c>
      <c r="C927" s="4103">
        <v>16.8</v>
      </c>
      <c r="D927" s="4251" t="s">
        <v>2432</v>
      </c>
      <c r="E927" s="4103"/>
      <c r="F927" s="4235">
        <f t="shared" si="39"/>
        <v>0</v>
      </c>
    </row>
    <row r="928" spans="1:6" ht="14.25" customHeight="1">
      <c r="A928" s="4114">
        <v>10.199999999999999</v>
      </c>
      <c r="B928" s="4114" t="s">
        <v>2596</v>
      </c>
      <c r="C928" s="4103">
        <v>1</v>
      </c>
      <c r="D928" s="4234" t="s">
        <v>2433</v>
      </c>
      <c r="E928" s="4103"/>
      <c r="F928" s="4235">
        <f t="shared" si="39"/>
        <v>0</v>
      </c>
    </row>
    <row r="929" spans="1:6" s="4268" customFormat="1" ht="12.75" customHeight="1">
      <c r="A929" s="4306"/>
      <c r="B929" s="4306" t="s">
        <v>3949</v>
      </c>
      <c r="C929" s="4307"/>
      <c r="D929" s="4307"/>
      <c r="E929" s="4307"/>
      <c r="F929" s="4309">
        <f>SUM(F864:F928)</f>
        <v>0</v>
      </c>
    </row>
    <row r="930" spans="1:6" ht="8.25" customHeight="1">
      <c r="A930" s="4390"/>
      <c r="B930" s="3435"/>
      <c r="C930" s="4233"/>
      <c r="D930" s="4265"/>
      <c r="E930" s="4266"/>
      <c r="F930" s="4235" t="str">
        <f t="shared" ref="F930:F977" si="40">IF(C930&gt;0,(ROUND((E930*C930),2))," ")</f>
        <v xml:space="preserve"> </v>
      </c>
    </row>
    <row r="931" spans="1:6" ht="30.75" customHeight="1">
      <c r="A931" s="3553" t="s">
        <v>3950</v>
      </c>
      <c r="B931" s="3435" t="s">
        <v>3794</v>
      </c>
      <c r="C931" s="3555"/>
      <c r="D931" s="4290"/>
      <c r="E931" s="3556"/>
      <c r="F931" s="3556" t="str">
        <f t="shared" si="40"/>
        <v xml:space="preserve"> </v>
      </c>
    </row>
    <row r="932" spans="1:6" ht="12.75" customHeight="1">
      <c r="A932" s="3558"/>
      <c r="B932" s="3554"/>
      <c r="C932" s="3559"/>
      <c r="D932" s="4290"/>
      <c r="E932" s="3556"/>
      <c r="F932" s="3556" t="str">
        <f t="shared" si="40"/>
        <v xml:space="preserve"> </v>
      </c>
    </row>
    <row r="933" spans="1:6" ht="12.75" customHeight="1">
      <c r="A933" s="3560">
        <v>1</v>
      </c>
      <c r="B933" s="3561" t="s">
        <v>2165</v>
      </c>
      <c r="C933" s="3559"/>
      <c r="D933" s="4290"/>
      <c r="E933" s="3556"/>
      <c r="F933" s="3556" t="str">
        <f t="shared" si="40"/>
        <v xml:space="preserve"> </v>
      </c>
    </row>
    <row r="934" spans="1:6" ht="14.25" customHeight="1">
      <c r="A934" s="3562">
        <v>1.1000000000000001</v>
      </c>
      <c r="B934" s="3563" t="s">
        <v>2353</v>
      </c>
      <c r="C934" s="3559">
        <v>240.25</v>
      </c>
      <c r="D934" s="4290" t="s">
        <v>1</v>
      </c>
      <c r="E934" s="3743"/>
      <c r="F934" s="4235">
        <f t="shared" si="40"/>
        <v>0</v>
      </c>
    </row>
    <row r="935" spans="1:6" ht="12.75" customHeight="1">
      <c r="A935" s="4491"/>
      <c r="B935" s="4492"/>
      <c r="C935" s="4493"/>
      <c r="D935" s="4494"/>
      <c r="E935" s="4495"/>
      <c r="F935" s="4495" t="str">
        <f t="shared" si="40"/>
        <v xml:space="preserve"> </v>
      </c>
    </row>
    <row r="936" spans="1:6" ht="12.75" customHeight="1">
      <c r="A936" s="3560">
        <v>2</v>
      </c>
      <c r="B936" s="3565" t="s">
        <v>14</v>
      </c>
      <c r="C936" s="3566"/>
      <c r="D936" s="4291"/>
      <c r="E936" s="1251"/>
      <c r="F936" s="3564" t="str">
        <f t="shared" si="40"/>
        <v xml:space="preserve"> </v>
      </c>
    </row>
    <row r="937" spans="1:6" ht="14.25" customHeight="1">
      <c r="A937" s="17">
        <v>2.1</v>
      </c>
      <c r="B937" s="3563" t="s">
        <v>2992</v>
      </c>
      <c r="C937" s="3566">
        <v>97.99</v>
      </c>
      <c r="D937" s="4251" t="s">
        <v>3157</v>
      </c>
      <c r="E937" s="3743"/>
      <c r="F937" s="3744">
        <f t="shared" si="40"/>
        <v>0</v>
      </c>
    </row>
    <row r="938" spans="1:6" ht="14.25" customHeight="1">
      <c r="A938" s="17">
        <v>2.2000000000000002</v>
      </c>
      <c r="B938" s="3563" t="s">
        <v>2993</v>
      </c>
      <c r="C938" s="3566">
        <v>48.37</v>
      </c>
      <c r="D938" s="4251" t="s">
        <v>2431</v>
      </c>
      <c r="E938" s="1251"/>
      <c r="F938" s="3564">
        <f t="shared" si="40"/>
        <v>0</v>
      </c>
    </row>
    <row r="939" spans="1:6" ht="14.25" customHeight="1">
      <c r="A939" s="17">
        <v>2.2999999999999998</v>
      </c>
      <c r="B939" s="3563" t="s">
        <v>2994</v>
      </c>
      <c r="C939" s="4105">
        <v>64.5</v>
      </c>
      <c r="D939" s="4292" t="s">
        <v>2431</v>
      </c>
      <c r="E939" s="3743"/>
      <c r="F939" s="3744">
        <f t="shared" si="40"/>
        <v>0</v>
      </c>
    </row>
    <row r="940" spans="1:6" ht="12.75" customHeight="1">
      <c r="A940" s="17"/>
      <c r="B940" s="3567"/>
      <c r="C940" s="3566"/>
      <c r="D940" s="4291"/>
      <c r="E940" s="1251"/>
      <c r="F940" s="3564" t="str">
        <f t="shared" si="40"/>
        <v xml:space="preserve"> </v>
      </c>
    </row>
    <row r="941" spans="1:6" ht="12.75" customHeight="1">
      <c r="A941" s="3560">
        <v>3</v>
      </c>
      <c r="B941" s="3565" t="s">
        <v>2995</v>
      </c>
      <c r="C941" s="3566"/>
      <c r="D941" s="4291"/>
      <c r="E941" s="1251"/>
      <c r="F941" s="3564" t="str">
        <f t="shared" si="40"/>
        <v xml:space="preserve"> </v>
      </c>
    </row>
    <row r="942" spans="1:6" ht="14.25" customHeight="1">
      <c r="A942" s="17">
        <v>3.1</v>
      </c>
      <c r="B942" s="3563" t="s">
        <v>2996</v>
      </c>
      <c r="C942" s="3566">
        <v>22.35</v>
      </c>
      <c r="D942" s="4271" t="s">
        <v>2430</v>
      </c>
      <c r="E942" s="1251"/>
      <c r="F942" s="3564">
        <f t="shared" si="40"/>
        <v>0</v>
      </c>
    </row>
    <row r="943" spans="1:6" ht="28.5" customHeight="1">
      <c r="A943" s="17">
        <v>3.2</v>
      </c>
      <c r="B943" s="3563" t="s">
        <v>2997</v>
      </c>
      <c r="C943" s="1251">
        <v>5.58</v>
      </c>
      <c r="D943" s="4271" t="s">
        <v>2430</v>
      </c>
      <c r="E943" s="1251"/>
      <c r="F943" s="3564">
        <f t="shared" si="40"/>
        <v>0</v>
      </c>
    </row>
    <row r="944" spans="1:6" ht="13.5" customHeight="1">
      <c r="A944" s="17">
        <v>3.3</v>
      </c>
      <c r="B944" s="3563" t="s">
        <v>3967</v>
      </c>
      <c r="C944" s="3566">
        <v>8.4499999999999993</v>
      </c>
      <c r="D944" s="4271" t="s">
        <v>2430</v>
      </c>
      <c r="E944" s="1251"/>
      <c r="F944" s="3564">
        <f t="shared" si="40"/>
        <v>0</v>
      </c>
    </row>
    <row r="945" spans="1:6" ht="13.5" customHeight="1">
      <c r="A945" s="17">
        <v>3.4</v>
      </c>
      <c r="B945" s="3563" t="s">
        <v>3968</v>
      </c>
      <c r="C945" s="3566">
        <v>6.69</v>
      </c>
      <c r="D945" s="4271" t="s">
        <v>2430</v>
      </c>
      <c r="E945" s="1251"/>
      <c r="F945" s="3564">
        <f t="shared" si="40"/>
        <v>0</v>
      </c>
    </row>
    <row r="946" spans="1:6" ht="13.5" customHeight="1">
      <c r="A946" s="17">
        <v>3.5</v>
      </c>
      <c r="B946" s="3563" t="s">
        <v>3969</v>
      </c>
      <c r="C946" s="3566">
        <v>9.4499999999999993</v>
      </c>
      <c r="D946" s="4271" t="s">
        <v>2430</v>
      </c>
      <c r="E946" s="1251"/>
      <c r="F946" s="3564">
        <f t="shared" si="40"/>
        <v>0</v>
      </c>
    </row>
    <row r="947" spans="1:6" ht="31.5" customHeight="1">
      <c r="A947" s="17">
        <v>3.6</v>
      </c>
      <c r="B947" s="3563" t="s">
        <v>2998</v>
      </c>
      <c r="C947" s="3566">
        <v>1.32</v>
      </c>
      <c r="D947" s="4271" t="s">
        <v>2430</v>
      </c>
      <c r="E947" s="1251"/>
      <c r="F947" s="3564">
        <f t="shared" si="40"/>
        <v>0</v>
      </c>
    </row>
    <row r="948" spans="1:6" ht="12.75" customHeight="1">
      <c r="A948" s="17"/>
      <c r="B948" s="3567"/>
      <c r="C948" s="3566"/>
      <c r="D948" s="4290"/>
      <c r="E948" s="1251"/>
      <c r="F948" s="3564" t="str">
        <f t="shared" si="40"/>
        <v xml:space="preserve"> </v>
      </c>
    </row>
    <row r="949" spans="1:6" ht="12.75" customHeight="1">
      <c r="A949" s="4430">
        <v>4</v>
      </c>
      <c r="B949" s="3565" t="s">
        <v>2999</v>
      </c>
      <c r="C949" s="3566"/>
      <c r="D949" s="4290"/>
      <c r="E949" s="1251"/>
      <c r="F949" s="3564" t="str">
        <f t="shared" si="40"/>
        <v xml:space="preserve"> </v>
      </c>
    </row>
    <row r="950" spans="1:6" ht="14.25" customHeight="1">
      <c r="A950" s="17">
        <v>4.0999999999999996</v>
      </c>
      <c r="B950" s="3563" t="s">
        <v>3795</v>
      </c>
      <c r="C950" s="3566">
        <v>574.73</v>
      </c>
      <c r="D950" s="4251" t="s">
        <v>2432</v>
      </c>
      <c r="E950" s="1251"/>
      <c r="F950" s="3564">
        <f t="shared" si="40"/>
        <v>0</v>
      </c>
    </row>
    <row r="951" spans="1:6" ht="14.25" customHeight="1">
      <c r="A951" s="17">
        <v>4.2</v>
      </c>
      <c r="B951" s="3563" t="s">
        <v>3718</v>
      </c>
      <c r="C951" s="3566">
        <v>88.42</v>
      </c>
      <c r="D951" s="4251" t="s">
        <v>2432</v>
      </c>
      <c r="E951" s="1251"/>
      <c r="F951" s="3564">
        <f t="shared" si="40"/>
        <v>0</v>
      </c>
    </row>
    <row r="952" spans="1:6" ht="12.75" customHeight="1">
      <c r="A952" s="17"/>
      <c r="B952" s="3567"/>
      <c r="C952" s="3566"/>
      <c r="D952" s="4291"/>
      <c r="E952" s="1251"/>
      <c r="F952" s="3564" t="str">
        <f t="shared" si="40"/>
        <v xml:space="preserve"> </v>
      </c>
    </row>
    <row r="953" spans="1:6" ht="12.75" customHeight="1">
      <c r="A953" s="3560">
        <v>5</v>
      </c>
      <c r="B953" s="3565" t="s">
        <v>787</v>
      </c>
      <c r="C953" s="3566"/>
      <c r="D953" s="4291"/>
      <c r="E953" s="1251"/>
      <c r="F953" s="3564" t="str">
        <f t="shared" si="40"/>
        <v xml:space="preserve"> </v>
      </c>
    </row>
    <row r="954" spans="1:6" s="4238" customFormat="1" ht="14.25" customHeight="1">
      <c r="A954" s="4394">
        <v>5.0999999999999996</v>
      </c>
      <c r="B954" s="4232" t="s">
        <v>2568</v>
      </c>
      <c r="C954" s="4233">
        <v>239.36</v>
      </c>
      <c r="D954" s="4251" t="s">
        <v>2432</v>
      </c>
      <c r="E954" s="4235"/>
      <c r="F954" s="4235">
        <f t="shared" si="40"/>
        <v>0</v>
      </c>
    </row>
    <row r="955" spans="1:6" ht="14.25" customHeight="1">
      <c r="A955" s="4394">
        <v>5.2</v>
      </c>
      <c r="B955" s="4232" t="s">
        <v>3000</v>
      </c>
      <c r="C955" s="4233">
        <v>239.36</v>
      </c>
      <c r="D955" s="4251" t="s">
        <v>2432</v>
      </c>
      <c r="E955" s="4235"/>
      <c r="F955" s="4235">
        <f t="shared" si="40"/>
        <v>0</v>
      </c>
    </row>
    <row r="956" spans="1:6" s="4166" customFormat="1" ht="14.25" customHeight="1">
      <c r="A956" s="4165">
        <v>5.3</v>
      </c>
      <c r="B956" s="3563" t="s">
        <v>1548</v>
      </c>
      <c r="C956" s="4105">
        <v>1395.15</v>
      </c>
      <c r="D956" s="4293" t="s">
        <v>1</v>
      </c>
      <c r="E956" s="3743"/>
      <c r="F956" s="3744">
        <f t="shared" si="40"/>
        <v>0</v>
      </c>
    </row>
    <row r="957" spans="1:6" ht="12.75" customHeight="1">
      <c r="A957" s="734"/>
      <c r="B957" s="3565"/>
      <c r="C957" s="3566"/>
      <c r="D957" s="4291"/>
      <c r="E957" s="1251"/>
      <c r="F957" s="3564" t="str">
        <f t="shared" si="40"/>
        <v xml:space="preserve"> </v>
      </c>
    </row>
    <row r="958" spans="1:6" ht="12.75" customHeight="1">
      <c r="A958" s="3560">
        <v>6</v>
      </c>
      <c r="B958" s="3565" t="s">
        <v>202</v>
      </c>
      <c r="C958" s="3566"/>
      <c r="D958" s="4291"/>
      <c r="E958" s="1251"/>
      <c r="F958" s="3564" t="str">
        <f t="shared" si="40"/>
        <v xml:space="preserve"> </v>
      </c>
    </row>
    <row r="959" spans="1:6" ht="14.25" customHeight="1">
      <c r="A959" s="4394">
        <v>6.1</v>
      </c>
      <c r="B959" s="4232" t="s">
        <v>3001</v>
      </c>
      <c r="C959" s="4233">
        <v>239.36</v>
      </c>
      <c r="D959" s="4251" t="s">
        <v>2432</v>
      </c>
      <c r="E959" s="4235"/>
      <c r="F959" s="4235">
        <f t="shared" si="40"/>
        <v>0</v>
      </c>
    </row>
    <row r="960" spans="1:6" ht="14.25" customHeight="1">
      <c r="A960" s="17">
        <v>6.2</v>
      </c>
      <c r="B960" s="3563" t="s">
        <v>3573</v>
      </c>
      <c r="C960" s="3566">
        <v>239.36</v>
      </c>
      <c r="D960" s="4251" t="s">
        <v>2432</v>
      </c>
      <c r="E960" s="3741"/>
      <c r="F960" s="3564">
        <f t="shared" si="40"/>
        <v>0</v>
      </c>
    </row>
    <row r="961" spans="1:6" ht="14.25" customHeight="1">
      <c r="A961" s="17"/>
      <c r="B961" s="3563"/>
      <c r="C961" s="3566"/>
      <c r="D961" s="4291"/>
      <c r="E961" s="1251"/>
      <c r="F961" s="3564" t="str">
        <f t="shared" si="40"/>
        <v xml:space="preserve"> </v>
      </c>
    </row>
    <row r="962" spans="1:6" ht="14.25" customHeight="1">
      <c r="A962" s="3560">
        <v>7</v>
      </c>
      <c r="B962" s="3563" t="s">
        <v>3002</v>
      </c>
      <c r="C962" s="3566">
        <v>236.25</v>
      </c>
      <c r="D962" s="4291" t="s">
        <v>1</v>
      </c>
      <c r="E962" s="1251"/>
      <c r="F962" s="3564">
        <f t="shared" si="40"/>
        <v>0</v>
      </c>
    </row>
    <row r="963" spans="1:6" ht="28.5" customHeight="1">
      <c r="A963" s="3560">
        <v>8</v>
      </c>
      <c r="B963" s="3563" t="s">
        <v>3003</v>
      </c>
      <c r="C963" s="1251">
        <v>15.6</v>
      </c>
      <c r="D963" s="4291" t="s">
        <v>1</v>
      </c>
      <c r="E963" s="1251"/>
      <c r="F963" s="3564">
        <f t="shared" si="40"/>
        <v>0</v>
      </c>
    </row>
    <row r="964" spans="1:6" ht="28.5" customHeight="1">
      <c r="A964" s="3560">
        <v>9</v>
      </c>
      <c r="B964" s="3563" t="s">
        <v>3004</v>
      </c>
      <c r="C964" s="3566">
        <v>24</v>
      </c>
      <c r="D964" s="4234" t="s">
        <v>2433</v>
      </c>
      <c r="E964" s="1251"/>
      <c r="F964" s="3564">
        <f t="shared" si="40"/>
        <v>0</v>
      </c>
    </row>
    <row r="965" spans="1:6" ht="14.25" customHeight="1">
      <c r="A965" s="17"/>
      <c r="B965" s="3563"/>
      <c r="C965" s="3566"/>
      <c r="D965" s="4294"/>
      <c r="E965" s="1251"/>
      <c r="F965" s="3564" t="str">
        <f t="shared" si="40"/>
        <v xml:space="preserve"> </v>
      </c>
    </row>
    <row r="966" spans="1:6" ht="14.25" customHeight="1">
      <c r="A966" s="3560">
        <v>10</v>
      </c>
      <c r="B966" s="3563" t="s">
        <v>3005</v>
      </c>
      <c r="C966" s="3568">
        <v>1</v>
      </c>
      <c r="D966" s="4234" t="s">
        <v>2433</v>
      </c>
      <c r="E966" s="1251"/>
      <c r="F966" s="3564">
        <f t="shared" si="40"/>
        <v>0</v>
      </c>
    </row>
    <row r="967" spans="1:6" s="4268" customFormat="1" ht="12.75" customHeight="1">
      <c r="A967" s="4306"/>
      <c r="B967" s="4306" t="s">
        <v>3951</v>
      </c>
      <c r="C967" s="4307"/>
      <c r="D967" s="4307"/>
      <c r="E967" s="4307"/>
      <c r="F967" s="4309">
        <f>SUM(F932:F966)</f>
        <v>0</v>
      </c>
    </row>
    <row r="968" spans="1:6" s="4227" customFormat="1" ht="15" customHeight="1">
      <c r="A968" s="4395"/>
      <c r="B968" s="3435"/>
      <c r="C968" s="3538"/>
      <c r="D968" s="4265"/>
      <c r="E968" s="4235"/>
      <c r="F968" s="4235"/>
    </row>
    <row r="969" spans="1:6" s="4227" customFormat="1" ht="15" customHeight="1">
      <c r="A969" s="4280" t="s">
        <v>3952</v>
      </c>
      <c r="B969" s="3435" t="s">
        <v>3719</v>
      </c>
      <c r="C969" s="3538"/>
      <c r="D969" s="4265"/>
      <c r="E969" s="4235"/>
      <c r="F969" s="4235"/>
    </row>
    <row r="970" spans="1:6" ht="56.25" customHeight="1">
      <c r="A970" s="4418">
        <v>1</v>
      </c>
      <c r="B970" s="4372" t="s">
        <v>3964</v>
      </c>
      <c r="C970" s="4233">
        <v>1</v>
      </c>
      <c r="D970" s="4234" t="s">
        <v>2433</v>
      </c>
      <c r="E970" s="4235"/>
      <c r="F970" s="4235">
        <f t="shared" si="40"/>
        <v>0</v>
      </c>
    </row>
    <row r="971" spans="1:6" ht="28.5" customHeight="1">
      <c r="A971" s="4418">
        <v>2</v>
      </c>
      <c r="B971" s="4372" t="s">
        <v>3956</v>
      </c>
      <c r="C971" s="4233">
        <v>10</v>
      </c>
      <c r="D971" s="4251" t="s">
        <v>3488</v>
      </c>
      <c r="E971" s="4235"/>
      <c r="F971" s="4235">
        <f t="shared" si="40"/>
        <v>0</v>
      </c>
    </row>
    <row r="972" spans="1:6" s="3531" customFormat="1" ht="45.75" customHeight="1">
      <c r="A972" s="4360">
        <v>3</v>
      </c>
      <c r="B972" s="4372" t="s">
        <v>3965</v>
      </c>
      <c r="C972" s="4191">
        <v>1</v>
      </c>
      <c r="D972" s="4218" t="s">
        <v>42</v>
      </c>
      <c r="E972" s="4210"/>
      <c r="F972" s="4361">
        <f>+ROUND((E972*C972),2)</f>
        <v>0</v>
      </c>
    </row>
    <row r="973" spans="1:6" s="3531" customFormat="1" ht="18" customHeight="1">
      <c r="A973" s="4360">
        <v>4</v>
      </c>
      <c r="B973" s="4372" t="s">
        <v>3966</v>
      </c>
      <c r="C973" s="4191"/>
      <c r="D973" s="4251" t="s">
        <v>3488</v>
      </c>
      <c r="E973" s="4210"/>
      <c r="F973" s="4361">
        <f>+ROUND((E973*C973),2)</f>
        <v>0</v>
      </c>
    </row>
    <row r="974" spans="1:6" s="4268" customFormat="1" ht="12.75" customHeight="1">
      <c r="A974" s="4306"/>
      <c r="B974" s="4306" t="s">
        <v>3953</v>
      </c>
      <c r="C974" s="4307"/>
      <c r="D974" s="4307"/>
      <c r="E974" s="4307"/>
      <c r="F974" s="4309">
        <f>SUM(F970:F973)</f>
        <v>0</v>
      </c>
    </row>
    <row r="975" spans="1:6" s="4242" customFormat="1">
      <c r="A975" s="4419"/>
      <c r="B975" s="4374" t="s">
        <v>15</v>
      </c>
      <c r="C975" s="4375"/>
      <c r="D975" s="4376"/>
      <c r="E975" s="4375"/>
      <c r="F975" s="4420">
        <f>F976</f>
        <v>0</v>
      </c>
    </row>
    <row r="976" spans="1:6" s="4242" customFormat="1">
      <c r="A976" s="4419"/>
      <c r="B976" s="4374" t="s">
        <v>15</v>
      </c>
      <c r="C976" s="4375"/>
      <c r="D976" s="4376"/>
      <c r="E976" s="4375"/>
      <c r="F976" s="4420">
        <f>+F974+F967+F929+F860+F803+F785+F729+F689+F624+F492+F445+F367+F180</f>
        <v>0</v>
      </c>
    </row>
    <row r="977" spans="1:6" ht="14.25">
      <c r="A977" s="4414"/>
      <c r="B977" s="4232"/>
      <c r="C977" s="4233"/>
      <c r="D977" s="4234"/>
      <c r="E977" s="4233"/>
      <c r="F977" s="4235" t="str">
        <f t="shared" si="40"/>
        <v xml:space="preserve"> </v>
      </c>
    </row>
    <row r="978" spans="1:6" s="4223" customFormat="1" ht="15" collapsed="1">
      <c r="A978" s="4402"/>
      <c r="B978" s="4215" t="s">
        <v>16</v>
      </c>
      <c r="C978" s="4337"/>
      <c r="D978" s="4338"/>
      <c r="E978" s="4312"/>
      <c r="F978" s="4312"/>
    </row>
    <row r="979" spans="1:6" ht="14.25">
      <c r="A979" s="4414"/>
      <c r="B979" s="4295" t="s">
        <v>3576</v>
      </c>
      <c r="C979" s="4381">
        <v>0.1</v>
      </c>
      <c r="D979" s="4249"/>
      <c r="E979" s="4404"/>
      <c r="F979" s="1263">
        <f>+C979*$F$976</f>
        <v>0</v>
      </c>
    </row>
    <row r="980" spans="1:6" ht="14.25">
      <c r="A980" s="4414"/>
      <c r="B980" s="4295" t="s">
        <v>3577</v>
      </c>
      <c r="C980" s="4381">
        <v>0.05</v>
      </c>
      <c r="D980" s="4249"/>
      <c r="E980" s="4404"/>
      <c r="F980" s="1263">
        <f t="shared" ref="F980:F990" si="41">+C980*$F$976</f>
        <v>0</v>
      </c>
    </row>
    <row r="981" spans="1:6" ht="14.25">
      <c r="A981" s="4414"/>
      <c r="B981" s="4295" t="s">
        <v>3578</v>
      </c>
      <c r="C981" s="4381">
        <v>0.03</v>
      </c>
      <c r="D981" s="4249"/>
      <c r="E981" s="4404"/>
      <c r="F981" s="1263">
        <f t="shared" si="41"/>
        <v>0</v>
      </c>
    </row>
    <row r="982" spans="1:6" ht="14.25">
      <c r="A982" s="4414"/>
      <c r="B982" s="4295" t="s">
        <v>3579</v>
      </c>
      <c r="C982" s="4381">
        <v>0.04</v>
      </c>
      <c r="D982" s="4249"/>
      <c r="E982" s="4404"/>
      <c r="F982" s="1263">
        <f t="shared" si="41"/>
        <v>0</v>
      </c>
    </row>
    <row r="983" spans="1:6" ht="14.25">
      <c r="A983" s="4414"/>
      <c r="B983" s="4295" t="s">
        <v>3580</v>
      </c>
      <c r="C983" s="4381">
        <v>0.03</v>
      </c>
      <c r="D983" s="4249"/>
      <c r="E983" s="4404"/>
      <c r="F983" s="1263">
        <f t="shared" si="41"/>
        <v>0</v>
      </c>
    </row>
    <row r="984" spans="1:6" ht="14.25">
      <c r="A984" s="4414"/>
      <c r="B984" s="4295" t="s">
        <v>3581</v>
      </c>
      <c r="C984" s="4381">
        <v>0.01</v>
      </c>
      <c r="D984" s="4249"/>
      <c r="E984" s="4404"/>
      <c r="F984" s="1263">
        <f t="shared" si="41"/>
        <v>0</v>
      </c>
    </row>
    <row r="985" spans="1:6" ht="14.25">
      <c r="A985" s="4414"/>
      <c r="B985" s="4295" t="s">
        <v>3954</v>
      </c>
      <c r="C985" s="4381">
        <v>0.18</v>
      </c>
      <c r="D985" s="4249"/>
      <c r="E985" s="4404"/>
      <c r="F985" s="1263">
        <f>+C985*$F$979</f>
        <v>0</v>
      </c>
    </row>
    <row r="986" spans="1:6" ht="14.25">
      <c r="A986" s="4390"/>
      <c r="B986" s="4295" t="s">
        <v>3582</v>
      </c>
      <c r="C986" s="4381">
        <v>0.1</v>
      </c>
      <c r="D986" s="4249"/>
      <c r="E986" s="4404"/>
      <c r="F986" s="1263">
        <f t="shared" si="41"/>
        <v>0</v>
      </c>
    </row>
    <row r="987" spans="1:6" ht="28.5">
      <c r="A987" s="4390"/>
      <c r="B987" s="4295" t="s">
        <v>4029</v>
      </c>
      <c r="C987" s="4381">
        <v>0.03</v>
      </c>
      <c r="D987" s="4249"/>
      <c r="E987" s="4404"/>
      <c r="F987" s="1263">
        <f t="shared" si="41"/>
        <v>0</v>
      </c>
    </row>
    <row r="988" spans="1:6" ht="14.25">
      <c r="A988" s="4390"/>
      <c r="B988" s="4295" t="s">
        <v>3583</v>
      </c>
      <c r="C988" s="4381">
        <v>1.4999999999999999E-2</v>
      </c>
      <c r="D988" s="4249"/>
      <c r="E988" s="4404"/>
      <c r="F988" s="1263">
        <f t="shared" si="41"/>
        <v>0</v>
      </c>
    </row>
    <row r="989" spans="1:6" ht="14.25">
      <c r="A989" s="4390"/>
      <c r="B989" s="4295" t="s">
        <v>459</v>
      </c>
      <c r="C989" s="4381">
        <v>1E-3</v>
      </c>
      <c r="D989" s="4249"/>
      <c r="E989" s="4404"/>
      <c r="F989" s="1263">
        <f t="shared" si="41"/>
        <v>0</v>
      </c>
    </row>
    <row r="990" spans="1:6" ht="14.25">
      <c r="A990" s="4390"/>
      <c r="B990" s="4295" t="s">
        <v>3584</v>
      </c>
      <c r="C990" s="4381">
        <v>0.05</v>
      </c>
      <c r="D990" s="4249"/>
      <c r="E990" s="4404"/>
      <c r="F990" s="1263">
        <f t="shared" si="41"/>
        <v>0</v>
      </c>
    </row>
    <row r="991" spans="1:6" ht="14.25">
      <c r="A991" s="4414"/>
      <c r="B991" s="4295" t="s">
        <v>3955</v>
      </c>
      <c r="C991" s="4248">
        <v>1</v>
      </c>
      <c r="D991" s="4249" t="s">
        <v>42</v>
      </c>
      <c r="E991" s="1263"/>
      <c r="F991" s="1263">
        <f>+E991*C991</f>
        <v>0</v>
      </c>
    </row>
    <row r="992" spans="1:6" ht="14.25">
      <c r="A992" s="4414"/>
      <c r="B992" s="4295" t="s">
        <v>2742</v>
      </c>
      <c r="C992" s="4248">
        <v>1</v>
      </c>
      <c r="D992" s="4249" t="s">
        <v>42</v>
      </c>
      <c r="E992" s="1263"/>
      <c r="F992" s="1263">
        <f>+E992*C992</f>
        <v>0</v>
      </c>
    </row>
    <row r="993" spans="1:6" ht="14.25">
      <c r="A993" s="4414"/>
      <c r="B993" s="4295" t="s">
        <v>3585</v>
      </c>
      <c r="C993" s="4248">
        <v>1</v>
      </c>
      <c r="D993" s="1264" t="s">
        <v>2433</v>
      </c>
      <c r="E993" s="1263"/>
      <c r="F993" s="1263">
        <f>E993*C993</f>
        <v>0</v>
      </c>
    </row>
    <row r="994" spans="1:6" ht="14.25">
      <c r="A994" s="4414"/>
      <c r="B994" s="4295" t="s">
        <v>3574</v>
      </c>
      <c r="C994" s="4248">
        <v>1</v>
      </c>
      <c r="D994" s="1264" t="s">
        <v>2433</v>
      </c>
      <c r="E994" s="1263"/>
      <c r="F994" s="1263">
        <f>E994*C994</f>
        <v>0</v>
      </c>
    </row>
    <row r="995" spans="1:6" ht="14.25">
      <c r="A995" s="4390"/>
      <c r="B995" s="4373" t="s">
        <v>23</v>
      </c>
      <c r="C995" s="4382"/>
      <c r="D995" s="4383"/>
      <c r="E995" s="4247"/>
      <c r="F995" s="4369">
        <f>SUBTOTAL(9,F978:F994)</f>
        <v>0</v>
      </c>
    </row>
    <row r="996" spans="1:6" s="4379" customFormat="1" ht="15.75" thickBot="1">
      <c r="A996" s="4421"/>
      <c r="B996" s="4380" t="s">
        <v>3962</v>
      </c>
      <c r="C996" s="4377"/>
      <c r="D996" s="4378"/>
      <c r="E996" s="4377"/>
      <c r="F996" s="4422">
        <f>+F995+F976</f>
        <v>0</v>
      </c>
    </row>
    <row r="997" spans="1:6" s="4223" customFormat="1" ht="15">
      <c r="A997" s="4393"/>
      <c r="B997" s="4431"/>
      <c r="C997" s="4212"/>
      <c r="D997" s="4218"/>
      <c r="E997" s="4212"/>
      <c r="F997" s="4312"/>
    </row>
    <row r="998" spans="1:6" s="4379" customFormat="1" ht="15">
      <c r="A998" s="4423"/>
      <c r="B998" s="4424" t="s">
        <v>3963</v>
      </c>
      <c r="C998" s="4425"/>
      <c r="D998" s="4426"/>
      <c r="E998" s="4425"/>
      <c r="F998" s="4427">
        <f>+F996</f>
        <v>0</v>
      </c>
    </row>
    <row r="999" spans="1:6" ht="14.25">
      <c r="A999" s="3436"/>
      <c r="B999" s="3437"/>
      <c r="C999" s="4296"/>
      <c r="D999" s="4297"/>
      <c r="E999" s="4281"/>
      <c r="F999" s="4281"/>
    </row>
  </sheetData>
  <autoFilter ref="A11:F1003" xr:uid="{00000000-0009-0000-0000-000006000000}"/>
  <mergeCells count="5">
    <mergeCell ref="A2:F2"/>
    <mergeCell ref="A3:F3"/>
    <mergeCell ref="A4:F4"/>
    <mergeCell ref="A5:F5"/>
    <mergeCell ref="B8:E8"/>
  </mergeCells>
  <conditionalFormatting sqref="F1">
    <cfRule type="cellIs" dxfId="8" priority="3" operator="lessThan">
      <formula>0</formula>
    </cfRule>
  </conditionalFormatting>
  <conditionalFormatting sqref="E1">
    <cfRule type="cellIs" dxfId="7" priority="1" operator="greaterThan">
      <formula>0</formula>
    </cfRule>
    <cfRule type="cellIs" dxfId="6"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H1020"/>
  <sheetViews>
    <sheetView showZeros="0" view="pageBreakPreview" topLeftCell="A641" zoomScale="85" zoomScaleNormal="100" zoomScaleSheetLayoutView="85" workbookViewId="0">
      <selection activeCell="H1" sqref="H1"/>
    </sheetView>
  </sheetViews>
  <sheetFormatPr baseColWidth="10" defaultColWidth="11.42578125" defaultRowHeight="12.75" outlineLevelRow="1"/>
  <cols>
    <col min="1" max="1" width="9.7109375" style="3146" customWidth="1"/>
    <col min="2" max="2" width="64" style="4299" customWidth="1"/>
    <col min="3" max="3" width="10.7109375" style="3557" customWidth="1"/>
    <col min="4" max="4" width="9" style="4225" customWidth="1"/>
    <col min="5" max="5" width="13" style="3557" customWidth="1"/>
    <col min="6" max="6" width="15.28515625" style="3557" customWidth="1"/>
    <col min="7" max="7" width="12.7109375" style="3557" bestFit="1" customWidth="1"/>
    <col min="8" max="16384" width="11.42578125" style="3557"/>
  </cols>
  <sheetData>
    <row r="1" spans="1:6" s="4238" customFormat="1">
      <c r="A1" s="4428"/>
      <c r="B1" s="1904"/>
      <c r="C1" s="4236"/>
      <c r="D1" s="4237"/>
      <c r="E1" s="4243"/>
      <c r="F1" s="4243"/>
    </row>
    <row r="2" spans="1:6" s="4238" customFormat="1" ht="15">
      <c r="A2" s="5175" t="s">
        <v>5</v>
      </c>
      <c r="B2" s="5175"/>
      <c r="C2" s="5175"/>
      <c r="D2" s="5175"/>
      <c r="E2" s="5175"/>
      <c r="F2" s="5175"/>
    </row>
    <row r="3" spans="1:6" s="4238" customFormat="1" ht="15">
      <c r="A3" s="5175" t="s">
        <v>6</v>
      </c>
      <c r="B3" s="5175"/>
      <c r="C3" s="5175"/>
      <c r="D3" s="5175"/>
      <c r="E3" s="5175"/>
      <c r="F3" s="5175"/>
    </row>
    <row r="4" spans="1:6" s="4238" customFormat="1" ht="15">
      <c r="A4" s="5175" t="s">
        <v>7</v>
      </c>
      <c r="B4" s="5175"/>
      <c r="C4" s="5175"/>
      <c r="D4" s="5175"/>
      <c r="E4" s="5175"/>
      <c r="F4" s="5175"/>
    </row>
    <row r="5" spans="1:6" s="4238" customFormat="1" ht="15">
      <c r="A5" s="5175" t="s">
        <v>60</v>
      </c>
      <c r="B5" s="5175"/>
      <c r="C5" s="5175"/>
      <c r="D5" s="5175"/>
      <c r="E5" s="5175"/>
      <c r="F5" s="5175"/>
    </row>
    <row r="6" spans="1:6" s="4238" customFormat="1">
      <c r="A6" s="4428"/>
      <c r="B6" s="4429"/>
      <c r="C6" s="4236"/>
      <c r="D6" s="4237"/>
      <c r="E6" s="4236"/>
      <c r="F6" s="4243"/>
    </row>
    <row r="7" spans="1:6" s="4242" customFormat="1" ht="15">
      <c r="A7" s="4497" t="s">
        <v>3973</v>
      </c>
      <c r="B7" s="4433"/>
      <c r="C7" s="4434"/>
      <c r="D7" s="4496"/>
      <c r="E7" s="4435"/>
      <c r="F7" s="4241"/>
    </row>
    <row r="8" spans="1:6" s="4242" customFormat="1" ht="15">
      <c r="A8" s="4497" t="s">
        <v>2210</v>
      </c>
      <c r="B8" s="5176" t="s">
        <v>4044</v>
      </c>
      <c r="C8" s="5176"/>
      <c r="D8" s="5176"/>
      <c r="E8" s="5176"/>
      <c r="F8" s="4241"/>
    </row>
    <row r="9" spans="1:6" s="4242" customFormat="1" ht="15">
      <c r="A9" s="4497" t="s">
        <v>3972</v>
      </c>
      <c r="B9" s="4239"/>
      <c r="C9" s="4434"/>
      <c r="D9" s="4496" t="s">
        <v>3971</v>
      </c>
      <c r="E9" s="4435"/>
      <c r="F9" s="4241"/>
    </row>
    <row r="10" spans="1:6">
      <c r="A10" s="3145"/>
      <c r="B10" s="1904"/>
      <c r="C10" s="4236"/>
      <c r="D10" s="4237"/>
      <c r="E10" s="4243"/>
      <c r="F10" s="4243"/>
    </row>
    <row r="11" spans="1:6" s="4244" customFormat="1">
      <c r="A11" s="4384" t="s">
        <v>3796</v>
      </c>
      <c r="B11" s="4385" t="s">
        <v>3797</v>
      </c>
      <c r="C11" s="4386" t="s">
        <v>286</v>
      </c>
      <c r="D11" s="4386" t="s">
        <v>976</v>
      </c>
      <c r="E11" s="4386" t="s">
        <v>534</v>
      </c>
      <c r="F11" s="4387" t="s">
        <v>3798</v>
      </c>
    </row>
    <row r="12" spans="1:6">
      <c r="A12" s="4388"/>
      <c r="B12" s="1738"/>
      <c r="C12" s="4389"/>
      <c r="D12" s="4512"/>
      <c r="E12" s="1263"/>
      <c r="F12" s="4389"/>
    </row>
    <row r="13" spans="1:6" s="4227" customFormat="1" ht="30">
      <c r="A13" s="4280" t="s">
        <v>482</v>
      </c>
      <c r="B13" s="3435" t="s">
        <v>2317</v>
      </c>
      <c r="C13" s="4233"/>
      <c r="D13" s="4251"/>
      <c r="E13" s="4235"/>
      <c r="F13" s="4235"/>
    </row>
    <row r="14" spans="1:6" ht="14.25">
      <c r="A14" s="4390"/>
      <c r="B14" s="4232"/>
      <c r="C14" s="4233"/>
      <c r="D14" s="4251"/>
      <c r="E14" s="4235"/>
      <c r="F14" s="4235"/>
    </row>
    <row r="15" spans="1:6" ht="15">
      <c r="A15" s="4391">
        <v>1</v>
      </c>
      <c r="B15" s="4345" t="s">
        <v>2165</v>
      </c>
      <c r="C15" s="4248"/>
      <c r="D15" s="4251"/>
      <c r="E15" s="4235"/>
      <c r="F15" s="4235"/>
    </row>
    <row r="16" spans="1:6" ht="28.5">
      <c r="A16" s="4390">
        <v>1.01</v>
      </c>
      <c r="B16" s="4232" t="s">
        <v>3926</v>
      </c>
      <c r="C16" s="4248">
        <v>12</v>
      </c>
      <c r="D16" s="4251" t="s">
        <v>4045</v>
      </c>
      <c r="E16" s="4365">
        <v>20000</v>
      </c>
      <c r="F16" s="1263">
        <f>IF(C16&gt;0,(ROUND((E16*C16),2))," ")</f>
        <v>240000</v>
      </c>
    </row>
    <row r="17" spans="1:7" ht="14.25">
      <c r="A17" s="4390"/>
      <c r="B17" s="4232"/>
      <c r="C17" s="4248"/>
      <c r="D17" s="4251"/>
      <c r="E17" s="4365"/>
      <c r="F17" s="1263"/>
    </row>
    <row r="18" spans="1:7" ht="15">
      <c r="A18" s="4391">
        <v>2</v>
      </c>
      <c r="B18" s="4207" t="s">
        <v>1250</v>
      </c>
      <c r="C18" s="4248"/>
      <c r="D18" s="4251"/>
      <c r="E18" s="1263"/>
      <c r="F18" s="1263" t="str">
        <f t="shared" ref="F18:F81" si="0">IF(C18&gt;0,(ROUND((E18*C18),2))," ")</f>
        <v xml:space="preserve"> </v>
      </c>
    </row>
    <row r="19" spans="1:7" s="4238" customFormat="1" ht="15">
      <c r="A19" s="4392">
        <v>2.1</v>
      </c>
      <c r="B19" s="4345" t="s">
        <v>3799</v>
      </c>
      <c r="C19" s="1263"/>
      <c r="D19" s="4251"/>
      <c r="E19" s="1263"/>
      <c r="F19" s="1263" t="str">
        <f t="shared" si="0"/>
        <v xml:space="preserve"> </v>
      </c>
      <c r="G19" s="3557"/>
    </row>
    <row r="20" spans="1:7" s="4223" customFormat="1" ht="14.25">
      <c r="A20" s="4390" t="s">
        <v>1182</v>
      </c>
      <c r="B20" s="4346" t="s">
        <v>3886</v>
      </c>
      <c r="C20" s="4248">
        <v>4880.78</v>
      </c>
      <c r="D20" s="4313" t="s">
        <v>3157</v>
      </c>
      <c r="E20" s="4210">
        <v>63.19</v>
      </c>
      <c r="F20" s="4210">
        <f t="shared" si="0"/>
        <v>308416.49</v>
      </c>
      <c r="G20" s="3557"/>
    </row>
    <row r="21" spans="1:7" s="4223" customFormat="1" ht="28.5">
      <c r="A21" s="4393" t="s">
        <v>1183</v>
      </c>
      <c r="B21" s="3563" t="s">
        <v>2970</v>
      </c>
      <c r="C21" s="4248">
        <v>6100.98</v>
      </c>
      <c r="D21" s="4313" t="s">
        <v>2525</v>
      </c>
      <c r="E21" s="4210">
        <v>210</v>
      </c>
      <c r="F21" s="4210">
        <f t="shared" si="0"/>
        <v>1281205.8</v>
      </c>
      <c r="G21" s="3557"/>
    </row>
    <row r="22" spans="1:7" ht="15">
      <c r="A22" s="4390"/>
      <c r="B22" s="4252"/>
      <c r="C22" s="4248"/>
      <c r="D22" s="4251"/>
      <c r="E22" s="1263"/>
      <c r="F22" s="1263" t="str">
        <f t="shared" si="0"/>
        <v xml:space="preserve"> </v>
      </c>
    </row>
    <row r="23" spans="1:7" s="4254" customFormat="1" ht="15">
      <c r="A23" s="4391">
        <v>3</v>
      </c>
      <c r="B23" s="4345" t="s">
        <v>38</v>
      </c>
      <c r="C23" s="4362"/>
      <c r="D23" s="4513"/>
      <c r="E23" s="4366"/>
      <c r="F23" s="1263" t="str">
        <f t="shared" si="0"/>
        <v xml:space="preserve"> </v>
      </c>
      <c r="G23" s="3557"/>
    </row>
    <row r="24" spans="1:7" ht="14.25">
      <c r="A24" s="4394">
        <v>3.1</v>
      </c>
      <c r="B24" s="4250" t="s">
        <v>3586</v>
      </c>
      <c r="C24" s="4248">
        <v>638.83000000000004</v>
      </c>
      <c r="D24" s="4251" t="s">
        <v>3157</v>
      </c>
      <c r="E24" s="4367">
        <v>154.51</v>
      </c>
      <c r="F24" s="1263">
        <f t="shared" si="0"/>
        <v>98705.62</v>
      </c>
    </row>
    <row r="25" spans="1:7" ht="14.25">
      <c r="A25" s="4394">
        <v>3.2</v>
      </c>
      <c r="B25" s="4250" t="s">
        <v>2971</v>
      </c>
      <c r="C25" s="4248">
        <v>70.62</v>
      </c>
      <c r="D25" s="4251" t="s">
        <v>2431</v>
      </c>
      <c r="E25" s="4367">
        <v>108.87</v>
      </c>
      <c r="F25" s="1263">
        <f t="shared" si="0"/>
        <v>7688.4</v>
      </c>
    </row>
    <row r="26" spans="1:7" ht="28.5">
      <c r="A26" s="4394">
        <v>3.3</v>
      </c>
      <c r="B26" s="4232" t="s">
        <v>2342</v>
      </c>
      <c r="C26" s="4248">
        <v>852.32</v>
      </c>
      <c r="D26" s="4251" t="s">
        <v>2525</v>
      </c>
      <c r="E26" s="4365">
        <v>210</v>
      </c>
      <c r="F26" s="1263">
        <f t="shared" si="0"/>
        <v>178987.2</v>
      </c>
    </row>
    <row r="27" spans="1:7" ht="15">
      <c r="A27" s="4395"/>
      <c r="B27" s="3435"/>
      <c r="C27" s="4248"/>
      <c r="D27" s="4251"/>
      <c r="E27" s="1263"/>
      <c r="F27" s="1263" t="str">
        <f t="shared" si="0"/>
        <v xml:space="preserve"> </v>
      </c>
    </row>
    <row r="28" spans="1:7" s="4256" customFormat="1" ht="15">
      <c r="A28" s="4391">
        <v>4</v>
      </c>
      <c r="B28" s="4345" t="s">
        <v>2973</v>
      </c>
      <c r="C28" s="4362"/>
      <c r="D28" s="4513"/>
      <c r="E28" s="4366"/>
      <c r="F28" s="1263" t="str">
        <f t="shared" si="0"/>
        <v xml:space="preserve"> </v>
      </c>
      <c r="G28" s="3557"/>
    </row>
    <row r="29" spans="1:7" s="4256" customFormat="1" ht="15">
      <c r="A29" s="3538">
        <v>4.0999999999999996</v>
      </c>
      <c r="B29" s="4345" t="s">
        <v>3826</v>
      </c>
      <c r="C29" s="4362"/>
      <c r="D29" s="4513"/>
      <c r="E29" s="4366"/>
      <c r="F29" s="1263" t="str">
        <f t="shared" si="0"/>
        <v xml:space="preserve"> </v>
      </c>
      <c r="G29" s="3557"/>
    </row>
    <row r="30" spans="1:7" s="4166" customFormat="1" ht="14.25">
      <c r="A30" s="4390" t="s">
        <v>592</v>
      </c>
      <c r="B30" s="4257" t="s">
        <v>2974</v>
      </c>
      <c r="C30" s="4248">
        <v>0.65</v>
      </c>
      <c r="D30" s="4251" t="s">
        <v>2430</v>
      </c>
      <c r="E30" s="1263">
        <v>9462.32</v>
      </c>
      <c r="F30" s="1263">
        <f t="shared" si="0"/>
        <v>6150.51</v>
      </c>
      <c r="G30" s="3557"/>
    </row>
    <row r="31" spans="1:7" s="4166" customFormat="1" ht="14.25">
      <c r="A31" s="4390" t="s">
        <v>594</v>
      </c>
      <c r="B31" s="4257" t="s">
        <v>2975</v>
      </c>
      <c r="C31" s="4248">
        <v>0.28999999999999998</v>
      </c>
      <c r="D31" s="4251" t="s">
        <v>2430</v>
      </c>
      <c r="E31" s="1263">
        <v>12970.11</v>
      </c>
      <c r="F31" s="1263">
        <f t="shared" si="0"/>
        <v>3761.33</v>
      </c>
      <c r="G31" s="3557"/>
    </row>
    <row r="32" spans="1:7" s="4166" customFormat="1" ht="15">
      <c r="A32" s="4395"/>
      <c r="B32" s="3435"/>
      <c r="C32" s="4248"/>
      <c r="D32" s="4251"/>
      <c r="E32" s="1263"/>
      <c r="F32" s="1263" t="str">
        <f t="shared" si="0"/>
        <v xml:space="preserve"> </v>
      </c>
      <c r="G32" s="3557"/>
    </row>
    <row r="33" spans="1:7" s="4166" customFormat="1" ht="15">
      <c r="A33" s="3538">
        <v>4.2</v>
      </c>
      <c r="B33" s="4345" t="s">
        <v>2976</v>
      </c>
      <c r="C33" s="4248"/>
      <c r="D33" s="4251"/>
      <c r="E33" s="1263"/>
      <c r="F33" s="1263" t="str">
        <f t="shared" si="0"/>
        <v xml:space="preserve"> </v>
      </c>
      <c r="G33" s="3557"/>
    </row>
    <row r="34" spans="1:7" s="4166" customFormat="1" ht="14.25">
      <c r="A34" s="3539" t="s">
        <v>601</v>
      </c>
      <c r="B34" s="3540" t="s">
        <v>2977</v>
      </c>
      <c r="C34" s="4248">
        <v>5.72</v>
      </c>
      <c r="D34" s="4251" t="s">
        <v>2432</v>
      </c>
      <c r="E34" s="1263">
        <v>1721.2</v>
      </c>
      <c r="F34" s="1263">
        <f>IF(C34&gt;0,(ROUND((E34*C34),2))," ")</f>
        <v>9845.26</v>
      </c>
      <c r="G34" s="3557"/>
    </row>
    <row r="35" spans="1:7" s="4166" customFormat="1" ht="15">
      <c r="A35" s="4395"/>
      <c r="B35" s="3435"/>
      <c r="C35" s="4248"/>
      <c r="D35" s="4251"/>
      <c r="E35" s="1263"/>
      <c r="F35" s="1263" t="str">
        <f t="shared" si="0"/>
        <v xml:space="preserve"> </v>
      </c>
      <c r="G35" s="3557"/>
    </row>
    <row r="36" spans="1:7" s="4166" customFormat="1" ht="15">
      <c r="A36" s="3538">
        <v>4.3</v>
      </c>
      <c r="B36" s="4345" t="s">
        <v>3720</v>
      </c>
      <c r="C36" s="4248"/>
      <c r="D36" s="4251"/>
      <c r="E36" s="1263"/>
      <c r="F36" s="1263" t="str">
        <f t="shared" si="0"/>
        <v xml:space="preserve"> </v>
      </c>
      <c r="G36" s="3557"/>
    </row>
    <row r="37" spans="1:7" s="4166" customFormat="1" ht="14.25">
      <c r="A37" s="3539" t="s">
        <v>3800</v>
      </c>
      <c r="B37" s="4257" t="s">
        <v>2435</v>
      </c>
      <c r="C37" s="4248">
        <v>1.2</v>
      </c>
      <c r="D37" s="4251" t="s">
        <v>2432</v>
      </c>
      <c r="E37" s="1263">
        <v>611.6</v>
      </c>
      <c r="F37" s="1263">
        <f t="shared" si="0"/>
        <v>733.92</v>
      </c>
      <c r="G37" s="3557"/>
    </row>
    <row r="38" spans="1:7" s="4166" customFormat="1" ht="14.25">
      <c r="A38" s="3539" t="s">
        <v>3801</v>
      </c>
      <c r="B38" s="4257" t="s">
        <v>2344</v>
      </c>
      <c r="C38" s="4248">
        <v>4.4000000000000004</v>
      </c>
      <c r="D38" s="4251" t="s">
        <v>2432</v>
      </c>
      <c r="E38" s="1263">
        <v>396.6</v>
      </c>
      <c r="F38" s="1263">
        <f t="shared" si="0"/>
        <v>1745.04</v>
      </c>
      <c r="G38" s="3557"/>
    </row>
    <row r="39" spans="1:7" s="4166" customFormat="1" ht="14.25">
      <c r="A39" s="3539" t="s">
        <v>3802</v>
      </c>
      <c r="B39" s="4257" t="s">
        <v>2345</v>
      </c>
      <c r="C39" s="4248">
        <v>5.04</v>
      </c>
      <c r="D39" s="4251" t="s">
        <v>2432</v>
      </c>
      <c r="E39" s="1263">
        <v>382.2</v>
      </c>
      <c r="F39" s="1263">
        <f t="shared" si="0"/>
        <v>1926.29</v>
      </c>
      <c r="G39" s="3557"/>
    </row>
    <row r="40" spans="1:7" s="4166" customFormat="1" ht="14.25">
      <c r="A40" s="3539" t="s">
        <v>3803</v>
      </c>
      <c r="B40" s="4257" t="s">
        <v>1548</v>
      </c>
      <c r="C40" s="4248">
        <v>14</v>
      </c>
      <c r="D40" s="4251" t="s">
        <v>1</v>
      </c>
      <c r="E40" s="1263">
        <v>107.14</v>
      </c>
      <c r="F40" s="1263">
        <f t="shared" si="0"/>
        <v>1499.96</v>
      </c>
      <c r="G40" s="3557"/>
    </row>
    <row r="41" spans="1:7" ht="15">
      <c r="A41" s="4395"/>
      <c r="B41" s="3435"/>
      <c r="C41" s="4248"/>
      <c r="D41" s="4251"/>
      <c r="E41" s="1263"/>
      <c r="F41" s="1263" t="str">
        <f t="shared" si="0"/>
        <v xml:space="preserve"> </v>
      </c>
    </row>
    <row r="42" spans="1:7" s="4256" customFormat="1" ht="15">
      <c r="A42" s="4391">
        <v>5</v>
      </c>
      <c r="B42" s="4345" t="s">
        <v>2978</v>
      </c>
      <c r="C42" s="4362"/>
      <c r="D42" s="4513"/>
      <c r="E42" s="4366"/>
      <c r="F42" s="1263" t="str">
        <f t="shared" si="0"/>
        <v xml:space="preserve"> </v>
      </c>
      <c r="G42" s="3557"/>
    </row>
    <row r="43" spans="1:7" s="4256" customFormat="1" ht="15">
      <c r="A43" s="3538">
        <v>5.0999999999999996</v>
      </c>
      <c r="B43" s="4345" t="s">
        <v>3826</v>
      </c>
      <c r="C43" s="4362"/>
      <c r="D43" s="4513"/>
      <c r="E43" s="4366"/>
      <c r="F43" s="1263" t="str">
        <f t="shared" si="0"/>
        <v xml:space="preserve"> </v>
      </c>
      <c r="G43" s="3557"/>
    </row>
    <row r="44" spans="1:7" s="4166" customFormat="1" ht="14.25">
      <c r="A44" s="4390" t="s">
        <v>608</v>
      </c>
      <c r="B44" s="4257" t="s">
        <v>2974</v>
      </c>
      <c r="C44" s="4248">
        <v>0.67</v>
      </c>
      <c r="D44" s="4251" t="s">
        <v>2430</v>
      </c>
      <c r="E44" s="1263">
        <v>9462.32</v>
      </c>
      <c r="F44" s="1263">
        <f t="shared" si="0"/>
        <v>6339.75</v>
      </c>
      <c r="G44" s="3557"/>
    </row>
    <row r="45" spans="1:7" s="4166" customFormat="1" ht="14.25">
      <c r="A45" s="4390" t="s">
        <v>610</v>
      </c>
      <c r="B45" s="4257" t="s">
        <v>2975</v>
      </c>
      <c r="C45" s="4248">
        <v>0.37</v>
      </c>
      <c r="D45" s="4251" t="s">
        <v>2430</v>
      </c>
      <c r="E45" s="1263">
        <v>12970.11</v>
      </c>
      <c r="F45" s="1263">
        <f t="shared" si="0"/>
        <v>4798.9399999999996</v>
      </c>
      <c r="G45" s="3557"/>
    </row>
    <row r="46" spans="1:7" s="4166" customFormat="1" ht="15">
      <c r="A46" s="4395"/>
      <c r="B46" s="3435"/>
      <c r="C46" s="4248"/>
      <c r="D46" s="4251"/>
      <c r="E46" s="1263"/>
      <c r="F46" s="1263" t="str">
        <f t="shared" si="0"/>
        <v xml:space="preserve"> </v>
      </c>
      <c r="G46" s="3557"/>
    </row>
    <row r="47" spans="1:7" s="4166" customFormat="1" ht="15">
      <c r="A47" s="3538">
        <v>5.2</v>
      </c>
      <c r="B47" s="4345" t="s">
        <v>2976</v>
      </c>
      <c r="C47" s="4248"/>
      <c r="D47" s="4251"/>
      <c r="E47" s="1263"/>
      <c r="F47" s="1263" t="str">
        <f t="shared" si="0"/>
        <v xml:space="preserve"> </v>
      </c>
      <c r="G47" s="3557"/>
    </row>
    <row r="48" spans="1:7" s="4166" customFormat="1" ht="14.25">
      <c r="A48" s="3539" t="s">
        <v>614</v>
      </c>
      <c r="B48" s="4257" t="s">
        <v>2977</v>
      </c>
      <c r="C48" s="4248">
        <v>4.8</v>
      </c>
      <c r="D48" s="4251" t="s">
        <v>2432</v>
      </c>
      <c r="E48" s="1263">
        <v>1721.2</v>
      </c>
      <c r="F48" s="1263">
        <f>IF(C48&gt;0,(ROUND((E48*C48),2))," ")</f>
        <v>8261.76</v>
      </c>
      <c r="G48" s="3557"/>
    </row>
    <row r="49" spans="1:7" s="4166" customFormat="1" ht="15">
      <c r="A49" s="4395"/>
      <c r="B49" s="3435"/>
      <c r="C49" s="4248"/>
      <c r="D49" s="4251"/>
      <c r="E49" s="1263"/>
      <c r="F49" s="1263" t="str">
        <f t="shared" si="0"/>
        <v xml:space="preserve"> </v>
      </c>
      <c r="G49" s="3557"/>
    </row>
    <row r="50" spans="1:7" s="4166" customFormat="1" ht="15">
      <c r="A50" s="3538">
        <v>5.3</v>
      </c>
      <c r="B50" s="4345" t="s">
        <v>3720</v>
      </c>
      <c r="C50" s="4248"/>
      <c r="D50" s="4251"/>
      <c r="E50" s="1263"/>
      <c r="F50" s="1263" t="str">
        <f t="shared" si="0"/>
        <v xml:space="preserve"> </v>
      </c>
      <c r="G50" s="3557"/>
    </row>
    <row r="51" spans="1:7" s="4166" customFormat="1" ht="14.25">
      <c r="A51" s="3539" t="s">
        <v>3804</v>
      </c>
      <c r="B51" s="4257" t="s">
        <v>2435</v>
      </c>
      <c r="C51" s="4248">
        <v>1.6</v>
      </c>
      <c r="D51" s="4251" t="s">
        <v>2432</v>
      </c>
      <c r="E51" s="1263">
        <v>611.6</v>
      </c>
      <c r="F51" s="1263">
        <f t="shared" si="0"/>
        <v>978.56</v>
      </c>
      <c r="G51" s="3557"/>
    </row>
    <row r="52" spans="1:7" s="4166" customFormat="1" ht="14.25">
      <c r="A52" s="3539" t="s">
        <v>3805</v>
      </c>
      <c r="B52" s="4257" t="s">
        <v>2344</v>
      </c>
      <c r="C52" s="4248">
        <v>5.2</v>
      </c>
      <c r="D52" s="4251" t="s">
        <v>2432</v>
      </c>
      <c r="E52" s="1263">
        <v>396.6</v>
      </c>
      <c r="F52" s="1263">
        <f t="shared" si="0"/>
        <v>2062.3200000000002</v>
      </c>
      <c r="G52" s="3557"/>
    </row>
    <row r="53" spans="1:7" s="4166" customFormat="1" ht="14.25">
      <c r="A53" s="3539" t="s">
        <v>3806</v>
      </c>
      <c r="B53" s="4257" t="s">
        <v>2345</v>
      </c>
      <c r="C53" s="4248">
        <v>6.4</v>
      </c>
      <c r="D53" s="4251" t="s">
        <v>2432</v>
      </c>
      <c r="E53" s="1263">
        <v>382.2</v>
      </c>
      <c r="F53" s="1263">
        <f t="shared" si="0"/>
        <v>2446.08</v>
      </c>
      <c r="G53" s="3557"/>
    </row>
    <row r="54" spans="1:7" s="4166" customFormat="1" ht="14.25">
      <c r="A54" s="3539" t="s">
        <v>3807</v>
      </c>
      <c r="B54" s="4257" t="s">
        <v>1548</v>
      </c>
      <c r="C54" s="4248">
        <v>15.6</v>
      </c>
      <c r="D54" s="4251" t="s">
        <v>1</v>
      </c>
      <c r="E54" s="1263">
        <v>107.14</v>
      </c>
      <c r="F54" s="1263">
        <f t="shared" si="0"/>
        <v>1671.38</v>
      </c>
      <c r="G54" s="3557"/>
    </row>
    <row r="55" spans="1:7" ht="15">
      <c r="A55" s="4469"/>
      <c r="B55" s="4470"/>
      <c r="C55" s="4453"/>
      <c r="D55" s="4467"/>
      <c r="E55" s="4455"/>
      <c r="F55" s="4455" t="str">
        <f t="shared" si="0"/>
        <v xml:space="preserve"> </v>
      </c>
    </row>
    <row r="56" spans="1:7" ht="15">
      <c r="A56" s="3538">
        <v>6</v>
      </c>
      <c r="B56" s="4345" t="s">
        <v>3827</v>
      </c>
      <c r="C56" s="1263"/>
      <c r="D56" s="4251"/>
      <c r="E56" s="1263"/>
      <c r="F56" s="1263" t="str">
        <f t="shared" si="0"/>
        <v xml:space="preserve"> </v>
      </c>
    </row>
    <row r="57" spans="1:7" ht="14.25">
      <c r="A57" s="4394">
        <v>6.1</v>
      </c>
      <c r="B57" s="4232" t="s">
        <v>3486</v>
      </c>
      <c r="C57" s="4248">
        <v>0.33</v>
      </c>
      <c r="D57" s="4251" t="s">
        <v>2430</v>
      </c>
      <c r="E57" s="1263">
        <v>16224.18</v>
      </c>
      <c r="F57" s="1263">
        <f t="shared" si="0"/>
        <v>5353.98</v>
      </c>
    </row>
    <row r="58" spans="1:7" ht="14.25">
      <c r="A58" s="4394">
        <v>6.2</v>
      </c>
      <c r="B58" s="4232" t="s">
        <v>3808</v>
      </c>
      <c r="C58" s="4248">
        <v>2.93</v>
      </c>
      <c r="D58" s="4251" t="s">
        <v>2430</v>
      </c>
      <c r="E58" s="1263">
        <v>20814.150000000001</v>
      </c>
      <c r="F58" s="1263">
        <f t="shared" si="0"/>
        <v>60985.46</v>
      </c>
    </row>
    <row r="59" spans="1:7" ht="14.25">
      <c r="A59" s="4394">
        <v>6.3</v>
      </c>
      <c r="B59" s="4232" t="s">
        <v>3809</v>
      </c>
      <c r="C59" s="4248">
        <v>3.69</v>
      </c>
      <c r="D59" s="4251" t="s">
        <v>2430</v>
      </c>
      <c r="E59" s="1263">
        <v>15490.69</v>
      </c>
      <c r="F59" s="1263">
        <f t="shared" si="0"/>
        <v>57160.65</v>
      </c>
    </row>
    <row r="60" spans="1:7" ht="14.25">
      <c r="A60" s="4394">
        <v>6.4</v>
      </c>
      <c r="B60" s="4232" t="s">
        <v>2339</v>
      </c>
      <c r="C60" s="4248">
        <v>226.2</v>
      </c>
      <c r="D60" s="4251" t="s">
        <v>2430</v>
      </c>
      <c r="E60" s="1263">
        <v>20247.240000000002</v>
      </c>
      <c r="F60" s="1263">
        <f t="shared" si="0"/>
        <v>4579925.6900000004</v>
      </c>
    </row>
    <row r="61" spans="1:7" ht="14.25">
      <c r="A61" s="4394">
        <v>6.5</v>
      </c>
      <c r="B61" s="4232" t="s">
        <v>3810</v>
      </c>
      <c r="C61" s="4248">
        <v>1.79</v>
      </c>
      <c r="D61" s="4251" t="s">
        <v>2430</v>
      </c>
      <c r="E61" s="1263">
        <v>14254.28</v>
      </c>
      <c r="F61" s="1263">
        <f t="shared" si="0"/>
        <v>25515.16</v>
      </c>
    </row>
    <row r="62" spans="1:7" ht="14.25">
      <c r="A62" s="4394">
        <v>6.6</v>
      </c>
      <c r="B62" s="4232" t="s">
        <v>2340</v>
      </c>
      <c r="C62" s="4248">
        <v>15.46</v>
      </c>
      <c r="D62" s="4251" t="s">
        <v>2430</v>
      </c>
      <c r="E62" s="1263">
        <v>22090.83</v>
      </c>
      <c r="F62" s="1263">
        <f t="shared" si="0"/>
        <v>341524.23</v>
      </c>
    </row>
    <row r="63" spans="1:7" ht="14.25">
      <c r="A63" s="4394">
        <v>6.7</v>
      </c>
      <c r="B63" s="4232" t="s">
        <v>3811</v>
      </c>
      <c r="C63" s="4248">
        <v>4.9000000000000004</v>
      </c>
      <c r="D63" s="4251" t="s">
        <v>2430</v>
      </c>
      <c r="E63" s="1263">
        <v>19101.88</v>
      </c>
      <c r="F63" s="1263">
        <f t="shared" si="0"/>
        <v>93599.21</v>
      </c>
    </row>
    <row r="64" spans="1:7" ht="14.25">
      <c r="A64" s="4394">
        <v>6.8</v>
      </c>
      <c r="B64" s="4232" t="s">
        <v>3812</v>
      </c>
      <c r="C64" s="4248">
        <v>7.32</v>
      </c>
      <c r="D64" s="4251" t="s">
        <v>2430</v>
      </c>
      <c r="E64" s="1263">
        <v>22618.15</v>
      </c>
      <c r="F64" s="1263">
        <f t="shared" si="0"/>
        <v>165564.85999999999</v>
      </c>
    </row>
    <row r="65" spans="1:6" ht="14.25">
      <c r="A65" s="4394">
        <v>6.9</v>
      </c>
      <c r="B65" s="4232" t="s">
        <v>3813</v>
      </c>
      <c r="C65" s="4248">
        <v>7.4</v>
      </c>
      <c r="D65" s="4251" t="s">
        <v>2430</v>
      </c>
      <c r="E65" s="1263">
        <v>27663.24</v>
      </c>
      <c r="F65" s="1263">
        <f t="shared" si="0"/>
        <v>204707.98</v>
      </c>
    </row>
    <row r="66" spans="1:6" ht="14.25">
      <c r="A66" s="4390">
        <v>6.1</v>
      </c>
      <c r="B66" s="4232" t="s">
        <v>3814</v>
      </c>
      <c r="C66" s="4248">
        <v>2.93</v>
      </c>
      <c r="D66" s="4251" t="s">
        <v>2430</v>
      </c>
      <c r="E66" s="1263">
        <v>21150.49</v>
      </c>
      <c r="F66" s="1263">
        <f t="shared" si="0"/>
        <v>61970.94</v>
      </c>
    </row>
    <row r="67" spans="1:6" ht="14.25">
      <c r="A67" s="4390">
        <v>6.11</v>
      </c>
      <c r="B67" s="4232" t="s">
        <v>2341</v>
      </c>
      <c r="C67" s="4248">
        <v>10.78</v>
      </c>
      <c r="D67" s="4251" t="s">
        <v>2430</v>
      </c>
      <c r="E67" s="1263">
        <v>18582.080000000002</v>
      </c>
      <c r="F67" s="1263">
        <f t="shared" si="0"/>
        <v>200314.82</v>
      </c>
    </row>
    <row r="68" spans="1:6" ht="14.25">
      <c r="A68" s="4390">
        <v>6.12</v>
      </c>
      <c r="B68" s="4232" t="s">
        <v>3487</v>
      </c>
      <c r="C68" s="4248">
        <v>2.92</v>
      </c>
      <c r="D68" s="4251" t="s">
        <v>2430</v>
      </c>
      <c r="E68" s="1263">
        <v>25264.25</v>
      </c>
      <c r="F68" s="1263">
        <f t="shared" si="0"/>
        <v>73771.61</v>
      </c>
    </row>
    <row r="69" spans="1:6" ht="14.25">
      <c r="A69" s="4390">
        <v>6.13</v>
      </c>
      <c r="B69" s="4232" t="s">
        <v>3815</v>
      </c>
      <c r="C69" s="4248">
        <v>0.04</v>
      </c>
      <c r="D69" s="4251" t="s">
        <v>2430</v>
      </c>
      <c r="E69" s="1263">
        <v>23582.560000000001</v>
      </c>
      <c r="F69" s="1263">
        <f t="shared" si="0"/>
        <v>943.3</v>
      </c>
    </row>
    <row r="70" spans="1:6" ht="14.25">
      <c r="A70" s="4390">
        <v>6.14</v>
      </c>
      <c r="B70" s="4232" t="s">
        <v>3816</v>
      </c>
      <c r="C70" s="4248">
        <v>87.63</v>
      </c>
      <c r="D70" s="4251" t="s">
        <v>2430</v>
      </c>
      <c r="E70" s="1263">
        <v>12887.84</v>
      </c>
      <c r="F70" s="1263">
        <f t="shared" si="0"/>
        <v>1129361.42</v>
      </c>
    </row>
    <row r="71" spans="1:6" ht="14.25">
      <c r="A71" s="4390">
        <v>6.15</v>
      </c>
      <c r="B71" s="4232" t="s">
        <v>3817</v>
      </c>
      <c r="C71" s="4248">
        <v>5.59</v>
      </c>
      <c r="D71" s="4251" t="s">
        <v>2430</v>
      </c>
      <c r="E71" s="1263">
        <v>20103.849999999999</v>
      </c>
      <c r="F71" s="1263">
        <f t="shared" si="0"/>
        <v>112380.52</v>
      </c>
    </row>
    <row r="72" spans="1:6" ht="14.25">
      <c r="A72" s="4390">
        <v>6.16</v>
      </c>
      <c r="B72" s="4232" t="s">
        <v>3818</v>
      </c>
      <c r="C72" s="4248">
        <v>1.1299999999999999</v>
      </c>
      <c r="D72" s="4251" t="s">
        <v>2430</v>
      </c>
      <c r="E72" s="1263">
        <v>12734.96</v>
      </c>
      <c r="F72" s="1263">
        <f t="shared" si="0"/>
        <v>14390.5</v>
      </c>
    </row>
    <row r="73" spans="1:6" ht="14.25">
      <c r="A73" s="4390">
        <v>6.17</v>
      </c>
      <c r="B73" s="4232" t="s">
        <v>3819</v>
      </c>
      <c r="C73" s="4248">
        <v>0.86</v>
      </c>
      <c r="D73" s="4251" t="s">
        <v>2430</v>
      </c>
      <c r="E73" s="1263">
        <v>12245.74</v>
      </c>
      <c r="F73" s="1263">
        <f t="shared" si="0"/>
        <v>10531.34</v>
      </c>
    </row>
    <row r="74" spans="1:6" ht="14.25">
      <c r="A74" s="4390">
        <v>6.18</v>
      </c>
      <c r="B74" s="4232" t="s">
        <v>3820</v>
      </c>
      <c r="C74" s="4248">
        <v>6.6</v>
      </c>
      <c r="D74" s="4251" t="s">
        <v>2430</v>
      </c>
      <c r="E74" s="1263">
        <v>13438.22</v>
      </c>
      <c r="F74" s="1263">
        <f t="shared" si="0"/>
        <v>88692.25</v>
      </c>
    </row>
    <row r="75" spans="1:6" ht="14.25">
      <c r="A75" s="4390">
        <v>6.19</v>
      </c>
      <c r="B75" s="4232" t="s">
        <v>3821</v>
      </c>
      <c r="C75" s="4248">
        <v>0.75</v>
      </c>
      <c r="D75" s="4251" t="s">
        <v>2430</v>
      </c>
      <c r="E75" s="1263">
        <v>13896.86</v>
      </c>
      <c r="F75" s="1263">
        <f t="shared" si="0"/>
        <v>10422.65</v>
      </c>
    </row>
    <row r="76" spans="1:6" ht="14.25">
      <c r="A76" s="4390">
        <v>6.2</v>
      </c>
      <c r="B76" s="4232" t="s">
        <v>3822</v>
      </c>
      <c r="C76" s="4248">
        <v>0.54</v>
      </c>
      <c r="D76" s="4251" t="s">
        <v>2430</v>
      </c>
      <c r="E76" s="1263">
        <v>11707.73</v>
      </c>
      <c r="F76" s="1263">
        <f t="shared" si="0"/>
        <v>6322.17</v>
      </c>
    </row>
    <row r="77" spans="1:6" ht="14.25">
      <c r="A77" s="4390">
        <v>6.21</v>
      </c>
      <c r="B77" s="4232" t="s">
        <v>3823</v>
      </c>
      <c r="C77" s="4248">
        <v>0.66</v>
      </c>
      <c r="D77" s="4251" t="s">
        <v>2430</v>
      </c>
      <c r="E77" s="1263">
        <v>13236.54</v>
      </c>
      <c r="F77" s="1263">
        <f t="shared" si="0"/>
        <v>8736.1200000000008</v>
      </c>
    </row>
    <row r="78" spans="1:6" ht="14.25">
      <c r="A78" s="4390">
        <v>6.22</v>
      </c>
      <c r="B78" s="4232" t="s">
        <v>3824</v>
      </c>
      <c r="C78" s="4248">
        <v>7.16</v>
      </c>
      <c r="D78" s="4251" t="s">
        <v>2430</v>
      </c>
      <c r="E78" s="1263">
        <v>14916.58</v>
      </c>
      <c r="F78" s="1263">
        <f t="shared" si="0"/>
        <v>106802.71</v>
      </c>
    </row>
    <row r="79" spans="1:6" ht="14.25">
      <c r="A79" s="4390">
        <v>6.23</v>
      </c>
      <c r="B79" s="4232" t="s">
        <v>3825</v>
      </c>
      <c r="C79" s="1263">
        <v>0.56999999999999995</v>
      </c>
      <c r="D79" s="4251" t="s">
        <v>2430</v>
      </c>
      <c r="E79" s="1263">
        <v>16812.310000000001</v>
      </c>
      <c r="F79" s="1263">
        <f t="shared" si="0"/>
        <v>9583.02</v>
      </c>
    </row>
    <row r="80" spans="1:6" ht="14.25">
      <c r="A80" s="4390"/>
      <c r="B80" s="4232"/>
      <c r="C80" s="4248"/>
      <c r="D80" s="4251"/>
      <c r="E80" s="1263"/>
      <c r="F80" s="1263" t="str">
        <f t="shared" si="0"/>
        <v xml:space="preserve"> </v>
      </c>
    </row>
    <row r="81" spans="1:7" ht="15">
      <c r="A81" s="4391">
        <v>7</v>
      </c>
      <c r="B81" s="4345" t="s">
        <v>3552</v>
      </c>
      <c r="C81" s="4248"/>
      <c r="D81" s="4251"/>
      <c r="E81" s="1263"/>
      <c r="F81" s="1263" t="str">
        <f t="shared" si="0"/>
        <v xml:space="preserve"> </v>
      </c>
    </row>
    <row r="82" spans="1:7" ht="14.25">
      <c r="A82" s="4394">
        <v>7.1</v>
      </c>
      <c r="B82" s="4232" t="s">
        <v>2568</v>
      </c>
      <c r="C82" s="4248">
        <v>1098.31</v>
      </c>
      <c r="D82" s="4251" t="s">
        <v>2432</v>
      </c>
      <c r="E82" s="1263">
        <v>56.57</v>
      </c>
      <c r="F82" s="1263">
        <f t="shared" ref="F82:F145" si="1">IF(C82&gt;0,(ROUND((E82*C82),2))," ")</f>
        <v>62131.4</v>
      </c>
    </row>
    <row r="83" spans="1:7" ht="14.25">
      <c r="A83" s="4394">
        <v>7.2</v>
      </c>
      <c r="B83" s="4232" t="s">
        <v>2557</v>
      </c>
      <c r="C83" s="4248">
        <v>340.74</v>
      </c>
      <c r="D83" s="4251" t="s">
        <v>2432</v>
      </c>
      <c r="E83" s="1263">
        <v>611.6</v>
      </c>
      <c r="F83" s="1263">
        <f t="shared" si="1"/>
        <v>208396.58</v>
      </c>
    </row>
    <row r="84" spans="1:7" ht="14.25">
      <c r="A84" s="4394">
        <v>7.3</v>
      </c>
      <c r="B84" s="4232" t="s">
        <v>2343</v>
      </c>
      <c r="C84" s="4248">
        <v>51.58</v>
      </c>
      <c r="D84" s="4251" t="s">
        <v>2432</v>
      </c>
      <c r="E84" s="1263">
        <v>565.92999999999995</v>
      </c>
      <c r="F84" s="1263">
        <f t="shared" si="1"/>
        <v>29190.67</v>
      </c>
    </row>
    <row r="85" spans="1:7" ht="14.25">
      <c r="A85" s="4394">
        <v>7.4</v>
      </c>
      <c r="B85" s="4232" t="s">
        <v>2344</v>
      </c>
      <c r="C85" s="4248">
        <v>609</v>
      </c>
      <c r="D85" s="4251" t="s">
        <v>2432</v>
      </c>
      <c r="E85" s="1263">
        <v>396.6</v>
      </c>
      <c r="F85" s="1263">
        <f t="shared" si="1"/>
        <v>241529.4</v>
      </c>
    </row>
    <row r="86" spans="1:7" ht="14.25">
      <c r="A86" s="4394">
        <v>7.5</v>
      </c>
      <c r="B86" s="4232" t="s">
        <v>2345</v>
      </c>
      <c r="C86" s="4248">
        <v>489.31</v>
      </c>
      <c r="D86" s="4251" t="s">
        <v>2432</v>
      </c>
      <c r="E86" s="1263">
        <v>382.2</v>
      </c>
      <c r="F86" s="1263">
        <f t="shared" si="1"/>
        <v>187014.28</v>
      </c>
    </row>
    <row r="87" spans="1:7" ht="14.25">
      <c r="A87" s="4394">
        <v>7.6</v>
      </c>
      <c r="B87" s="4232" t="s">
        <v>1548</v>
      </c>
      <c r="C87" s="4248">
        <v>344.67</v>
      </c>
      <c r="D87" s="4251" t="s">
        <v>1</v>
      </c>
      <c r="E87" s="1263">
        <v>107.14</v>
      </c>
      <c r="F87" s="1263">
        <f t="shared" si="1"/>
        <v>36927.94</v>
      </c>
    </row>
    <row r="88" spans="1:7" s="4268" customFormat="1" ht="28.5">
      <c r="A88" s="4394">
        <v>7.7</v>
      </c>
      <c r="B88" s="4104" t="s">
        <v>3167</v>
      </c>
      <c r="C88" s="4248">
        <v>163.38</v>
      </c>
      <c r="D88" s="4313" t="s">
        <v>1</v>
      </c>
      <c r="E88" s="4210">
        <v>687</v>
      </c>
      <c r="F88" s="4210">
        <f>IF(C88&gt;0,(ROUND((E88*C88),2))," ")</f>
        <v>112242.06</v>
      </c>
      <c r="G88" s="3557"/>
    </row>
    <row r="89" spans="1:7" ht="14.25">
      <c r="A89" s="4390"/>
      <c r="B89" s="4232"/>
      <c r="C89" s="4248"/>
      <c r="D89" s="4251"/>
      <c r="E89" s="1263"/>
      <c r="F89" s="1263" t="str">
        <f t="shared" si="1"/>
        <v xml:space="preserve"> </v>
      </c>
    </row>
    <row r="90" spans="1:7" ht="15">
      <c r="A90" s="4391">
        <v>8</v>
      </c>
      <c r="B90" s="4345" t="s">
        <v>3828</v>
      </c>
      <c r="C90" s="4248"/>
      <c r="D90" s="4251"/>
      <c r="E90" s="1263"/>
      <c r="F90" s="1263" t="str">
        <f t="shared" si="1"/>
        <v xml:space="preserve"> </v>
      </c>
    </row>
    <row r="91" spans="1:7" ht="15">
      <c r="A91" s="4392">
        <v>8.1</v>
      </c>
      <c r="B91" s="4345" t="s">
        <v>3829</v>
      </c>
      <c r="C91" s="4248"/>
      <c r="D91" s="4251"/>
      <c r="E91" s="1263"/>
      <c r="F91" s="1263" t="str">
        <f t="shared" si="1"/>
        <v xml:space="preserve"> </v>
      </c>
    </row>
    <row r="92" spans="1:7" ht="14.25">
      <c r="A92" s="4390" t="s">
        <v>493</v>
      </c>
      <c r="B92" s="4232" t="s">
        <v>2353</v>
      </c>
      <c r="C92" s="4248">
        <v>35.39</v>
      </c>
      <c r="D92" s="4251" t="s">
        <v>1</v>
      </c>
      <c r="E92" s="1263">
        <v>16.11</v>
      </c>
      <c r="F92" s="1263">
        <f t="shared" si="1"/>
        <v>570.13</v>
      </c>
    </row>
    <row r="93" spans="1:7" ht="14.25">
      <c r="A93" s="4390" t="s">
        <v>494</v>
      </c>
      <c r="B93" s="4232" t="s">
        <v>2982</v>
      </c>
      <c r="C93" s="4248">
        <v>39.28</v>
      </c>
      <c r="D93" s="4251" t="s">
        <v>1</v>
      </c>
      <c r="E93" s="1263">
        <v>154.51</v>
      </c>
      <c r="F93" s="1263">
        <f t="shared" si="1"/>
        <v>6069.15</v>
      </c>
    </row>
    <row r="94" spans="1:7" ht="14.25">
      <c r="A94" s="4390" t="s">
        <v>495</v>
      </c>
      <c r="B94" s="4232" t="s">
        <v>2983</v>
      </c>
      <c r="C94" s="4248">
        <v>33.39</v>
      </c>
      <c r="D94" s="4251" t="s">
        <v>2432</v>
      </c>
      <c r="E94" s="1263">
        <v>22.63</v>
      </c>
      <c r="F94" s="1263">
        <f t="shared" si="1"/>
        <v>755.62</v>
      </c>
    </row>
    <row r="95" spans="1:7" ht="13.5" customHeight="1">
      <c r="A95" s="4390" t="s">
        <v>496</v>
      </c>
      <c r="B95" s="4232" t="s">
        <v>2984</v>
      </c>
      <c r="C95" s="4248">
        <v>32.01</v>
      </c>
      <c r="D95" s="4251" t="s">
        <v>2431</v>
      </c>
      <c r="E95" s="1263">
        <v>121.12</v>
      </c>
      <c r="F95" s="1263">
        <f t="shared" si="1"/>
        <v>3877.05</v>
      </c>
    </row>
    <row r="96" spans="1:7" ht="28.5">
      <c r="A96" s="4390" t="s">
        <v>497</v>
      </c>
      <c r="B96" s="4232" t="s">
        <v>2985</v>
      </c>
      <c r="C96" s="4248">
        <v>9.09</v>
      </c>
      <c r="D96" s="4251" t="s">
        <v>2525</v>
      </c>
      <c r="E96" s="1263">
        <v>210</v>
      </c>
      <c r="F96" s="1263">
        <f t="shared" si="1"/>
        <v>1908.9</v>
      </c>
    </row>
    <row r="97" spans="1:7" ht="15">
      <c r="A97" s="4395"/>
      <c r="B97" s="4252"/>
      <c r="C97" s="4248"/>
      <c r="D97" s="4251"/>
      <c r="E97" s="1263"/>
      <c r="F97" s="1263" t="str">
        <f t="shared" si="1"/>
        <v xml:space="preserve"> </v>
      </c>
    </row>
    <row r="98" spans="1:7" ht="15">
      <c r="A98" s="4392">
        <v>8.1999999999999993</v>
      </c>
      <c r="B98" s="4345" t="s">
        <v>639</v>
      </c>
      <c r="C98" s="4248"/>
      <c r="D98" s="4251"/>
      <c r="E98" s="1263"/>
      <c r="F98" s="1263" t="str">
        <f t="shared" si="1"/>
        <v xml:space="preserve"> </v>
      </c>
    </row>
    <row r="99" spans="1:7" ht="28.5">
      <c r="A99" s="4390" t="s">
        <v>506</v>
      </c>
      <c r="B99" s="4263" t="s">
        <v>2440</v>
      </c>
      <c r="C99" s="4248">
        <v>39.26</v>
      </c>
      <c r="D99" s="4251" t="s">
        <v>1</v>
      </c>
      <c r="E99" s="1263">
        <v>7489.02</v>
      </c>
      <c r="F99" s="1263">
        <f t="shared" si="1"/>
        <v>294018.93</v>
      </c>
    </row>
    <row r="100" spans="1:7" s="4227" customFormat="1" ht="28.5">
      <c r="A100" s="4390" t="s">
        <v>507</v>
      </c>
      <c r="B100" s="4263" t="s">
        <v>3507</v>
      </c>
      <c r="C100" s="4248">
        <v>2</v>
      </c>
      <c r="D100" s="4251" t="s">
        <v>2433</v>
      </c>
      <c r="E100" s="1263">
        <v>167843.20000000001</v>
      </c>
      <c r="F100" s="1263">
        <f t="shared" si="1"/>
        <v>335686.40000000002</v>
      </c>
      <c r="G100" s="3557"/>
    </row>
    <row r="101" spans="1:7" ht="28.5">
      <c r="A101" s="4456" t="s">
        <v>508</v>
      </c>
      <c r="B101" s="4457" t="s">
        <v>2439</v>
      </c>
      <c r="C101" s="4453">
        <v>4</v>
      </c>
      <c r="D101" s="4467" t="s">
        <v>2433</v>
      </c>
      <c r="E101" s="4455">
        <v>13659.17</v>
      </c>
      <c r="F101" s="4455">
        <f t="shared" si="1"/>
        <v>54636.68</v>
      </c>
    </row>
    <row r="102" spans="1:7" ht="28.5">
      <c r="A102" s="4390" t="s">
        <v>509</v>
      </c>
      <c r="B102" s="4263" t="s">
        <v>2441</v>
      </c>
      <c r="C102" s="4248">
        <v>1</v>
      </c>
      <c r="D102" s="4251" t="s">
        <v>2433</v>
      </c>
      <c r="E102" s="1263">
        <v>14219.67</v>
      </c>
      <c r="F102" s="1263">
        <f t="shared" si="1"/>
        <v>14219.67</v>
      </c>
    </row>
    <row r="103" spans="1:7" ht="28.5">
      <c r="A103" s="4390" t="s">
        <v>510</v>
      </c>
      <c r="B103" s="4263" t="s">
        <v>3598</v>
      </c>
      <c r="C103" s="4248">
        <v>2</v>
      </c>
      <c r="D103" s="4251" t="s">
        <v>2433</v>
      </c>
      <c r="E103" s="1263">
        <v>13807.37</v>
      </c>
      <c r="F103" s="1263">
        <f t="shared" si="1"/>
        <v>27614.74</v>
      </c>
    </row>
    <row r="104" spans="1:7" ht="14.25">
      <c r="A104" s="4390" t="s">
        <v>511</v>
      </c>
      <c r="B104" s="4232" t="s">
        <v>2739</v>
      </c>
      <c r="C104" s="4248">
        <v>2</v>
      </c>
      <c r="D104" s="4251" t="s">
        <v>2433</v>
      </c>
      <c r="E104" s="1263">
        <v>19589.39</v>
      </c>
      <c r="F104" s="1263">
        <f t="shared" si="1"/>
        <v>39178.78</v>
      </c>
    </row>
    <row r="105" spans="1:7" s="4238" customFormat="1" ht="14.25">
      <c r="A105" s="4390" t="s">
        <v>512</v>
      </c>
      <c r="B105" s="4232" t="s">
        <v>3587</v>
      </c>
      <c r="C105" s="4248">
        <v>2</v>
      </c>
      <c r="D105" s="4251" t="s">
        <v>2433</v>
      </c>
      <c r="E105" s="1263">
        <v>10000</v>
      </c>
      <c r="F105" s="1263">
        <f t="shared" si="1"/>
        <v>20000</v>
      </c>
      <c r="G105" s="3557"/>
    </row>
    <row r="106" spans="1:7" ht="14.25">
      <c r="A106" s="4390"/>
      <c r="B106" s="4232"/>
      <c r="C106" s="4248"/>
      <c r="D106" s="4251"/>
      <c r="E106" s="1263"/>
      <c r="F106" s="1263"/>
    </row>
    <row r="107" spans="1:7" ht="15">
      <c r="A107" s="4391">
        <v>9</v>
      </c>
      <c r="B107" s="4345" t="s">
        <v>607</v>
      </c>
      <c r="C107" s="4248"/>
      <c r="D107" s="4251"/>
      <c r="E107" s="1263"/>
      <c r="F107" s="1263" t="str">
        <f t="shared" si="1"/>
        <v xml:space="preserve"> </v>
      </c>
    </row>
    <row r="108" spans="1:7" ht="15">
      <c r="A108" s="4392">
        <v>9.1</v>
      </c>
      <c r="B108" s="4345" t="s">
        <v>3599</v>
      </c>
      <c r="C108" s="4248"/>
      <c r="D108" s="4251"/>
      <c r="E108" s="1263"/>
      <c r="F108" s="1263"/>
    </row>
    <row r="109" spans="1:7" s="4227" customFormat="1" ht="57">
      <c r="A109" s="4390" t="s">
        <v>541</v>
      </c>
      <c r="B109" s="3432" t="s">
        <v>3752</v>
      </c>
      <c r="C109" s="4248">
        <v>1</v>
      </c>
      <c r="D109" s="4251" t="s">
        <v>2433</v>
      </c>
      <c r="E109" s="1263">
        <v>529169.81999999995</v>
      </c>
      <c r="F109" s="1263">
        <f t="shared" si="1"/>
        <v>529169.81999999995</v>
      </c>
      <c r="G109" s="3557"/>
    </row>
    <row r="110" spans="1:7" ht="57">
      <c r="A110" s="4390" t="s">
        <v>542</v>
      </c>
      <c r="B110" s="3432" t="s">
        <v>3751</v>
      </c>
      <c r="C110" s="4248">
        <v>1</v>
      </c>
      <c r="D110" s="4251" t="s">
        <v>2433</v>
      </c>
      <c r="E110" s="1263">
        <v>436477.28</v>
      </c>
      <c r="F110" s="1263">
        <f t="shared" si="1"/>
        <v>436477.28</v>
      </c>
    </row>
    <row r="111" spans="1:7" ht="45.75" customHeight="1">
      <c r="A111" s="4390" t="s">
        <v>3173</v>
      </c>
      <c r="B111" s="4232" t="s">
        <v>2556</v>
      </c>
      <c r="C111" s="4248">
        <v>3295.28</v>
      </c>
      <c r="D111" s="4251" t="s">
        <v>2602</v>
      </c>
      <c r="E111" s="1263">
        <v>3745.86</v>
      </c>
      <c r="F111" s="1263">
        <f t="shared" si="1"/>
        <v>12343657.539999999</v>
      </c>
    </row>
    <row r="112" spans="1:7" ht="14.25">
      <c r="A112" s="4390"/>
      <c r="B112" s="4232"/>
      <c r="C112" s="4248"/>
      <c r="D112" s="4251"/>
      <c r="E112" s="1263"/>
      <c r="F112" s="1263" t="str">
        <f t="shared" si="1"/>
        <v xml:space="preserve"> </v>
      </c>
    </row>
    <row r="113" spans="1:7" ht="25.5">
      <c r="A113" s="4392">
        <v>9.1999999999999993</v>
      </c>
      <c r="B113" s="4345" t="s">
        <v>3588</v>
      </c>
      <c r="C113" s="4248"/>
      <c r="D113" s="4251"/>
      <c r="E113" s="1263"/>
      <c r="F113" s="1263" t="str">
        <f t="shared" si="1"/>
        <v xml:space="preserve"> </v>
      </c>
    </row>
    <row r="114" spans="1:7" ht="75.75" customHeight="1">
      <c r="A114" s="4390" t="s">
        <v>543</v>
      </c>
      <c r="B114" s="4206" t="s">
        <v>4030</v>
      </c>
      <c r="C114" s="4248">
        <v>1</v>
      </c>
      <c r="D114" s="4251" t="s">
        <v>2433</v>
      </c>
      <c r="E114" s="1263">
        <v>66610.12</v>
      </c>
      <c r="F114" s="1263">
        <f t="shared" si="1"/>
        <v>66610.12</v>
      </c>
    </row>
    <row r="115" spans="1:7" s="4268" customFormat="1" ht="14.25">
      <c r="A115" s="4205" t="s">
        <v>544</v>
      </c>
      <c r="B115" s="3563" t="s">
        <v>3589</v>
      </c>
      <c r="C115" s="4208">
        <v>2.8</v>
      </c>
      <c r="D115" s="4313" t="s">
        <v>1</v>
      </c>
      <c r="E115" s="4210">
        <v>4119.79</v>
      </c>
      <c r="F115" s="4347">
        <f t="shared" ref="F115:F117" si="2">+ROUND((E115*C115),2)</f>
        <v>11535.41</v>
      </c>
      <c r="G115" s="3557"/>
    </row>
    <row r="116" spans="1:7" s="4268" customFormat="1" ht="14.25">
      <c r="A116" s="4205" t="s">
        <v>545</v>
      </c>
      <c r="B116" s="3563" t="s">
        <v>3590</v>
      </c>
      <c r="C116" s="4208">
        <v>2</v>
      </c>
      <c r="D116" s="4313" t="s">
        <v>2433</v>
      </c>
      <c r="E116" s="4210">
        <v>7730.32</v>
      </c>
      <c r="F116" s="4347">
        <f t="shared" si="2"/>
        <v>15460.64</v>
      </c>
      <c r="G116" s="3557"/>
    </row>
    <row r="117" spans="1:7" s="4268" customFormat="1" ht="14.25">
      <c r="A117" s="4205" t="s">
        <v>3182</v>
      </c>
      <c r="B117" s="3563" t="s">
        <v>3591</v>
      </c>
      <c r="C117" s="4191">
        <v>2</v>
      </c>
      <c r="D117" s="4313" t="s">
        <v>2433</v>
      </c>
      <c r="E117" s="4210">
        <v>6487.9</v>
      </c>
      <c r="F117" s="4347">
        <f t="shared" si="2"/>
        <v>12975.8</v>
      </c>
      <c r="G117" s="3557"/>
    </row>
    <row r="118" spans="1:7" s="4348" customFormat="1" ht="14.25">
      <c r="A118" s="4205" t="s">
        <v>3183</v>
      </c>
      <c r="B118" s="3563" t="s">
        <v>3749</v>
      </c>
      <c r="C118" s="4315">
        <v>2</v>
      </c>
      <c r="D118" s="4432" t="s">
        <v>2433</v>
      </c>
      <c r="E118" s="4210">
        <v>2948.22</v>
      </c>
      <c r="F118" s="4317">
        <f>ROUND(E118*C118,2)</f>
        <v>5896.44</v>
      </c>
      <c r="G118" s="3557"/>
    </row>
    <row r="119" spans="1:7" s="4268" customFormat="1" ht="15">
      <c r="A119" s="4205" t="s">
        <v>3830</v>
      </c>
      <c r="B119" s="4314" t="s">
        <v>3750</v>
      </c>
      <c r="C119" s="4315">
        <v>1</v>
      </c>
      <c r="D119" s="4432" t="s">
        <v>2433</v>
      </c>
      <c r="E119" s="4317">
        <v>38250.480000000003</v>
      </c>
      <c r="F119" s="4317">
        <f>ROUND(E119*C119,2)</f>
        <v>38250.480000000003</v>
      </c>
      <c r="G119" s="3557"/>
    </row>
    <row r="120" spans="1:7" ht="14.25">
      <c r="A120" s="4390"/>
      <c r="B120" s="4232"/>
      <c r="C120" s="4248"/>
      <c r="D120" s="4251"/>
      <c r="E120" s="1263"/>
      <c r="F120" s="1263"/>
    </row>
    <row r="121" spans="1:7" ht="15">
      <c r="A121" s="4391">
        <v>10</v>
      </c>
      <c r="B121" s="4345" t="s">
        <v>642</v>
      </c>
      <c r="C121" s="4248"/>
      <c r="D121" s="4251"/>
      <c r="E121" s="1263"/>
      <c r="F121" s="1263" t="str">
        <f t="shared" si="1"/>
        <v xml:space="preserve"> </v>
      </c>
    </row>
    <row r="122" spans="1:7" ht="14.25">
      <c r="A122" s="4215">
        <v>10.1</v>
      </c>
      <c r="B122" s="4345" t="s">
        <v>3599</v>
      </c>
      <c r="C122" s="4208"/>
      <c r="D122" s="4313"/>
      <c r="E122" s="4203"/>
      <c r="F122" s="4203"/>
    </row>
    <row r="123" spans="1:7" ht="42.75">
      <c r="A123" s="4205" t="s">
        <v>667</v>
      </c>
      <c r="B123" s="4206" t="s">
        <v>3592</v>
      </c>
      <c r="C123" s="4208">
        <v>2</v>
      </c>
      <c r="D123" s="4313" t="s">
        <v>2433</v>
      </c>
      <c r="E123" s="4347">
        <v>445205.74</v>
      </c>
      <c r="F123" s="4204">
        <f t="shared" ref="F123" si="3">+ROUND((E123*C123),2)</f>
        <v>890411.48</v>
      </c>
    </row>
    <row r="124" spans="1:7" ht="14.25">
      <c r="A124" s="4390"/>
      <c r="B124" s="4232"/>
      <c r="C124" s="4248"/>
      <c r="D124" s="4251"/>
      <c r="E124" s="1263"/>
      <c r="F124" s="1263"/>
    </row>
    <row r="125" spans="1:7" ht="15">
      <c r="A125" s="4392">
        <v>10.199999999999999</v>
      </c>
      <c r="B125" s="4345" t="s">
        <v>3593</v>
      </c>
      <c r="C125" s="4248"/>
      <c r="D125" s="4251"/>
      <c r="E125" s="1263"/>
      <c r="F125" s="1263" t="str">
        <f t="shared" si="1"/>
        <v xml:space="preserve"> </v>
      </c>
    </row>
    <row r="126" spans="1:7" ht="14.25">
      <c r="A126" s="4390" t="s">
        <v>669</v>
      </c>
      <c r="B126" s="3432" t="s">
        <v>3831</v>
      </c>
      <c r="C126" s="4248">
        <v>35.479999999999997</v>
      </c>
      <c r="D126" s="4251" t="s">
        <v>2430</v>
      </c>
      <c r="E126" s="1263">
        <v>4722.32</v>
      </c>
      <c r="F126" s="1263">
        <f>IF(C126&gt;0,(ROUND((E126*C126),2))," ")</f>
        <v>167547.91</v>
      </c>
    </row>
    <row r="127" spans="1:7" ht="14.25">
      <c r="A127" s="4390"/>
      <c r="B127" s="4232"/>
      <c r="C127" s="4248"/>
      <c r="D127" s="4251"/>
      <c r="E127" s="1263"/>
      <c r="F127" s="1263" t="str">
        <f t="shared" si="1"/>
        <v xml:space="preserve"> </v>
      </c>
    </row>
    <row r="128" spans="1:7" s="4242" customFormat="1" ht="15">
      <c r="A128" s="4392">
        <v>10.3</v>
      </c>
      <c r="B128" s="4345" t="s">
        <v>648</v>
      </c>
      <c r="C128" s="4363"/>
      <c r="D128" s="4273"/>
      <c r="E128" s="4369"/>
      <c r="F128" s="1263" t="str">
        <f t="shared" si="1"/>
        <v xml:space="preserve"> </v>
      </c>
      <c r="G128" s="3557"/>
    </row>
    <row r="129" spans="1:7" ht="28.5">
      <c r="A129" s="4390" t="s">
        <v>3832</v>
      </c>
      <c r="B129" s="3432" t="s">
        <v>2555</v>
      </c>
      <c r="C129" s="4248">
        <v>18.68</v>
      </c>
      <c r="D129" s="4251" t="s">
        <v>1</v>
      </c>
      <c r="E129" s="1263">
        <v>7489.02</v>
      </c>
      <c r="F129" s="1263">
        <f t="shared" si="1"/>
        <v>139894.89000000001</v>
      </c>
    </row>
    <row r="130" spans="1:7" ht="14.25">
      <c r="A130" s="4456" t="s">
        <v>3833</v>
      </c>
      <c r="B130" s="4458" t="s">
        <v>3600</v>
      </c>
      <c r="C130" s="4453">
        <v>6</v>
      </c>
      <c r="D130" s="4467" t="s">
        <v>2433</v>
      </c>
      <c r="E130" s="4455">
        <v>2245.4299999999998</v>
      </c>
      <c r="F130" s="4455">
        <f t="shared" si="1"/>
        <v>13472.58</v>
      </c>
    </row>
    <row r="131" spans="1:7" ht="117" customHeight="1">
      <c r="A131" s="4390" t="s">
        <v>3834</v>
      </c>
      <c r="B131" s="4206" t="s">
        <v>3594</v>
      </c>
      <c r="C131" s="4248">
        <v>4</v>
      </c>
      <c r="D131" s="4251" t="s">
        <v>2433</v>
      </c>
      <c r="E131" s="4204">
        <v>167843.20000000001</v>
      </c>
      <c r="F131" s="1263">
        <f t="shared" si="1"/>
        <v>671372.80000000005</v>
      </c>
    </row>
    <row r="132" spans="1:7" s="4268" customFormat="1" ht="14.25">
      <c r="A132" s="4390" t="s">
        <v>3835</v>
      </c>
      <c r="B132" s="4267" t="s">
        <v>2740</v>
      </c>
      <c r="C132" s="4364">
        <v>12</v>
      </c>
      <c r="D132" s="4313" t="s">
        <v>2433</v>
      </c>
      <c r="E132" s="4210">
        <v>5242.6099999999997</v>
      </c>
      <c r="F132" s="4210">
        <f t="shared" si="1"/>
        <v>62911.32</v>
      </c>
      <c r="G132" s="3557"/>
    </row>
    <row r="133" spans="1:7" s="4223" customFormat="1" ht="14.25">
      <c r="A133" s="4390" t="s">
        <v>3836</v>
      </c>
      <c r="B133" s="4267" t="s">
        <v>3601</v>
      </c>
      <c r="C133" s="4364">
        <v>12</v>
      </c>
      <c r="D133" s="4313" t="s">
        <v>2433</v>
      </c>
      <c r="E133" s="4210">
        <v>11564.67</v>
      </c>
      <c r="F133" s="4210">
        <f t="shared" si="1"/>
        <v>138776.04</v>
      </c>
      <c r="G133" s="3557"/>
    </row>
    <row r="134" spans="1:7" s="4223" customFormat="1" ht="14.25">
      <c r="A134" s="4390" t="s">
        <v>3837</v>
      </c>
      <c r="B134" s="3563" t="s">
        <v>3595</v>
      </c>
      <c r="C134" s="4364">
        <v>4</v>
      </c>
      <c r="D134" s="4313" t="s">
        <v>2433</v>
      </c>
      <c r="E134" s="4210">
        <v>8449.4699999999993</v>
      </c>
      <c r="F134" s="4210">
        <f t="shared" si="1"/>
        <v>33797.879999999997</v>
      </c>
      <c r="G134" s="3557"/>
    </row>
    <row r="135" spans="1:7" s="4223" customFormat="1" ht="14.25">
      <c r="A135" s="4390" t="s">
        <v>3838</v>
      </c>
      <c r="B135" s="3563" t="s">
        <v>3490</v>
      </c>
      <c r="C135" s="4364">
        <v>31.68</v>
      </c>
      <c r="D135" s="4313" t="s">
        <v>1</v>
      </c>
      <c r="E135" s="4210">
        <v>1765.15</v>
      </c>
      <c r="F135" s="4210">
        <f t="shared" si="1"/>
        <v>55919.95</v>
      </c>
      <c r="G135" s="3557"/>
    </row>
    <row r="136" spans="1:7" s="4238" customFormat="1" ht="14.25">
      <c r="A136" s="4390" t="s">
        <v>3839</v>
      </c>
      <c r="B136" s="4212" t="s">
        <v>3597</v>
      </c>
      <c r="C136" s="4191">
        <v>12</v>
      </c>
      <c r="D136" s="4194" t="s">
        <v>2433</v>
      </c>
      <c r="E136" s="4210">
        <v>250</v>
      </c>
      <c r="F136" s="4210">
        <f t="shared" ref="F136" si="4">+ROUND((E136*C136),2)</f>
        <v>3000</v>
      </c>
      <c r="G136" s="3557"/>
    </row>
    <row r="137" spans="1:7" s="4268" customFormat="1" ht="14.25">
      <c r="A137" s="4390" t="s">
        <v>3840</v>
      </c>
      <c r="B137" s="3563" t="s">
        <v>3596</v>
      </c>
      <c r="C137" s="4364">
        <v>12</v>
      </c>
      <c r="D137" s="4313" t="s">
        <v>2433</v>
      </c>
      <c r="E137" s="4210">
        <v>250</v>
      </c>
      <c r="F137" s="4210">
        <f>IF(C137&gt;0,(ROUND((E137*C137),2))," ")</f>
        <v>3000</v>
      </c>
      <c r="G137" s="3557"/>
    </row>
    <row r="138" spans="1:7" s="4223" customFormat="1" ht="71.25">
      <c r="A138" s="4390" t="s">
        <v>3841</v>
      </c>
      <c r="B138" s="4370" t="s">
        <v>3842</v>
      </c>
      <c r="C138" s="4210">
        <v>1777.01</v>
      </c>
      <c r="D138" s="4313" t="s">
        <v>3489</v>
      </c>
      <c r="E138" s="4210">
        <v>3637.09</v>
      </c>
      <c r="F138" s="4210">
        <f t="shared" si="1"/>
        <v>6463145.2999999998</v>
      </c>
      <c r="G138" s="3557"/>
    </row>
    <row r="139" spans="1:7" s="4223" customFormat="1" ht="14.25">
      <c r="A139" s="4393"/>
      <c r="B139" s="3563"/>
      <c r="C139" s="4364"/>
      <c r="D139" s="4313"/>
      <c r="E139" s="4210"/>
      <c r="F139" s="4210"/>
      <c r="G139" s="3557"/>
    </row>
    <row r="140" spans="1:7" s="4223" customFormat="1" ht="15">
      <c r="A140" s="4396">
        <v>11</v>
      </c>
      <c r="B140" s="4345" t="s">
        <v>673</v>
      </c>
      <c r="C140" s="4364"/>
      <c r="D140" s="4313"/>
      <c r="E140" s="4210"/>
      <c r="F140" s="4210" t="str">
        <f t="shared" si="1"/>
        <v xml:space="preserve"> </v>
      </c>
      <c r="G140" s="3557"/>
    </row>
    <row r="141" spans="1:7" s="4223" customFormat="1" ht="15">
      <c r="A141" s="4397">
        <v>11.1</v>
      </c>
      <c r="B141" s="4345" t="s">
        <v>2265</v>
      </c>
      <c r="C141" s="4364"/>
      <c r="D141" s="4313"/>
      <c r="E141" s="4210"/>
      <c r="F141" s="4210" t="str">
        <f t="shared" si="1"/>
        <v xml:space="preserve"> </v>
      </c>
      <c r="G141" s="3557"/>
    </row>
    <row r="142" spans="1:7" s="4223" customFormat="1" ht="117" customHeight="1">
      <c r="A142" s="4393" t="s">
        <v>488</v>
      </c>
      <c r="B142" s="4220" t="s">
        <v>3602</v>
      </c>
      <c r="C142" s="4364">
        <v>6</v>
      </c>
      <c r="D142" s="4313" t="s">
        <v>2433</v>
      </c>
      <c r="E142" s="4210">
        <v>96476.800000000003</v>
      </c>
      <c r="F142" s="4210">
        <f t="shared" si="1"/>
        <v>578860.80000000005</v>
      </c>
      <c r="G142" s="3557"/>
    </row>
    <row r="143" spans="1:7" s="4223" customFormat="1" ht="128.25">
      <c r="A143" s="4393" t="s">
        <v>489</v>
      </c>
      <c r="B143" s="4219" t="s">
        <v>3603</v>
      </c>
      <c r="C143" s="4364">
        <v>6</v>
      </c>
      <c r="D143" s="4313" t="s">
        <v>2433</v>
      </c>
      <c r="E143" s="4210">
        <v>88547.199999999997</v>
      </c>
      <c r="F143" s="4210">
        <f t="shared" si="1"/>
        <v>531283.19999999995</v>
      </c>
      <c r="G143" s="3557"/>
    </row>
    <row r="144" spans="1:7" s="4223" customFormat="1" ht="128.25">
      <c r="A144" s="4472" t="s">
        <v>490</v>
      </c>
      <c r="B144" s="4473" t="s">
        <v>3604</v>
      </c>
      <c r="C144" s="4474">
        <v>1</v>
      </c>
      <c r="D144" s="4514" t="s">
        <v>2433</v>
      </c>
      <c r="E144" s="4463">
        <v>88547.199999999997</v>
      </c>
      <c r="F144" s="4463">
        <f t="shared" si="1"/>
        <v>88547.199999999997</v>
      </c>
      <c r="G144" s="3557"/>
    </row>
    <row r="145" spans="1:7" s="4223" customFormat="1" ht="128.25">
      <c r="A145" s="4393" t="s">
        <v>1516</v>
      </c>
      <c r="B145" s="4220" t="s">
        <v>3605</v>
      </c>
      <c r="C145" s="4364">
        <v>6</v>
      </c>
      <c r="D145" s="4313" t="s">
        <v>2433</v>
      </c>
      <c r="E145" s="4210">
        <v>167843.20000000001</v>
      </c>
      <c r="F145" s="4210">
        <f t="shared" si="1"/>
        <v>1007059.2</v>
      </c>
      <c r="G145" s="3557"/>
    </row>
    <row r="146" spans="1:7" s="4223" customFormat="1" ht="57">
      <c r="A146" s="4393" t="s">
        <v>1517</v>
      </c>
      <c r="B146" s="4220" t="s">
        <v>3606</v>
      </c>
      <c r="C146" s="4364">
        <v>6</v>
      </c>
      <c r="D146" s="4313" t="s">
        <v>2433</v>
      </c>
      <c r="E146" s="4210">
        <v>427748.82</v>
      </c>
      <c r="F146" s="4210">
        <f t="shared" ref="F146:F159" si="5">IF(C146&gt;0,(ROUND((E146*C146),2))," ")</f>
        <v>2566492.92</v>
      </c>
      <c r="G146" s="3557"/>
    </row>
    <row r="147" spans="1:7" s="4223" customFormat="1" ht="28.5">
      <c r="A147" s="4393" t="s">
        <v>1518</v>
      </c>
      <c r="B147" s="3563" t="s">
        <v>2347</v>
      </c>
      <c r="C147" s="4364">
        <v>231.64</v>
      </c>
      <c r="D147" s="4313" t="s">
        <v>2602</v>
      </c>
      <c r="E147" s="4210">
        <v>11445.22</v>
      </c>
      <c r="F147" s="4210">
        <f>IF(C147&gt;0,(ROUND((E147*C147),2))," ")</f>
        <v>2651170.7599999998</v>
      </c>
      <c r="G147" s="3557"/>
    </row>
    <row r="148" spans="1:7" s="4223" customFormat="1" ht="14.25">
      <c r="A148" s="4393" t="s">
        <v>1519</v>
      </c>
      <c r="B148" s="3563" t="s">
        <v>2436</v>
      </c>
      <c r="C148" s="4364">
        <v>231.64</v>
      </c>
      <c r="D148" s="4313" t="s">
        <v>2602</v>
      </c>
      <c r="E148" s="4210">
        <v>3229.24</v>
      </c>
      <c r="F148" s="4210">
        <f>IF(C148&gt;0,(ROUND((E148*C148),2))," ")</f>
        <v>748021.15</v>
      </c>
      <c r="G148" s="3557"/>
    </row>
    <row r="149" spans="1:7" ht="14.25">
      <c r="A149" s="4393"/>
      <c r="B149" s="4232"/>
      <c r="C149" s="4248"/>
      <c r="D149" s="4251"/>
      <c r="E149" s="1263"/>
      <c r="F149" s="1263" t="str">
        <f t="shared" si="5"/>
        <v xml:space="preserve"> </v>
      </c>
    </row>
    <row r="150" spans="1:7" ht="15">
      <c r="A150" s="4392">
        <v>11.2</v>
      </c>
      <c r="B150" s="4345" t="s">
        <v>2128</v>
      </c>
      <c r="C150" s="4248"/>
      <c r="D150" s="4251"/>
      <c r="E150" s="1263"/>
      <c r="F150" s="1263" t="str">
        <f t="shared" si="5"/>
        <v xml:space="preserve"> </v>
      </c>
    </row>
    <row r="151" spans="1:7" ht="42.75">
      <c r="A151" s="4390" t="s">
        <v>491</v>
      </c>
      <c r="B151" s="4232" t="s">
        <v>3607</v>
      </c>
      <c r="C151" s="4248">
        <v>1</v>
      </c>
      <c r="D151" s="4251" t="s">
        <v>2433</v>
      </c>
      <c r="E151" s="1263">
        <v>494470.74</v>
      </c>
      <c r="F151" s="1263">
        <f t="shared" si="5"/>
        <v>494470.74</v>
      </c>
    </row>
    <row r="152" spans="1:7" ht="42.75">
      <c r="A152" s="4390" t="s">
        <v>492</v>
      </c>
      <c r="B152" s="4232" t="s">
        <v>2437</v>
      </c>
      <c r="C152" s="4248">
        <v>1</v>
      </c>
      <c r="D152" s="4251" t="s">
        <v>2433</v>
      </c>
      <c r="E152" s="1263">
        <v>10000</v>
      </c>
      <c r="F152" s="1263">
        <f t="shared" si="5"/>
        <v>10000</v>
      </c>
    </row>
    <row r="153" spans="1:7" s="4223" customFormat="1" ht="15">
      <c r="A153" s="4393"/>
      <c r="B153" s="4221"/>
      <c r="C153" s="4364"/>
      <c r="D153" s="4313"/>
      <c r="E153" s="4210"/>
      <c r="F153" s="4210" t="str">
        <f>IF(C153&gt;0,(ROUND((E153*C153),2))," ")</f>
        <v xml:space="preserve"> </v>
      </c>
      <c r="G153" s="3557"/>
    </row>
    <row r="154" spans="1:7" s="4223" customFormat="1" ht="15">
      <c r="A154" s="4397">
        <v>11.3</v>
      </c>
      <c r="B154" s="4345" t="s">
        <v>690</v>
      </c>
      <c r="C154" s="4364"/>
      <c r="D154" s="4313"/>
      <c r="E154" s="4210"/>
      <c r="F154" s="4210" t="str">
        <f>IF(C154&gt;0,(ROUND((E154*C154),2))," ")</f>
        <v xml:space="preserve"> </v>
      </c>
      <c r="G154" s="3557"/>
    </row>
    <row r="155" spans="1:7" s="4223" customFormat="1" ht="28.5">
      <c r="A155" s="4393" t="s">
        <v>1785</v>
      </c>
      <c r="B155" s="3563" t="s">
        <v>2348</v>
      </c>
      <c r="C155" s="4364">
        <v>19</v>
      </c>
      <c r="D155" s="4251" t="s">
        <v>2430</v>
      </c>
      <c r="E155" s="4210">
        <v>20060</v>
      </c>
      <c r="F155" s="4210">
        <f>IF(C155&gt;0,(ROUND((E155*C155),2))," ")</f>
        <v>381140</v>
      </c>
      <c r="G155" s="3557"/>
    </row>
    <row r="156" spans="1:7" s="4268" customFormat="1" ht="14.25">
      <c r="A156" s="4393" t="s">
        <v>3843</v>
      </c>
      <c r="B156" s="3563" t="s">
        <v>2606</v>
      </c>
      <c r="C156" s="4364">
        <v>3</v>
      </c>
      <c r="D156" s="4251" t="s">
        <v>2430</v>
      </c>
      <c r="E156" s="4210">
        <v>18880</v>
      </c>
      <c r="F156" s="4210">
        <f>IF(C156&gt;0,(ROUND((E156*C156),2))," ")</f>
        <v>56640</v>
      </c>
      <c r="G156" s="3557"/>
    </row>
    <row r="157" spans="1:7" s="4223" customFormat="1" ht="14.25">
      <c r="A157" s="4393" t="s">
        <v>3844</v>
      </c>
      <c r="B157" s="3563" t="s">
        <v>2349</v>
      </c>
      <c r="C157" s="4364">
        <v>22</v>
      </c>
      <c r="D157" s="4251" t="s">
        <v>2430</v>
      </c>
      <c r="E157" s="4210">
        <v>1770</v>
      </c>
      <c r="F157" s="4210">
        <f>IF(C157&gt;0,(ROUND((E157*C157),2))," ")</f>
        <v>38940</v>
      </c>
      <c r="G157" s="3557"/>
    </row>
    <row r="158" spans="1:7" s="4223" customFormat="1" ht="14.25">
      <c r="A158" s="4393" t="s">
        <v>3845</v>
      </c>
      <c r="B158" s="3563" t="s">
        <v>2350</v>
      </c>
      <c r="C158" s="4364">
        <v>22</v>
      </c>
      <c r="D158" s="4251" t="s">
        <v>2430</v>
      </c>
      <c r="E158" s="4210">
        <v>950</v>
      </c>
      <c r="F158" s="4210">
        <f t="shared" ref="F158" si="6">IF(C158&gt;0,(ROUND((E158*C158),2))," ")</f>
        <v>20900</v>
      </c>
      <c r="G158" s="3557"/>
    </row>
    <row r="159" spans="1:7" ht="14.25">
      <c r="A159" s="4390"/>
      <c r="B159" s="4232"/>
      <c r="C159" s="4248"/>
      <c r="D159" s="4251"/>
      <c r="E159" s="1263"/>
      <c r="F159" s="1263" t="str">
        <f t="shared" si="5"/>
        <v xml:space="preserve"> </v>
      </c>
    </row>
    <row r="160" spans="1:7" s="4229" customFormat="1" ht="12.75" customHeight="1">
      <c r="A160" s="4215">
        <v>12</v>
      </c>
      <c r="B160" s="4345" t="s">
        <v>3608</v>
      </c>
      <c r="C160" s="4208"/>
      <c r="D160" s="4251"/>
      <c r="E160" s="4210"/>
      <c r="F160" s="4210"/>
      <c r="G160" s="3557"/>
    </row>
    <row r="161" spans="1:7" s="4229" customFormat="1" ht="12.75" customHeight="1">
      <c r="A161" s="4216">
        <v>12.1</v>
      </c>
      <c r="B161" s="4230" t="s">
        <v>4046</v>
      </c>
      <c r="C161" s="4191">
        <v>2</v>
      </c>
      <c r="D161" s="4251" t="s">
        <v>2433</v>
      </c>
      <c r="E161" s="4210">
        <v>10000</v>
      </c>
      <c r="F161" s="4210">
        <f t="shared" ref="F161:F163" si="7">ROUND(E161*C161,2)</f>
        <v>20000</v>
      </c>
      <c r="G161" s="3557"/>
    </row>
    <row r="162" spans="1:7" s="4229" customFormat="1" ht="12.75" customHeight="1">
      <c r="A162" s="4216">
        <v>12.2</v>
      </c>
      <c r="B162" s="4231" t="s">
        <v>3610</v>
      </c>
      <c r="C162" s="4191">
        <v>8.75</v>
      </c>
      <c r="D162" s="4251" t="s">
        <v>1</v>
      </c>
      <c r="E162" s="4210">
        <v>7429.53</v>
      </c>
      <c r="F162" s="4210">
        <f t="shared" si="7"/>
        <v>65008.39</v>
      </c>
      <c r="G162" s="3557"/>
    </row>
    <row r="163" spans="1:7" s="4229" customFormat="1" ht="15" customHeight="1">
      <c r="A163" s="4216">
        <v>12.3</v>
      </c>
      <c r="B163" s="4230" t="s">
        <v>3611</v>
      </c>
      <c r="C163" s="4191">
        <v>1</v>
      </c>
      <c r="D163" s="4251" t="s">
        <v>42</v>
      </c>
      <c r="E163" s="4210">
        <v>3500</v>
      </c>
      <c r="F163" s="4210">
        <f t="shared" si="7"/>
        <v>3500</v>
      </c>
      <c r="G163" s="3557"/>
    </row>
    <row r="164" spans="1:7" ht="14.25">
      <c r="A164" s="4390"/>
      <c r="B164" s="4232"/>
      <c r="C164" s="4248"/>
      <c r="D164" s="4251"/>
      <c r="E164" s="1263"/>
      <c r="F164" s="1263" t="str">
        <f t="shared" ref="F164:F523" si="8">IF(C164&gt;0,(ROUND((E164*C164),2))," ")</f>
        <v xml:space="preserve"> </v>
      </c>
    </row>
    <row r="165" spans="1:7" ht="15">
      <c r="A165" s="4391">
        <v>13</v>
      </c>
      <c r="B165" s="4345" t="s">
        <v>3030</v>
      </c>
      <c r="C165" s="4248"/>
      <c r="D165" s="4251"/>
      <c r="E165" s="1263"/>
      <c r="F165" s="1263" t="str">
        <f t="shared" si="8"/>
        <v xml:space="preserve"> </v>
      </c>
    </row>
    <row r="166" spans="1:7" ht="71.25">
      <c r="A166" s="4394">
        <v>13.1</v>
      </c>
      <c r="B166" s="4232" t="s">
        <v>2351</v>
      </c>
      <c r="C166" s="4248">
        <v>126.04</v>
      </c>
      <c r="D166" s="4251" t="s">
        <v>1</v>
      </c>
      <c r="E166" s="1263">
        <v>3247.7</v>
      </c>
      <c r="F166" s="1263">
        <f t="shared" si="8"/>
        <v>409340.11</v>
      </c>
    </row>
    <row r="167" spans="1:7" s="4236" customFormat="1" ht="12.75" customHeight="1">
      <c r="A167" s="4394">
        <v>13.2</v>
      </c>
      <c r="B167" s="4232" t="s">
        <v>3613</v>
      </c>
      <c r="C167" s="4248">
        <v>3</v>
      </c>
      <c r="D167" s="4251" t="s">
        <v>2433</v>
      </c>
      <c r="E167" s="1263">
        <v>6500</v>
      </c>
      <c r="F167" s="1263">
        <f t="shared" si="8"/>
        <v>19500</v>
      </c>
      <c r="G167" s="3557"/>
    </row>
    <row r="168" spans="1:7" ht="14.25">
      <c r="A168" s="4394">
        <v>13.3</v>
      </c>
      <c r="B168" s="4232" t="s">
        <v>3612</v>
      </c>
      <c r="C168" s="4248">
        <v>2</v>
      </c>
      <c r="D168" s="4251" t="s">
        <v>2433</v>
      </c>
      <c r="E168" s="1263">
        <v>127458.41</v>
      </c>
      <c r="F168" s="1263">
        <f t="shared" si="8"/>
        <v>254916.82</v>
      </c>
    </row>
    <row r="169" spans="1:7" ht="14.25">
      <c r="A169" s="4390"/>
      <c r="B169" s="3432"/>
      <c r="C169" s="4248"/>
      <c r="D169" s="4251"/>
      <c r="E169" s="1263"/>
      <c r="F169" s="1263" t="str">
        <f t="shared" si="8"/>
        <v xml:space="preserve"> </v>
      </c>
    </row>
    <row r="170" spans="1:7" s="4229" customFormat="1" ht="28.5" customHeight="1">
      <c r="A170" s="4300">
        <v>14</v>
      </c>
      <c r="B170" s="4345" t="s">
        <v>3614</v>
      </c>
      <c r="C170" s="4498"/>
      <c r="D170" s="4194"/>
      <c r="E170" s="4210"/>
      <c r="F170" s="4303">
        <f t="shared" ref="F170:F174" si="9">ROUND(C170*E170,2)</f>
        <v>0</v>
      </c>
      <c r="G170" s="3557"/>
    </row>
    <row r="171" spans="1:7" s="4229" customFormat="1" ht="14.25">
      <c r="A171" s="4304">
        <v>14.1</v>
      </c>
      <c r="B171" s="4267" t="s">
        <v>4031</v>
      </c>
      <c r="C171" s="4498">
        <v>4</v>
      </c>
      <c r="D171" s="4194" t="s">
        <v>2433</v>
      </c>
      <c r="E171" s="4210">
        <v>92889.600000000006</v>
      </c>
      <c r="F171" s="4303">
        <f t="shared" si="9"/>
        <v>371558.40000000002</v>
      </c>
      <c r="G171" s="3557"/>
    </row>
    <row r="172" spans="1:7" s="4229" customFormat="1" ht="14.25">
      <c r="A172" s="4304">
        <v>14.2</v>
      </c>
      <c r="B172" s="4267" t="s">
        <v>3615</v>
      </c>
      <c r="C172" s="4498">
        <v>6</v>
      </c>
      <c r="D172" s="4194" t="s">
        <v>2433</v>
      </c>
      <c r="E172" s="4210">
        <v>92889.600000000006</v>
      </c>
      <c r="F172" s="4303">
        <f t="shared" si="9"/>
        <v>557337.59999999998</v>
      </c>
      <c r="G172" s="3557"/>
    </row>
    <row r="173" spans="1:7" s="4229" customFormat="1" ht="14.25">
      <c r="A173" s="4304">
        <v>14.3</v>
      </c>
      <c r="B173" s="4267" t="s">
        <v>4032</v>
      </c>
      <c r="C173" s="4498">
        <v>7</v>
      </c>
      <c r="D173" s="4194" t="s">
        <v>2433</v>
      </c>
      <c r="E173" s="4210">
        <v>92889.600000000006</v>
      </c>
      <c r="F173" s="4303">
        <f t="shared" si="9"/>
        <v>650227.19999999995</v>
      </c>
      <c r="G173" s="3557"/>
    </row>
    <row r="174" spans="1:7" s="4229" customFormat="1" ht="14.25">
      <c r="A174" s="4459">
        <v>14.4</v>
      </c>
      <c r="B174" s="4460" t="s">
        <v>4033</v>
      </c>
      <c r="C174" s="4499">
        <v>6</v>
      </c>
      <c r="D174" s="4478" t="s">
        <v>2433</v>
      </c>
      <c r="E174" s="4463">
        <v>92889.600000000006</v>
      </c>
      <c r="F174" s="4464">
        <f t="shared" si="9"/>
        <v>557337.59999999998</v>
      </c>
      <c r="G174" s="3557"/>
    </row>
    <row r="175" spans="1:7" ht="14.25">
      <c r="A175" s="4390"/>
      <c r="B175" s="4232"/>
      <c r="C175" s="4248"/>
      <c r="D175" s="4251"/>
      <c r="E175" s="1263"/>
      <c r="F175" s="1263" t="str">
        <f t="shared" si="8"/>
        <v xml:space="preserve"> </v>
      </c>
    </row>
    <row r="176" spans="1:7" ht="15">
      <c r="A176" s="4391">
        <v>15</v>
      </c>
      <c r="B176" s="4345" t="s">
        <v>764</v>
      </c>
      <c r="C176" s="4248"/>
      <c r="D176" s="4251"/>
      <c r="E176" s="1263"/>
      <c r="F176" s="1263" t="str">
        <f t="shared" si="8"/>
        <v xml:space="preserve"> </v>
      </c>
    </row>
    <row r="177" spans="1:7" ht="14.25">
      <c r="A177" s="4394">
        <v>15.1</v>
      </c>
      <c r="B177" s="4232" t="s">
        <v>2352</v>
      </c>
      <c r="C177" s="4248">
        <v>204.75</v>
      </c>
      <c r="D177" s="4251" t="s">
        <v>2432</v>
      </c>
      <c r="E177" s="1263">
        <v>132.63999999999999</v>
      </c>
      <c r="F177" s="1263">
        <f t="shared" si="8"/>
        <v>27158.04</v>
      </c>
    </row>
    <row r="178" spans="1:7" ht="14.25">
      <c r="A178" s="4394">
        <v>15.2</v>
      </c>
      <c r="B178" s="4232" t="s">
        <v>2599</v>
      </c>
      <c r="C178" s="4248">
        <v>204.75</v>
      </c>
      <c r="D178" s="4251" t="s">
        <v>2432</v>
      </c>
      <c r="E178" s="1263">
        <v>94.92</v>
      </c>
      <c r="F178" s="1263">
        <f t="shared" si="8"/>
        <v>19434.87</v>
      </c>
    </row>
    <row r="179" spans="1:7" ht="14.25">
      <c r="A179" s="4394">
        <v>15.3</v>
      </c>
      <c r="B179" s="4232" t="s">
        <v>2595</v>
      </c>
      <c r="C179" s="4248">
        <v>1</v>
      </c>
      <c r="D179" s="4251" t="s">
        <v>2433</v>
      </c>
      <c r="E179" s="1263">
        <v>12000</v>
      </c>
      <c r="F179" s="1263">
        <f t="shared" si="8"/>
        <v>12000</v>
      </c>
    </row>
    <row r="180" spans="1:7" s="4242" customFormat="1">
      <c r="A180" s="4305"/>
      <c r="B180" s="4306" t="s">
        <v>2127</v>
      </c>
      <c r="C180" s="4500"/>
      <c r="D180" s="4308"/>
      <c r="E180" s="4309"/>
      <c r="F180" s="4309">
        <f>SUM(F15:F179)</f>
        <v>45455882.259999998</v>
      </c>
      <c r="G180" s="3557"/>
    </row>
    <row r="181" spans="1:7" ht="14.25">
      <c r="A181" s="4390"/>
      <c r="B181" s="3433"/>
      <c r="C181" s="4233"/>
      <c r="D181" s="4269"/>
      <c r="E181" s="4270"/>
      <c r="F181" s="4235" t="str">
        <f t="shared" si="8"/>
        <v xml:space="preserve"> </v>
      </c>
    </row>
    <row r="182" spans="1:7" s="4223" customFormat="1" ht="15">
      <c r="A182" s="4398" t="s">
        <v>774</v>
      </c>
      <c r="B182" s="3435" t="s">
        <v>1995</v>
      </c>
      <c r="C182" s="4222"/>
      <c r="D182" s="4313"/>
      <c r="E182" s="4217"/>
      <c r="F182" s="4217" t="str">
        <f>IF(C182&gt;0,(ROUND((E182*C182),2))," ")</f>
        <v xml:space="preserve"> </v>
      </c>
      <c r="G182" s="3557"/>
    </row>
    <row r="183" spans="1:7" s="4227" customFormat="1" ht="15" customHeight="1">
      <c r="A183" s="4395"/>
      <c r="B183" s="3435"/>
      <c r="C183" s="4233"/>
      <c r="D183" s="4251"/>
      <c r="E183" s="4266"/>
      <c r="F183" s="4235" t="str">
        <f>IF(C183&gt;0,(ROUND((E183*C183),2))," ")</f>
        <v xml:space="preserve"> </v>
      </c>
      <c r="G183" s="3557"/>
    </row>
    <row r="184" spans="1:7" s="4240" customFormat="1" ht="15" customHeight="1">
      <c r="A184" s="4391">
        <v>1</v>
      </c>
      <c r="B184" s="4345" t="s">
        <v>2165</v>
      </c>
      <c r="C184" s="4264"/>
      <c r="D184" s="4273"/>
      <c r="E184" s="4266"/>
      <c r="F184" s="4266" t="str">
        <f>IF(C184&gt;0,(ROUND((E184*C184),2))," ")</f>
        <v xml:space="preserve"> </v>
      </c>
      <c r="G184" s="3557"/>
    </row>
    <row r="185" spans="1:7" s="4227" customFormat="1" ht="14.25" customHeight="1">
      <c r="A185" s="4394">
        <v>1.1000000000000001</v>
      </c>
      <c r="B185" s="4232" t="s">
        <v>4042</v>
      </c>
      <c r="C185" s="4233">
        <v>40</v>
      </c>
      <c r="D185" s="4251" t="s">
        <v>1</v>
      </c>
      <c r="E185" s="4235">
        <v>79.19</v>
      </c>
      <c r="F185" s="4235">
        <f>IF(C185&gt;0,(ROUND((E185*C185),2))," ")</f>
        <v>3167.6</v>
      </c>
      <c r="G185" s="3557"/>
    </row>
    <row r="186" spans="1:7" s="4227" customFormat="1" ht="14.25" customHeight="1">
      <c r="A186" s="4390"/>
      <c r="B186" s="4232"/>
      <c r="C186" s="4233"/>
      <c r="D186" s="4251"/>
      <c r="E186" s="4235"/>
      <c r="F186" s="4235"/>
      <c r="G186" s="3557"/>
    </row>
    <row r="187" spans="1:7" s="4240" customFormat="1" ht="15" customHeight="1">
      <c r="A187" s="4391">
        <v>2</v>
      </c>
      <c r="B187" s="4345" t="s">
        <v>14</v>
      </c>
      <c r="C187" s="4264"/>
      <c r="D187" s="4273"/>
      <c r="E187" s="4266"/>
      <c r="F187" s="4266" t="str">
        <f t="shared" ref="F187:F250" si="10">IF(C187&gt;0,(ROUND((E187*C187),2))," ")</f>
        <v xml:space="preserve"> </v>
      </c>
      <c r="G187" s="3557"/>
    </row>
    <row r="188" spans="1:7" ht="14.25" customHeight="1">
      <c r="A188" s="4394">
        <v>2.1</v>
      </c>
      <c r="B188" s="4232" t="s">
        <v>2398</v>
      </c>
      <c r="C188" s="4233">
        <v>24.53</v>
      </c>
      <c r="D188" s="4251" t="s">
        <v>2430</v>
      </c>
      <c r="E188" s="4235">
        <v>330.24</v>
      </c>
      <c r="F188" s="4235">
        <f t="shared" si="10"/>
        <v>8100.79</v>
      </c>
    </row>
    <row r="189" spans="1:7" ht="14.25" customHeight="1">
      <c r="A189" s="4394">
        <v>2.2000000000000002</v>
      </c>
      <c r="B189" s="3434" t="s">
        <v>2986</v>
      </c>
      <c r="C189" s="4235">
        <v>16.36</v>
      </c>
      <c r="D189" s="4251" t="s">
        <v>2431</v>
      </c>
      <c r="E189" s="4235">
        <v>121.12</v>
      </c>
      <c r="F189" s="4235">
        <f t="shared" si="10"/>
        <v>1981.52</v>
      </c>
    </row>
    <row r="190" spans="1:7" ht="28.5" customHeight="1">
      <c r="A190" s="4394">
        <v>2.2999999999999998</v>
      </c>
      <c r="B190" s="3434" t="s">
        <v>3847</v>
      </c>
      <c r="C190" s="4233">
        <v>30.66</v>
      </c>
      <c r="D190" s="4251" t="s">
        <v>2525</v>
      </c>
      <c r="E190" s="4235">
        <v>210</v>
      </c>
      <c r="F190" s="4235">
        <f t="shared" si="10"/>
        <v>6438.6</v>
      </c>
    </row>
    <row r="191" spans="1:7" s="4236" customFormat="1" ht="14.25" customHeight="1">
      <c r="A191" s="4394">
        <v>2.4</v>
      </c>
      <c r="B191" s="4232" t="s">
        <v>3846</v>
      </c>
      <c r="C191" s="4233">
        <v>25.2</v>
      </c>
      <c r="D191" s="4251" t="s">
        <v>2430</v>
      </c>
      <c r="E191" s="4235">
        <v>575</v>
      </c>
      <c r="F191" s="4235">
        <f t="shared" si="10"/>
        <v>14490</v>
      </c>
      <c r="G191" s="3557"/>
    </row>
    <row r="192" spans="1:7" ht="14.25" customHeight="1">
      <c r="A192" s="4390"/>
      <c r="B192" s="4232"/>
      <c r="C192" s="4233"/>
      <c r="D192" s="4251"/>
      <c r="E192" s="4235"/>
      <c r="F192" s="4235" t="str">
        <f t="shared" si="10"/>
        <v xml:space="preserve"> </v>
      </c>
    </row>
    <row r="193" spans="1:7" s="4236" customFormat="1" ht="15" customHeight="1">
      <c r="A193" s="4391">
        <v>3</v>
      </c>
      <c r="B193" s="4345" t="s">
        <v>3721</v>
      </c>
      <c r="C193" s="4233"/>
      <c r="D193" s="4251"/>
      <c r="E193" s="4235"/>
      <c r="F193" s="4235" t="str">
        <f t="shared" si="10"/>
        <v xml:space="preserve"> </v>
      </c>
      <c r="G193" s="3557"/>
    </row>
    <row r="194" spans="1:7" s="4236" customFormat="1" ht="14.25" customHeight="1">
      <c r="A194" s="4394">
        <v>3.1</v>
      </c>
      <c r="B194" s="3433" t="s">
        <v>3977</v>
      </c>
      <c r="C194" s="4233">
        <v>6.57</v>
      </c>
      <c r="D194" s="4251" t="s">
        <v>2430</v>
      </c>
      <c r="E194" s="4235">
        <v>9340.01</v>
      </c>
      <c r="F194" s="4235">
        <f t="shared" si="10"/>
        <v>61363.87</v>
      </c>
      <c r="G194" s="3557"/>
    </row>
    <row r="195" spans="1:7" s="4236" customFormat="1" ht="14.25" customHeight="1">
      <c r="A195" s="4394">
        <v>3.2</v>
      </c>
      <c r="B195" s="3433" t="s">
        <v>3978</v>
      </c>
      <c r="C195" s="4233">
        <v>1.5</v>
      </c>
      <c r="D195" s="4251" t="s">
        <v>2430</v>
      </c>
      <c r="E195" s="4235">
        <v>10440.76</v>
      </c>
      <c r="F195" s="4235">
        <f t="shared" si="10"/>
        <v>15661.14</v>
      </c>
      <c r="G195" s="3557"/>
    </row>
    <row r="196" spans="1:7" s="4236" customFormat="1" ht="14.25" customHeight="1">
      <c r="A196" s="4394">
        <v>3.3</v>
      </c>
      <c r="B196" s="3433" t="s">
        <v>3979</v>
      </c>
      <c r="C196" s="4233">
        <v>0.19</v>
      </c>
      <c r="D196" s="4251" t="s">
        <v>2430</v>
      </c>
      <c r="E196" s="4235">
        <v>9340.01</v>
      </c>
      <c r="F196" s="4235">
        <f t="shared" si="10"/>
        <v>1774.6</v>
      </c>
      <c r="G196" s="3557"/>
    </row>
    <row r="197" spans="1:7" s="4236" customFormat="1" ht="14.25" customHeight="1">
      <c r="A197" s="4394">
        <v>3.4</v>
      </c>
      <c r="B197" s="4232" t="s">
        <v>3980</v>
      </c>
      <c r="C197" s="4233">
        <v>1.1200000000000001</v>
      </c>
      <c r="D197" s="4251" t="s">
        <v>2430</v>
      </c>
      <c r="E197" s="4235">
        <v>34858.26</v>
      </c>
      <c r="F197" s="4235">
        <f t="shared" si="10"/>
        <v>39041.25</v>
      </c>
      <c r="G197" s="3557"/>
    </row>
    <row r="198" spans="1:7" s="4236" customFormat="1" ht="14.25" customHeight="1">
      <c r="A198" s="4394">
        <v>3.5</v>
      </c>
      <c r="B198" s="3433" t="s">
        <v>3981</v>
      </c>
      <c r="C198" s="4233">
        <v>2.73</v>
      </c>
      <c r="D198" s="4251" t="s">
        <v>2430</v>
      </c>
      <c r="E198" s="4235">
        <v>26860.6</v>
      </c>
      <c r="F198" s="4235">
        <f t="shared" si="10"/>
        <v>73329.440000000002</v>
      </c>
      <c r="G198" s="3557"/>
    </row>
    <row r="199" spans="1:7" s="4236" customFormat="1" ht="14.25" customHeight="1">
      <c r="A199" s="4394">
        <v>3.6</v>
      </c>
      <c r="B199" s="3433" t="s">
        <v>3982</v>
      </c>
      <c r="C199" s="4233">
        <v>1.03</v>
      </c>
      <c r="D199" s="4251" t="s">
        <v>2430</v>
      </c>
      <c r="E199" s="4235">
        <v>25868.78</v>
      </c>
      <c r="F199" s="4235">
        <f t="shared" si="10"/>
        <v>26644.84</v>
      </c>
      <c r="G199" s="3557"/>
    </row>
    <row r="200" spans="1:7" s="4236" customFormat="1" ht="14.25" customHeight="1">
      <c r="A200" s="4394">
        <v>3.7</v>
      </c>
      <c r="B200" s="4232" t="s">
        <v>3983</v>
      </c>
      <c r="C200" s="4233">
        <v>0.8</v>
      </c>
      <c r="D200" s="4251" t="s">
        <v>2430</v>
      </c>
      <c r="E200" s="4235">
        <v>29568.51</v>
      </c>
      <c r="F200" s="4235">
        <f t="shared" si="10"/>
        <v>23654.81</v>
      </c>
      <c r="G200" s="3557"/>
    </row>
    <row r="201" spans="1:7" s="4236" customFormat="1" ht="14.25" customHeight="1">
      <c r="A201" s="4394">
        <v>3.8</v>
      </c>
      <c r="B201" s="4232" t="s">
        <v>3984</v>
      </c>
      <c r="C201" s="4233">
        <v>1.51</v>
      </c>
      <c r="D201" s="4251" t="s">
        <v>2430</v>
      </c>
      <c r="E201" s="4235">
        <v>23971.55</v>
      </c>
      <c r="F201" s="4235">
        <f t="shared" si="10"/>
        <v>36197.040000000001</v>
      </c>
      <c r="G201" s="3557"/>
    </row>
    <row r="202" spans="1:7" s="4236" customFormat="1" ht="14.25" customHeight="1">
      <c r="A202" s="4394">
        <v>3.9</v>
      </c>
      <c r="B202" s="4232" t="s">
        <v>3985</v>
      </c>
      <c r="C202" s="4233">
        <v>1.88</v>
      </c>
      <c r="D202" s="4251" t="s">
        <v>2430</v>
      </c>
      <c r="E202" s="4235">
        <v>22888.25</v>
      </c>
      <c r="F202" s="4235">
        <f t="shared" si="10"/>
        <v>43029.91</v>
      </c>
      <c r="G202" s="3557"/>
    </row>
    <row r="203" spans="1:7" s="4236" customFormat="1" ht="14.25" customHeight="1">
      <c r="A203" s="4390">
        <v>3.1</v>
      </c>
      <c r="B203" s="4232" t="s">
        <v>3986</v>
      </c>
      <c r="C203" s="4233">
        <v>1.32</v>
      </c>
      <c r="D203" s="4251" t="s">
        <v>2430</v>
      </c>
      <c r="E203" s="4235">
        <v>18485.259999999998</v>
      </c>
      <c r="F203" s="4235">
        <f t="shared" si="10"/>
        <v>24400.54</v>
      </c>
      <c r="G203" s="3557"/>
    </row>
    <row r="204" spans="1:7" s="4236" customFormat="1" ht="14.25" customHeight="1">
      <c r="A204" s="4390">
        <v>3.11</v>
      </c>
      <c r="B204" s="4232" t="s">
        <v>3987</v>
      </c>
      <c r="C204" s="4233">
        <v>12.1</v>
      </c>
      <c r="D204" s="4251" t="s">
        <v>2430</v>
      </c>
      <c r="E204" s="4235">
        <v>22075.82</v>
      </c>
      <c r="F204" s="4235">
        <f t="shared" si="10"/>
        <v>267117.42</v>
      </c>
      <c r="G204" s="3557"/>
    </row>
    <row r="205" spans="1:7" s="4236" customFormat="1" ht="14.25" customHeight="1">
      <c r="A205" s="4390">
        <v>3.12</v>
      </c>
      <c r="B205" s="4232" t="s">
        <v>3988</v>
      </c>
      <c r="C205" s="4233">
        <v>1.2</v>
      </c>
      <c r="D205" s="4251" t="s">
        <v>2430</v>
      </c>
      <c r="E205" s="4235">
        <v>24610.02</v>
      </c>
      <c r="F205" s="4235">
        <f t="shared" si="10"/>
        <v>29532.02</v>
      </c>
      <c r="G205" s="3557"/>
    </row>
    <row r="206" spans="1:7" s="4236" customFormat="1" ht="14.25" customHeight="1">
      <c r="A206" s="4390">
        <v>3.13</v>
      </c>
      <c r="B206" s="4232" t="s">
        <v>3989</v>
      </c>
      <c r="C206" s="4233">
        <v>1.27</v>
      </c>
      <c r="D206" s="4251" t="s">
        <v>2430</v>
      </c>
      <c r="E206" s="4235">
        <v>14678.22</v>
      </c>
      <c r="F206" s="4235">
        <f t="shared" si="10"/>
        <v>18641.34</v>
      </c>
      <c r="G206" s="3557"/>
    </row>
    <row r="207" spans="1:7" s="4236" customFormat="1" ht="14.25" customHeight="1">
      <c r="A207" s="4390">
        <v>3.14</v>
      </c>
      <c r="B207" s="4232" t="s">
        <v>3990</v>
      </c>
      <c r="C207" s="4233">
        <v>0.68</v>
      </c>
      <c r="D207" s="4251" t="s">
        <v>2430</v>
      </c>
      <c r="E207" s="4235">
        <v>12227.73</v>
      </c>
      <c r="F207" s="4235">
        <f t="shared" si="10"/>
        <v>8314.86</v>
      </c>
      <c r="G207" s="3557"/>
    </row>
    <row r="208" spans="1:7" s="4236" customFormat="1" ht="14.25" customHeight="1">
      <c r="A208" s="4390">
        <v>3.15</v>
      </c>
      <c r="B208" s="4232" t="s">
        <v>3991</v>
      </c>
      <c r="C208" s="4233">
        <v>1.17</v>
      </c>
      <c r="D208" s="4251" t="s">
        <v>2430</v>
      </c>
      <c r="E208" s="4235">
        <v>16358.05</v>
      </c>
      <c r="F208" s="4235">
        <f t="shared" si="10"/>
        <v>19138.919999999998</v>
      </c>
      <c r="G208" s="3557"/>
    </row>
    <row r="209" spans="1:7" s="4236" customFormat="1" ht="14.25" customHeight="1">
      <c r="A209" s="4390">
        <v>3.16</v>
      </c>
      <c r="B209" s="4232" t="s">
        <v>3992</v>
      </c>
      <c r="C209" s="4233">
        <v>1.1200000000000001</v>
      </c>
      <c r="D209" s="4251" t="s">
        <v>2430</v>
      </c>
      <c r="E209" s="4235">
        <v>17795.13</v>
      </c>
      <c r="F209" s="4235">
        <f t="shared" si="10"/>
        <v>19930.55</v>
      </c>
      <c r="G209" s="3557"/>
    </row>
    <row r="210" spans="1:7" s="4236" customFormat="1" ht="14.25" customHeight="1">
      <c r="A210" s="4390">
        <v>3.17</v>
      </c>
      <c r="B210" s="4232" t="s">
        <v>3993</v>
      </c>
      <c r="C210" s="4233">
        <v>7.56</v>
      </c>
      <c r="D210" s="4251" t="s">
        <v>2430</v>
      </c>
      <c r="E210" s="4235">
        <v>16604.79</v>
      </c>
      <c r="F210" s="4235">
        <f t="shared" si="10"/>
        <v>125532.21</v>
      </c>
      <c r="G210" s="3557"/>
    </row>
    <row r="211" spans="1:7" s="4236" customFormat="1" ht="14.25" customHeight="1">
      <c r="A211" s="4390">
        <v>3.18</v>
      </c>
      <c r="B211" s="4232" t="s">
        <v>3994</v>
      </c>
      <c r="C211" s="4233">
        <v>8.94</v>
      </c>
      <c r="D211" s="4251" t="s">
        <v>2430</v>
      </c>
      <c r="E211" s="4235">
        <v>16604.79</v>
      </c>
      <c r="F211" s="4235">
        <f t="shared" si="10"/>
        <v>148446.82</v>
      </c>
      <c r="G211" s="3557"/>
    </row>
    <row r="212" spans="1:7" s="4236" customFormat="1" ht="14.25" customHeight="1">
      <c r="A212" s="4390">
        <v>3.19</v>
      </c>
      <c r="B212" s="4232" t="s">
        <v>3995</v>
      </c>
      <c r="C212" s="4233">
        <v>1.68</v>
      </c>
      <c r="D212" s="4251" t="s">
        <v>2430</v>
      </c>
      <c r="E212" s="4235">
        <v>13092.64</v>
      </c>
      <c r="F212" s="4235">
        <f t="shared" si="10"/>
        <v>21995.64</v>
      </c>
      <c r="G212" s="3557"/>
    </row>
    <row r="213" spans="1:7" s="4227" customFormat="1" ht="14.25" customHeight="1">
      <c r="A213" s="4390">
        <v>3.2</v>
      </c>
      <c r="B213" s="4232" t="s">
        <v>3996</v>
      </c>
      <c r="C213" s="4233">
        <v>6.23</v>
      </c>
      <c r="D213" s="4251" t="s">
        <v>2430</v>
      </c>
      <c r="E213" s="4235">
        <v>988.98</v>
      </c>
      <c r="F213" s="4235">
        <f t="shared" si="10"/>
        <v>6161.35</v>
      </c>
      <c r="G213" s="3557"/>
    </row>
    <row r="214" spans="1:7" s="4227" customFormat="1" ht="14.25" customHeight="1">
      <c r="A214" s="4390">
        <v>3.21</v>
      </c>
      <c r="B214" s="4232" t="s">
        <v>3997</v>
      </c>
      <c r="C214" s="4233">
        <v>3.94</v>
      </c>
      <c r="D214" s="4251" t="s">
        <v>2430</v>
      </c>
      <c r="E214" s="4235">
        <v>30672</v>
      </c>
      <c r="F214" s="4235">
        <f t="shared" si="10"/>
        <v>120847.67999999999</v>
      </c>
      <c r="G214" s="3557"/>
    </row>
    <row r="215" spans="1:7" s="4227" customFormat="1" ht="14.25" customHeight="1">
      <c r="A215" s="4390"/>
      <c r="B215" s="4232"/>
      <c r="C215" s="4233"/>
      <c r="D215" s="4251"/>
      <c r="E215" s="4235"/>
      <c r="F215" s="4235"/>
      <c r="G215" s="3557"/>
    </row>
    <row r="216" spans="1:7" ht="15" customHeight="1">
      <c r="A216" s="4391">
        <v>4</v>
      </c>
      <c r="B216" s="4345" t="s">
        <v>784</v>
      </c>
      <c r="C216" s="4233"/>
      <c r="D216" s="4251"/>
      <c r="E216" s="4235"/>
      <c r="F216" s="4235" t="str">
        <f t="shared" si="10"/>
        <v xml:space="preserve"> </v>
      </c>
    </row>
    <row r="217" spans="1:7" s="4227" customFormat="1" ht="14.25" customHeight="1">
      <c r="A217" s="4394">
        <v>4.0999999999999996</v>
      </c>
      <c r="B217" s="4184" t="s">
        <v>3998</v>
      </c>
      <c r="C217" s="4448">
        <v>16.399999999999999</v>
      </c>
      <c r="D217" s="4251" t="s">
        <v>2432</v>
      </c>
      <c r="E217" s="4235">
        <v>1495.87</v>
      </c>
      <c r="F217" s="4235">
        <f t="shared" si="10"/>
        <v>24532.27</v>
      </c>
      <c r="G217" s="3557"/>
    </row>
    <row r="218" spans="1:7" s="4227" customFormat="1" ht="14.25" customHeight="1">
      <c r="A218" s="4394">
        <v>4.2</v>
      </c>
      <c r="B218" s="4184" t="s">
        <v>3999</v>
      </c>
      <c r="C218" s="4448">
        <v>190.26</v>
      </c>
      <c r="D218" s="4251" t="s">
        <v>2432</v>
      </c>
      <c r="E218" s="4235">
        <v>1528.3</v>
      </c>
      <c r="F218" s="4235">
        <f t="shared" si="10"/>
        <v>290774.36</v>
      </c>
      <c r="G218" s="3557"/>
    </row>
    <row r="219" spans="1:7" s="4227" customFormat="1" ht="14.25" customHeight="1">
      <c r="A219" s="4394">
        <v>4.3</v>
      </c>
      <c r="B219" s="4232" t="s">
        <v>4000</v>
      </c>
      <c r="C219" s="4235">
        <v>22.44</v>
      </c>
      <c r="D219" s="4251" t="s">
        <v>2432</v>
      </c>
      <c r="E219" s="4235">
        <v>1200.45</v>
      </c>
      <c r="F219" s="4235">
        <f t="shared" si="10"/>
        <v>26938.1</v>
      </c>
      <c r="G219" s="3557"/>
    </row>
    <row r="220" spans="1:7" ht="14.25" customHeight="1">
      <c r="A220" s="4456"/>
      <c r="B220" s="4452"/>
      <c r="C220" s="4466"/>
      <c r="D220" s="4467"/>
      <c r="E220" s="4468"/>
      <c r="F220" s="4468" t="str">
        <f t="shared" si="10"/>
        <v xml:space="preserve"> </v>
      </c>
    </row>
    <row r="221" spans="1:7" ht="15" customHeight="1">
      <c r="A221" s="4391">
        <v>5</v>
      </c>
      <c r="B221" s="4345" t="s">
        <v>787</v>
      </c>
      <c r="C221" s="4233"/>
      <c r="D221" s="4251"/>
      <c r="E221" s="4235"/>
      <c r="F221" s="4235" t="str">
        <f t="shared" si="10"/>
        <v xml:space="preserve"> </v>
      </c>
    </row>
    <row r="222" spans="1:7" ht="14.25" customHeight="1">
      <c r="A222" s="4394">
        <v>5.0999999999999996</v>
      </c>
      <c r="B222" s="4232" t="s">
        <v>2360</v>
      </c>
      <c r="C222" s="4233">
        <v>521.63</v>
      </c>
      <c r="D222" s="4251" t="s">
        <v>2432</v>
      </c>
      <c r="E222" s="4235">
        <v>382.2</v>
      </c>
      <c r="F222" s="4235">
        <f t="shared" si="10"/>
        <v>199366.99</v>
      </c>
    </row>
    <row r="223" spans="1:7" ht="14.25" customHeight="1">
      <c r="A223" s="4394">
        <v>5.2</v>
      </c>
      <c r="B223" s="4232" t="s">
        <v>2361</v>
      </c>
      <c r="C223" s="4233">
        <v>73.92</v>
      </c>
      <c r="D223" s="4251" t="s">
        <v>2432</v>
      </c>
      <c r="E223" s="4235">
        <v>565.92999999999995</v>
      </c>
      <c r="F223" s="4235">
        <f t="shared" si="10"/>
        <v>41833.550000000003</v>
      </c>
    </row>
    <row r="224" spans="1:7" ht="14.25" customHeight="1">
      <c r="A224" s="4394">
        <v>5.3</v>
      </c>
      <c r="B224" s="4232" t="s">
        <v>3539</v>
      </c>
      <c r="C224" s="4233">
        <v>33.200000000000003</v>
      </c>
      <c r="D224" s="4251" t="s">
        <v>2432</v>
      </c>
      <c r="E224" s="4235">
        <v>134</v>
      </c>
      <c r="F224" s="4235">
        <f t="shared" si="10"/>
        <v>4448.8</v>
      </c>
    </row>
    <row r="225" spans="1:7" ht="14.25" customHeight="1">
      <c r="A225" s="4394">
        <v>5.4</v>
      </c>
      <c r="B225" s="4232" t="s">
        <v>1548</v>
      </c>
      <c r="C225" s="4233">
        <v>478.68</v>
      </c>
      <c r="D225" s="4251" t="s">
        <v>1</v>
      </c>
      <c r="E225" s="4235">
        <v>107.14</v>
      </c>
      <c r="F225" s="4235">
        <f t="shared" si="10"/>
        <v>51285.78</v>
      </c>
    </row>
    <row r="226" spans="1:7" ht="14.25" customHeight="1">
      <c r="A226" s="4394">
        <v>5.5</v>
      </c>
      <c r="B226" s="4232" t="s">
        <v>2362</v>
      </c>
      <c r="C226" s="4233">
        <v>33.799999999999997</v>
      </c>
      <c r="D226" s="4251" t="s">
        <v>1</v>
      </c>
      <c r="E226" s="4235">
        <v>753.08</v>
      </c>
      <c r="F226" s="4235">
        <f t="shared" si="10"/>
        <v>25454.1</v>
      </c>
    </row>
    <row r="227" spans="1:7" ht="14.25" customHeight="1">
      <c r="A227" s="4394">
        <v>5.6</v>
      </c>
      <c r="B227" s="4232" t="s">
        <v>2363</v>
      </c>
      <c r="C227" s="4235">
        <v>3.11</v>
      </c>
      <c r="D227" s="4251" t="s">
        <v>2432</v>
      </c>
      <c r="E227" s="4235">
        <v>396.6</v>
      </c>
      <c r="F227" s="4235">
        <f t="shared" si="10"/>
        <v>1233.43</v>
      </c>
    </row>
    <row r="228" spans="1:7" ht="14.25" customHeight="1">
      <c r="A228" s="4394">
        <v>5.7</v>
      </c>
      <c r="B228" s="4232" t="s">
        <v>2364</v>
      </c>
      <c r="C228" s="4233">
        <v>15.18</v>
      </c>
      <c r="D228" s="4251" t="s">
        <v>2432</v>
      </c>
      <c r="E228" s="4235">
        <v>396.6</v>
      </c>
      <c r="F228" s="4235">
        <f t="shared" si="10"/>
        <v>6020.39</v>
      </c>
    </row>
    <row r="229" spans="1:7" ht="14.25" customHeight="1">
      <c r="A229" s="4394">
        <v>5.8</v>
      </c>
      <c r="B229" s="4232" t="s">
        <v>2365</v>
      </c>
      <c r="C229" s="4233">
        <v>4.95</v>
      </c>
      <c r="D229" s="4251" t="s">
        <v>2432</v>
      </c>
      <c r="E229" s="4235">
        <v>611.6</v>
      </c>
      <c r="F229" s="4235">
        <f t="shared" si="10"/>
        <v>3027.42</v>
      </c>
    </row>
    <row r="230" spans="1:7" s="4227" customFormat="1" ht="14.25" customHeight="1">
      <c r="A230" s="4394">
        <v>5.9</v>
      </c>
      <c r="B230" s="4232" t="s">
        <v>2366</v>
      </c>
      <c r="C230" s="4233">
        <v>20.13</v>
      </c>
      <c r="D230" s="4251" t="s">
        <v>2432</v>
      </c>
      <c r="E230" s="4235">
        <v>2300</v>
      </c>
      <c r="F230" s="4235">
        <f t="shared" si="10"/>
        <v>46299</v>
      </c>
      <c r="G230" s="3557"/>
    </row>
    <row r="231" spans="1:7" ht="14.25" customHeight="1">
      <c r="A231" s="4390">
        <v>5.0999999999999996</v>
      </c>
      <c r="B231" s="4232" t="s">
        <v>2367</v>
      </c>
      <c r="C231" s="4233">
        <v>98.88</v>
      </c>
      <c r="D231" s="4251" t="s">
        <v>2432</v>
      </c>
      <c r="E231" s="4235">
        <v>978.32</v>
      </c>
      <c r="F231" s="4235">
        <f t="shared" si="10"/>
        <v>96736.28</v>
      </c>
    </row>
    <row r="232" spans="1:7" ht="14.25" customHeight="1">
      <c r="A232" s="4390">
        <v>5.1100000000000003</v>
      </c>
      <c r="B232" s="4232" t="s">
        <v>2368</v>
      </c>
      <c r="C232" s="4233">
        <v>77.150000000000006</v>
      </c>
      <c r="D232" s="4251" t="s">
        <v>1</v>
      </c>
      <c r="E232" s="4235">
        <v>60.01</v>
      </c>
      <c r="F232" s="4235">
        <f t="shared" si="10"/>
        <v>4629.7700000000004</v>
      </c>
    </row>
    <row r="233" spans="1:7" ht="14.25" customHeight="1">
      <c r="A233" s="4390">
        <v>5.12</v>
      </c>
      <c r="B233" s="4232" t="s">
        <v>2369</v>
      </c>
      <c r="C233" s="4233">
        <v>598.66</v>
      </c>
      <c r="D233" s="4251" t="s">
        <v>2432</v>
      </c>
      <c r="E233" s="4235">
        <v>94.92</v>
      </c>
      <c r="F233" s="4235">
        <f t="shared" si="10"/>
        <v>56824.81</v>
      </c>
    </row>
    <row r="234" spans="1:7" ht="14.25" customHeight="1">
      <c r="A234" s="4390">
        <v>5.13</v>
      </c>
      <c r="B234" s="4232" t="s">
        <v>2352</v>
      </c>
      <c r="C234" s="4233">
        <v>598.66</v>
      </c>
      <c r="D234" s="4251" t="s">
        <v>2432</v>
      </c>
      <c r="E234" s="4235">
        <v>132.63999999999999</v>
      </c>
      <c r="F234" s="4235">
        <f t="shared" si="10"/>
        <v>79406.259999999995</v>
      </c>
    </row>
    <row r="235" spans="1:7" ht="14.25" customHeight="1">
      <c r="A235" s="4390">
        <v>5.14</v>
      </c>
      <c r="B235" s="4232" t="s">
        <v>2346</v>
      </c>
      <c r="C235" s="4233">
        <v>27.84</v>
      </c>
      <c r="D235" s="4251" t="s">
        <v>2432</v>
      </c>
      <c r="E235" s="4235">
        <v>941.58</v>
      </c>
      <c r="F235" s="4235">
        <f t="shared" si="10"/>
        <v>26213.59</v>
      </c>
    </row>
    <row r="236" spans="1:7" ht="14.25" customHeight="1">
      <c r="A236" s="4390"/>
      <c r="B236" s="4232"/>
      <c r="C236" s="4233"/>
      <c r="D236" s="4251"/>
      <c r="E236" s="4235"/>
      <c r="F236" s="4235" t="str">
        <f t="shared" si="10"/>
        <v xml:space="preserve"> </v>
      </c>
    </row>
    <row r="237" spans="1:7" ht="15" customHeight="1">
      <c r="A237" s="4391">
        <v>6</v>
      </c>
      <c r="B237" s="4345" t="s">
        <v>2743</v>
      </c>
      <c r="C237" s="4233"/>
      <c r="D237" s="4251"/>
      <c r="E237" s="4235"/>
      <c r="F237" s="4235" t="str">
        <f t="shared" si="10"/>
        <v xml:space="preserve"> </v>
      </c>
    </row>
    <row r="238" spans="1:7" s="4227" customFormat="1" ht="14.25" customHeight="1">
      <c r="A238" s="4394">
        <v>6.1</v>
      </c>
      <c r="B238" s="4232" t="s">
        <v>2937</v>
      </c>
      <c r="C238" s="4233">
        <v>5</v>
      </c>
      <c r="D238" s="4251" t="s">
        <v>2433</v>
      </c>
      <c r="E238" s="4235">
        <v>7500</v>
      </c>
      <c r="F238" s="4235">
        <f t="shared" si="10"/>
        <v>37500</v>
      </c>
      <c r="G238" s="3557"/>
    </row>
    <row r="239" spans="1:7" s="4227" customFormat="1" ht="14.25" customHeight="1">
      <c r="A239" s="4394">
        <v>6.2</v>
      </c>
      <c r="B239" s="4232" t="s">
        <v>3617</v>
      </c>
      <c r="C239" s="4233">
        <v>1</v>
      </c>
      <c r="D239" s="4251" t="s">
        <v>2433</v>
      </c>
      <c r="E239" s="4235">
        <v>35000</v>
      </c>
      <c r="F239" s="4235">
        <f t="shared" si="10"/>
        <v>35000</v>
      </c>
      <c r="G239" s="3557"/>
    </row>
    <row r="240" spans="1:7" s="4227" customFormat="1" ht="14.25" customHeight="1">
      <c r="A240" s="4394">
        <v>6.3</v>
      </c>
      <c r="B240" s="4212" t="s">
        <v>3618</v>
      </c>
      <c r="C240" s="4235">
        <v>185.26</v>
      </c>
      <c r="D240" s="4251" t="s">
        <v>2602</v>
      </c>
      <c r="E240" s="4235">
        <v>543.33000000000004</v>
      </c>
      <c r="F240" s="4235">
        <f t="shared" si="10"/>
        <v>100657.32</v>
      </c>
      <c r="G240" s="3557"/>
    </row>
    <row r="241" spans="1:7" ht="14.25" customHeight="1">
      <c r="A241" s="4390"/>
      <c r="B241" s="4232"/>
      <c r="C241" s="4233"/>
      <c r="D241" s="4251"/>
      <c r="E241" s="4235"/>
      <c r="F241" s="4235" t="str">
        <f t="shared" si="10"/>
        <v xml:space="preserve"> </v>
      </c>
    </row>
    <row r="242" spans="1:7" ht="15" customHeight="1">
      <c r="A242" s="4391">
        <v>7</v>
      </c>
      <c r="B242" s="4345" t="s">
        <v>3722</v>
      </c>
      <c r="C242" s="4233"/>
      <c r="D242" s="4251"/>
      <c r="E242" s="4235"/>
      <c r="F242" s="4235" t="str">
        <f t="shared" si="10"/>
        <v xml:space="preserve"> </v>
      </c>
    </row>
    <row r="243" spans="1:7" s="4227" customFormat="1" ht="14.25" customHeight="1">
      <c r="A243" s="4394">
        <v>7.1</v>
      </c>
      <c r="B243" s="4232" t="s">
        <v>2370</v>
      </c>
      <c r="C243" s="4233">
        <v>3</v>
      </c>
      <c r="D243" s="4251" t="s">
        <v>2433</v>
      </c>
      <c r="E243" s="4233">
        <v>2500</v>
      </c>
      <c r="F243" s="4235">
        <f t="shared" si="10"/>
        <v>7500</v>
      </c>
      <c r="G243" s="3557"/>
    </row>
    <row r="244" spans="1:7" ht="71.25" customHeight="1">
      <c r="A244" s="4394">
        <v>7.2</v>
      </c>
      <c r="B244" s="4206" t="s">
        <v>4001</v>
      </c>
      <c r="C244" s="4233">
        <v>2</v>
      </c>
      <c r="D244" s="4251" t="s">
        <v>2433</v>
      </c>
      <c r="E244" s="4347">
        <v>224315.98</v>
      </c>
      <c r="F244" s="4235">
        <f t="shared" si="10"/>
        <v>448631.96</v>
      </c>
    </row>
    <row r="245" spans="1:7" ht="14.25" customHeight="1">
      <c r="A245" s="4394">
        <v>7.3</v>
      </c>
      <c r="B245" s="4232" t="s">
        <v>2371</v>
      </c>
      <c r="C245" s="4233">
        <v>1</v>
      </c>
      <c r="D245" s="4251" t="s">
        <v>2433</v>
      </c>
      <c r="E245" s="4235">
        <v>3200</v>
      </c>
      <c r="F245" s="4235">
        <f t="shared" si="10"/>
        <v>3200</v>
      </c>
    </row>
    <row r="246" spans="1:7" s="4227" customFormat="1" ht="57" customHeight="1">
      <c r="A246" s="4394">
        <v>7.4</v>
      </c>
      <c r="B246" s="4206" t="s">
        <v>3619</v>
      </c>
      <c r="C246" s="4233">
        <v>2</v>
      </c>
      <c r="D246" s="4251" t="s">
        <v>2433</v>
      </c>
      <c r="E246" s="4235">
        <v>246136.2</v>
      </c>
      <c r="F246" s="4235">
        <f t="shared" si="10"/>
        <v>492272.4</v>
      </c>
      <c r="G246" s="3557"/>
    </row>
    <row r="247" spans="1:7" s="3532" customFormat="1" ht="15.75" customHeight="1">
      <c r="A247" s="4394">
        <v>7.5</v>
      </c>
      <c r="B247" s="4232" t="s">
        <v>3620</v>
      </c>
      <c r="C247" s="4233">
        <v>1</v>
      </c>
      <c r="D247" s="4251" t="s">
        <v>2433</v>
      </c>
      <c r="E247" s="4235">
        <v>5330</v>
      </c>
      <c r="F247" s="4235">
        <f t="shared" si="10"/>
        <v>5330</v>
      </c>
      <c r="G247" s="3557"/>
    </row>
    <row r="248" spans="1:7" s="3532" customFormat="1" ht="28.5" customHeight="1">
      <c r="A248" s="4394">
        <v>7.6</v>
      </c>
      <c r="B248" s="4232" t="s">
        <v>3621</v>
      </c>
      <c r="C248" s="4233">
        <v>1</v>
      </c>
      <c r="D248" s="4251" t="s">
        <v>42</v>
      </c>
      <c r="E248" s="4235">
        <v>1200</v>
      </c>
      <c r="F248" s="4235">
        <f t="shared" si="10"/>
        <v>1200</v>
      </c>
      <c r="G248" s="3557"/>
    </row>
    <row r="249" spans="1:7" s="4227" customFormat="1" ht="14.25" customHeight="1">
      <c r="A249" s="4394">
        <v>7.7</v>
      </c>
      <c r="B249" s="4212" t="s">
        <v>4002</v>
      </c>
      <c r="C249" s="4233">
        <v>1</v>
      </c>
      <c r="D249" s="4251" t="s">
        <v>2433</v>
      </c>
      <c r="E249" s="4235">
        <v>8500</v>
      </c>
      <c r="F249" s="4235">
        <f t="shared" si="10"/>
        <v>8500</v>
      </c>
      <c r="G249" s="3557"/>
    </row>
    <row r="250" spans="1:7" ht="14.25" customHeight="1">
      <c r="A250" s="4390"/>
      <c r="B250" s="4232"/>
      <c r="C250" s="4233"/>
      <c r="D250" s="4251"/>
      <c r="E250" s="4235"/>
      <c r="F250" s="4235" t="str">
        <f t="shared" si="10"/>
        <v xml:space="preserve"> </v>
      </c>
    </row>
    <row r="251" spans="1:7" ht="15" customHeight="1">
      <c r="A251" s="4391">
        <v>8</v>
      </c>
      <c r="B251" s="4345" t="s">
        <v>808</v>
      </c>
      <c r="C251" s="4233"/>
      <c r="D251" s="4251"/>
      <c r="E251" s="4235"/>
      <c r="F251" s="4235" t="str">
        <f t="shared" ref="F251" si="11">IF(C251&gt;0,(ROUND((E251*C251),2))," ")</f>
        <v xml:space="preserve"> </v>
      </c>
    </row>
    <row r="252" spans="1:7" ht="15" customHeight="1">
      <c r="A252" s="4391"/>
      <c r="B252" s="4207" t="s">
        <v>2028</v>
      </c>
      <c r="C252" s="4208"/>
      <c r="D252" s="4194"/>
      <c r="E252" s="4228"/>
      <c r="F252" s="4235"/>
    </row>
    <row r="253" spans="1:7" ht="15" customHeight="1">
      <c r="A253" s="4391"/>
      <c r="B253" s="4212" t="s">
        <v>4003</v>
      </c>
      <c r="C253" s="4191">
        <v>1</v>
      </c>
      <c r="D253" s="4194" t="s">
        <v>2433</v>
      </c>
      <c r="E253" s="4210">
        <v>6128</v>
      </c>
      <c r="F253" s="4235">
        <f t="shared" ref="F253:F292" si="12">IF(C253&gt;0,(ROUND((E253*C253),2))," ")</f>
        <v>6128</v>
      </c>
    </row>
    <row r="254" spans="1:7" ht="15" customHeight="1">
      <c r="A254" s="4391"/>
      <c r="B254" s="4212" t="s">
        <v>4004</v>
      </c>
      <c r="C254" s="4191">
        <v>36</v>
      </c>
      <c r="D254" s="4194" t="s">
        <v>2433</v>
      </c>
      <c r="E254" s="4210">
        <v>50.71</v>
      </c>
      <c r="F254" s="4235">
        <f t="shared" si="12"/>
        <v>1825.56</v>
      </c>
    </row>
    <row r="255" spans="1:7" ht="15" customHeight="1">
      <c r="A255" s="4391"/>
      <c r="B255" s="4212" t="s">
        <v>4005</v>
      </c>
      <c r="C255" s="4191">
        <v>6</v>
      </c>
      <c r="D255" s="4194" t="s">
        <v>2433</v>
      </c>
      <c r="E255" s="4210">
        <v>2175</v>
      </c>
      <c r="F255" s="4235">
        <f t="shared" si="12"/>
        <v>13050</v>
      </c>
    </row>
    <row r="256" spans="1:7" ht="15" customHeight="1">
      <c r="A256" s="4391"/>
      <c r="B256" s="4212" t="s">
        <v>4006</v>
      </c>
      <c r="C256" s="4191">
        <v>1</v>
      </c>
      <c r="D256" s="4194" t="s">
        <v>2433</v>
      </c>
      <c r="E256" s="4210">
        <v>3175</v>
      </c>
      <c r="F256" s="4235">
        <f t="shared" si="12"/>
        <v>3175</v>
      </c>
    </row>
    <row r="257" spans="1:6" ht="15" customHeight="1">
      <c r="A257" s="4391"/>
      <c r="B257" s="4212" t="s">
        <v>4007</v>
      </c>
      <c r="C257" s="4191">
        <v>6</v>
      </c>
      <c r="D257" s="4194" t="s">
        <v>2433</v>
      </c>
      <c r="E257" s="4210">
        <v>1050</v>
      </c>
      <c r="F257" s="4235">
        <f t="shared" si="12"/>
        <v>6300</v>
      </c>
    </row>
    <row r="258" spans="1:6" ht="15" customHeight="1">
      <c r="A258" s="4391"/>
      <c r="B258" s="4212" t="s">
        <v>4008</v>
      </c>
      <c r="C258" s="4191">
        <v>3</v>
      </c>
      <c r="D258" s="4194" t="s">
        <v>2433</v>
      </c>
      <c r="E258" s="4210">
        <v>445</v>
      </c>
      <c r="F258" s="4235">
        <f t="shared" si="12"/>
        <v>1335</v>
      </c>
    </row>
    <row r="259" spans="1:6" ht="15" customHeight="1">
      <c r="A259" s="4391"/>
      <c r="B259" s="4212" t="s">
        <v>4009</v>
      </c>
      <c r="C259" s="4191">
        <v>8</v>
      </c>
      <c r="D259" s="4194" t="s">
        <v>2433</v>
      </c>
      <c r="E259" s="4210">
        <v>1770</v>
      </c>
      <c r="F259" s="4235">
        <f t="shared" si="12"/>
        <v>14160</v>
      </c>
    </row>
    <row r="260" spans="1:6" ht="15" customHeight="1">
      <c r="A260" s="4391"/>
      <c r="B260" s="4212" t="s">
        <v>4010</v>
      </c>
      <c r="C260" s="4191">
        <v>7</v>
      </c>
      <c r="D260" s="4194" t="s">
        <v>2433</v>
      </c>
      <c r="E260" s="4210">
        <v>1320</v>
      </c>
      <c r="F260" s="4235">
        <f t="shared" si="12"/>
        <v>9240</v>
      </c>
    </row>
    <row r="261" spans="1:6" ht="15" customHeight="1">
      <c r="A261" s="4391"/>
      <c r="B261" s="4212" t="s">
        <v>4011</v>
      </c>
      <c r="C261" s="4191">
        <v>5</v>
      </c>
      <c r="D261" s="4194" t="s">
        <v>2433</v>
      </c>
      <c r="E261" s="4210">
        <v>60.1</v>
      </c>
      <c r="F261" s="4235">
        <f t="shared" si="12"/>
        <v>300.5</v>
      </c>
    </row>
    <row r="262" spans="1:6" ht="15" customHeight="1">
      <c r="A262" s="4391"/>
      <c r="B262" s="4212" t="s">
        <v>4012</v>
      </c>
      <c r="C262" s="4191">
        <v>1</v>
      </c>
      <c r="D262" s="4313" t="s">
        <v>42</v>
      </c>
      <c r="E262" s="4210">
        <v>10000</v>
      </c>
      <c r="F262" s="4235">
        <f t="shared" si="12"/>
        <v>10000</v>
      </c>
    </row>
    <row r="263" spans="1:6" ht="15" customHeight="1">
      <c r="A263" s="4391"/>
      <c r="B263" s="4212" t="s">
        <v>4013</v>
      </c>
      <c r="C263" s="4208">
        <v>16</v>
      </c>
      <c r="D263" s="4194" t="s">
        <v>2433</v>
      </c>
      <c r="E263" s="4361">
        <v>882.85</v>
      </c>
      <c r="F263" s="4235">
        <f t="shared" si="12"/>
        <v>14125.6</v>
      </c>
    </row>
    <row r="264" spans="1:6" ht="15" customHeight="1">
      <c r="A264" s="4465"/>
      <c r="B264" s="4476" t="s">
        <v>4014</v>
      </c>
      <c r="C264" s="4501">
        <v>1</v>
      </c>
      <c r="D264" s="4478" t="s">
        <v>2433</v>
      </c>
      <c r="E264" s="4515">
        <v>882.05</v>
      </c>
      <c r="F264" s="4468">
        <f t="shared" si="12"/>
        <v>882.05</v>
      </c>
    </row>
    <row r="265" spans="1:6" ht="15" customHeight="1">
      <c r="A265" s="4391"/>
      <c r="B265" s="4212" t="s">
        <v>4015</v>
      </c>
      <c r="C265" s="4191">
        <v>8</v>
      </c>
      <c r="D265" s="4194" t="s">
        <v>2433</v>
      </c>
      <c r="E265" s="4210">
        <v>67.849999999999994</v>
      </c>
      <c r="F265" s="4235">
        <f t="shared" si="12"/>
        <v>542.79999999999995</v>
      </c>
    </row>
    <row r="266" spans="1:6" ht="15" customHeight="1">
      <c r="A266" s="4391"/>
      <c r="B266" s="4212" t="s">
        <v>4016</v>
      </c>
      <c r="C266" s="4191">
        <v>2</v>
      </c>
      <c r="D266" s="4194" t="s">
        <v>2433</v>
      </c>
      <c r="E266" s="4210">
        <v>2144.8000000000002</v>
      </c>
      <c r="F266" s="4235">
        <f t="shared" si="12"/>
        <v>4289.6000000000004</v>
      </c>
    </row>
    <row r="267" spans="1:6" ht="15" customHeight="1">
      <c r="A267" s="4391"/>
      <c r="B267" s="4212" t="s">
        <v>4017</v>
      </c>
      <c r="C267" s="4191">
        <v>5</v>
      </c>
      <c r="D267" s="4194" t="s">
        <v>3970</v>
      </c>
      <c r="E267" s="4210">
        <v>169.63</v>
      </c>
      <c r="F267" s="4235">
        <f t="shared" si="12"/>
        <v>848.15</v>
      </c>
    </row>
    <row r="268" spans="1:6" ht="15" customHeight="1">
      <c r="A268" s="4391"/>
      <c r="B268" s="4212" t="s">
        <v>4018</v>
      </c>
      <c r="C268" s="4191">
        <v>4</v>
      </c>
      <c r="D268" s="4194" t="s">
        <v>2433</v>
      </c>
      <c r="E268" s="4210">
        <v>1085.5999999999999</v>
      </c>
      <c r="F268" s="4235">
        <f t="shared" si="12"/>
        <v>4342.3999999999996</v>
      </c>
    </row>
    <row r="269" spans="1:6" ht="30" customHeight="1">
      <c r="A269" s="4394"/>
      <c r="B269" s="4212" t="s">
        <v>4019</v>
      </c>
      <c r="C269" s="4191">
        <v>1</v>
      </c>
      <c r="D269" s="4194" t="s">
        <v>2433</v>
      </c>
      <c r="E269" s="4210">
        <v>43905.74</v>
      </c>
      <c r="F269" s="4235">
        <f t="shared" si="12"/>
        <v>43905.74</v>
      </c>
    </row>
    <row r="270" spans="1:6" ht="30" customHeight="1">
      <c r="A270" s="4394"/>
      <c r="B270" s="3563" t="s">
        <v>4020</v>
      </c>
      <c r="C270" s="4191">
        <v>1</v>
      </c>
      <c r="D270" s="4194" t="s">
        <v>2433</v>
      </c>
      <c r="E270" s="4347">
        <v>83307.990000000005</v>
      </c>
      <c r="F270" s="4235">
        <f t="shared" si="12"/>
        <v>83307.990000000005</v>
      </c>
    </row>
    <row r="271" spans="1:6" ht="15" customHeight="1">
      <c r="A271" s="4391">
        <v>9</v>
      </c>
      <c r="B271" s="4345" t="s">
        <v>824</v>
      </c>
      <c r="C271" s="4233"/>
      <c r="D271" s="4251"/>
      <c r="E271" s="4235"/>
      <c r="F271" s="4235" t="str">
        <f t="shared" si="12"/>
        <v xml:space="preserve"> </v>
      </c>
    </row>
    <row r="272" spans="1:6" ht="14.25" customHeight="1">
      <c r="A272" s="4394">
        <v>9.1</v>
      </c>
      <c r="B272" s="4232" t="s">
        <v>2377</v>
      </c>
      <c r="C272" s="4233">
        <v>1.6</v>
      </c>
      <c r="D272" s="4251" t="s">
        <v>1</v>
      </c>
      <c r="E272" s="4235">
        <v>3080.05</v>
      </c>
      <c r="F272" s="4235">
        <f t="shared" si="12"/>
        <v>4928.08</v>
      </c>
    </row>
    <row r="273" spans="1:6" ht="14.25" customHeight="1">
      <c r="A273" s="4394">
        <v>9.1999999999999993</v>
      </c>
      <c r="B273" s="4232" t="s">
        <v>2378</v>
      </c>
      <c r="C273" s="4233">
        <v>3</v>
      </c>
      <c r="D273" s="4251" t="s">
        <v>1</v>
      </c>
      <c r="E273" s="4235">
        <v>3696.07</v>
      </c>
      <c r="F273" s="4235">
        <f t="shared" si="12"/>
        <v>11088.21</v>
      </c>
    </row>
    <row r="274" spans="1:6" ht="14.25" customHeight="1">
      <c r="A274" s="4394">
        <v>9.3000000000000007</v>
      </c>
      <c r="B274" s="4232" t="s">
        <v>2379</v>
      </c>
      <c r="C274" s="4233">
        <v>1.8</v>
      </c>
      <c r="D274" s="4251" t="s">
        <v>2432</v>
      </c>
      <c r="E274" s="4235">
        <v>2679.02</v>
      </c>
      <c r="F274" s="4235">
        <f t="shared" si="12"/>
        <v>4822.24</v>
      </c>
    </row>
    <row r="275" spans="1:6" ht="14.25" customHeight="1">
      <c r="A275" s="4390"/>
      <c r="B275" s="4232"/>
      <c r="C275" s="4233"/>
      <c r="D275" s="4251"/>
      <c r="E275" s="4235"/>
      <c r="F275" s="4235" t="str">
        <f t="shared" si="12"/>
        <v xml:space="preserve"> </v>
      </c>
    </row>
    <row r="276" spans="1:6" ht="15" customHeight="1">
      <c r="A276" s="4391">
        <v>10</v>
      </c>
      <c r="B276" s="4345" t="s">
        <v>2065</v>
      </c>
      <c r="C276" s="4233"/>
      <c r="D276" s="4251"/>
      <c r="E276" s="4235"/>
      <c r="F276" s="4235" t="str">
        <f t="shared" si="12"/>
        <v xml:space="preserve"> </v>
      </c>
    </row>
    <row r="277" spans="1:6" ht="14.25" customHeight="1">
      <c r="A277" s="4394">
        <v>10.1</v>
      </c>
      <c r="B277" s="4212" t="s">
        <v>4047</v>
      </c>
      <c r="C277" s="4191">
        <v>1</v>
      </c>
      <c r="D277" s="4194" t="s">
        <v>2433</v>
      </c>
      <c r="E277" s="4210">
        <v>24297.38</v>
      </c>
      <c r="F277" s="4235">
        <f t="shared" si="12"/>
        <v>24297.38</v>
      </c>
    </row>
    <row r="278" spans="1:6" ht="14.25" customHeight="1">
      <c r="A278" s="4394">
        <v>10.199999999999999</v>
      </c>
      <c r="B278" s="4212" t="s">
        <v>3630</v>
      </c>
      <c r="C278" s="4191">
        <v>1</v>
      </c>
      <c r="D278" s="4194" t="s">
        <v>2433</v>
      </c>
      <c r="E278" s="4210">
        <v>328942.11</v>
      </c>
      <c r="F278" s="4235">
        <f t="shared" si="12"/>
        <v>328942.11</v>
      </c>
    </row>
    <row r="279" spans="1:6" ht="14.25" customHeight="1">
      <c r="A279" s="4394">
        <v>10.3</v>
      </c>
      <c r="B279" s="4212" t="s">
        <v>3631</v>
      </c>
      <c r="C279" s="4191">
        <v>1</v>
      </c>
      <c r="D279" s="4194" t="s">
        <v>2433</v>
      </c>
      <c r="E279" s="4210">
        <v>61195.98</v>
      </c>
      <c r="F279" s="4235">
        <f t="shared" si="12"/>
        <v>61195.98</v>
      </c>
    </row>
    <row r="280" spans="1:6" ht="14.25" customHeight="1">
      <c r="A280" s="4394">
        <v>10.4</v>
      </c>
      <c r="B280" s="4212" t="s">
        <v>2380</v>
      </c>
      <c r="C280" s="4191">
        <v>2</v>
      </c>
      <c r="D280" s="4194" t="s">
        <v>2433</v>
      </c>
      <c r="E280" s="4210">
        <v>27708.76</v>
      </c>
      <c r="F280" s="4235">
        <f t="shared" si="12"/>
        <v>55417.52</v>
      </c>
    </row>
    <row r="281" spans="1:6" ht="14.25" customHeight="1">
      <c r="A281" s="4394">
        <v>10.5</v>
      </c>
      <c r="B281" s="4212" t="s">
        <v>3632</v>
      </c>
      <c r="C281" s="4191">
        <v>2</v>
      </c>
      <c r="D281" s="4194" t="s">
        <v>2433</v>
      </c>
      <c r="E281" s="4210">
        <v>550</v>
      </c>
      <c r="F281" s="4235">
        <f t="shared" si="12"/>
        <v>1100</v>
      </c>
    </row>
    <row r="282" spans="1:6" ht="14.25" customHeight="1">
      <c r="A282" s="4394">
        <v>10.6</v>
      </c>
      <c r="B282" s="4314" t="s">
        <v>2381</v>
      </c>
      <c r="C282" s="4315">
        <v>12</v>
      </c>
      <c r="D282" s="4316" t="s">
        <v>2433</v>
      </c>
      <c r="E282" s="4317">
        <v>5699.4</v>
      </c>
      <c r="F282" s="4235">
        <f t="shared" si="12"/>
        <v>68392.800000000003</v>
      </c>
    </row>
    <row r="283" spans="1:6" ht="14.25" customHeight="1">
      <c r="A283" s="4394">
        <v>10.7</v>
      </c>
      <c r="B283" s="4212" t="s">
        <v>2382</v>
      </c>
      <c r="C283" s="4191">
        <v>2</v>
      </c>
      <c r="D283" s="4194" t="s">
        <v>2433</v>
      </c>
      <c r="E283" s="4210">
        <v>2950</v>
      </c>
      <c r="F283" s="4235">
        <f t="shared" si="12"/>
        <v>5900</v>
      </c>
    </row>
    <row r="284" spans="1:6" ht="14.25" customHeight="1">
      <c r="A284" s="4394">
        <v>10.8</v>
      </c>
      <c r="B284" s="4212" t="s">
        <v>2383</v>
      </c>
      <c r="C284" s="4191">
        <v>1</v>
      </c>
      <c r="D284" s="4194" t="s">
        <v>2433</v>
      </c>
      <c r="E284" s="4210">
        <v>3800.2</v>
      </c>
      <c r="F284" s="4235">
        <f t="shared" si="12"/>
        <v>3800.2</v>
      </c>
    </row>
    <row r="285" spans="1:6" ht="13.5" customHeight="1">
      <c r="A285" s="4394">
        <v>10.9</v>
      </c>
      <c r="B285" s="4212" t="s">
        <v>2384</v>
      </c>
      <c r="C285" s="4191">
        <v>1</v>
      </c>
      <c r="D285" s="4194" t="s">
        <v>2433</v>
      </c>
      <c r="E285" s="4210">
        <v>47607.48</v>
      </c>
      <c r="F285" s="4235">
        <f t="shared" si="12"/>
        <v>47607.48</v>
      </c>
    </row>
    <row r="286" spans="1:6" ht="75.75" customHeight="1">
      <c r="A286" s="4390">
        <v>10.1</v>
      </c>
      <c r="B286" s="4206" t="s">
        <v>3957</v>
      </c>
      <c r="C286" s="4191">
        <v>1</v>
      </c>
      <c r="D286" s="4194" t="s">
        <v>2433</v>
      </c>
      <c r="E286" s="4210">
        <v>104626.41</v>
      </c>
      <c r="F286" s="4235">
        <f t="shared" si="12"/>
        <v>104626.41</v>
      </c>
    </row>
    <row r="287" spans="1:6" ht="14.25" customHeight="1">
      <c r="A287" s="4390"/>
      <c r="B287" s="4232"/>
      <c r="C287" s="4233"/>
      <c r="D287" s="4251"/>
      <c r="E287" s="4235"/>
      <c r="F287" s="4235" t="str">
        <f t="shared" si="12"/>
        <v xml:space="preserve"> </v>
      </c>
    </row>
    <row r="288" spans="1:6" ht="15" customHeight="1">
      <c r="A288" s="4391">
        <v>11</v>
      </c>
      <c r="B288" s="4345" t="s">
        <v>833</v>
      </c>
      <c r="C288" s="4233"/>
      <c r="D288" s="4251"/>
      <c r="E288" s="4235"/>
      <c r="F288" s="4235" t="str">
        <f t="shared" si="12"/>
        <v xml:space="preserve"> </v>
      </c>
    </row>
    <row r="289" spans="1:6" ht="14.25" customHeight="1">
      <c r="A289" s="4394">
        <v>11.1</v>
      </c>
      <c r="B289" s="4212" t="s">
        <v>3633</v>
      </c>
      <c r="C289" s="4191">
        <v>3</v>
      </c>
      <c r="D289" s="4194" t="s">
        <v>2433</v>
      </c>
      <c r="E289" s="4210">
        <v>3500</v>
      </c>
      <c r="F289" s="4235">
        <f t="shared" si="12"/>
        <v>10500</v>
      </c>
    </row>
    <row r="290" spans="1:6" ht="14.25" customHeight="1">
      <c r="A290" s="4394">
        <v>11.2</v>
      </c>
      <c r="B290" s="4212" t="s">
        <v>3634</v>
      </c>
      <c r="C290" s="4191">
        <v>1</v>
      </c>
      <c r="D290" s="4194" t="s">
        <v>2433</v>
      </c>
      <c r="E290" s="4318">
        <v>10913.28</v>
      </c>
      <c r="F290" s="4235">
        <f t="shared" si="12"/>
        <v>10913.28</v>
      </c>
    </row>
    <row r="291" spans="1:6" ht="14.25" customHeight="1">
      <c r="A291" s="4394">
        <v>11.3</v>
      </c>
      <c r="B291" s="4212" t="s">
        <v>3635</v>
      </c>
      <c r="C291" s="4191">
        <v>1</v>
      </c>
      <c r="D291" s="4194" t="s">
        <v>2433</v>
      </c>
      <c r="E291" s="4318">
        <v>4677.12</v>
      </c>
      <c r="F291" s="4235">
        <f t="shared" si="12"/>
        <v>4677.12</v>
      </c>
    </row>
    <row r="292" spans="1:6" ht="14.25" customHeight="1">
      <c r="A292" s="4394">
        <v>11.4</v>
      </c>
      <c r="B292" s="4212" t="s">
        <v>3636</v>
      </c>
      <c r="C292" s="4191">
        <v>2</v>
      </c>
      <c r="D292" s="4194" t="s">
        <v>2433</v>
      </c>
      <c r="E292" s="4318">
        <v>5500</v>
      </c>
      <c r="F292" s="4235">
        <f t="shared" si="12"/>
        <v>11000</v>
      </c>
    </row>
    <row r="293" spans="1:6" ht="14.25" customHeight="1">
      <c r="A293" s="4390"/>
      <c r="B293" s="4212"/>
      <c r="C293" s="4191"/>
      <c r="D293" s="4194"/>
      <c r="E293" s="4318"/>
      <c r="F293" s="4235"/>
    </row>
    <row r="294" spans="1:6" ht="15" customHeight="1">
      <c r="A294" s="4391">
        <v>12</v>
      </c>
      <c r="B294" s="3435" t="s">
        <v>2073</v>
      </c>
      <c r="C294" s="4233"/>
      <c r="D294" s="4251"/>
      <c r="E294" s="4235"/>
      <c r="F294" s="4235" t="str">
        <f t="shared" ref="F294:F314" si="13">IF(C294&gt;0,(ROUND((E294*C294),2))," ")</f>
        <v xml:space="preserve"> </v>
      </c>
    </row>
    <row r="295" spans="1:6" ht="14.25" customHeight="1">
      <c r="A295" s="4394">
        <v>12.1</v>
      </c>
      <c r="B295" s="3563" t="s">
        <v>2385</v>
      </c>
      <c r="C295" s="4502">
        <v>2</v>
      </c>
      <c r="D295" s="4320" t="s">
        <v>2433</v>
      </c>
      <c r="E295" s="4318">
        <v>352.82</v>
      </c>
      <c r="F295" s="4235">
        <f t="shared" si="13"/>
        <v>705.64</v>
      </c>
    </row>
    <row r="296" spans="1:6" ht="14.25" customHeight="1">
      <c r="A296" s="4394">
        <v>12.2</v>
      </c>
      <c r="B296" s="3563" t="s">
        <v>2386</v>
      </c>
      <c r="C296" s="4502">
        <v>4</v>
      </c>
      <c r="D296" s="4320" t="s">
        <v>2433</v>
      </c>
      <c r="E296" s="4318">
        <v>165.2</v>
      </c>
      <c r="F296" s="4235">
        <f t="shared" si="13"/>
        <v>660.8</v>
      </c>
    </row>
    <row r="297" spans="1:6" ht="14.25" customHeight="1">
      <c r="A297" s="4394">
        <v>12.3</v>
      </c>
      <c r="B297" s="3563" t="s">
        <v>2387</v>
      </c>
      <c r="C297" s="4502">
        <v>4</v>
      </c>
      <c r="D297" s="4320" t="s">
        <v>2433</v>
      </c>
      <c r="E297" s="4318">
        <v>93.22</v>
      </c>
      <c r="F297" s="4235">
        <f t="shared" si="13"/>
        <v>372.88</v>
      </c>
    </row>
    <row r="298" spans="1:6" ht="14.25" customHeight="1">
      <c r="A298" s="4394">
        <v>12.4</v>
      </c>
      <c r="B298" s="3563" t="s">
        <v>3637</v>
      </c>
      <c r="C298" s="4502">
        <v>2</v>
      </c>
      <c r="D298" s="4320" t="s">
        <v>2433</v>
      </c>
      <c r="E298" s="4318">
        <v>295</v>
      </c>
      <c r="F298" s="4235">
        <f t="shared" si="13"/>
        <v>590</v>
      </c>
    </row>
    <row r="299" spans="1:6" ht="14.25" customHeight="1">
      <c r="A299" s="4394">
        <v>12.5</v>
      </c>
      <c r="B299" s="3563" t="s">
        <v>2388</v>
      </c>
      <c r="C299" s="4502">
        <v>2</v>
      </c>
      <c r="D299" s="4320" t="s">
        <v>2433</v>
      </c>
      <c r="E299" s="4318">
        <v>277.3</v>
      </c>
      <c r="F299" s="4235">
        <f t="shared" si="13"/>
        <v>554.6</v>
      </c>
    </row>
    <row r="300" spans="1:6" ht="14.25" customHeight="1">
      <c r="A300" s="4394">
        <v>12.6</v>
      </c>
      <c r="B300" s="3563" t="s">
        <v>2389</v>
      </c>
      <c r="C300" s="4502">
        <v>2</v>
      </c>
      <c r="D300" s="4320" t="s">
        <v>2433</v>
      </c>
      <c r="E300" s="4318">
        <v>548.70000000000005</v>
      </c>
      <c r="F300" s="4235">
        <f t="shared" si="13"/>
        <v>1097.4000000000001</v>
      </c>
    </row>
    <row r="301" spans="1:6" ht="14.25" customHeight="1">
      <c r="A301" s="4394">
        <v>12.7</v>
      </c>
      <c r="B301" s="3563" t="s">
        <v>2390</v>
      </c>
      <c r="C301" s="4502">
        <v>1</v>
      </c>
      <c r="D301" s="4320" t="s">
        <v>2433</v>
      </c>
      <c r="E301" s="4318">
        <v>5000</v>
      </c>
      <c r="F301" s="4235">
        <f t="shared" si="13"/>
        <v>5000</v>
      </c>
    </row>
    <row r="302" spans="1:6" ht="14.25" customHeight="1">
      <c r="A302" s="4394">
        <v>12.8</v>
      </c>
      <c r="B302" s="3563" t="s">
        <v>3638</v>
      </c>
      <c r="C302" s="4502">
        <v>2</v>
      </c>
      <c r="D302" s="4320" t="s">
        <v>2433</v>
      </c>
      <c r="E302" s="4318">
        <v>150</v>
      </c>
      <c r="F302" s="4235">
        <f t="shared" si="13"/>
        <v>300</v>
      </c>
    </row>
    <row r="303" spans="1:6" ht="14.25" customHeight="1">
      <c r="A303" s="4394">
        <v>12.9</v>
      </c>
      <c r="B303" s="3563" t="s">
        <v>4034</v>
      </c>
      <c r="C303" s="4502">
        <v>2</v>
      </c>
      <c r="D303" s="4320" t="s">
        <v>2433</v>
      </c>
      <c r="E303" s="4318">
        <v>247.8</v>
      </c>
      <c r="F303" s="4235">
        <f t="shared" si="13"/>
        <v>495.6</v>
      </c>
    </row>
    <row r="304" spans="1:6" ht="14.25" customHeight="1">
      <c r="A304" s="4390">
        <v>12.1</v>
      </c>
      <c r="B304" s="3563" t="s">
        <v>2391</v>
      </c>
      <c r="C304" s="4502">
        <v>1</v>
      </c>
      <c r="D304" s="4320" t="s">
        <v>2960</v>
      </c>
      <c r="E304" s="4318">
        <v>650</v>
      </c>
      <c r="F304" s="4235">
        <f t="shared" si="13"/>
        <v>650</v>
      </c>
    </row>
    <row r="305" spans="1:7" ht="14.25" customHeight="1">
      <c r="A305" s="4390">
        <v>12.11</v>
      </c>
      <c r="B305" s="3563" t="s">
        <v>2392</v>
      </c>
      <c r="C305" s="4502">
        <v>2</v>
      </c>
      <c r="D305" s="4320" t="s">
        <v>2433</v>
      </c>
      <c r="E305" s="4318">
        <v>126.26</v>
      </c>
      <c r="F305" s="4235">
        <f t="shared" si="13"/>
        <v>252.52</v>
      </c>
    </row>
    <row r="306" spans="1:7" ht="14.25" customHeight="1">
      <c r="A306" s="4390">
        <v>12.13</v>
      </c>
      <c r="B306" s="3563" t="s">
        <v>2393</v>
      </c>
      <c r="C306" s="4502">
        <v>2</v>
      </c>
      <c r="D306" s="4320" t="s">
        <v>2433</v>
      </c>
      <c r="E306" s="4318">
        <v>330.4</v>
      </c>
      <c r="F306" s="4235">
        <f t="shared" si="13"/>
        <v>660.8</v>
      </c>
    </row>
    <row r="307" spans="1:7" ht="14.25" customHeight="1">
      <c r="A307" s="4390">
        <v>12.4</v>
      </c>
      <c r="B307" s="3563" t="s">
        <v>3639</v>
      </c>
      <c r="C307" s="4502">
        <v>2</v>
      </c>
      <c r="D307" s="4320" t="s">
        <v>2433</v>
      </c>
      <c r="E307" s="4318">
        <v>258.42</v>
      </c>
      <c r="F307" s="4235">
        <f t="shared" si="13"/>
        <v>516.84</v>
      </c>
    </row>
    <row r="308" spans="1:7" ht="14.25" customHeight="1">
      <c r="A308" s="4456"/>
      <c r="B308" s="4452"/>
      <c r="C308" s="4466"/>
      <c r="D308" s="4467"/>
      <c r="E308" s="4468"/>
      <c r="F308" s="4468" t="str">
        <f t="shared" si="13"/>
        <v xml:space="preserve"> </v>
      </c>
    </row>
    <row r="309" spans="1:7" s="4227" customFormat="1" ht="15" customHeight="1">
      <c r="A309" s="4391">
        <v>13</v>
      </c>
      <c r="B309" s="4345" t="s">
        <v>819</v>
      </c>
      <c r="C309" s="4233"/>
      <c r="D309" s="4251"/>
      <c r="E309" s="4235"/>
      <c r="F309" s="4235" t="str">
        <f t="shared" si="13"/>
        <v xml:space="preserve"> </v>
      </c>
      <c r="G309" s="3557"/>
    </row>
    <row r="310" spans="1:7" s="4227" customFormat="1" ht="14.25" customHeight="1">
      <c r="A310" s="4394">
        <v>13.1</v>
      </c>
      <c r="B310" s="4232" t="s">
        <v>4021</v>
      </c>
      <c r="C310" s="4450">
        <v>19</v>
      </c>
      <c r="D310" s="4251" t="s">
        <v>2433</v>
      </c>
      <c r="E310" s="4235">
        <v>1153.96</v>
      </c>
      <c r="F310" s="4235">
        <f t="shared" si="13"/>
        <v>21925.24</v>
      </c>
      <c r="G310" s="3557"/>
    </row>
    <row r="311" spans="1:7" s="4227" customFormat="1" ht="14.25" customHeight="1">
      <c r="A311" s="4394">
        <v>13.2</v>
      </c>
      <c r="B311" s="4232" t="s">
        <v>4022</v>
      </c>
      <c r="C311" s="4450">
        <v>10</v>
      </c>
      <c r="D311" s="4251" t="s">
        <v>2433</v>
      </c>
      <c r="E311" s="4235">
        <v>1174.26</v>
      </c>
      <c r="F311" s="4235">
        <f t="shared" si="13"/>
        <v>11742.6</v>
      </c>
      <c r="G311" s="3557"/>
    </row>
    <row r="312" spans="1:7" s="4227" customFormat="1" ht="14.25" customHeight="1">
      <c r="A312" s="4394">
        <v>13.3</v>
      </c>
      <c r="B312" s="4232" t="s">
        <v>4023</v>
      </c>
      <c r="C312" s="4450">
        <v>4</v>
      </c>
      <c r="D312" s="4251" t="s">
        <v>2433</v>
      </c>
      <c r="E312" s="4235">
        <v>1195.6400000000001</v>
      </c>
      <c r="F312" s="4235">
        <f t="shared" si="13"/>
        <v>4782.5600000000004</v>
      </c>
      <c r="G312" s="3557"/>
    </row>
    <row r="313" spans="1:7" s="4227" customFormat="1" ht="14.25" customHeight="1">
      <c r="A313" s="4394">
        <v>13.4</v>
      </c>
      <c r="B313" s="4232" t="s">
        <v>4024</v>
      </c>
      <c r="C313" s="4450">
        <v>1</v>
      </c>
      <c r="D313" s="4251" t="s">
        <v>2433</v>
      </c>
      <c r="E313" s="4235">
        <v>1824.53</v>
      </c>
      <c r="F313" s="4235">
        <f t="shared" si="13"/>
        <v>1824.53</v>
      </c>
      <c r="G313" s="3557"/>
    </row>
    <row r="314" spans="1:7" s="4227" customFormat="1" ht="14.25" customHeight="1">
      <c r="A314" s="4394">
        <v>13.4</v>
      </c>
      <c r="B314" s="4232" t="s">
        <v>4025</v>
      </c>
      <c r="C314" s="4450">
        <v>1</v>
      </c>
      <c r="D314" s="4251" t="s">
        <v>2433</v>
      </c>
      <c r="E314" s="4235">
        <v>5215.99</v>
      </c>
      <c r="F314" s="4235">
        <f t="shared" si="13"/>
        <v>5215.99</v>
      </c>
      <c r="G314" s="3557"/>
    </row>
    <row r="315" spans="1:7" s="4223" customFormat="1" ht="14.25" customHeight="1">
      <c r="A315" s="4393"/>
      <c r="B315" s="3563"/>
      <c r="C315" s="4371"/>
      <c r="D315" s="4313"/>
      <c r="E315" s="4217"/>
      <c r="F315" s="4217"/>
      <c r="G315" s="3557"/>
    </row>
    <row r="316" spans="1:7" ht="15" customHeight="1">
      <c r="A316" s="4391">
        <v>14</v>
      </c>
      <c r="B316" s="4345" t="s">
        <v>810</v>
      </c>
      <c r="C316" s="4233"/>
      <c r="D316" s="4251"/>
      <c r="E316" s="4235"/>
      <c r="F316" s="4235" t="str">
        <f t="shared" ref="F316:F364" si="14">IF(C316&gt;0,(ROUND((E316*C316),2))," ")</f>
        <v xml:space="preserve"> </v>
      </c>
    </row>
    <row r="317" spans="1:7" ht="14.25" customHeight="1">
      <c r="A317" s="4394">
        <v>14.1</v>
      </c>
      <c r="B317" s="4232" t="s">
        <v>2411</v>
      </c>
      <c r="C317" s="4233">
        <v>1</v>
      </c>
      <c r="D317" s="4251" t="s">
        <v>2433</v>
      </c>
      <c r="E317" s="4235">
        <v>8465.98</v>
      </c>
      <c r="F317" s="4235">
        <f t="shared" si="14"/>
        <v>8465.98</v>
      </c>
    </row>
    <row r="318" spans="1:7" ht="14.25" customHeight="1">
      <c r="A318" s="4394">
        <v>14.2</v>
      </c>
      <c r="B318" s="4232" t="s">
        <v>2410</v>
      </c>
      <c r="C318" s="4233">
        <v>1</v>
      </c>
      <c r="D318" s="4251" t="s">
        <v>2433</v>
      </c>
      <c r="E318" s="4235">
        <v>10007.26</v>
      </c>
      <c r="F318" s="4235">
        <f t="shared" si="14"/>
        <v>10007.26</v>
      </c>
    </row>
    <row r="319" spans="1:7" ht="14.25" customHeight="1">
      <c r="A319" s="4394">
        <v>14.3</v>
      </c>
      <c r="B319" s="4232" t="s">
        <v>2372</v>
      </c>
      <c r="C319" s="4233">
        <v>1</v>
      </c>
      <c r="D319" s="4251" t="s">
        <v>2433</v>
      </c>
      <c r="E319" s="4235">
        <v>7739.5</v>
      </c>
      <c r="F319" s="4235">
        <f t="shared" si="14"/>
        <v>7739.5</v>
      </c>
    </row>
    <row r="320" spans="1:7" ht="14.25" customHeight="1">
      <c r="A320" s="4394">
        <v>14.4</v>
      </c>
      <c r="B320" s="4232" t="s">
        <v>2373</v>
      </c>
      <c r="C320" s="4233">
        <v>1</v>
      </c>
      <c r="D320" s="4251" t="s">
        <v>2433</v>
      </c>
      <c r="E320" s="4235">
        <v>2450.34</v>
      </c>
      <c r="F320" s="4235">
        <f t="shared" si="14"/>
        <v>2450.34</v>
      </c>
    </row>
    <row r="321" spans="1:7" ht="14.25" customHeight="1">
      <c r="A321" s="4394">
        <v>14.5</v>
      </c>
      <c r="B321" s="4232" t="s">
        <v>2374</v>
      </c>
      <c r="C321" s="4233">
        <v>1</v>
      </c>
      <c r="D321" s="4251" t="s">
        <v>2433</v>
      </c>
      <c r="E321" s="4235">
        <v>2212.15</v>
      </c>
      <c r="F321" s="4235">
        <f t="shared" si="14"/>
        <v>2212.15</v>
      </c>
    </row>
    <row r="322" spans="1:7" ht="14.25" customHeight="1">
      <c r="A322" s="4394">
        <v>14.6</v>
      </c>
      <c r="B322" s="4232" t="s">
        <v>2375</v>
      </c>
      <c r="C322" s="4233">
        <v>1</v>
      </c>
      <c r="D322" s="4251" t="s">
        <v>2433</v>
      </c>
      <c r="E322" s="4235">
        <v>4886.3</v>
      </c>
      <c r="F322" s="4235">
        <f t="shared" si="14"/>
        <v>4886.3</v>
      </c>
    </row>
    <row r="323" spans="1:7" ht="14.25" customHeight="1">
      <c r="A323" s="4394">
        <v>14.7</v>
      </c>
      <c r="B323" s="4232" t="s">
        <v>2376</v>
      </c>
      <c r="C323" s="4233">
        <v>1</v>
      </c>
      <c r="D323" s="4251" t="s">
        <v>2433</v>
      </c>
      <c r="E323" s="4235">
        <v>3748.47</v>
      </c>
      <c r="F323" s="4235">
        <f t="shared" si="14"/>
        <v>3748.47</v>
      </c>
    </row>
    <row r="324" spans="1:7" ht="14.25" customHeight="1">
      <c r="A324" s="4394">
        <v>14.8</v>
      </c>
      <c r="B324" s="4232" t="s">
        <v>2940</v>
      </c>
      <c r="C324" s="4233">
        <v>1</v>
      </c>
      <c r="D324" s="4251" t="s">
        <v>2433</v>
      </c>
      <c r="E324" s="4235">
        <v>14230.08</v>
      </c>
      <c r="F324" s="4235">
        <f t="shared" si="14"/>
        <v>14230.08</v>
      </c>
    </row>
    <row r="325" spans="1:7" ht="14.25" customHeight="1">
      <c r="A325" s="4390"/>
      <c r="B325" s="4232"/>
      <c r="C325" s="4233"/>
      <c r="D325" s="4251"/>
      <c r="E325" s="4260"/>
      <c r="F325" s="4235" t="str">
        <f t="shared" si="14"/>
        <v xml:space="preserve"> </v>
      </c>
    </row>
    <row r="326" spans="1:7" s="4238" customFormat="1" ht="15" customHeight="1">
      <c r="A326" s="4391">
        <v>15</v>
      </c>
      <c r="B326" s="4345" t="s">
        <v>3848</v>
      </c>
      <c r="C326" s="4233"/>
      <c r="D326" s="4251"/>
      <c r="E326" s="4235"/>
      <c r="F326" s="4235" t="str">
        <f t="shared" si="14"/>
        <v xml:space="preserve"> </v>
      </c>
      <c r="G326" s="3557"/>
    </row>
    <row r="327" spans="1:7" s="4238" customFormat="1" ht="14.25" customHeight="1">
      <c r="A327" s="4394">
        <v>15.1</v>
      </c>
      <c r="B327" s="4232" t="s">
        <v>2394</v>
      </c>
      <c r="C327" s="4233">
        <v>1</v>
      </c>
      <c r="D327" s="4251" t="s">
        <v>42</v>
      </c>
      <c r="E327" s="4235">
        <v>700</v>
      </c>
      <c r="F327" s="4235">
        <f t="shared" si="14"/>
        <v>700</v>
      </c>
      <c r="G327" s="3557"/>
    </row>
    <row r="328" spans="1:7" s="4238" customFormat="1" ht="15" customHeight="1">
      <c r="A328" s="4395"/>
      <c r="B328" s="4232"/>
      <c r="C328" s="4233"/>
      <c r="D328" s="4251"/>
      <c r="E328" s="4235"/>
      <c r="F328" s="4235" t="str">
        <f t="shared" si="14"/>
        <v xml:space="preserve"> </v>
      </c>
      <c r="G328" s="3557"/>
    </row>
    <row r="329" spans="1:7" s="4238" customFormat="1" ht="27.75" customHeight="1">
      <c r="A329" s="4392">
        <v>15.2</v>
      </c>
      <c r="B329" s="4344" t="s">
        <v>3849</v>
      </c>
      <c r="C329" s="4233">
        <v>1</v>
      </c>
      <c r="D329" s="4251" t="s">
        <v>42</v>
      </c>
      <c r="E329" s="4235">
        <v>1200</v>
      </c>
      <c r="F329" s="4235">
        <f t="shared" si="14"/>
        <v>1200</v>
      </c>
      <c r="G329" s="3557"/>
    </row>
    <row r="330" spans="1:7" s="4238" customFormat="1" ht="15" customHeight="1">
      <c r="A330" s="4395"/>
      <c r="B330" s="3434"/>
      <c r="C330" s="4233"/>
      <c r="D330" s="4251"/>
      <c r="E330" s="4235"/>
      <c r="F330" s="4235" t="str">
        <f t="shared" si="14"/>
        <v xml:space="preserve"> </v>
      </c>
      <c r="G330" s="3557"/>
    </row>
    <row r="331" spans="1:7" s="4238" customFormat="1" ht="15" customHeight="1">
      <c r="A331" s="4392">
        <v>15.3</v>
      </c>
      <c r="B331" s="4345" t="s">
        <v>3525</v>
      </c>
      <c r="C331" s="4233"/>
      <c r="D331" s="4251"/>
      <c r="E331" s="4235"/>
      <c r="F331" s="4235" t="str">
        <f t="shared" si="14"/>
        <v xml:space="preserve"> </v>
      </c>
      <c r="G331" s="3557"/>
    </row>
    <row r="332" spans="1:7" s="4238" customFormat="1" ht="14.25" customHeight="1">
      <c r="A332" s="4390" t="s">
        <v>3855</v>
      </c>
      <c r="B332" s="4232" t="s">
        <v>3622</v>
      </c>
      <c r="C332" s="4233">
        <v>13.82</v>
      </c>
      <c r="D332" s="4251" t="s">
        <v>1</v>
      </c>
      <c r="E332" s="4224">
        <v>70.06</v>
      </c>
      <c r="F332" s="4235">
        <f t="shared" si="14"/>
        <v>968.23</v>
      </c>
      <c r="G332" s="3557"/>
    </row>
    <row r="333" spans="1:7" s="4238" customFormat="1" ht="15" customHeight="1">
      <c r="A333" s="4395"/>
      <c r="B333" s="4232"/>
      <c r="C333" s="4233"/>
      <c r="D333" s="4251"/>
      <c r="E333" s="4224"/>
      <c r="F333" s="4235" t="str">
        <f t="shared" si="14"/>
        <v xml:space="preserve"> </v>
      </c>
      <c r="G333" s="3557"/>
    </row>
    <row r="334" spans="1:7" s="4238" customFormat="1" ht="15" customHeight="1">
      <c r="A334" s="4392">
        <v>15.4</v>
      </c>
      <c r="B334" s="4345" t="s">
        <v>3526</v>
      </c>
      <c r="C334" s="4233"/>
      <c r="D334" s="4251"/>
      <c r="E334" s="4224"/>
      <c r="F334" s="4235" t="str">
        <f t="shared" si="14"/>
        <v xml:space="preserve"> </v>
      </c>
      <c r="G334" s="3557"/>
    </row>
    <row r="335" spans="1:7" s="4238" customFormat="1" ht="14.25" customHeight="1">
      <c r="A335" s="4390" t="s">
        <v>3850</v>
      </c>
      <c r="B335" s="4232" t="s">
        <v>3623</v>
      </c>
      <c r="C335" s="4233">
        <v>13.42</v>
      </c>
      <c r="D335" s="4251" t="s">
        <v>1</v>
      </c>
      <c r="E335" s="4224">
        <v>15.71</v>
      </c>
      <c r="F335" s="4235">
        <f t="shared" si="14"/>
        <v>210.83</v>
      </c>
      <c r="G335" s="3557"/>
    </row>
    <row r="336" spans="1:7" s="4238" customFormat="1" ht="15" customHeight="1">
      <c r="A336" s="4395"/>
      <c r="B336" s="4232"/>
      <c r="C336" s="4233"/>
      <c r="D336" s="4251"/>
      <c r="E336" s="4224"/>
      <c r="F336" s="4235" t="str">
        <f t="shared" si="14"/>
        <v xml:space="preserve"> </v>
      </c>
      <c r="G336" s="3557"/>
    </row>
    <row r="337" spans="1:7" s="4238" customFormat="1" ht="15" customHeight="1">
      <c r="A337" s="4392">
        <v>15.5</v>
      </c>
      <c r="B337" s="4345" t="s">
        <v>3527</v>
      </c>
      <c r="C337" s="4233"/>
      <c r="D337" s="4251"/>
      <c r="E337" s="4224"/>
      <c r="F337" s="4235" t="str">
        <f t="shared" si="14"/>
        <v xml:space="preserve"> </v>
      </c>
      <c r="G337" s="3557"/>
    </row>
    <row r="338" spans="1:7" s="4238" customFormat="1" ht="14.25" customHeight="1">
      <c r="A338" s="4390" t="s">
        <v>3856</v>
      </c>
      <c r="B338" s="4232" t="s">
        <v>3653</v>
      </c>
      <c r="C338" s="4233">
        <v>5</v>
      </c>
      <c r="D338" s="4251" t="s">
        <v>2433</v>
      </c>
      <c r="E338" s="4405">
        <v>27.23</v>
      </c>
      <c r="F338" s="4235">
        <f t="shared" si="14"/>
        <v>136.15</v>
      </c>
      <c r="G338" s="3557"/>
    </row>
    <row r="339" spans="1:7" s="4238" customFormat="1" ht="14.25" customHeight="1">
      <c r="A339" s="4390" t="s">
        <v>3857</v>
      </c>
      <c r="B339" s="4232" t="s">
        <v>3851</v>
      </c>
      <c r="C339" s="4233">
        <v>3</v>
      </c>
      <c r="D339" s="4251" t="s">
        <v>2433</v>
      </c>
      <c r="E339" s="4405">
        <v>38.840000000000003</v>
      </c>
      <c r="F339" s="4235">
        <f t="shared" si="14"/>
        <v>116.52</v>
      </c>
      <c r="G339" s="3557"/>
    </row>
    <row r="340" spans="1:7" s="4238" customFormat="1" ht="14.25" customHeight="1">
      <c r="A340" s="4390" t="s">
        <v>3858</v>
      </c>
      <c r="B340" s="4232" t="s">
        <v>3852</v>
      </c>
      <c r="C340" s="4233">
        <v>1</v>
      </c>
      <c r="D340" s="4251" t="s">
        <v>2433</v>
      </c>
      <c r="E340" s="4405">
        <v>129.97</v>
      </c>
      <c r="F340" s="4235">
        <f t="shared" si="14"/>
        <v>129.97</v>
      </c>
      <c r="G340" s="3557"/>
    </row>
    <row r="341" spans="1:7" s="4238" customFormat="1" ht="14.25" customHeight="1">
      <c r="A341" s="4390" t="s">
        <v>3859</v>
      </c>
      <c r="B341" s="4232" t="s">
        <v>3565</v>
      </c>
      <c r="C341" s="4233">
        <v>2</v>
      </c>
      <c r="D341" s="4251" t="s">
        <v>2433</v>
      </c>
      <c r="E341" s="4405">
        <v>27</v>
      </c>
      <c r="F341" s="4235">
        <f t="shared" si="14"/>
        <v>54</v>
      </c>
      <c r="G341" s="3557"/>
    </row>
    <row r="342" spans="1:7" s="4238" customFormat="1" ht="14.25" customHeight="1">
      <c r="A342" s="4390" t="s">
        <v>3860</v>
      </c>
      <c r="B342" s="4232" t="s">
        <v>3528</v>
      </c>
      <c r="C342" s="4233">
        <v>1</v>
      </c>
      <c r="D342" s="4251" t="s">
        <v>42</v>
      </c>
      <c r="E342" s="4235">
        <v>500</v>
      </c>
      <c r="F342" s="4235">
        <f t="shared" si="14"/>
        <v>500</v>
      </c>
      <c r="G342" s="3557"/>
    </row>
    <row r="343" spans="1:7" ht="14.25" customHeight="1">
      <c r="A343" s="4390"/>
      <c r="B343" s="4232"/>
      <c r="C343" s="4233"/>
      <c r="D343" s="4251"/>
      <c r="E343" s="4235"/>
      <c r="F343" s="4235" t="str">
        <f t="shared" si="14"/>
        <v xml:space="preserve"> </v>
      </c>
    </row>
    <row r="344" spans="1:7" s="4236" customFormat="1" ht="15" customHeight="1">
      <c r="A344" s="4392">
        <v>15.6</v>
      </c>
      <c r="B344" s="4345" t="s">
        <v>3551</v>
      </c>
      <c r="C344" s="4233"/>
      <c r="D344" s="4251"/>
      <c r="E344" s="4235"/>
      <c r="F344" s="4235" t="str">
        <f t="shared" si="14"/>
        <v xml:space="preserve"> </v>
      </c>
      <c r="G344" s="3557"/>
    </row>
    <row r="345" spans="1:7" s="4236" customFormat="1" ht="14.25" customHeight="1">
      <c r="A345" s="4390" t="s">
        <v>3861</v>
      </c>
      <c r="B345" s="4232" t="s">
        <v>2394</v>
      </c>
      <c r="C345" s="4233">
        <v>1</v>
      </c>
      <c r="D345" s="4251" t="s">
        <v>42</v>
      </c>
      <c r="E345" s="4235">
        <v>750</v>
      </c>
      <c r="F345" s="4235">
        <f>IF(C345&gt;0,(ROUND((E345*C345),2))," ")</f>
        <v>750</v>
      </c>
      <c r="G345" s="3557"/>
    </row>
    <row r="346" spans="1:7" s="4236" customFormat="1" ht="15" customHeight="1">
      <c r="A346" s="4395"/>
      <c r="B346" s="4400"/>
      <c r="C346" s="4233"/>
      <c r="D346" s="4251"/>
      <c r="E346" s="4235"/>
      <c r="F346" s="4235" t="str">
        <f t="shared" si="14"/>
        <v xml:space="preserve"> </v>
      </c>
      <c r="G346" s="3557"/>
    </row>
    <row r="347" spans="1:7" s="4236" customFormat="1" ht="15" customHeight="1">
      <c r="A347" s="4395" t="s">
        <v>3862</v>
      </c>
      <c r="B347" s="4344" t="s">
        <v>3849</v>
      </c>
      <c r="C347" s="4233">
        <v>1</v>
      </c>
      <c r="D347" s="4251" t="s">
        <v>42</v>
      </c>
      <c r="E347" s="4235">
        <v>1600</v>
      </c>
      <c r="F347" s="4235">
        <f t="shared" si="14"/>
        <v>1600</v>
      </c>
      <c r="G347" s="3557"/>
    </row>
    <row r="348" spans="1:7" s="4236" customFormat="1" ht="15" customHeight="1">
      <c r="A348" s="4395"/>
      <c r="B348" s="4400"/>
      <c r="C348" s="4233"/>
      <c r="D348" s="4251"/>
      <c r="E348" s="4235"/>
      <c r="F348" s="4235" t="str">
        <f t="shared" si="14"/>
        <v xml:space="preserve"> </v>
      </c>
      <c r="G348" s="3557"/>
    </row>
    <row r="349" spans="1:7" s="4236" customFormat="1" ht="15" customHeight="1">
      <c r="A349" s="4395" t="s">
        <v>3863</v>
      </c>
      <c r="B349" s="4345" t="s">
        <v>3525</v>
      </c>
      <c r="C349" s="4233"/>
      <c r="D349" s="4251"/>
      <c r="E349" s="4235"/>
      <c r="F349" s="4235" t="str">
        <f t="shared" si="14"/>
        <v xml:space="preserve"> </v>
      </c>
      <c r="G349" s="3557"/>
    </row>
    <row r="350" spans="1:7" s="4236" customFormat="1" ht="14.25" customHeight="1">
      <c r="A350" s="4390" t="s">
        <v>3864</v>
      </c>
      <c r="B350" s="4232" t="s">
        <v>3625</v>
      </c>
      <c r="C350" s="4233">
        <v>3.09</v>
      </c>
      <c r="D350" s="4251" t="s">
        <v>1</v>
      </c>
      <c r="E350" s="4235">
        <v>197.75</v>
      </c>
      <c r="F350" s="4235">
        <f t="shared" si="14"/>
        <v>611.04999999999995</v>
      </c>
      <c r="G350" s="3557"/>
    </row>
    <row r="351" spans="1:7" s="4236" customFormat="1" ht="14.25" customHeight="1">
      <c r="A351" s="4390" t="s">
        <v>3865</v>
      </c>
      <c r="B351" s="4232" t="s">
        <v>3624</v>
      </c>
      <c r="C351" s="4233">
        <v>7.28</v>
      </c>
      <c r="D351" s="4251" t="s">
        <v>1</v>
      </c>
      <c r="E351" s="4235">
        <v>692.39</v>
      </c>
      <c r="F351" s="4235">
        <f t="shared" si="14"/>
        <v>5040.6000000000004</v>
      </c>
      <c r="G351" s="3557"/>
    </row>
    <row r="352" spans="1:7" s="4236" customFormat="1" ht="15" customHeight="1">
      <c r="A352" s="4395"/>
      <c r="B352" s="4400"/>
      <c r="C352" s="4233"/>
      <c r="D352" s="4251"/>
      <c r="E352" s="4235"/>
      <c r="F352" s="4235" t="str">
        <f t="shared" si="14"/>
        <v xml:space="preserve"> </v>
      </c>
      <c r="G352" s="3557"/>
    </row>
    <row r="353" spans="1:7" s="4236" customFormat="1" ht="15" customHeight="1">
      <c r="A353" s="4395" t="s">
        <v>3866</v>
      </c>
      <c r="B353" s="4345" t="s">
        <v>3526</v>
      </c>
      <c r="C353" s="4233"/>
      <c r="D353" s="4251"/>
      <c r="E353" s="4235"/>
      <c r="F353" s="4235" t="str">
        <f t="shared" si="14"/>
        <v xml:space="preserve"> </v>
      </c>
      <c r="G353" s="3557"/>
    </row>
    <row r="354" spans="1:7" s="4236" customFormat="1" ht="14.25" customHeight="1">
      <c r="A354" s="4390" t="s">
        <v>3867</v>
      </c>
      <c r="B354" s="4232" t="s">
        <v>3626</v>
      </c>
      <c r="C354" s="4233">
        <v>3</v>
      </c>
      <c r="D354" s="4251" t="s">
        <v>1</v>
      </c>
      <c r="E354" s="4235">
        <v>19.64</v>
      </c>
      <c r="F354" s="4235">
        <f t="shared" si="14"/>
        <v>58.92</v>
      </c>
      <c r="G354" s="3557"/>
    </row>
    <row r="355" spans="1:7" s="4236" customFormat="1" ht="14.25" customHeight="1">
      <c r="A355" s="4390" t="s">
        <v>3868</v>
      </c>
      <c r="B355" s="4232" t="s">
        <v>3627</v>
      </c>
      <c r="C355" s="4233">
        <v>7</v>
      </c>
      <c r="D355" s="4251" t="s">
        <v>1</v>
      </c>
      <c r="E355" s="4235">
        <v>32.270000000000003</v>
      </c>
      <c r="F355" s="4235">
        <f t="shared" si="14"/>
        <v>225.89</v>
      </c>
      <c r="G355" s="3557"/>
    </row>
    <row r="356" spans="1:7" s="4236" customFormat="1" ht="15" customHeight="1">
      <c r="A356" s="4469"/>
      <c r="B356" s="4480"/>
      <c r="C356" s="4466"/>
      <c r="D356" s="4467"/>
      <c r="E356" s="4468"/>
      <c r="F356" s="4468" t="str">
        <f t="shared" si="14"/>
        <v xml:space="preserve"> </v>
      </c>
      <c r="G356" s="3557"/>
    </row>
    <row r="357" spans="1:7" s="4236" customFormat="1" ht="15" customHeight="1">
      <c r="A357" s="4395" t="s">
        <v>3869</v>
      </c>
      <c r="B357" s="4345" t="s">
        <v>3548</v>
      </c>
      <c r="C357" s="4233"/>
      <c r="D357" s="4251"/>
      <c r="E357" s="4235"/>
      <c r="F357" s="4235" t="str">
        <f t="shared" si="14"/>
        <v xml:space="preserve"> </v>
      </c>
      <c r="G357" s="3557"/>
    </row>
    <row r="358" spans="1:7" s="4236" customFormat="1" ht="14.25" customHeight="1">
      <c r="A358" s="4390" t="s">
        <v>3870</v>
      </c>
      <c r="B358" s="4232" t="s">
        <v>3566</v>
      </c>
      <c r="C358" s="4233">
        <v>1</v>
      </c>
      <c r="D358" s="4251" t="s">
        <v>2433</v>
      </c>
      <c r="E358" s="4235">
        <v>16.5</v>
      </c>
      <c r="F358" s="4235">
        <f t="shared" si="14"/>
        <v>16.5</v>
      </c>
      <c r="G358" s="3557"/>
    </row>
    <row r="359" spans="1:7" s="4236" customFormat="1" ht="14.25" customHeight="1">
      <c r="A359" s="4390" t="s">
        <v>3871</v>
      </c>
      <c r="B359" s="4232" t="s">
        <v>3549</v>
      </c>
      <c r="C359" s="4233">
        <v>1</v>
      </c>
      <c r="D359" s="4251" t="s">
        <v>2433</v>
      </c>
      <c r="E359" s="4235">
        <v>222.94</v>
      </c>
      <c r="F359" s="4235">
        <f t="shared" si="14"/>
        <v>222.94</v>
      </c>
      <c r="G359" s="3557"/>
    </row>
    <row r="360" spans="1:7" s="4236" customFormat="1" ht="14.25" customHeight="1">
      <c r="A360" s="4390" t="s">
        <v>3872</v>
      </c>
      <c r="B360" s="4232" t="s">
        <v>3550</v>
      </c>
      <c r="C360" s="4233">
        <v>1</v>
      </c>
      <c r="D360" s="4251" t="s">
        <v>2433</v>
      </c>
      <c r="E360" s="4235">
        <v>205.32</v>
      </c>
      <c r="F360" s="4235">
        <f t="shared" si="14"/>
        <v>205.32</v>
      </c>
      <c r="G360" s="3557"/>
    </row>
    <row r="361" spans="1:7" s="4236" customFormat="1" ht="14.25" customHeight="1">
      <c r="A361" s="4390" t="s">
        <v>3873</v>
      </c>
      <c r="B361" s="4232" t="s">
        <v>3567</v>
      </c>
      <c r="C361" s="4233">
        <v>1</v>
      </c>
      <c r="D361" s="4251" t="s">
        <v>2433</v>
      </c>
      <c r="E361" s="4235">
        <v>72.209999999999994</v>
      </c>
      <c r="F361" s="4235">
        <f t="shared" si="14"/>
        <v>72.209999999999994</v>
      </c>
      <c r="G361" s="3557"/>
    </row>
    <row r="362" spans="1:7" s="4236" customFormat="1" ht="14.25" customHeight="1">
      <c r="A362" s="4390" t="s">
        <v>3874</v>
      </c>
      <c r="B362" s="4232" t="s">
        <v>3568</v>
      </c>
      <c r="C362" s="4233">
        <v>1</v>
      </c>
      <c r="D362" s="4251" t="s">
        <v>2433</v>
      </c>
      <c r="E362" s="4235">
        <v>109.11</v>
      </c>
      <c r="F362" s="4235">
        <f t="shared" si="14"/>
        <v>109.11</v>
      </c>
      <c r="G362" s="3557"/>
    </row>
    <row r="363" spans="1:7" s="4236" customFormat="1" ht="14.25" customHeight="1">
      <c r="A363" s="4390" t="s">
        <v>3875</v>
      </c>
      <c r="B363" s="4232" t="s">
        <v>3853</v>
      </c>
      <c r="C363" s="4233">
        <v>1</v>
      </c>
      <c r="D363" s="4251" t="s">
        <v>42</v>
      </c>
      <c r="E363" s="4235">
        <v>500</v>
      </c>
      <c r="F363" s="4235">
        <f t="shared" si="14"/>
        <v>500</v>
      </c>
      <c r="G363" s="3557"/>
    </row>
    <row r="364" spans="1:7" s="4236" customFormat="1" ht="14.25" customHeight="1">
      <c r="A364" s="4390" t="s">
        <v>3876</v>
      </c>
      <c r="B364" s="4232" t="s">
        <v>3854</v>
      </c>
      <c r="C364" s="4233">
        <v>2</v>
      </c>
      <c r="D364" s="4251" t="s">
        <v>2433</v>
      </c>
      <c r="E364" s="4235">
        <v>4500</v>
      </c>
      <c r="F364" s="4235">
        <f t="shared" si="14"/>
        <v>9000</v>
      </c>
      <c r="G364" s="3557"/>
    </row>
    <row r="365" spans="1:7" s="4236" customFormat="1" ht="14.25" customHeight="1">
      <c r="A365" s="4390"/>
      <c r="B365" s="4232"/>
      <c r="C365" s="4233"/>
      <c r="D365" s="4251"/>
      <c r="E365" s="4235"/>
      <c r="F365" s="4235"/>
      <c r="G365" s="3557"/>
    </row>
    <row r="366" spans="1:7" ht="14.25" customHeight="1">
      <c r="A366" s="4391">
        <v>16</v>
      </c>
      <c r="B366" s="4232" t="s">
        <v>2596</v>
      </c>
      <c r="C366" s="4233">
        <v>1</v>
      </c>
      <c r="D366" s="4251" t="s">
        <v>2433</v>
      </c>
      <c r="E366" s="4235">
        <v>7500</v>
      </c>
      <c r="F366" s="4235">
        <f t="shared" ref="F366" si="15">IF(C366&gt;0,(ROUND((E366*C366),2))," ")</f>
        <v>7500</v>
      </c>
    </row>
    <row r="367" spans="1:7" s="4268" customFormat="1" ht="12.75" customHeight="1">
      <c r="A367" s="4306"/>
      <c r="B367" s="4306" t="s">
        <v>2126</v>
      </c>
      <c r="C367" s="4503"/>
      <c r="D367" s="4503"/>
      <c r="E367" s="4503"/>
      <c r="F367" s="4321">
        <f>SUM(F183:F366)</f>
        <v>4407734.8600000003</v>
      </c>
      <c r="G367" s="3557"/>
    </row>
    <row r="368" spans="1:7" s="4242" customFormat="1" ht="15" customHeight="1">
      <c r="A368" s="4395"/>
      <c r="B368" s="3435"/>
      <c r="C368" s="4266"/>
      <c r="D368" s="4273"/>
      <c r="E368" s="4266"/>
      <c r="F368" s="4266"/>
      <c r="G368" s="3557"/>
    </row>
    <row r="369" spans="1:7" s="4223" customFormat="1" ht="15">
      <c r="A369" s="4398" t="s">
        <v>851</v>
      </c>
      <c r="B369" s="3435" t="s">
        <v>1771</v>
      </c>
      <c r="C369" s="4222"/>
      <c r="D369" s="4313"/>
      <c r="E369" s="4217"/>
      <c r="F369" s="4217" t="str">
        <f t="shared" ref="F369:F432" si="16">IF(C369&gt;0,(ROUND((E369*C369),2))," ")</f>
        <v xml:space="preserve"> </v>
      </c>
      <c r="G369" s="3557"/>
    </row>
    <row r="370" spans="1:7" ht="15" customHeight="1">
      <c r="A370" s="4390"/>
      <c r="B370" s="3435"/>
      <c r="C370" s="4233"/>
      <c r="D370" s="4251"/>
      <c r="E370" s="4235"/>
      <c r="F370" s="4235" t="str">
        <f t="shared" si="16"/>
        <v xml:space="preserve"> </v>
      </c>
    </row>
    <row r="371" spans="1:7" ht="15" customHeight="1">
      <c r="A371" s="4391">
        <v>1</v>
      </c>
      <c r="B371" s="4345" t="s">
        <v>2165</v>
      </c>
      <c r="C371" s="4233"/>
      <c r="D371" s="4251"/>
      <c r="E371" s="4235"/>
      <c r="F371" s="4235" t="str">
        <f t="shared" si="16"/>
        <v xml:space="preserve"> </v>
      </c>
    </row>
    <row r="372" spans="1:7" ht="14.25" customHeight="1">
      <c r="A372" s="4394">
        <v>1.1000000000000001</v>
      </c>
      <c r="B372" s="4232" t="s">
        <v>4042</v>
      </c>
      <c r="C372" s="4233">
        <v>25.88</v>
      </c>
      <c r="D372" s="4251" t="s">
        <v>2432</v>
      </c>
      <c r="E372" s="4235">
        <v>79.19</v>
      </c>
      <c r="F372" s="4235">
        <f t="shared" si="16"/>
        <v>2049.44</v>
      </c>
    </row>
    <row r="373" spans="1:7" ht="14.25" customHeight="1">
      <c r="A373" s="4390"/>
      <c r="B373" s="4232"/>
      <c r="C373" s="4233"/>
      <c r="D373" s="4251"/>
      <c r="E373" s="4235"/>
      <c r="F373" s="4235"/>
    </row>
    <row r="374" spans="1:7" s="4268" customFormat="1" ht="12.75" customHeight="1">
      <c r="A374" s="4352">
        <v>2</v>
      </c>
      <c r="B374" s="4353" t="s">
        <v>3766</v>
      </c>
      <c r="C374" s="4504"/>
      <c r="D374" s="4516"/>
      <c r="E374" s="4504"/>
      <c r="F374" s="4354"/>
      <c r="G374" s="3557"/>
    </row>
    <row r="375" spans="1:7" s="4227" customFormat="1" ht="14.25" customHeight="1">
      <c r="A375" s="4394">
        <v>2.1</v>
      </c>
      <c r="B375" s="4232" t="s">
        <v>2398</v>
      </c>
      <c r="C375" s="4233">
        <v>14.21</v>
      </c>
      <c r="D375" s="4251" t="s">
        <v>2430</v>
      </c>
      <c r="E375" s="4235">
        <v>330.24</v>
      </c>
      <c r="F375" s="4235">
        <f t="shared" si="16"/>
        <v>4692.71</v>
      </c>
      <c r="G375" s="3557"/>
    </row>
    <row r="376" spans="1:7" s="4227" customFormat="1" ht="14.25" customHeight="1">
      <c r="A376" s="4394">
        <v>2.2000000000000002</v>
      </c>
      <c r="B376" s="3434" t="s">
        <v>3877</v>
      </c>
      <c r="C376" s="4235">
        <v>7.49</v>
      </c>
      <c r="D376" s="4251" t="s">
        <v>2431</v>
      </c>
      <c r="E376" s="4235">
        <v>121.12</v>
      </c>
      <c r="F376" s="4235">
        <f t="shared" si="16"/>
        <v>907.19</v>
      </c>
      <c r="G376" s="3557"/>
    </row>
    <row r="377" spans="1:7" s="4227" customFormat="1" ht="14.25" customHeight="1">
      <c r="A377" s="4394">
        <v>2.2999999999999998</v>
      </c>
      <c r="B377" s="4232" t="s">
        <v>4035</v>
      </c>
      <c r="C377" s="4233">
        <v>7.49</v>
      </c>
      <c r="D377" s="4251" t="s">
        <v>2430</v>
      </c>
      <c r="E377" s="4235">
        <v>575</v>
      </c>
      <c r="F377" s="4235">
        <f t="shared" si="16"/>
        <v>4306.75</v>
      </c>
      <c r="G377" s="3557"/>
    </row>
    <row r="378" spans="1:7" s="4227" customFormat="1" ht="29.25" customHeight="1">
      <c r="A378" s="4394">
        <v>2.4</v>
      </c>
      <c r="B378" s="3434" t="s">
        <v>3847</v>
      </c>
      <c r="C378" s="4233">
        <v>8.73</v>
      </c>
      <c r="D378" s="4251" t="s">
        <v>2525</v>
      </c>
      <c r="E378" s="4235">
        <v>210</v>
      </c>
      <c r="F378" s="4235">
        <f>IF(C378&gt;0,(ROUND((E378*C378),2))," ")</f>
        <v>1833.3</v>
      </c>
      <c r="G378" s="3557"/>
    </row>
    <row r="379" spans="1:7" ht="14.25" customHeight="1">
      <c r="A379" s="4390"/>
      <c r="B379" s="4232"/>
      <c r="C379" s="4233"/>
      <c r="D379" s="4251"/>
      <c r="E379" s="4235"/>
      <c r="F379" s="4235" t="str">
        <f t="shared" si="16"/>
        <v xml:space="preserve"> </v>
      </c>
    </row>
    <row r="380" spans="1:7" ht="15" customHeight="1">
      <c r="A380" s="4391">
        <v>3</v>
      </c>
      <c r="B380" s="4345" t="s">
        <v>1776</v>
      </c>
      <c r="C380" s="4233"/>
      <c r="D380" s="4251"/>
      <c r="E380" s="4235"/>
      <c r="F380" s="4235" t="str">
        <f t="shared" si="16"/>
        <v xml:space="preserve"> </v>
      </c>
    </row>
    <row r="381" spans="1:7" ht="14.25" customHeight="1">
      <c r="A381" s="4394">
        <v>3.1</v>
      </c>
      <c r="B381" s="4212" t="s">
        <v>3756</v>
      </c>
      <c r="C381" s="4505">
        <v>1.28</v>
      </c>
      <c r="D381" s="4517" t="s">
        <v>3761</v>
      </c>
      <c r="E381" s="4235">
        <v>9645.7800000000007</v>
      </c>
      <c r="F381" s="4235">
        <f t="shared" si="16"/>
        <v>12346.6</v>
      </c>
    </row>
    <row r="382" spans="1:7" ht="14.25" customHeight="1">
      <c r="A382" s="4394">
        <v>3.2</v>
      </c>
      <c r="B382" s="4212" t="s">
        <v>3762</v>
      </c>
      <c r="C382" s="4351">
        <v>2.59</v>
      </c>
      <c r="D382" s="4517" t="s">
        <v>3761</v>
      </c>
      <c r="E382" s="4235">
        <v>10624.22</v>
      </c>
      <c r="F382" s="4235">
        <f t="shared" si="16"/>
        <v>27516.73</v>
      </c>
    </row>
    <row r="383" spans="1:7" ht="14.25" customHeight="1">
      <c r="A383" s="4394">
        <v>3.3</v>
      </c>
      <c r="B383" s="4206" t="s">
        <v>4036</v>
      </c>
      <c r="C383" s="4351">
        <v>2.11</v>
      </c>
      <c r="D383" s="4517" t="s">
        <v>3761</v>
      </c>
      <c r="E383" s="4235">
        <v>23377.279999999999</v>
      </c>
      <c r="F383" s="4235">
        <f t="shared" si="16"/>
        <v>49326.06</v>
      </c>
    </row>
    <row r="384" spans="1:7" ht="14.25" customHeight="1">
      <c r="A384" s="4394">
        <v>3.4</v>
      </c>
      <c r="B384" s="3563" t="s">
        <v>3757</v>
      </c>
      <c r="C384" s="4351">
        <v>0.5</v>
      </c>
      <c r="D384" s="4517" t="s">
        <v>3761</v>
      </c>
      <c r="E384" s="4235">
        <v>26692.52</v>
      </c>
      <c r="F384" s="4235">
        <f t="shared" si="16"/>
        <v>13346.26</v>
      </c>
    </row>
    <row r="385" spans="1:7" ht="14.25" customHeight="1">
      <c r="A385" s="4394">
        <v>3.5</v>
      </c>
      <c r="B385" s="3563" t="s">
        <v>3758</v>
      </c>
      <c r="C385" s="4351">
        <v>0.78</v>
      </c>
      <c r="D385" s="4517" t="s">
        <v>3761</v>
      </c>
      <c r="E385" s="4235">
        <v>20526</v>
      </c>
      <c r="F385" s="4235">
        <f t="shared" si="16"/>
        <v>16010.28</v>
      </c>
    </row>
    <row r="386" spans="1:7" ht="14.25" customHeight="1">
      <c r="A386" s="4394">
        <v>3.6</v>
      </c>
      <c r="B386" s="3563" t="s">
        <v>3759</v>
      </c>
      <c r="C386" s="4351">
        <v>0.84</v>
      </c>
      <c r="D386" s="4517" t="s">
        <v>3761</v>
      </c>
      <c r="E386" s="4235">
        <v>30157.53</v>
      </c>
      <c r="F386" s="4235">
        <f t="shared" si="16"/>
        <v>25332.33</v>
      </c>
    </row>
    <row r="387" spans="1:7" ht="14.25" customHeight="1">
      <c r="A387" s="4394">
        <v>3.7</v>
      </c>
      <c r="B387" s="3563" t="s">
        <v>3760</v>
      </c>
      <c r="C387" s="4505">
        <v>2.17</v>
      </c>
      <c r="D387" s="4517" t="s">
        <v>3761</v>
      </c>
      <c r="E387" s="4235">
        <v>9889.76</v>
      </c>
      <c r="F387" s="4235">
        <f t="shared" si="16"/>
        <v>21460.78</v>
      </c>
    </row>
    <row r="388" spans="1:7" ht="14.25" customHeight="1">
      <c r="A388" s="4394">
        <v>3.8</v>
      </c>
      <c r="B388" s="3563" t="s">
        <v>4037</v>
      </c>
      <c r="C388" s="4505">
        <v>3.5</v>
      </c>
      <c r="D388" s="4517" t="s">
        <v>3761</v>
      </c>
      <c r="E388" s="4235">
        <v>15362.46</v>
      </c>
      <c r="F388" s="4235">
        <f t="shared" si="16"/>
        <v>53768.61</v>
      </c>
    </row>
    <row r="389" spans="1:7" ht="14.25" customHeight="1">
      <c r="A389" s="4390"/>
      <c r="B389" s="4232"/>
      <c r="C389" s="4233"/>
      <c r="D389" s="4251"/>
      <c r="E389" s="4235"/>
      <c r="F389" s="4235"/>
    </row>
    <row r="390" spans="1:7" s="4223" customFormat="1" ht="15" customHeight="1">
      <c r="A390" s="4396">
        <v>4</v>
      </c>
      <c r="B390" s="4211" t="s">
        <v>1784</v>
      </c>
      <c r="C390" s="4222"/>
      <c r="D390" s="4313"/>
      <c r="E390" s="4217"/>
      <c r="F390" s="4217" t="str">
        <f t="shared" si="16"/>
        <v xml:space="preserve"> </v>
      </c>
      <c r="G390" s="3557"/>
    </row>
    <row r="391" spans="1:7" s="4223" customFormat="1" ht="14.25" customHeight="1">
      <c r="A391" s="4401">
        <v>4.0999999999999996</v>
      </c>
      <c r="B391" s="4212" t="s">
        <v>3753</v>
      </c>
      <c r="C391" s="4217">
        <v>6.97</v>
      </c>
      <c r="D391" s="4313" t="s">
        <v>2432</v>
      </c>
      <c r="E391" s="4217">
        <v>1168.02</v>
      </c>
      <c r="F391" s="4217">
        <f t="shared" si="16"/>
        <v>8141.1</v>
      </c>
      <c r="G391" s="3557"/>
    </row>
    <row r="392" spans="1:7" s="4223" customFormat="1" ht="14.25" customHeight="1">
      <c r="A392" s="4401">
        <v>4.2</v>
      </c>
      <c r="B392" s="4212" t="s">
        <v>3754</v>
      </c>
      <c r="C392" s="4222">
        <v>40.700000000000003</v>
      </c>
      <c r="D392" s="4313" t="s">
        <v>2432</v>
      </c>
      <c r="E392" s="4217">
        <v>1200.45</v>
      </c>
      <c r="F392" s="4217">
        <f t="shared" si="16"/>
        <v>48858.32</v>
      </c>
      <c r="G392" s="3557"/>
    </row>
    <row r="393" spans="1:7" s="4223" customFormat="1" ht="14.25" customHeight="1">
      <c r="A393" s="4401">
        <v>4.3</v>
      </c>
      <c r="B393" s="3563" t="s">
        <v>2362</v>
      </c>
      <c r="C393" s="4222">
        <v>17.8</v>
      </c>
      <c r="D393" s="4313" t="s">
        <v>1</v>
      </c>
      <c r="E393" s="4217">
        <v>753.08</v>
      </c>
      <c r="F393" s="4217">
        <f t="shared" si="16"/>
        <v>13404.82</v>
      </c>
      <c r="G393" s="3557"/>
    </row>
    <row r="394" spans="1:7" s="4223" customFormat="1" ht="15" customHeight="1">
      <c r="A394" s="4402"/>
      <c r="B394" s="4221"/>
      <c r="C394" s="4222"/>
      <c r="D394" s="4313"/>
      <c r="E394" s="4217"/>
      <c r="F394" s="4217" t="str">
        <f t="shared" si="16"/>
        <v xml:space="preserve"> </v>
      </c>
      <c r="G394" s="3557"/>
    </row>
    <row r="395" spans="1:7" s="4223" customFormat="1" ht="15" customHeight="1">
      <c r="A395" s="4396">
        <v>5</v>
      </c>
      <c r="B395" s="4211" t="s">
        <v>859</v>
      </c>
      <c r="C395" s="4222"/>
      <c r="D395" s="4313"/>
      <c r="E395" s="4217"/>
      <c r="F395" s="4217" t="str">
        <f t="shared" si="16"/>
        <v xml:space="preserve"> </v>
      </c>
      <c r="G395" s="3557"/>
    </row>
    <row r="396" spans="1:7" s="4268" customFormat="1" ht="14.25" customHeight="1">
      <c r="A396" s="4401">
        <v>5.0999999999999996</v>
      </c>
      <c r="B396" s="3563" t="s">
        <v>2568</v>
      </c>
      <c r="C396" s="4222">
        <v>66.63</v>
      </c>
      <c r="D396" s="4313" t="s">
        <v>2432</v>
      </c>
      <c r="E396" s="4217">
        <v>56.57</v>
      </c>
      <c r="F396" s="4217">
        <f t="shared" si="16"/>
        <v>3769.26</v>
      </c>
      <c r="G396" s="3557"/>
    </row>
    <row r="397" spans="1:7" s="4223" customFormat="1" ht="14.25" customHeight="1">
      <c r="A397" s="4401">
        <v>5.2</v>
      </c>
      <c r="B397" s="3563" t="s">
        <v>2396</v>
      </c>
      <c r="C397" s="4222">
        <v>47.93</v>
      </c>
      <c r="D397" s="4313" t="s">
        <v>2432</v>
      </c>
      <c r="E397" s="4217">
        <v>336.35</v>
      </c>
      <c r="F397" s="4217">
        <f t="shared" si="16"/>
        <v>16121.26</v>
      </c>
      <c r="G397" s="3557"/>
    </row>
    <row r="398" spans="1:7" s="4223" customFormat="1" ht="14.25" customHeight="1">
      <c r="A398" s="4401">
        <v>5.3</v>
      </c>
      <c r="B398" s="3563" t="s">
        <v>2395</v>
      </c>
      <c r="C398" s="4222">
        <v>51.06</v>
      </c>
      <c r="D398" s="4313" t="s">
        <v>2432</v>
      </c>
      <c r="E398" s="4217">
        <v>382.2</v>
      </c>
      <c r="F398" s="4217">
        <f t="shared" si="16"/>
        <v>19515.13</v>
      </c>
      <c r="G398" s="3557"/>
    </row>
    <row r="399" spans="1:7" s="4268" customFormat="1" ht="14.25">
      <c r="A399" s="4401">
        <v>5.4</v>
      </c>
      <c r="B399" s="4212" t="s">
        <v>3468</v>
      </c>
      <c r="C399" s="4505">
        <v>26.94</v>
      </c>
      <c r="D399" s="4516" t="s">
        <v>3755</v>
      </c>
      <c r="E399" s="4504">
        <v>336.35</v>
      </c>
      <c r="F399" s="4349">
        <f t="shared" ref="F399" si="17">ROUND(C399*E399,2)</f>
        <v>9061.27</v>
      </c>
      <c r="G399" s="3557"/>
    </row>
    <row r="400" spans="1:7" s="4223" customFormat="1" ht="14.25" customHeight="1">
      <c r="A400" s="4401">
        <v>5.5</v>
      </c>
      <c r="B400" s="3563" t="s">
        <v>2397</v>
      </c>
      <c r="C400" s="4222">
        <v>29.81</v>
      </c>
      <c r="D400" s="4313" t="s">
        <v>2432</v>
      </c>
      <c r="E400" s="4217">
        <v>565.92999999999995</v>
      </c>
      <c r="F400" s="4217">
        <f t="shared" si="16"/>
        <v>16870.37</v>
      </c>
      <c r="G400" s="3557"/>
    </row>
    <row r="401" spans="1:7" s="4223" customFormat="1" ht="14.25" customHeight="1">
      <c r="A401" s="4401">
        <v>5.6</v>
      </c>
      <c r="B401" s="3563" t="s">
        <v>1548</v>
      </c>
      <c r="C401" s="4222">
        <v>104</v>
      </c>
      <c r="D401" s="4313" t="s">
        <v>1</v>
      </c>
      <c r="E401" s="4217">
        <v>107.14</v>
      </c>
      <c r="F401" s="4217">
        <f t="shared" si="16"/>
        <v>11142.56</v>
      </c>
      <c r="G401" s="3557"/>
    </row>
    <row r="402" spans="1:7" s="4223" customFormat="1" ht="14.25" customHeight="1">
      <c r="A402" s="4401">
        <v>5.7</v>
      </c>
      <c r="B402" s="3563" t="s">
        <v>3541</v>
      </c>
      <c r="C402" s="4222">
        <v>18.8</v>
      </c>
      <c r="D402" s="4313" t="s">
        <v>1</v>
      </c>
      <c r="E402" s="4217">
        <v>134</v>
      </c>
      <c r="F402" s="4217">
        <f t="shared" si="16"/>
        <v>2519.1999999999998</v>
      </c>
      <c r="G402" s="3557"/>
    </row>
    <row r="403" spans="1:7" s="4223" customFormat="1" ht="14.25" customHeight="1">
      <c r="A403" s="4401">
        <v>5.8</v>
      </c>
      <c r="B403" s="3563" t="s">
        <v>2352</v>
      </c>
      <c r="C403" s="4222">
        <v>125.93</v>
      </c>
      <c r="D403" s="4313" t="s">
        <v>2432</v>
      </c>
      <c r="E403" s="4217">
        <v>132.63999999999999</v>
      </c>
      <c r="F403" s="4217">
        <f t="shared" si="16"/>
        <v>16703.36</v>
      </c>
      <c r="G403" s="3557"/>
    </row>
    <row r="404" spans="1:7" s="4223" customFormat="1" ht="14.25" customHeight="1">
      <c r="A404" s="4401">
        <v>5.9</v>
      </c>
      <c r="B404" s="3563" t="s">
        <v>2346</v>
      </c>
      <c r="C404" s="4222">
        <v>15.86</v>
      </c>
      <c r="D404" s="4313" t="s">
        <v>2432</v>
      </c>
      <c r="E404" s="4217">
        <v>941.58</v>
      </c>
      <c r="F404" s="4217">
        <f t="shared" si="16"/>
        <v>14933.46</v>
      </c>
      <c r="G404" s="3557"/>
    </row>
    <row r="405" spans="1:7" s="4223" customFormat="1" ht="14.25" customHeight="1">
      <c r="A405" s="4393">
        <v>5.0999999999999996</v>
      </c>
      <c r="B405" s="4212" t="s">
        <v>3878</v>
      </c>
      <c r="C405" s="4222">
        <v>1</v>
      </c>
      <c r="D405" s="4313" t="s">
        <v>2433</v>
      </c>
      <c r="E405" s="4217">
        <v>2471.14</v>
      </c>
      <c r="F405" s="4217">
        <f t="shared" si="16"/>
        <v>2471.14</v>
      </c>
      <c r="G405" s="3557"/>
    </row>
    <row r="406" spans="1:7" ht="14.25" customHeight="1">
      <c r="A406" s="4456"/>
      <c r="B406" s="4452"/>
      <c r="C406" s="4466"/>
      <c r="D406" s="4467"/>
      <c r="E406" s="4468"/>
      <c r="F406" s="4468" t="str">
        <f t="shared" si="16"/>
        <v xml:space="preserve"> </v>
      </c>
    </row>
    <row r="407" spans="1:7" s="4242" customFormat="1" ht="15" customHeight="1">
      <c r="A407" s="4391">
        <v>6</v>
      </c>
      <c r="B407" s="4211" t="s">
        <v>2951</v>
      </c>
      <c r="C407" s="4264"/>
      <c r="D407" s="4273"/>
      <c r="E407" s="4266"/>
      <c r="F407" s="4266" t="str">
        <f t="shared" si="16"/>
        <v xml:space="preserve"> </v>
      </c>
      <c r="G407" s="3557"/>
    </row>
    <row r="408" spans="1:7" ht="14.25" customHeight="1">
      <c r="A408" s="4394">
        <v>6.1</v>
      </c>
      <c r="B408" s="4232" t="s">
        <v>2952</v>
      </c>
      <c r="C408" s="4233">
        <v>630</v>
      </c>
      <c r="D408" s="4251" t="s">
        <v>2603</v>
      </c>
      <c r="E408" s="4235">
        <v>31.49</v>
      </c>
      <c r="F408" s="4235">
        <f t="shared" si="16"/>
        <v>19838.7</v>
      </c>
    </row>
    <row r="409" spans="1:7" ht="14.25" customHeight="1">
      <c r="A409" s="4394">
        <v>6.2</v>
      </c>
      <c r="B409" s="4232" t="s">
        <v>2953</v>
      </c>
      <c r="C409" s="4233">
        <v>127.5</v>
      </c>
      <c r="D409" s="4251" t="s">
        <v>2603</v>
      </c>
      <c r="E409" s="4235">
        <v>24</v>
      </c>
      <c r="F409" s="4235">
        <f t="shared" si="16"/>
        <v>3060</v>
      </c>
    </row>
    <row r="410" spans="1:7" ht="14.25" customHeight="1">
      <c r="A410" s="4394">
        <v>6.3</v>
      </c>
      <c r="B410" s="4232" t="s">
        <v>2954</v>
      </c>
      <c r="C410" s="4233">
        <v>6</v>
      </c>
      <c r="D410" s="4251" t="s">
        <v>2433</v>
      </c>
      <c r="E410" s="4235">
        <v>84.22</v>
      </c>
      <c r="F410" s="4235">
        <f t="shared" si="16"/>
        <v>505.32</v>
      </c>
    </row>
    <row r="411" spans="1:7" ht="14.25" customHeight="1">
      <c r="A411" s="4394">
        <v>6.4</v>
      </c>
      <c r="B411" s="4232" t="s">
        <v>2955</v>
      </c>
      <c r="C411" s="4233">
        <v>8</v>
      </c>
      <c r="D411" s="4251" t="s">
        <v>2433</v>
      </c>
      <c r="E411" s="4235">
        <v>39.479999999999997</v>
      </c>
      <c r="F411" s="4235">
        <f t="shared" si="16"/>
        <v>315.83999999999997</v>
      </c>
    </row>
    <row r="412" spans="1:7" ht="14.25" customHeight="1">
      <c r="A412" s="4394">
        <v>6.5</v>
      </c>
      <c r="B412" s="4232" t="s">
        <v>2956</v>
      </c>
      <c r="C412" s="4233">
        <v>1</v>
      </c>
      <c r="D412" s="4251" t="s">
        <v>2433</v>
      </c>
      <c r="E412" s="4235">
        <v>11601.76</v>
      </c>
      <c r="F412" s="4235">
        <f t="shared" si="16"/>
        <v>11601.76</v>
      </c>
    </row>
    <row r="413" spans="1:7" ht="14.25" customHeight="1">
      <c r="A413" s="4394">
        <v>6.6</v>
      </c>
      <c r="B413" s="4232" t="s">
        <v>2957</v>
      </c>
      <c r="C413" s="4233">
        <v>1</v>
      </c>
      <c r="D413" s="4251" t="s">
        <v>42</v>
      </c>
      <c r="E413" s="4235">
        <v>16736</v>
      </c>
      <c r="F413" s="4235">
        <f t="shared" si="16"/>
        <v>16736</v>
      </c>
    </row>
    <row r="414" spans="1:7" ht="14.25" customHeight="1">
      <c r="A414" s="4390"/>
      <c r="B414" s="4232"/>
      <c r="C414" s="4233"/>
      <c r="D414" s="4251"/>
      <c r="E414" s="4235"/>
      <c r="F414" s="4235" t="str">
        <f t="shared" si="16"/>
        <v xml:space="preserve"> </v>
      </c>
    </row>
    <row r="415" spans="1:7" s="4223" customFormat="1" ht="15" customHeight="1">
      <c r="A415" s="4396">
        <v>7</v>
      </c>
      <c r="B415" s="4211" t="s">
        <v>3879</v>
      </c>
      <c r="C415" s="4222"/>
      <c r="D415" s="4313"/>
      <c r="E415" s="4217"/>
      <c r="F415" s="4217" t="str">
        <f t="shared" si="16"/>
        <v xml:space="preserve"> </v>
      </c>
      <c r="G415" s="3557"/>
    </row>
    <row r="416" spans="1:7" s="4223" customFormat="1" ht="14.25" customHeight="1">
      <c r="A416" s="4401">
        <v>7.1</v>
      </c>
      <c r="B416" s="4212" t="s">
        <v>3763</v>
      </c>
      <c r="C416" s="4505">
        <v>4</v>
      </c>
      <c r="D416" s="4516" t="s">
        <v>2433</v>
      </c>
      <c r="E416" s="4504">
        <v>1153.96</v>
      </c>
      <c r="F416" s="4217">
        <f t="shared" si="16"/>
        <v>4615.84</v>
      </c>
      <c r="G416" s="3557"/>
    </row>
    <row r="417" spans="1:7" s="4223" customFormat="1" ht="14.25" customHeight="1">
      <c r="A417" s="4401">
        <v>7.2</v>
      </c>
      <c r="B417" s="3563" t="s">
        <v>3764</v>
      </c>
      <c r="C417" s="4505">
        <v>1</v>
      </c>
      <c r="D417" s="4516" t="s">
        <v>2433</v>
      </c>
      <c r="E417" s="4504">
        <v>1551.32</v>
      </c>
      <c r="F417" s="4217">
        <f t="shared" si="16"/>
        <v>1551.32</v>
      </c>
      <c r="G417" s="3557"/>
    </row>
    <row r="418" spans="1:7" s="4223" customFormat="1" ht="14.25" customHeight="1">
      <c r="A418" s="4401">
        <v>7.3</v>
      </c>
      <c r="B418" s="3563" t="s">
        <v>3765</v>
      </c>
      <c r="C418" s="4505">
        <v>2</v>
      </c>
      <c r="D418" s="4516" t="s">
        <v>2433</v>
      </c>
      <c r="E418" s="4504">
        <v>1174.26</v>
      </c>
      <c r="F418" s="4217">
        <f t="shared" si="16"/>
        <v>2348.52</v>
      </c>
      <c r="G418" s="3557"/>
    </row>
    <row r="419" spans="1:7" s="4223" customFormat="1" ht="14.25" customHeight="1">
      <c r="A419" s="4401">
        <v>7.4</v>
      </c>
      <c r="B419" s="3563" t="s">
        <v>3880</v>
      </c>
      <c r="C419" s="4505">
        <v>1</v>
      </c>
      <c r="D419" s="4516" t="s">
        <v>2433</v>
      </c>
      <c r="E419" s="4347">
        <v>1746.95</v>
      </c>
      <c r="F419" s="4217">
        <f t="shared" si="16"/>
        <v>1746.95</v>
      </c>
      <c r="G419" s="3557"/>
    </row>
    <row r="420" spans="1:7" ht="14.25" customHeight="1">
      <c r="A420" s="4390"/>
      <c r="B420" s="4232"/>
      <c r="C420" s="4233"/>
      <c r="D420" s="4251"/>
      <c r="E420" s="4235"/>
      <c r="F420" s="4235" t="str">
        <f t="shared" si="16"/>
        <v xml:space="preserve"> </v>
      </c>
    </row>
    <row r="421" spans="1:7" ht="15" customHeight="1">
      <c r="A421" s="4391">
        <v>8</v>
      </c>
      <c r="B421" s="4345" t="s">
        <v>1816</v>
      </c>
      <c r="C421" s="4233"/>
      <c r="D421" s="4251"/>
      <c r="E421" s="4235"/>
      <c r="F421" s="4235" t="str">
        <f t="shared" si="16"/>
        <v xml:space="preserve"> </v>
      </c>
    </row>
    <row r="422" spans="1:7" ht="28.5" customHeight="1">
      <c r="A422" s="4394">
        <v>8.1</v>
      </c>
      <c r="B422" s="3563" t="s">
        <v>4038</v>
      </c>
      <c r="C422" s="4235">
        <v>2</v>
      </c>
      <c r="D422" s="4251" t="s">
        <v>2433</v>
      </c>
      <c r="E422" s="4235">
        <v>144461.5</v>
      </c>
      <c r="F422" s="4235">
        <f t="shared" si="16"/>
        <v>288923</v>
      </c>
    </row>
    <row r="423" spans="1:7" ht="14.25" customHeight="1">
      <c r="A423" s="4394">
        <v>8.1999999999999993</v>
      </c>
      <c r="B423" s="3563" t="s">
        <v>4039</v>
      </c>
      <c r="C423" s="4235">
        <v>2</v>
      </c>
      <c r="D423" s="4251" t="s">
        <v>2433</v>
      </c>
      <c r="E423" s="4235">
        <v>49029</v>
      </c>
      <c r="F423" s="4235">
        <f t="shared" si="16"/>
        <v>98058</v>
      </c>
    </row>
    <row r="424" spans="1:7" ht="14.25" customHeight="1">
      <c r="A424" s="4394">
        <v>8.3000000000000007</v>
      </c>
      <c r="B424" s="4212" t="s">
        <v>3640</v>
      </c>
      <c r="C424" s="4235">
        <v>3</v>
      </c>
      <c r="D424" s="4251" t="s">
        <v>2433</v>
      </c>
      <c r="E424" s="4235">
        <v>561100</v>
      </c>
      <c r="F424" s="4235">
        <f t="shared" si="16"/>
        <v>1683300</v>
      </c>
    </row>
    <row r="425" spans="1:7" ht="14.25" customHeight="1">
      <c r="A425" s="4394">
        <v>8.4</v>
      </c>
      <c r="B425" s="4212" t="s">
        <v>3641</v>
      </c>
      <c r="C425" s="4235">
        <v>1</v>
      </c>
      <c r="D425" s="4251" t="s">
        <v>2433</v>
      </c>
      <c r="E425" s="4235">
        <v>33116.699999999997</v>
      </c>
      <c r="F425" s="4235">
        <f t="shared" si="16"/>
        <v>33116.699999999997</v>
      </c>
    </row>
    <row r="426" spans="1:7" ht="14.25" customHeight="1">
      <c r="A426" s="4394">
        <v>8.5</v>
      </c>
      <c r="B426" s="4212" t="s">
        <v>3642</v>
      </c>
      <c r="C426" s="4235">
        <v>1</v>
      </c>
      <c r="D426" s="4251" t="s">
        <v>2433</v>
      </c>
      <c r="E426" s="4235">
        <v>1003</v>
      </c>
      <c r="F426" s="4235">
        <f t="shared" si="16"/>
        <v>1003</v>
      </c>
    </row>
    <row r="427" spans="1:7" ht="14.25" customHeight="1">
      <c r="A427" s="4394">
        <v>8.6</v>
      </c>
      <c r="B427" s="4322" t="s">
        <v>3643</v>
      </c>
      <c r="C427" s="4235">
        <v>5</v>
      </c>
      <c r="D427" s="4251" t="s">
        <v>2433</v>
      </c>
      <c r="E427" s="4235">
        <v>802.4</v>
      </c>
      <c r="F427" s="4235">
        <f t="shared" si="16"/>
        <v>4012</v>
      </c>
    </row>
    <row r="428" spans="1:7" ht="14.25" customHeight="1">
      <c r="A428" s="4394">
        <v>8.6999999999999993</v>
      </c>
      <c r="B428" s="3563" t="s">
        <v>3644</v>
      </c>
      <c r="C428" s="4235">
        <v>4</v>
      </c>
      <c r="D428" s="4251" t="s">
        <v>2433</v>
      </c>
      <c r="E428" s="4235">
        <v>4500</v>
      </c>
      <c r="F428" s="4235">
        <f t="shared" si="16"/>
        <v>18000</v>
      </c>
    </row>
    <row r="429" spans="1:7" ht="14.25" customHeight="1">
      <c r="A429" s="4394">
        <v>8.8000000000000007</v>
      </c>
      <c r="B429" s="4212" t="s">
        <v>3645</v>
      </c>
      <c r="C429" s="4235">
        <v>1</v>
      </c>
      <c r="D429" s="4251" t="s">
        <v>2433</v>
      </c>
      <c r="E429" s="4235">
        <v>1396.75</v>
      </c>
      <c r="F429" s="4235">
        <f t="shared" si="16"/>
        <v>1396.75</v>
      </c>
    </row>
    <row r="430" spans="1:7" ht="14.25" customHeight="1">
      <c r="A430" s="4394">
        <v>8.9</v>
      </c>
      <c r="B430" s="4212" t="s">
        <v>3646</v>
      </c>
      <c r="C430" s="4235">
        <v>1</v>
      </c>
      <c r="D430" s="4251" t="s">
        <v>2433</v>
      </c>
      <c r="E430" s="4235">
        <v>15400</v>
      </c>
      <c r="F430" s="4235">
        <f t="shared" si="16"/>
        <v>15400</v>
      </c>
    </row>
    <row r="431" spans="1:7" ht="14.25" customHeight="1">
      <c r="A431" s="4390">
        <v>8.1</v>
      </c>
      <c r="B431" s="3563" t="s">
        <v>3647</v>
      </c>
      <c r="C431" s="4235">
        <v>1</v>
      </c>
      <c r="D431" s="4251" t="s">
        <v>2433</v>
      </c>
      <c r="E431" s="4235">
        <v>3528</v>
      </c>
      <c r="F431" s="4235">
        <f t="shared" si="16"/>
        <v>3528</v>
      </c>
    </row>
    <row r="432" spans="1:7" ht="14.25" customHeight="1">
      <c r="A432" s="4390">
        <v>8.11</v>
      </c>
      <c r="B432" s="4212" t="s">
        <v>2948</v>
      </c>
      <c r="C432" s="4235">
        <v>1</v>
      </c>
      <c r="D432" s="4251" t="s">
        <v>2433</v>
      </c>
      <c r="E432" s="4235">
        <v>885000</v>
      </c>
      <c r="F432" s="4235">
        <f t="shared" si="16"/>
        <v>885000</v>
      </c>
    </row>
    <row r="433" spans="1:7" ht="14.25" customHeight="1">
      <c r="A433" s="4390">
        <v>8.1199999999999992</v>
      </c>
      <c r="B433" s="4212" t="s">
        <v>2949</v>
      </c>
      <c r="C433" s="4235">
        <v>8</v>
      </c>
      <c r="D433" s="4251" t="s">
        <v>2433</v>
      </c>
      <c r="E433" s="4235">
        <v>68204</v>
      </c>
      <c r="F433" s="4235">
        <f t="shared" ref="F433:F444" si="18">IF(C433&gt;0,(ROUND((E433*C433),2))," ")</f>
        <v>545632</v>
      </c>
    </row>
    <row r="434" spans="1:7" ht="14.25" customHeight="1">
      <c r="A434" s="4390">
        <v>8.1300000000000008</v>
      </c>
      <c r="B434" s="4212" t="s">
        <v>2950</v>
      </c>
      <c r="C434" s="4235">
        <v>1</v>
      </c>
      <c r="D434" s="4251" t="s">
        <v>2433</v>
      </c>
      <c r="E434" s="4235">
        <v>44974.04</v>
      </c>
      <c r="F434" s="4235">
        <f t="shared" si="18"/>
        <v>44974.04</v>
      </c>
    </row>
    <row r="435" spans="1:7" ht="14.25" customHeight="1">
      <c r="A435" s="4390"/>
      <c r="B435" s="4276"/>
      <c r="C435" s="4235"/>
      <c r="D435" s="4251"/>
      <c r="E435" s="4235"/>
      <c r="F435" s="4235" t="str">
        <f t="shared" si="18"/>
        <v xml:space="preserve"> </v>
      </c>
    </row>
    <row r="436" spans="1:7" s="4242" customFormat="1" ht="15" customHeight="1">
      <c r="A436" s="4391">
        <v>9</v>
      </c>
      <c r="B436" s="4345" t="s">
        <v>2961</v>
      </c>
      <c r="C436" s="4266"/>
      <c r="D436" s="4273"/>
      <c r="E436" s="4266"/>
      <c r="F436" s="4235" t="str">
        <f t="shared" si="18"/>
        <v xml:space="preserve"> </v>
      </c>
      <c r="G436" s="3557"/>
    </row>
    <row r="437" spans="1:7" ht="14.25" customHeight="1">
      <c r="A437" s="4394">
        <v>9.1</v>
      </c>
      <c r="B437" s="4276" t="s">
        <v>2394</v>
      </c>
      <c r="C437" s="4235">
        <v>37</v>
      </c>
      <c r="D437" s="4251" t="s">
        <v>1</v>
      </c>
      <c r="E437" s="4235">
        <v>16.11</v>
      </c>
      <c r="F437" s="4235">
        <f t="shared" si="18"/>
        <v>596.07000000000005</v>
      </c>
    </row>
    <row r="438" spans="1:7" ht="14.25" customHeight="1">
      <c r="A438" s="4394">
        <v>9.1999999999999993</v>
      </c>
      <c r="B438" s="4276" t="s">
        <v>2958</v>
      </c>
      <c r="C438" s="4235">
        <v>14.8</v>
      </c>
      <c r="D438" s="4251" t="s">
        <v>3157</v>
      </c>
      <c r="E438" s="4235">
        <v>330.24</v>
      </c>
      <c r="F438" s="4235">
        <f t="shared" si="18"/>
        <v>4887.55</v>
      </c>
    </row>
    <row r="439" spans="1:7" ht="14.25" customHeight="1">
      <c r="A439" s="4394">
        <v>9.3000000000000007</v>
      </c>
      <c r="B439" s="4276" t="s">
        <v>2546</v>
      </c>
      <c r="C439" s="4235">
        <v>1.85</v>
      </c>
      <c r="D439" s="4251" t="s">
        <v>2620</v>
      </c>
      <c r="E439" s="4235">
        <v>1313.13</v>
      </c>
      <c r="F439" s="4235">
        <f t="shared" si="18"/>
        <v>2429.29</v>
      </c>
    </row>
    <row r="440" spans="1:7" ht="14.25" customHeight="1">
      <c r="A440" s="4394">
        <v>9.4</v>
      </c>
      <c r="B440" s="3434" t="s">
        <v>2399</v>
      </c>
      <c r="C440" s="4235">
        <v>10.36</v>
      </c>
      <c r="D440" s="4251" t="s">
        <v>2431</v>
      </c>
      <c r="E440" s="4235">
        <v>121.12</v>
      </c>
      <c r="F440" s="4235">
        <f t="shared" si="18"/>
        <v>1254.8</v>
      </c>
    </row>
    <row r="441" spans="1:7" ht="28.5" customHeight="1">
      <c r="A441" s="4394">
        <v>9.5</v>
      </c>
      <c r="B441" s="4276" t="s">
        <v>2959</v>
      </c>
      <c r="C441" s="4235">
        <v>5.33</v>
      </c>
      <c r="D441" s="4251" t="s">
        <v>2525</v>
      </c>
      <c r="E441" s="4235">
        <v>210</v>
      </c>
      <c r="F441" s="4235">
        <f t="shared" si="18"/>
        <v>1119.3</v>
      </c>
    </row>
    <row r="442" spans="1:7" ht="14.25" customHeight="1">
      <c r="A442" s="4394">
        <v>9.6</v>
      </c>
      <c r="B442" s="4276" t="s">
        <v>3492</v>
      </c>
      <c r="C442" s="4235">
        <v>37</v>
      </c>
      <c r="D442" s="4251" t="s">
        <v>1</v>
      </c>
      <c r="E442" s="4235">
        <v>50</v>
      </c>
      <c r="F442" s="4235">
        <f t="shared" si="18"/>
        <v>1850</v>
      </c>
    </row>
    <row r="443" spans="1:7" ht="14.25" customHeight="1">
      <c r="A443" s="4394">
        <v>9.6999999999999993</v>
      </c>
      <c r="B443" s="4276" t="s">
        <v>2962</v>
      </c>
      <c r="C443" s="4235">
        <v>7</v>
      </c>
      <c r="D443" s="4251" t="s">
        <v>2433</v>
      </c>
      <c r="E443" s="4235">
        <v>17</v>
      </c>
      <c r="F443" s="4235">
        <f t="shared" si="18"/>
        <v>119</v>
      </c>
    </row>
    <row r="444" spans="1:7" ht="14.25" customHeight="1">
      <c r="A444" s="4394">
        <v>9.8000000000000007</v>
      </c>
      <c r="B444" s="4276" t="s">
        <v>3881</v>
      </c>
      <c r="C444" s="4235">
        <v>1</v>
      </c>
      <c r="D444" s="4251" t="s">
        <v>42</v>
      </c>
      <c r="E444" s="4235">
        <v>700</v>
      </c>
      <c r="F444" s="4235">
        <f t="shared" si="18"/>
        <v>700</v>
      </c>
    </row>
    <row r="445" spans="1:7" s="4268" customFormat="1" ht="12.75" customHeight="1">
      <c r="A445" s="4307"/>
      <c r="B445" s="4306" t="s">
        <v>2125</v>
      </c>
      <c r="C445" s="4500"/>
      <c r="D445" s="4500"/>
      <c r="E445" s="4500"/>
      <c r="F445" s="4309">
        <f>SUM(F369:F444)</f>
        <v>4114028.04</v>
      </c>
      <c r="G445" s="3557"/>
    </row>
    <row r="446" spans="1:7" ht="15" customHeight="1">
      <c r="A446" s="4395"/>
      <c r="B446" s="3435"/>
      <c r="C446" s="4266"/>
      <c r="D446" s="4273"/>
      <c r="E446" s="4266"/>
      <c r="F446" s="4266"/>
    </row>
    <row r="447" spans="1:7" s="4223" customFormat="1" ht="15">
      <c r="A447" s="4398" t="s">
        <v>877</v>
      </c>
      <c r="B447" s="3435" t="s">
        <v>3126</v>
      </c>
      <c r="C447" s="4323"/>
      <c r="D447" s="4324"/>
      <c r="E447" s="4325"/>
      <c r="F447" s="4325" t="str">
        <f t="shared" ref="F447:F485" si="19">IF(C447&gt;0,(ROUND((E447*C447),2))," ")</f>
        <v xml:space="preserve"> </v>
      </c>
      <c r="G447" s="3557"/>
    </row>
    <row r="448" spans="1:7" s="4242" customFormat="1" ht="15" customHeight="1">
      <c r="A448" s="4391">
        <v>1</v>
      </c>
      <c r="B448" s="4345" t="s">
        <v>2165</v>
      </c>
      <c r="C448" s="4264"/>
      <c r="D448" s="4273"/>
      <c r="E448" s="4266"/>
      <c r="F448" s="4266" t="str">
        <f t="shared" si="19"/>
        <v xml:space="preserve"> </v>
      </c>
      <c r="G448" s="3557"/>
    </row>
    <row r="449" spans="1:6" ht="14.25" customHeight="1">
      <c r="A449" s="4394">
        <v>1.1000000000000001</v>
      </c>
      <c r="B449" s="4232" t="s">
        <v>4042</v>
      </c>
      <c r="C449" s="4208">
        <v>1</v>
      </c>
      <c r="D449" s="4251" t="s">
        <v>2433</v>
      </c>
      <c r="E449" s="4210">
        <v>2000</v>
      </c>
      <c r="F449" s="4228">
        <f t="shared" si="19"/>
        <v>2000</v>
      </c>
    </row>
    <row r="450" spans="1:6" ht="14.25" customHeight="1">
      <c r="A450" s="4390"/>
      <c r="B450" s="4232"/>
      <c r="C450" s="4233"/>
      <c r="D450" s="4251"/>
      <c r="E450" s="4235"/>
      <c r="F450" s="4235" t="str">
        <f t="shared" si="19"/>
        <v xml:space="preserve"> </v>
      </c>
    </row>
    <row r="451" spans="1:6" ht="15" customHeight="1">
      <c r="A451" s="4391">
        <v>2</v>
      </c>
      <c r="B451" s="4345" t="s">
        <v>3723</v>
      </c>
      <c r="C451" s="4233"/>
      <c r="D451" s="4251"/>
      <c r="E451" s="4235"/>
      <c r="F451" s="4235" t="str">
        <f t="shared" si="19"/>
        <v xml:space="preserve"> </v>
      </c>
    </row>
    <row r="452" spans="1:6" ht="14.25" customHeight="1">
      <c r="A452" s="4394">
        <v>2.1</v>
      </c>
      <c r="B452" s="3434" t="s">
        <v>2398</v>
      </c>
      <c r="C452" s="4233">
        <v>8.9499999999999993</v>
      </c>
      <c r="D452" s="4251" t="s">
        <v>2430</v>
      </c>
      <c r="E452" s="4235">
        <v>330.24</v>
      </c>
      <c r="F452" s="4235">
        <f t="shared" si="19"/>
        <v>2955.65</v>
      </c>
    </row>
    <row r="453" spans="1:6" ht="14.25" customHeight="1">
      <c r="A453" s="4394">
        <v>2.2000000000000002</v>
      </c>
      <c r="B453" s="3434" t="s">
        <v>2399</v>
      </c>
      <c r="C453" s="4235">
        <v>4.33</v>
      </c>
      <c r="D453" s="4251" t="s">
        <v>2431</v>
      </c>
      <c r="E453" s="4235">
        <v>121.12</v>
      </c>
      <c r="F453" s="4235">
        <f t="shared" si="19"/>
        <v>524.45000000000005</v>
      </c>
    </row>
    <row r="454" spans="1:6" ht="29.25" customHeight="1">
      <c r="A454" s="4394">
        <v>2.2999999999999998</v>
      </c>
      <c r="B454" s="3434" t="s">
        <v>3847</v>
      </c>
      <c r="C454" s="4233">
        <v>6</v>
      </c>
      <c r="D454" s="4251" t="s">
        <v>2525</v>
      </c>
      <c r="E454" s="4235">
        <v>210</v>
      </c>
      <c r="F454" s="4235">
        <f t="shared" si="19"/>
        <v>1260</v>
      </c>
    </row>
    <row r="455" spans="1:6" ht="14.25" customHeight="1">
      <c r="A455" s="4456"/>
      <c r="B455" s="4452"/>
      <c r="C455" s="4466"/>
      <c r="D455" s="4467"/>
      <c r="E455" s="4468"/>
      <c r="F455" s="4468" t="str">
        <f t="shared" si="19"/>
        <v xml:space="preserve"> </v>
      </c>
    </row>
    <row r="456" spans="1:6" ht="15" customHeight="1">
      <c r="A456" s="4391">
        <v>3</v>
      </c>
      <c r="B456" s="4345" t="s">
        <v>3724</v>
      </c>
      <c r="C456" s="4233"/>
      <c r="D456" s="4251"/>
      <c r="E456" s="4235"/>
      <c r="F456" s="4235" t="str">
        <f t="shared" si="19"/>
        <v xml:space="preserve"> </v>
      </c>
    </row>
    <row r="457" spans="1:6" ht="14.25" customHeight="1">
      <c r="A457" s="4394">
        <v>3.1</v>
      </c>
      <c r="B457" s="4232" t="s">
        <v>3530</v>
      </c>
      <c r="C457" s="4191">
        <v>1.78</v>
      </c>
      <c r="D457" s="4251" t="s">
        <v>2430</v>
      </c>
      <c r="E457" s="4235">
        <v>9125.98</v>
      </c>
      <c r="F457" s="4235">
        <f t="shared" si="19"/>
        <v>16244.24</v>
      </c>
    </row>
    <row r="458" spans="1:6" ht="14.25" customHeight="1">
      <c r="A458" s="4394">
        <v>3.2</v>
      </c>
      <c r="B458" s="4232" t="s">
        <v>3531</v>
      </c>
      <c r="C458" s="4191">
        <v>1.32</v>
      </c>
      <c r="D458" s="4251" t="s">
        <v>2430</v>
      </c>
      <c r="E458" s="4235">
        <v>14171.07</v>
      </c>
      <c r="F458" s="4235">
        <f t="shared" si="19"/>
        <v>18705.810000000001</v>
      </c>
    </row>
    <row r="459" spans="1:6" ht="14.25" customHeight="1">
      <c r="A459" s="4394">
        <v>3.3</v>
      </c>
      <c r="B459" s="4232" t="s">
        <v>3532</v>
      </c>
      <c r="C459" s="4191">
        <v>1.22</v>
      </c>
      <c r="D459" s="4251" t="s">
        <v>2430</v>
      </c>
      <c r="E459" s="4235">
        <v>23349.14</v>
      </c>
      <c r="F459" s="4235">
        <f t="shared" si="19"/>
        <v>28485.95</v>
      </c>
    </row>
    <row r="460" spans="1:6" ht="14.25" customHeight="1">
      <c r="A460" s="4394">
        <v>3.4</v>
      </c>
      <c r="B460" s="4232" t="s">
        <v>3533</v>
      </c>
      <c r="C460" s="4191">
        <v>0.51</v>
      </c>
      <c r="D460" s="4251" t="s">
        <v>2430</v>
      </c>
      <c r="E460" s="4235">
        <v>34000.44</v>
      </c>
      <c r="F460" s="4235">
        <f t="shared" si="19"/>
        <v>17340.22</v>
      </c>
    </row>
    <row r="461" spans="1:6" ht="14.25" customHeight="1">
      <c r="A461" s="4394">
        <v>3.5</v>
      </c>
      <c r="B461" s="4232" t="s">
        <v>3534</v>
      </c>
      <c r="C461" s="4191">
        <v>0.98</v>
      </c>
      <c r="D461" s="4251" t="s">
        <v>2430</v>
      </c>
      <c r="E461" s="4235">
        <v>16444.47</v>
      </c>
      <c r="F461" s="4235">
        <f t="shared" si="19"/>
        <v>16115.58</v>
      </c>
    </row>
    <row r="462" spans="1:6" ht="14.25" customHeight="1">
      <c r="A462" s="4394">
        <v>3.6</v>
      </c>
      <c r="B462" s="4232" t="s">
        <v>3153</v>
      </c>
      <c r="C462" s="4191">
        <v>0.16</v>
      </c>
      <c r="D462" s="4251" t="s">
        <v>2430</v>
      </c>
      <c r="E462" s="4235">
        <v>34000.44</v>
      </c>
      <c r="F462" s="4235">
        <f t="shared" si="19"/>
        <v>5440.07</v>
      </c>
    </row>
    <row r="463" spans="1:6" ht="14.25" customHeight="1">
      <c r="A463" s="4394">
        <v>3.7</v>
      </c>
      <c r="B463" s="4232" t="s">
        <v>3535</v>
      </c>
      <c r="C463" s="4191">
        <v>2.1800000000000002</v>
      </c>
      <c r="D463" s="4251" t="s">
        <v>2430</v>
      </c>
      <c r="E463" s="4235">
        <v>16444.47</v>
      </c>
      <c r="F463" s="4235">
        <f t="shared" si="19"/>
        <v>35848.94</v>
      </c>
    </row>
    <row r="464" spans="1:6" ht="14.25" customHeight="1">
      <c r="A464" s="4394">
        <v>3.8</v>
      </c>
      <c r="B464" s="4232" t="s">
        <v>3570</v>
      </c>
      <c r="C464" s="4191">
        <v>1.07</v>
      </c>
      <c r="D464" s="4251" t="s">
        <v>2430</v>
      </c>
      <c r="E464" s="4235">
        <v>986.65</v>
      </c>
      <c r="F464" s="4235">
        <f t="shared" si="19"/>
        <v>1055.72</v>
      </c>
    </row>
    <row r="465" spans="1:6" ht="14.25" customHeight="1">
      <c r="A465" s="4390"/>
      <c r="B465" s="4232"/>
      <c r="C465" s="4233"/>
      <c r="D465" s="4251"/>
      <c r="E465" s="4235"/>
      <c r="F465" s="4235" t="str">
        <f t="shared" si="19"/>
        <v xml:space="preserve"> </v>
      </c>
    </row>
    <row r="466" spans="1:6" ht="15" customHeight="1">
      <c r="A466" s="4391">
        <v>4</v>
      </c>
      <c r="B466" s="4345" t="s">
        <v>1848</v>
      </c>
      <c r="C466" s="4233"/>
      <c r="D466" s="4251"/>
      <c r="E466" s="4235"/>
      <c r="F466" s="4235" t="str">
        <f t="shared" si="19"/>
        <v xml:space="preserve"> </v>
      </c>
    </row>
    <row r="467" spans="1:6" ht="14.25" customHeight="1">
      <c r="A467" s="4394">
        <v>4.0999999999999996</v>
      </c>
      <c r="B467" s="4274" t="s">
        <v>3536</v>
      </c>
      <c r="C467" s="4233">
        <v>5.0599999999999996</v>
      </c>
      <c r="D467" s="4251" t="s">
        <v>2432</v>
      </c>
      <c r="E467" s="4235">
        <v>1495.87</v>
      </c>
      <c r="F467" s="4235">
        <f t="shared" si="19"/>
        <v>7569.1</v>
      </c>
    </row>
    <row r="468" spans="1:6" ht="14.25" customHeight="1">
      <c r="A468" s="4394">
        <v>4.2</v>
      </c>
      <c r="B468" s="4274" t="s">
        <v>3537</v>
      </c>
      <c r="C468" s="4233">
        <v>25.13</v>
      </c>
      <c r="D468" s="4251" t="s">
        <v>2432</v>
      </c>
      <c r="E468" s="4235">
        <v>1528.3</v>
      </c>
      <c r="F468" s="4235">
        <f t="shared" si="19"/>
        <v>38406.18</v>
      </c>
    </row>
    <row r="469" spans="1:6" ht="14.25" customHeight="1">
      <c r="A469" s="4394">
        <v>4.3</v>
      </c>
      <c r="B469" s="4232" t="s">
        <v>2401</v>
      </c>
      <c r="C469" s="4233">
        <v>5.2</v>
      </c>
      <c r="D469" s="4251" t="s">
        <v>2432</v>
      </c>
      <c r="E469" s="4235">
        <v>1503.91</v>
      </c>
      <c r="F469" s="4235">
        <f t="shared" si="19"/>
        <v>7820.33</v>
      </c>
    </row>
    <row r="470" spans="1:6" ht="14.25" customHeight="1">
      <c r="A470" s="4390"/>
      <c r="B470" s="4232"/>
      <c r="C470" s="4233"/>
      <c r="D470" s="4251"/>
      <c r="E470" s="4235"/>
      <c r="F470" s="4235" t="str">
        <f t="shared" si="19"/>
        <v xml:space="preserve"> </v>
      </c>
    </row>
    <row r="471" spans="1:6" ht="15" customHeight="1">
      <c r="A471" s="4391">
        <v>5</v>
      </c>
      <c r="B471" s="4345" t="s">
        <v>586</v>
      </c>
      <c r="C471" s="4233"/>
      <c r="D471" s="4251"/>
      <c r="E471" s="4235"/>
      <c r="F471" s="4235" t="str">
        <f t="shared" si="19"/>
        <v xml:space="preserve"> </v>
      </c>
    </row>
    <row r="472" spans="1:6" ht="14.25" customHeight="1">
      <c r="A472" s="4394">
        <v>5.0999999999999996</v>
      </c>
      <c r="B472" s="4232" t="s">
        <v>2568</v>
      </c>
      <c r="C472" s="4233">
        <v>33.71</v>
      </c>
      <c r="D472" s="4251" t="s">
        <v>2432</v>
      </c>
      <c r="E472" s="4235">
        <v>56.57</v>
      </c>
      <c r="F472" s="4235">
        <f t="shared" si="19"/>
        <v>1906.97</v>
      </c>
    </row>
    <row r="473" spans="1:6" ht="14.25" customHeight="1">
      <c r="A473" s="4394">
        <v>5.2</v>
      </c>
      <c r="B473" s="4232" t="s">
        <v>2402</v>
      </c>
      <c r="C473" s="4233">
        <v>40.64</v>
      </c>
      <c r="D473" s="4251" t="s">
        <v>2432</v>
      </c>
      <c r="E473" s="4235">
        <v>336.35</v>
      </c>
      <c r="F473" s="4235">
        <f t="shared" si="19"/>
        <v>13669.26</v>
      </c>
    </row>
    <row r="474" spans="1:6" ht="14.25" customHeight="1">
      <c r="A474" s="4394">
        <v>5.3</v>
      </c>
      <c r="B474" s="4232" t="s">
        <v>2345</v>
      </c>
      <c r="C474" s="4191">
        <v>34.11</v>
      </c>
      <c r="D474" s="4251" t="s">
        <v>2432</v>
      </c>
      <c r="E474" s="4235">
        <v>382.2</v>
      </c>
      <c r="F474" s="4235">
        <f t="shared" si="19"/>
        <v>13036.84</v>
      </c>
    </row>
    <row r="475" spans="1:6" ht="14.25" customHeight="1">
      <c r="A475" s="4394">
        <v>5.4</v>
      </c>
      <c r="B475" s="4232" t="s">
        <v>2343</v>
      </c>
      <c r="C475" s="4233">
        <v>18.09</v>
      </c>
      <c r="D475" s="4251" t="s">
        <v>2432</v>
      </c>
      <c r="E475" s="4235">
        <v>565.92999999999995</v>
      </c>
      <c r="F475" s="4235">
        <f t="shared" si="19"/>
        <v>10237.67</v>
      </c>
    </row>
    <row r="476" spans="1:6" ht="14.25" customHeight="1">
      <c r="A476" s="4394">
        <v>5.5</v>
      </c>
      <c r="B476" s="3563" t="s">
        <v>3575</v>
      </c>
      <c r="C476" s="4191">
        <v>85.15</v>
      </c>
      <c r="D476" s="4251" t="s">
        <v>2432</v>
      </c>
      <c r="E476" s="4235">
        <v>224.18</v>
      </c>
      <c r="F476" s="4235">
        <f t="shared" si="19"/>
        <v>19088.93</v>
      </c>
    </row>
    <row r="477" spans="1:6" ht="14.25" customHeight="1">
      <c r="A477" s="4394">
        <v>5.6</v>
      </c>
      <c r="B477" s="4232" t="s">
        <v>2558</v>
      </c>
      <c r="C477" s="4233">
        <v>14.3</v>
      </c>
      <c r="D477" s="4251" t="s">
        <v>2432</v>
      </c>
      <c r="E477" s="4235">
        <v>847.32</v>
      </c>
      <c r="F477" s="4235">
        <f t="shared" si="19"/>
        <v>12116.68</v>
      </c>
    </row>
    <row r="478" spans="1:6" ht="14.25" customHeight="1">
      <c r="A478" s="4394">
        <v>5.7</v>
      </c>
      <c r="B478" s="3563" t="s">
        <v>3538</v>
      </c>
      <c r="C478" s="4233">
        <v>147.72</v>
      </c>
      <c r="D478" s="4251" t="s">
        <v>1</v>
      </c>
      <c r="E478" s="4235">
        <v>107.14</v>
      </c>
      <c r="F478" s="4235">
        <f t="shared" si="19"/>
        <v>15826.72</v>
      </c>
    </row>
    <row r="479" spans="1:6" ht="14.25" customHeight="1">
      <c r="A479" s="4394">
        <v>5.8</v>
      </c>
      <c r="B479" s="3563" t="s">
        <v>3541</v>
      </c>
      <c r="C479" s="4233">
        <v>15.14</v>
      </c>
      <c r="D479" s="4251" t="s">
        <v>1</v>
      </c>
      <c r="E479" s="4235">
        <v>134</v>
      </c>
      <c r="F479" s="4235">
        <f t="shared" si="19"/>
        <v>2028.76</v>
      </c>
    </row>
    <row r="480" spans="1:6" ht="14.25" customHeight="1">
      <c r="A480" s="4394">
        <v>5.9</v>
      </c>
      <c r="B480" s="4232" t="s">
        <v>2346</v>
      </c>
      <c r="C480" s="4191">
        <v>12.11</v>
      </c>
      <c r="D480" s="4251" t="s">
        <v>2432</v>
      </c>
      <c r="E480" s="4235">
        <v>941.58</v>
      </c>
      <c r="F480" s="4235">
        <f t="shared" si="19"/>
        <v>11402.53</v>
      </c>
    </row>
    <row r="481" spans="1:7" ht="14.25" customHeight="1">
      <c r="A481" s="4390">
        <v>5.0999999999999996</v>
      </c>
      <c r="B481" s="4212" t="s">
        <v>3878</v>
      </c>
      <c r="C481" s="4233">
        <v>1</v>
      </c>
      <c r="D481" s="4251" t="s">
        <v>2433</v>
      </c>
      <c r="E481" s="4235">
        <v>2471.14</v>
      </c>
      <c r="F481" s="4235">
        <f t="shared" si="19"/>
        <v>2471.14</v>
      </c>
    </row>
    <row r="482" spans="1:7" ht="14.25" customHeight="1">
      <c r="A482" s="4390"/>
      <c r="B482" s="4212"/>
      <c r="C482" s="4233"/>
      <c r="D482" s="4251"/>
      <c r="E482" s="4235"/>
      <c r="F482" s="4235" t="str">
        <f t="shared" si="19"/>
        <v xml:space="preserve"> </v>
      </c>
    </row>
    <row r="483" spans="1:7" ht="15" customHeight="1">
      <c r="A483" s="4391">
        <v>6</v>
      </c>
      <c r="B483" s="4345" t="s">
        <v>3545</v>
      </c>
      <c r="C483" s="4191"/>
      <c r="D483" s="4194"/>
      <c r="E483" s="4210"/>
      <c r="F483" s="4235" t="str">
        <f t="shared" si="19"/>
        <v xml:space="preserve"> </v>
      </c>
    </row>
    <row r="484" spans="1:7" ht="14.25" customHeight="1">
      <c r="A484" s="4394">
        <v>6.1</v>
      </c>
      <c r="B484" s="4212" t="s">
        <v>3546</v>
      </c>
      <c r="C484" s="4191">
        <v>1</v>
      </c>
      <c r="D484" s="4251" t="s">
        <v>2433</v>
      </c>
      <c r="E484" s="4210">
        <v>30000</v>
      </c>
      <c r="F484" s="4235">
        <f t="shared" si="19"/>
        <v>30000</v>
      </c>
    </row>
    <row r="485" spans="1:7" ht="14.25" customHeight="1">
      <c r="A485" s="4394">
        <v>6.2</v>
      </c>
      <c r="B485" s="4212" t="s">
        <v>2418</v>
      </c>
      <c r="C485" s="4191">
        <v>22.6</v>
      </c>
      <c r="D485" s="4251" t="s">
        <v>2602</v>
      </c>
      <c r="E485" s="4210">
        <v>543.33000000000004</v>
      </c>
      <c r="F485" s="4235">
        <f t="shared" si="19"/>
        <v>12279.26</v>
      </c>
    </row>
    <row r="486" spans="1:7" ht="14.25" customHeight="1">
      <c r="A486" s="4390"/>
      <c r="B486" s="4212"/>
      <c r="C486" s="4191"/>
      <c r="D486" s="4251"/>
      <c r="E486" s="4210"/>
      <c r="F486" s="4235"/>
    </row>
    <row r="487" spans="1:7" ht="15" customHeight="1">
      <c r="A487" s="4391">
        <v>7</v>
      </c>
      <c r="B487" s="4345" t="s">
        <v>904</v>
      </c>
      <c r="C487" s="4233"/>
      <c r="D487" s="4251"/>
      <c r="E487" s="4235"/>
      <c r="F487" s="4235" t="str">
        <f t="shared" ref="F487:F491" si="20">IF(C487&gt;0,(ROUND((E487*C487),2))," ")</f>
        <v xml:space="preserve"> </v>
      </c>
    </row>
    <row r="488" spans="1:7" s="4275" customFormat="1" ht="14.25" customHeight="1">
      <c r="A488" s="4394">
        <v>7.1</v>
      </c>
      <c r="B488" s="4232" t="s">
        <v>3547</v>
      </c>
      <c r="C488" s="4191">
        <v>1</v>
      </c>
      <c r="D488" s="4251" t="s">
        <v>2433</v>
      </c>
      <c r="E488" s="4235">
        <v>1746.95</v>
      </c>
      <c r="F488" s="4235">
        <f t="shared" si="20"/>
        <v>1746.95</v>
      </c>
      <c r="G488" s="3557"/>
    </row>
    <row r="489" spans="1:7" s="4275" customFormat="1" ht="14.25" customHeight="1">
      <c r="A489" s="4394">
        <v>7.2</v>
      </c>
      <c r="B489" s="4232" t="s">
        <v>3628</v>
      </c>
      <c r="C489" s="4191">
        <v>2</v>
      </c>
      <c r="D489" s="4251" t="s">
        <v>2433</v>
      </c>
      <c r="E489" s="4235">
        <v>1153.96</v>
      </c>
      <c r="F489" s="4235">
        <f t="shared" si="20"/>
        <v>2307.92</v>
      </c>
      <c r="G489" s="3557"/>
    </row>
    <row r="490" spans="1:7" s="4275" customFormat="1" ht="14.25" customHeight="1">
      <c r="A490" s="4394">
        <v>7.3</v>
      </c>
      <c r="B490" s="4232" t="s">
        <v>2521</v>
      </c>
      <c r="C490" s="4191">
        <v>1</v>
      </c>
      <c r="D490" s="4251" t="s">
        <v>2433</v>
      </c>
      <c r="E490" s="4235">
        <v>1824.53</v>
      </c>
      <c r="F490" s="4235">
        <f t="shared" si="20"/>
        <v>1824.53</v>
      </c>
      <c r="G490" s="3557"/>
    </row>
    <row r="491" spans="1:7" s="4275" customFormat="1" ht="14.25" customHeight="1">
      <c r="A491" s="4394">
        <v>7.4</v>
      </c>
      <c r="B491" s="4232" t="s">
        <v>3648</v>
      </c>
      <c r="C491" s="4191">
        <v>2</v>
      </c>
      <c r="D491" s="4251" t="s">
        <v>2433</v>
      </c>
      <c r="E491" s="4235">
        <v>1174.26</v>
      </c>
      <c r="F491" s="4235">
        <f t="shared" si="20"/>
        <v>2348.52</v>
      </c>
      <c r="G491" s="3557"/>
    </row>
    <row r="492" spans="1:7" s="4268" customFormat="1" ht="12.75" customHeight="1">
      <c r="A492" s="4307"/>
      <c r="B492" s="4306" t="s">
        <v>2121</v>
      </c>
      <c r="C492" s="4500"/>
      <c r="D492" s="4500"/>
      <c r="E492" s="4500"/>
      <c r="F492" s="4309">
        <f>SUM(F448:F491)</f>
        <v>352064.92</v>
      </c>
      <c r="G492" s="3557"/>
    </row>
    <row r="493" spans="1:7" ht="14.25" customHeight="1">
      <c r="A493" s="4390"/>
      <c r="B493" s="4232"/>
      <c r="C493" s="4233"/>
      <c r="D493" s="4251"/>
      <c r="E493" s="4235"/>
      <c r="F493" s="4235" t="str">
        <f>IF(C493&gt;0,(ROUND((E493*C493),2))," ")</f>
        <v xml:space="preserve"> </v>
      </c>
    </row>
    <row r="494" spans="1:7" s="4223" customFormat="1" ht="15">
      <c r="A494" s="4398" t="s">
        <v>912</v>
      </c>
      <c r="B494" s="3435" t="s">
        <v>1668</v>
      </c>
      <c r="C494" s="4310"/>
      <c r="D494" s="4311"/>
      <c r="E494" s="4312"/>
      <c r="F494" s="4312" t="str">
        <f t="shared" si="8"/>
        <v xml:space="preserve"> </v>
      </c>
      <c r="G494" s="3557"/>
    </row>
    <row r="495" spans="1:7" s="4223" customFormat="1" ht="15">
      <c r="A495" s="4398"/>
      <c r="B495" s="3435"/>
      <c r="C495" s="4310"/>
      <c r="D495" s="4311"/>
      <c r="E495" s="4312"/>
      <c r="F495" s="4312"/>
      <c r="G495" s="3557"/>
    </row>
    <row r="496" spans="1:7" ht="15">
      <c r="A496" s="4391">
        <v>1</v>
      </c>
      <c r="B496" s="4345" t="s">
        <v>2165</v>
      </c>
      <c r="C496" s="4233"/>
      <c r="D496" s="4251"/>
      <c r="E496" s="4235"/>
      <c r="F496" s="4235" t="str">
        <f t="shared" si="8"/>
        <v xml:space="preserve"> </v>
      </c>
    </row>
    <row r="497" spans="1:6" ht="14.25">
      <c r="A497" s="4394">
        <v>1.1000000000000001</v>
      </c>
      <c r="B497" s="4232" t="s">
        <v>4042</v>
      </c>
      <c r="C497" s="4233">
        <v>92.31</v>
      </c>
      <c r="D497" s="4251" t="s">
        <v>2432</v>
      </c>
      <c r="E497" s="4235">
        <v>79.19</v>
      </c>
      <c r="F497" s="4235">
        <f>IF(C497&gt;0,(ROUND((E497*C497),2))," ")</f>
        <v>7310.03</v>
      </c>
    </row>
    <row r="498" spans="1:6" ht="14.25">
      <c r="A498" s="4390"/>
      <c r="B498" s="4232"/>
      <c r="C498" s="4233"/>
      <c r="D498" s="4251"/>
      <c r="E498" s="4235"/>
      <c r="F498" s="4235" t="str">
        <f t="shared" si="8"/>
        <v xml:space="preserve"> </v>
      </c>
    </row>
    <row r="499" spans="1:6" ht="15">
      <c r="A499" s="4391">
        <v>2</v>
      </c>
      <c r="B499" s="4345" t="s">
        <v>38</v>
      </c>
      <c r="C499" s="4233"/>
      <c r="D499" s="4251"/>
      <c r="E499" s="4235"/>
      <c r="F499" s="4235" t="str">
        <f t="shared" si="8"/>
        <v xml:space="preserve"> </v>
      </c>
    </row>
    <row r="500" spans="1:6" ht="14.25">
      <c r="A500" s="4394">
        <v>2.1</v>
      </c>
      <c r="B500" s="4250" t="s">
        <v>2403</v>
      </c>
      <c r="C500" s="4233">
        <v>29.83</v>
      </c>
      <c r="D500" s="4251" t="s">
        <v>2430</v>
      </c>
      <c r="E500" s="4235">
        <v>330.24</v>
      </c>
      <c r="F500" s="4235">
        <f t="shared" si="8"/>
        <v>9851.06</v>
      </c>
    </row>
    <row r="501" spans="1:6" ht="15" customHeight="1">
      <c r="A501" s="4394">
        <v>2.2000000000000002</v>
      </c>
      <c r="B501" s="4250" t="s">
        <v>2399</v>
      </c>
      <c r="C501" s="4233">
        <v>28.25</v>
      </c>
      <c r="D501" s="4251" t="s">
        <v>2431</v>
      </c>
      <c r="E501" s="4235">
        <v>121.12</v>
      </c>
      <c r="F501" s="4235">
        <f t="shared" si="8"/>
        <v>3421.64</v>
      </c>
    </row>
    <row r="502" spans="1:6" ht="14.25">
      <c r="A502" s="4394">
        <v>2.2999999999999998</v>
      </c>
      <c r="B502" s="4250" t="s">
        <v>2400</v>
      </c>
      <c r="C502" s="4233">
        <v>11.12</v>
      </c>
      <c r="D502" s="4251" t="s">
        <v>2525</v>
      </c>
      <c r="E502" s="4235">
        <v>210</v>
      </c>
      <c r="F502" s="4235">
        <f t="shared" si="8"/>
        <v>2335.1999999999998</v>
      </c>
    </row>
    <row r="503" spans="1:6" ht="14.25">
      <c r="A503" s="4390"/>
      <c r="B503" s="4232"/>
      <c r="C503" s="4233"/>
      <c r="D503" s="4251"/>
      <c r="E503" s="4235"/>
      <c r="F503" s="4235" t="str">
        <f t="shared" si="8"/>
        <v xml:space="preserve"> </v>
      </c>
    </row>
    <row r="504" spans="1:6" ht="15">
      <c r="A504" s="4391">
        <v>3</v>
      </c>
      <c r="B504" s="4345" t="s">
        <v>3725</v>
      </c>
      <c r="C504" s="4233"/>
      <c r="D504" s="4251"/>
      <c r="E504" s="4235"/>
      <c r="F504" s="4235" t="str">
        <f t="shared" si="8"/>
        <v xml:space="preserve"> </v>
      </c>
    </row>
    <row r="505" spans="1:6" ht="14.25">
      <c r="A505" s="4394">
        <v>3.1</v>
      </c>
      <c r="B505" s="4232" t="s">
        <v>3884</v>
      </c>
      <c r="C505" s="4233">
        <v>8.24</v>
      </c>
      <c r="D505" s="4251" t="s">
        <v>2430</v>
      </c>
      <c r="E505" s="4235">
        <v>8575.61</v>
      </c>
      <c r="F505" s="4235">
        <f t="shared" si="8"/>
        <v>70663.03</v>
      </c>
    </row>
    <row r="506" spans="1:6" ht="14.25">
      <c r="A506" s="4394">
        <v>3.2</v>
      </c>
      <c r="B506" s="4232" t="s">
        <v>3885</v>
      </c>
      <c r="C506" s="4233">
        <v>0.93</v>
      </c>
      <c r="D506" s="4251" t="s">
        <v>2430</v>
      </c>
      <c r="E506" s="4235">
        <v>31262.59</v>
      </c>
      <c r="F506" s="4235">
        <f t="shared" si="8"/>
        <v>29074.21</v>
      </c>
    </row>
    <row r="507" spans="1:6" ht="14.25">
      <c r="A507" s="4394">
        <v>3.3</v>
      </c>
      <c r="B507" s="4232" t="s">
        <v>3883</v>
      </c>
      <c r="C507" s="4233">
        <v>8.83</v>
      </c>
      <c r="D507" s="4251" t="s">
        <v>2430</v>
      </c>
      <c r="E507" s="4235">
        <v>16775.34</v>
      </c>
      <c r="F507" s="4235">
        <f t="shared" si="8"/>
        <v>148126.25</v>
      </c>
    </row>
    <row r="508" spans="1:6" ht="14.25">
      <c r="A508" s="4451">
        <v>3.4</v>
      </c>
      <c r="B508" s="4452" t="s">
        <v>3882</v>
      </c>
      <c r="C508" s="4466">
        <v>2</v>
      </c>
      <c r="D508" s="4467" t="s">
        <v>2433</v>
      </c>
      <c r="E508" s="4468">
        <v>1285.76</v>
      </c>
      <c r="F508" s="4468">
        <f t="shared" si="8"/>
        <v>2571.52</v>
      </c>
    </row>
    <row r="509" spans="1:6" ht="14.25">
      <c r="A509" s="4390"/>
      <c r="B509" s="4232"/>
      <c r="C509" s="4233"/>
      <c r="D509" s="4251"/>
      <c r="E509" s="4235"/>
      <c r="F509" s="4235" t="str">
        <f t="shared" si="8"/>
        <v xml:space="preserve"> </v>
      </c>
    </row>
    <row r="510" spans="1:6" ht="15">
      <c r="A510" s="4391">
        <v>4</v>
      </c>
      <c r="B510" s="4345" t="s">
        <v>884</v>
      </c>
      <c r="C510" s="4233"/>
      <c r="D510" s="4251"/>
      <c r="E510" s="4235"/>
      <c r="F510" s="4235" t="str">
        <f t="shared" si="8"/>
        <v xml:space="preserve"> </v>
      </c>
    </row>
    <row r="511" spans="1:6" ht="14.25">
      <c r="A511" s="4394">
        <v>4.0999999999999996</v>
      </c>
      <c r="B511" s="4232" t="s">
        <v>3649</v>
      </c>
      <c r="C511" s="4233">
        <v>47.35</v>
      </c>
      <c r="D511" s="4251" t="s">
        <v>2432</v>
      </c>
      <c r="E511" s="4235">
        <v>1168.02</v>
      </c>
      <c r="F511" s="4235">
        <f t="shared" si="8"/>
        <v>55305.75</v>
      </c>
    </row>
    <row r="512" spans="1:6" ht="14.25">
      <c r="A512" s="4394">
        <v>4.2</v>
      </c>
      <c r="B512" s="4232" t="s">
        <v>3616</v>
      </c>
      <c r="C512" s="4233">
        <v>136.49</v>
      </c>
      <c r="D512" s="4251" t="s">
        <v>2432</v>
      </c>
      <c r="E512" s="4235">
        <v>1200.45</v>
      </c>
      <c r="F512" s="4235">
        <f t="shared" si="8"/>
        <v>163849.42000000001</v>
      </c>
    </row>
    <row r="513" spans="1:6" ht="14.25">
      <c r="A513" s="4394">
        <v>4.3</v>
      </c>
      <c r="B513" s="4232" t="s">
        <v>2404</v>
      </c>
      <c r="C513" s="4233">
        <v>4.29</v>
      </c>
      <c r="D513" s="4251" t="s">
        <v>2432</v>
      </c>
      <c r="E513" s="4235">
        <v>950</v>
      </c>
      <c r="F513" s="4235">
        <f t="shared" si="8"/>
        <v>4075.5</v>
      </c>
    </row>
    <row r="514" spans="1:6" ht="14.25">
      <c r="A514" s="4390"/>
      <c r="B514" s="4232"/>
      <c r="C514" s="4233"/>
      <c r="D514" s="4251"/>
      <c r="E514" s="4235"/>
      <c r="F514" s="4235" t="str">
        <f t="shared" si="8"/>
        <v xml:space="preserve"> </v>
      </c>
    </row>
    <row r="515" spans="1:6" ht="15">
      <c r="A515" s="4391">
        <v>5</v>
      </c>
      <c r="B515" s="4345" t="s">
        <v>886</v>
      </c>
      <c r="C515" s="4233"/>
      <c r="D515" s="4251"/>
      <c r="E515" s="4235"/>
      <c r="F515" s="4235" t="str">
        <f t="shared" si="8"/>
        <v xml:space="preserve"> </v>
      </c>
    </row>
    <row r="516" spans="1:6" ht="14.25">
      <c r="A516" s="4394">
        <v>5.0999999999999996</v>
      </c>
      <c r="B516" s="4232" t="s">
        <v>2568</v>
      </c>
      <c r="C516" s="4233">
        <v>88.34</v>
      </c>
      <c r="D516" s="4251" t="s">
        <v>2432</v>
      </c>
      <c r="E516" s="4235">
        <v>56.57</v>
      </c>
      <c r="F516" s="4235">
        <f t="shared" si="8"/>
        <v>4997.3900000000003</v>
      </c>
    </row>
    <row r="517" spans="1:6" ht="14.25">
      <c r="A517" s="4394">
        <v>5.2</v>
      </c>
      <c r="B517" s="4232" t="s">
        <v>2405</v>
      </c>
      <c r="C517" s="4233">
        <v>369.85</v>
      </c>
      <c r="D517" s="4251" t="s">
        <v>2432</v>
      </c>
      <c r="E517" s="4235">
        <v>336.35</v>
      </c>
      <c r="F517" s="4235">
        <f t="shared" si="8"/>
        <v>124399.05</v>
      </c>
    </row>
    <row r="518" spans="1:6" ht="14.25">
      <c r="A518" s="4394">
        <v>5.3</v>
      </c>
      <c r="B518" s="4232" t="s">
        <v>1548</v>
      </c>
      <c r="C518" s="4233">
        <v>201.45</v>
      </c>
      <c r="D518" s="4251" t="s">
        <v>1</v>
      </c>
      <c r="E518" s="4235">
        <v>107.14</v>
      </c>
      <c r="F518" s="4235">
        <f t="shared" si="8"/>
        <v>21583.35</v>
      </c>
    </row>
    <row r="519" spans="1:6" ht="14.25">
      <c r="A519" s="4394">
        <v>5.4</v>
      </c>
      <c r="B519" s="4232" t="s">
        <v>2562</v>
      </c>
      <c r="C519" s="4235">
        <v>61.58</v>
      </c>
      <c r="D519" s="4251" t="s">
        <v>2432</v>
      </c>
      <c r="E519" s="4235">
        <v>847.32</v>
      </c>
      <c r="F519" s="4235">
        <f t="shared" si="8"/>
        <v>52177.97</v>
      </c>
    </row>
    <row r="520" spans="1:6" ht="14.25">
      <c r="A520" s="4394">
        <v>5.5</v>
      </c>
      <c r="B520" s="4232" t="s">
        <v>3650</v>
      </c>
      <c r="C520" s="4233">
        <v>46.2</v>
      </c>
      <c r="D520" s="4251" t="s">
        <v>2432</v>
      </c>
      <c r="E520" s="4235">
        <v>1427.44</v>
      </c>
      <c r="F520" s="4235">
        <f t="shared" si="8"/>
        <v>65947.73</v>
      </c>
    </row>
    <row r="521" spans="1:6" ht="14.25">
      <c r="A521" s="4394">
        <v>5.6</v>
      </c>
      <c r="B521" s="4232" t="s">
        <v>2397</v>
      </c>
      <c r="C521" s="4233">
        <v>86.58</v>
      </c>
      <c r="D521" s="4251" t="s">
        <v>2432</v>
      </c>
      <c r="E521" s="4235">
        <v>565.92999999999995</v>
      </c>
      <c r="F521" s="4235">
        <f t="shared" si="8"/>
        <v>48998.22</v>
      </c>
    </row>
    <row r="522" spans="1:6" ht="14.25">
      <c r="A522" s="4394">
        <v>5.7</v>
      </c>
      <c r="B522" s="4232" t="s">
        <v>2406</v>
      </c>
      <c r="C522" s="4233">
        <v>54.95</v>
      </c>
      <c r="D522" s="4251" t="s">
        <v>1</v>
      </c>
      <c r="E522" s="4235">
        <v>234.41</v>
      </c>
      <c r="F522" s="4235">
        <f t="shared" si="8"/>
        <v>12880.83</v>
      </c>
    </row>
    <row r="523" spans="1:6" ht="14.25">
      <c r="A523" s="4394">
        <v>5.8</v>
      </c>
      <c r="B523" s="4232" t="s">
        <v>2407</v>
      </c>
      <c r="C523" s="4233">
        <v>38.1</v>
      </c>
      <c r="D523" s="4251" t="s">
        <v>2432</v>
      </c>
      <c r="E523" s="4235">
        <v>941.58</v>
      </c>
      <c r="F523" s="4235">
        <f t="shared" si="8"/>
        <v>35874.199999999997</v>
      </c>
    </row>
    <row r="524" spans="1:6" ht="14.25">
      <c r="A524" s="4394">
        <v>5.9</v>
      </c>
      <c r="B524" s="4232" t="s">
        <v>2408</v>
      </c>
      <c r="C524" s="4233">
        <v>334.81</v>
      </c>
      <c r="D524" s="4251" t="s">
        <v>2432</v>
      </c>
      <c r="E524" s="4235">
        <v>132.63999999999999</v>
      </c>
      <c r="F524" s="4235">
        <f t="shared" ref="F524:F532" si="21">IF(C524&gt;0,(ROUND((E524*C524),2))," ")</f>
        <v>44409.2</v>
      </c>
    </row>
    <row r="525" spans="1:6" ht="14.25">
      <c r="A525" s="4390">
        <v>5.0999999999999996</v>
      </c>
      <c r="B525" s="4184" t="s">
        <v>3540</v>
      </c>
      <c r="C525" s="4175">
        <v>20.100000000000001</v>
      </c>
      <c r="D525" s="4518" t="s">
        <v>1</v>
      </c>
      <c r="E525" s="4235">
        <v>134</v>
      </c>
      <c r="F525" s="4235">
        <f t="shared" si="21"/>
        <v>2693.4</v>
      </c>
    </row>
    <row r="526" spans="1:6" ht="14.25">
      <c r="A526" s="4390"/>
      <c r="B526" s="4232"/>
      <c r="C526" s="4233"/>
      <c r="D526" s="4251"/>
      <c r="E526" s="4235"/>
      <c r="F526" s="4235" t="str">
        <f t="shared" si="21"/>
        <v xml:space="preserve"> </v>
      </c>
    </row>
    <row r="527" spans="1:6" ht="15">
      <c r="A527" s="4391">
        <v>6</v>
      </c>
      <c r="B527" s="4345" t="s">
        <v>909</v>
      </c>
      <c r="C527" s="4233"/>
      <c r="D527" s="4251"/>
      <c r="E527" s="4235"/>
      <c r="F527" s="4235" t="str">
        <f t="shared" si="21"/>
        <v xml:space="preserve"> </v>
      </c>
    </row>
    <row r="528" spans="1:6" ht="14.25">
      <c r="A528" s="4394">
        <v>6.1</v>
      </c>
      <c r="B528" s="4232" t="s">
        <v>2937</v>
      </c>
      <c r="C528" s="4233">
        <v>6</v>
      </c>
      <c r="D528" s="4251" t="s">
        <v>2433</v>
      </c>
      <c r="E528" s="4235">
        <v>7500</v>
      </c>
      <c r="F528" s="4235">
        <f>IF(C528&gt;0,(ROUND((E528*C528),2))," ")</f>
        <v>45000</v>
      </c>
    </row>
    <row r="529" spans="1:7" ht="14.25">
      <c r="A529" s="4390"/>
      <c r="B529" s="4232"/>
      <c r="C529" s="4233"/>
      <c r="D529" s="4251"/>
      <c r="E529" s="4235"/>
      <c r="F529" s="4235" t="str">
        <f t="shared" si="21"/>
        <v xml:space="preserve"> </v>
      </c>
    </row>
    <row r="530" spans="1:7" ht="15">
      <c r="A530" s="4391">
        <v>7</v>
      </c>
      <c r="B530" s="4345" t="s">
        <v>910</v>
      </c>
      <c r="C530" s="4233"/>
      <c r="D530" s="4251"/>
      <c r="E530" s="4235"/>
      <c r="F530" s="4235" t="str">
        <f t="shared" si="21"/>
        <v xml:space="preserve"> </v>
      </c>
    </row>
    <row r="531" spans="1:7" ht="14.25">
      <c r="A531" s="4394">
        <v>7.1</v>
      </c>
      <c r="B531" s="4232" t="s">
        <v>2418</v>
      </c>
      <c r="C531" s="4233">
        <v>80.48</v>
      </c>
      <c r="D531" s="4251" t="s">
        <v>2602</v>
      </c>
      <c r="E531" s="4235">
        <v>493.93</v>
      </c>
      <c r="F531" s="4235">
        <f>IF(C531&gt;0,(ROUND((E531*C531),2))," ")</f>
        <v>39751.49</v>
      </c>
    </row>
    <row r="532" spans="1:7" ht="14.25">
      <c r="A532" s="4390"/>
      <c r="B532" s="4232"/>
      <c r="C532" s="4233"/>
      <c r="D532" s="4251"/>
      <c r="E532" s="4235"/>
      <c r="F532" s="4235" t="str">
        <f t="shared" si="21"/>
        <v xml:space="preserve"> </v>
      </c>
    </row>
    <row r="533" spans="1:7" ht="15">
      <c r="A533" s="4391">
        <v>8</v>
      </c>
      <c r="B533" s="4345" t="s">
        <v>904</v>
      </c>
      <c r="C533" s="4233"/>
      <c r="D533" s="4251"/>
      <c r="E533" s="4235"/>
      <c r="F533" s="4235" t="str">
        <f>IF(C533&gt;0,(ROUND((E533*C533),2))," ")</f>
        <v xml:space="preserve"> </v>
      </c>
    </row>
    <row r="534" spans="1:7" ht="14.25">
      <c r="A534" s="4394">
        <v>8.1</v>
      </c>
      <c r="B534" s="4232" t="s">
        <v>2417</v>
      </c>
      <c r="C534" s="4233">
        <v>8</v>
      </c>
      <c r="D534" s="4251" t="s">
        <v>2433</v>
      </c>
      <c r="E534" s="4235">
        <v>1153.96</v>
      </c>
      <c r="F534" s="4235">
        <f>IF(C534&gt;0,(ROUND((E534*C534),2))," ")</f>
        <v>9231.68</v>
      </c>
    </row>
    <row r="535" spans="1:7" ht="14.25">
      <c r="A535" s="4394">
        <v>8.1999999999999993</v>
      </c>
      <c r="B535" s="4232" t="s">
        <v>2520</v>
      </c>
      <c r="C535" s="4233">
        <v>10</v>
      </c>
      <c r="D535" s="4251" t="s">
        <v>2433</v>
      </c>
      <c r="E535" s="4235">
        <v>1400.82</v>
      </c>
      <c r="F535" s="4235">
        <f>IF(C535&gt;0,(ROUND((E535*C535),2))," ")</f>
        <v>14008.2</v>
      </c>
    </row>
    <row r="536" spans="1:7" ht="14.25">
      <c r="A536" s="4394">
        <v>8.3000000000000007</v>
      </c>
      <c r="B536" s="4232" t="s">
        <v>2521</v>
      </c>
      <c r="C536" s="4233">
        <v>8</v>
      </c>
      <c r="D536" s="4251" t="s">
        <v>2433</v>
      </c>
      <c r="E536" s="4235">
        <v>1189.7</v>
      </c>
      <c r="F536" s="4235">
        <f>IF(C536&gt;0,(ROUND((E536*C536),2))," ")</f>
        <v>9517.6</v>
      </c>
    </row>
    <row r="537" spans="1:7" ht="14.25">
      <c r="A537" s="4394">
        <v>8.4</v>
      </c>
      <c r="B537" s="4232" t="s">
        <v>2522</v>
      </c>
      <c r="C537" s="4233">
        <v>1</v>
      </c>
      <c r="D537" s="4251" t="s">
        <v>2433</v>
      </c>
      <c r="E537" s="4235">
        <v>6078.74</v>
      </c>
      <c r="F537" s="4235">
        <f>IF(C537&gt;0,(ROUND((E537*C537),2))," ")</f>
        <v>6078.74</v>
      </c>
    </row>
    <row r="538" spans="1:7" ht="14.25">
      <c r="A538" s="4394"/>
      <c r="B538" s="4232"/>
      <c r="C538" s="4233"/>
      <c r="D538" s="4251"/>
      <c r="E538" s="4235"/>
      <c r="F538" s="4235"/>
    </row>
    <row r="539" spans="1:7" ht="15">
      <c r="A539" s="4391">
        <v>9</v>
      </c>
      <c r="B539" s="4345" t="s">
        <v>892</v>
      </c>
      <c r="C539" s="4233"/>
      <c r="D539" s="4251"/>
      <c r="E539" s="4235"/>
      <c r="F539" s="4235" t="str">
        <f t="shared" ref="F539:F550" si="22">IF(C539&gt;0,(ROUND((E539*C539),2))," ")</f>
        <v xml:space="preserve"> </v>
      </c>
    </row>
    <row r="540" spans="1:7" s="4236" customFormat="1" ht="14.25">
      <c r="A540" s="4394">
        <v>9.1</v>
      </c>
      <c r="B540" s="4232" t="s">
        <v>2409</v>
      </c>
      <c r="C540" s="4233">
        <v>1</v>
      </c>
      <c r="D540" s="4251" t="s">
        <v>2433</v>
      </c>
      <c r="E540" s="4235">
        <v>4147.5</v>
      </c>
      <c r="F540" s="4235">
        <f t="shared" si="22"/>
        <v>4147.5</v>
      </c>
      <c r="G540" s="3557"/>
    </row>
    <row r="541" spans="1:7" s="4236" customFormat="1" ht="14.25">
      <c r="A541" s="4394">
        <v>9.1999999999999993</v>
      </c>
      <c r="B541" s="4232" t="s">
        <v>2410</v>
      </c>
      <c r="C541" s="4233">
        <v>1</v>
      </c>
      <c r="D541" s="4251" t="s">
        <v>2433</v>
      </c>
      <c r="E541" s="4235">
        <v>10007.26</v>
      </c>
      <c r="F541" s="4235">
        <f t="shared" si="22"/>
        <v>10007.26</v>
      </c>
      <c r="G541" s="3557"/>
    </row>
    <row r="542" spans="1:7" s="4236" customFormat="1" ht="14.25">
      <c r="A542" s="4394">
        <v>9.3000000000000007</v>
      </c>
      <c r="B542" s="4232" t="s">
        <v>2411</v>
      </c>
      <c r="C542" s="4233">
        <v>1</v>
      </c>
      <c r="D542" s="4251" t="s">
        <v>2433</v>
      </c>
      <c r="E542" s="4235">
        <v>8465.98</v>
      </c>
      <c r="F542" s="4235">
        <f t="shared" si="22"/>
        <v>8465.98</v>
      </c>
      <c r="G542" s="3557"/>
    </row>
    <row r="543" spans="1:7" s="4236" customFormat="1" ht="14.25">
      <c r="A543" s="4394">
        <v>9.4</v>
      </c>
      <c r="B543" s="4232" t="s">
        <v>2412</v>
      </c>
      <c r="C543" s="4233">
        <v>1</v>
      </c>
      <c r="D543" s="4251" t="s">
        <v>2433</v>
      </c>
      <c r="E543" s="4235">
        <v>372.35</v>
      </c>
      <c r="F543" s="4235">
        <f t="shared" si="22"/>
        <v>372.35</v>
      </c>
      <c r="G543" s="3557"/>
    </row>
    <row r="544" spans="1:7" s="4236" customFormat="1" ht="14.25">
      <c r="A544" s="4394">
        <v>9.5</v>
      </c>
      <c r="B544" s="4232" t="s">
        <v>2413</v>
      </c>
      <c r="C544" s="4233">
        <v>1</v>
      </c>
      <c r="D544" s="4251" t="s">
        <v>2433</v>
      </c>
      <c r="E544" s="4235">
        <v>501.51</v>
      </c>
      <c r="F544" s="4235">
        <f t="shared" si="22"/>
        <v>501.51</v>
      </c>
      <c r="G544" s="3557"/>
    </row>
    <row r="545" spans="1:7" s="4236" customFormat="1" ht="14.25">
      <c r="A545" s="4394">
        <v>9.6</v>
      </c>
      <c r="B545" s="4232" t="s">
        <v>2414</v>
      </c>
      <c r="C545" s="4233">
        <v>1</v>
      </c>
      <c r="D545" s="4251" t="s">
        <v>2433</v>
      </c>
      <c r="E545" s="4235">
        <v>2212.15</v>
      </c>
      <c r="F545" s="4235">
        <f t="shared" si="22"/>
        <v>2212.15</v>
      </c>
      <c r="G545" s="3557"/>
    </row>
    <row r="546" spans="1:7" ht="14.25">
      <c r="A546" s="4394">
        <v>9.6999999999999993</v>
      </c>
      <c r="B546" s="4212" t="s">
        <v>3544</v>
      </c>
      <c r="C546" s="4233">
        <v>3</v>
      </c>
      <c r="D546" s="4251" t="s">
        <v>2433</v>
      </c>
      <c r="E546" s="4235">
        <v>2471.14</v>
      </c>
      <c r="F546" s="4235">
        <f t="shared" si="22"/>
        <v>7413.42</v>
      </c>
    </row>
    <row r="547" spans="1:7" s="4236" customFormat="1" ht="14.25">
      <c r="A547" s="4394">
        <v>9.8000000000000007</v>
      </c>
      <c r="B547" s="4232" t="s">
        <v>3031</v>
      </c>
      <c r="C547" s="4233">
        <v>1</v>
      </c>
      <c r="D547" s="4251" t="s">
        <v>2433</v>
      </c>
      <c r="E547" s="4235">
        <v>6630.19</v>
      </c>
      <c r="F547" s="4235">
        <f t="shared" si="22"/>
        <v>6630.19</v>
      </c>
      <c r="G547" s="3557"/>
    </row>
    <row r="548" spans="1:7" s="4238" customFormat="1" ht="14.25">
      <c r="A548" s="4394">
        <v>9.9</v>
      </c>
      <c r="B548" s="4232" t="s">
        <v>2376</v>
      </c>
      <c r="C548" s="4233">
        <v>3</v>
      </c>
      <c r="D548" s="4251" t="s">
        <v>2433</v>
      </c>
      <c r="E548" s="4235">
        <v>3748.47</v>
      </c>
      <c r="F548" s="4235">
        <f t="shared" si="22"/>
        <v>11245.41</v>
      </c>
      <c r="G548" s="3557"/>
    </row>
    <row r="549" spans="1:7" s="4238" customFormat="1" ht="14.25">
      <c r="A549" s="4390">
        <v>9.1</v>
      </c>
      <c r="B549" s="4232" t="s">
        <v>2415</v>
      </c>
      <c r="C549" s="4233">
        <v>1</v>
      </c>
      <c r="D549" s="4251" t="s">
        <v>2433</v>
      </c>
      <c r="E549" s="4235">
        <v>14230.08</v>
      </c>
      <c r="F549" s="4235">
        <f t="shared" si="22"/>
        <v>14230.08</v>
      </c>
      <c r="G549" s="3557"/>
    </row>
    <row r="550" spans="1:7" s="4236" customFormat="1" ht="14.25">
      <c r="A550" s="4390">
        <v>9.11</v>
      </c>
      <c r="B550" s="4232" t="s">
        <v>2416</v>
      </c>
      <c r="C550" s="4233">
        <v>1</v>
      </c>
      <c r="D550" s="4251" t="s">
        <v>42</v>
      </c>
      <c r="E550" s="4235">
        <v>8400</v>
      </c>
      <c r="F550" s="4235">
        <f t="shared" si="22"/>
        <v>8400</v>
      </c>
      <c r="G550" s="3557"/>
    </row>
    <row r="551" spans="1:7" s="4327" customFormat="1" ht="14.25">
      <c r="A551" s="4326">
        <v>9.1199999999999992</v>
      </c>
      <c r="B551" s="4212" t="s">
        <v>3651</v>
      </c>
      <c r="C551" s="4191">
        <v>1</v>
      </c>
      <c r="D551" s="4194" t="s">
        <v>2433</v>
      </c>
      <c r="E551" s="4210">
        <v>5936.44</v>
      </c>
      <c r="F551" s="4228">
        <f t="shared" ref="F551" si="23">ROUND(C551*E551,2)</f>
        <v>5936.44</v>
      </c>
      <c r="G551" s="3557"/>
    </row>
    <row r="552" spans="1:7" s="4327" customFormat="1" ht="14.25">
      <c r="A552" s="4326"/>
      <c r="B552" s="4212"/>
      <c r="C552" s="4191"/>
      <c r="D552" s="4194"/>
      <c r="E552" s="4210"/>
      <c r="F552" s="4228"/>
      <c r="G552" s="3557"/>
    </row>
    <row r="553" spans="1:7" s="4262" customFormat="1" ht="15">
      <c r="A553" s="4391">
        <v>14</v>
      </c>
      <c r="B553" s="4345" t="s">
        <v>3887</v>
      </c>
      <c r="C553" s="4259"/>
      <c r="D553" s="4272"/>
      <c r="E553" s="4260"/>
      <c r="F553" s="4260" t="str">
        <f t="shared" ref="F553:F592" si="24">IF(C553&gt;0,(ROUND((E553*C553),2))," ")</f>
        <v xml:space="preserve"> </v>
      </c>
      <c r="G553" s="3557"/>
    </row>
    <row r="554" spans="1:7" s="4262" customFormat="1" ht="14.25">
      <c r="A554" s="4394">
        <v>14.1</v>
      </c>
      <c r="B554" s="4232" t="s">
        <v>3524</v>
      </c>
      <c r="C554" s="4233">
        <v>1</v>
      </c>
      <c r="D554" s="4251" t="s">
        <v>42</v>
      </c>
      <c r="E554" s="4235">
        <v>1000</v>
      </c>
      <c r="F554" s="4235">
        <f t="shared" si="24"/>
        <v>1000</v>
      </c>
      <c r="G554" s="3557"/>
    </row>
    <row r="555" spans="1:7" s="4262" customFormat="1" ht="15">
      <c r="A555" s="4395"/>
      <c r="B555" s="4400"/>
      <c r="C555" s="4259"/>
      <c r="D555" s="4272"/>
      <c r="E555" s="4260"/>
      <c r="F555" s="4260" t="str">
        <f t="shared" si="24"/>
        <v xml:space="preserve"> </v>
      </c>
      <c r="G555" s="3557"/>
    </row>
    <row r="556" spans="1:7" s="4238" customFormat="1" ht="25.5">
      <c r="A556" s="4392">
        <v>14.2</v>
      </c>
      <c r="B556" s="4344" t="s">
        <v>3849</v>
      </c>
      <c r="C556" s="4233">
        <v>1</v>
      </c>
      <c r="D556" s="4251" t="s">
        <v>42</v>
      </c>
      <c r="E556" s="4235">
        <v>3500</v>
      </c>
      <c r="F556" s="4235">
        <f t="shared" si="24"/>
        <v>3500</v>
      </c>
      <c r="G556" s="3557"/>
    </row>
    <row r="557" spans="1:7" s="4238" customFormat="1" ht="15">
      <c r="A557" s="4395"/>
      <c r="B557" s="4400"/>
      <c r="C557" s="4233"/>
      <c r="D557" s="4251"/>
      <c r="E557" s="4235"/>
      <c r="F557" s="4235" t="str">
        <f t="shared" si="24"/>
        <v xml:space="preserve"> </v>
      </c>
      <c r="G557" s="3557"/>
    </row>
    <row r="558" spans="1:7" s="4238" customFormat="1" ht="15">
      <c r="A558" s="4392">
        <v>14.3</v>
      </c>
      <c r="B558" s="4345" t="s">
        <v>3525</v>
      </c>
      <c r="C558" s="4233"/>
      <c r="D558" s="4251"/>
      <c r="E558" s="4235"/>
      <c r="F558" s="4235" t="str">
        <f t="shared" si="24"/>
        <v xml:space="preserve"> </v>
      </c>
      <c r="G558" s="3557"/>
    </row>
    <row r="559" spans="1:7" s="4238" customFormat="1" ht="14.25">
      <c r="A559" s="4390" t="s">
        <v>3888</v>
      </c>
      <c r="B559" s="4232" t="s">
        <v>3622</v>
      </c>
      <c r="C559" s="4233">
        <v>43.34</v>
      </c>
      <c r="D559" s="4251" t="s">
        <v>1</v>
      </c>
      <c r="E559" s="4235">
        <v>70.06</v>
      </c>
      <c r="F559" s="4235">
        <f t="shared" si="24"/>
        <v>3036.4</v>
      </c>
      <c r="G559" s="3557"/>
    </row>
    <row r="560" spans="1:7" s="4238" customFormat="1" ht="15">
      <c r="A560" s="4469"/>
      <c r="B560" s="4480"/>
      <c r="C560" s="4466"/>
      <c r="D560" s="4467"/>
      <c r="E560" s="4468"/>
      <c r="F560" s="4468" t="str">
        <f t="shared" si="24"/>
        <v xml:space="preserve"> </v>
      </c>
      <c r="G560" s="3557"/>
    </row>
    <row r="561" spans="1:7" s="4238" customFormat="1" ht="15">
      <c r="A561" s="4392">
        <v>14.4</v>
      </c>
      <c r="B561" s="4345" t="s">
        <v>3526</v>
      </c>
      <c r="C561" s="4233"/>
      <c r="D561" s="4251"/>
      <c r="E561" s="4235"/>
      <c r="F561" s="4235" t="str">
        <f t="shared" si="24"/>
        <v xml:space="preserve"> </v>
      </c>
      <c r="G561" s="3557"/>
    </row>
    <row r="562" spans="1:7" s="4238" customFormat="1" ht="14.25">
      <c r="A562" s="4390" t="s">
        <v>3889</v>
      </c>
      <c r="B562" s="4232" t="s">
        <v>3652</v>
      </c>
      <c r="C562" s="4233">
        <v>42.08</v>
      </c>
      <c r="D562" s="4251" t="s">
        <v>1</v>
      </c>
      <c r="E562" s="4235">
        <v>15.71</v>
      </c>
      <c r="F562" s="4235">
        <f t="shared" si="24"/>
        <v>661.08</v>
      </c>
      <c r="G562" s="3557"/>
    </row>
    <row r="563" spans="1:7" s="4238" customFormat="1" ht="15">
      <c r="A563" s="4395"/>
      <c r="B563" s="4345"/>
      <c r="C563" s="4233"/>
      <c r="D563" s="4251"/>
      <c r="E563" s="4235"/>
      <c r="F563" s="4235" t="str">
        <f t="shared" si="24"/>
        <v xml:space="preserve"> </v>
      </c>
      <c r="G563" s="3557"/>
    </row>
    <row r="564" spans="1:7" s="4238" customFormat="1" ht="15">
      <c r="A564" s="4392">
        <v>14.5</v>
      </c>
      <c r="B564" s="4345" t="s">
        <v>3527</v>
      </c>
      <c r="C564" s="4233"/>
      <c r="D564" s="4251"/>
      <c r="E564" s="4235"/>
      <c r="F564" s="4235" t="str">
        <f t="shared" si="24"/>
        <v xml:space="preserve"> </v>
      </c>
      <c r="G564" s="3557"/>
    </row>
    <row r="565" spans="1:7" s="4238" customFormat="1" ht="14.25">
      <c r="A565" s="4390" t="s">
        <v>3890</v>
      </c>
      <c r="B565" s="4232" t="s">
        <v>3653</v>
      </c>
      <c r="C565" s="4233">
        <v>8</v>
      </c>
      <c r="D565" s="4251" t="s">
        <v>2433</v>
      </c>
      <c r="E565" s="4235">
        <v>27.23</v>
      </c>
      <c r="F565" s="4235">
        <f t="shared" si="24"/>
        <v>217.84</v>
      </c>
      <c r="G565" s="3557"/>
    </row>
    <row r="566" spans="1:7" s="4238" customFormat="1" ht="14.25">
      <c r="A566" s="4390" t="s">
        <v>3891</v>
      </c>
      <c r="B566" s="4232" t="s">
        <v>3654</v>
      </c>
      <c r="C566" s="4233">
        <v>2</v>
      </c>
      <c r="D566" s="4251" t="s">
        <v>2433</v>
      </c>
      <c r="E566" s="4235">
        <v>33</v>
      </c>
      <c r="F566" s="4235">
        <f t="shared" si="24"/>
        <v>66</v>
      </c>
      <c r="G566" s="3557"/>
    </row>
    <row r="567" spans="1:7" s="4238" customFormat="1" ht="14.25">
      <c r="A567" s="4390" t="s">
        <v>3892</v>
      </c>
      <c r="B567" s="4232" t="s">
        <v>3655</v>
      </c>
      <c r="C567" s="4233">
        <v>3</v>
      </c>
      <c r="D567" s="4251" t="s">
        <v>2433</v>
      </c>
      <c r="E567" s="4235">
        <v>38.840000000000003</v>
      </c>
      <c r="F567" s="4235">
        <f t="shared" si="24"/>
        <v>116.52</v>
      </c>
      <c r="G567" s="3557"/>
    </row>
    <row r="568" spans="1:7" s="4238" customFormat="1" ht="14.25">
      <c r="A568" s="4390" t="s">
        <v>3893</v>
      </c>
      <c r="B568" s="4232" t="s">
        <v>3528</v>
      </c>
      <c r="C568" s="4233">
        <v>1</v>
      </c>
      <c r="D568" s="4251" t="s">
        <v>42</v>
      </c>
      <c r="E568" s="4235">
        <v>700</v>
      </c>
      <c r="F568" s="4235">
        <f t="shared" si="24"/>
        <v>700</v>
      </c>
      <c r="G568" s="3557"/>
    </row>
    <row r="569" spans="1:7" s="4262" customFormat="1" ht="15">
      <c r="A569" s="4403"/>
      <c r="B569" s="4252"/>
      <c r="C569" s="4259"/>
      <c r="D569" s="4272"/>
      <c r="E569" s="4260"/>
      <c r="F569" s="4235" t="str">
        <f t="shared" si="24"/>
        <v xml:space="preserve"> </v>
      </c>
      <c r="G569" s="3557"/>
    </row>
    <row r="570" spans="1:7" s="4238" customFormat="1" ht="15">
      <c r="A570" s="4392">
        <v>14.6</v>
      </c>
      <c r="B570" s="4345" t="s">
        <v>3551</v>
      </c>
      <c r="C570" s="4233"/>
      <c r="D570" s="4251"/>
      <c r="E570" s="4235"/>
      <c r="F570" s="4235" t="str">
        <f t="shared" si="24"/>
        <v xml:space="preserve"> </v>
      </c>
      <c r="G570" s="3557"/>
    </row>
    <row r="571" spans="1:7" s="4238" customFormat="1" ht="14.25">
      <c r="A571" s="4390" t="s">
        <v>3894</v>
      </c>
      <c r="B571" s="4404" t="s">
        <v>3524</v>
      </c>
      <c r="C571" s="4233">
        <v>22.68</v>
      </c>
      <c r="D571" s="4251" t="s">
        <v>1</v>
      </c>
      <c r="E571" s="4235">
        <v>75</v>
      </c>
      <c r="F571" s="4235">
        <f t="shared" si="24"/>
        <v>1701</v>
      </c>
      <c r="G571" s="3557"/>
    </row>
    <row r="572" spans="1:7" s="4261" customFormat="1" ht="15">
      <c r="A572" s="4403"/>
      <c r="B572" s="4252"/>
      <c r="C572" s="4233"/>
      <c r="D572" s="4251"/>
      <c r="E572" s="4235"/>
      <c r="F572" s="4235" t="str">
        <f t="shared" si="24"/>
        <v xml:space="preserve"> </v>
      </c>
      <c r="G572" s="3557"/>
    </row>
    <row r="573" spans="1:7" s="4236" customFormat="1" ht="25.5">
      <c r="A573" s="4395" t="s">
        <v>3895</v>
      </c>
      <c r="B573" s="4344" t="s">
        <v>3849</v>
      </c>
      <c r="C573" s="4233">
        <v>1</v>
      </c>
      <c r="D573" s="4251" t="s">
        <v>42</v>
      </c>
      <c r="E573" s="4235">
        <v>3000</v>
      </c>
      <c r="F573" s="4235">
        <f t="shared" si="24"/>
        <v>3000</v>
      </c>
      <c r="G573" s="3557"/>
    </row>
    <row r="574" spans="1:7" s="4236" customFormat="1" ht="15">
      <c r="A574" s="4395"/>
      <c r="B574" s="4400"/>
      <c r="C574" s="4233"/>
      <c r="D574" s="4251"/>
      <c r="E574" s="4235"/>
      <c r="F574" s="4235" t="str">
        <f t="shared" si="24"/>
        <v xml:space="preserve"> </v>
      </c>
      <c r="G574" s="3557"/>
    </row>
    <row r="575" spans="1:7" s="4236" customFormat="1" ht="15">
      <c r="A575" s="4395" t="s">
        <v>3896</v>
      </c>
      <c r="B575" s="4345" t="s">
        <v>3525</v>
      </c>
      <c r="C575" s="4233"/>
      <c r="D575" s="4251"/>
      <c r="E575" s="4235"/>
      <c r="F575" s="4235" t="str">
        <f t="shared" si="24"/>
        <v xml:space="preserve"> </v>
      </c>
      <c r="G575" s="3557"/>
    </row>
    <row r="576" spans="1:7" s="4236" customFormat="1" ht="14.25">
      <c r="A576" s="4390" t="s">
        <v>3897</v>
      </c>
      <c r="B576" s="4404" t="s">
        <v>3656</v>
      </c>
      <c r="C576" s="4233">
        <v>7.62</v>
      </c>
      <c r="D576" s="4251" t="s">
        <v>1</v>
      </c>
      <c r="E576" s="4224">
        <v>124.11</v>
      </c>
      <c r="F576" s="4235">
        <f t="shared" si="24"/>
        <v>945.72</v>
      </c>
      <c r="G576" s="3557"/>
    </row>
    <row r="577" spans="1:7" s="4236" customFormat="1" ht="14.25">
      <c r="A577" s="4390" t="s">
        <v>3898</v>
      </c>
      <c r="B577" s="4404" t="s">
        <v>3625</v>
      </c>
      <c r="C577" s="4233">
        <v>1.8</v>
      </c>
      <c r="D577" s="4251" t="s">
        <v>1</v>
      </c>
      <c r="E577" s="4224">
        <v>197.75</v>
      </c>
      <c r="F577" s="4235">
        <f t="shared" si="24"/>
        <v>355.95</v>
      </c>
      <c r="G577" s="3557"/>
    </row>
    <row r="578" spans="1:7" s="4236" customFormat="1" ht="14.25">
      <c r="A578" s="4390" t="s">
        <v>3899</v>
      </c>
      <c r="B578" s="4404" t="s">
        <v>3624</v>
      </c>
      <c r="C578" s="4233">
        <v>14.07</v>
      </c>
      <c r="D578" s="4251" t="s">
        <v>1</v>
      </c>
      <c r="E578" s="4224">
        <v>692.39</v>
      </c>
      <c r="F578" s="4235">
        <f t="shared" si="24"/>
        <v>9741.93</v>
      </c>
      <c r="G578" s="3557"/>
    </row>
    <row r="579" spans="1:7" s="4236" customFormat="1" ht="15">
      <c r="A579" s="4395"/>
      <c r="B579" s="4400"/>
      <c r="C579" s="4233"/>
      <c r="D579" s="4251"/>
      <c r="E579" s="4224"/>
      <c r="F579" s="4235" t="str">
        <f t="shared" si="24"/>
        <v xml:space="preserve"> </v>
      </c>
      <c r="G579" s="3557"/>
    </row>
    <row r="580" spans="1:7" s="4236" customFormat="1" ht="15">
      <c r="A580" s="4395" t="s">
        <v>3900</v>
      </c>
      <c r="B580" s="4345" t="s">
        <v>3526</v>
      </c>
      <c r="C580" s="4233"/>
      <c r="D580" s="4251"/>
      <c r="E580" s="4224"/>
      <c r="F580" s="4235" t="str">
        <f t="shared" si="24"/>
        <v xml:space="preserve"> </v>
      </c>
      <c r="G580" s="3557"/>
    </row>
    <row r="581" spans="1:7" s="4236" customFormat="1" ht="14.25">
      <c r="A581" s="4390" t="s">
        <v>3901</v>
      </c>
      <c r="B581" s="4404" t="s">
        <v>3657</v>
      </c>
      <c r="C581" s="4233">
        <v>7.4</v>
      </c>
      <c r="D581" s="4251" t="s">
        <v>1</v>
      </c>
      <c r="E581" s="4224">
        <v>19.64</v>
      </c>
      <c r="F581" s="4235">
        <f t="shared" si="24"/>
        <v>145.34</v>
      </c>
      <c r="G581" s="3557"/>
    </row>
    <row r="582" spans="1:7" s="4236" customFormat="1" ht="14.25">
      <c r="A582" s="4390" t="s">
        <v>3902</v>
      </c>
      <c r="B582" s="4404" t="s">
        <v>3626</v>
      </c>
      <c r="C582" s="4233">
        <v>1.75</v>
      </c>
      <c r="D582" s="4251" t="s">
        <v>1</v>
      </c>
      <c r="E582" s="4224">
        <v>19.64</v>
      </c>
      <c r="F582" s="4235">
        <f t="shared" si="24"/>
        <v>34.369999999999997</v>
      </c>
      <c r="G582" s="3557"/>
    </row>
    <row r="583" spans="1:7" s="4236" customFormat="1" ht="14.25">
      <c r="A583" s="4390" t="s">
        <v>3903</v>
      </c>
      <c r="B583" s="4404" t="s">
        <v>3627</v>
      </c>
      <c r="C583" s="4233">
        <v>13.53</v>
      </c>
      <c r="D583" s="4251" t="s">
        <v>1</v>
      </c>
      <c r="E583" s="4224">
        <v>32.270000000000003</v>
      </c>
      <c r="F583" s="4235">
        <f t="shared" si="24"/>
        <v>436.61</v>
      </c>
      <c r="G583" s="3557"/>
    </row>
    <row r="584" spans="1:7" s="4236" customFormat="1" ht="15">
      <c r="A584" s="4395"/>
      <c r="B584" s="4400"/>
      <c r="C584" s="4233"/>
      <c r="D584" s="4251"/>
      <c r="E584" s="4224"/>
      <c r="F584" s="4235" t="str">
        <f t="shared" si="24"/>
        <v xml:space="preserve"> </v>
      </c>
      <c r="G584" s="3557"/>
    </row>
    <row r="585" spans="1:7" s="4236" customFormat="1" ht="15">
      <c r="A585" s="4395" t="s">
        <v>3904</v>
      </c>
      <c r="B585" s="4345" t="s">
        <v>3548</v>
      </c>
      <c r="C585" s="4233"/>
      <c r="D585" s="4251"/>
      <c r="E585" s="4224"/>
      <c r="F585" s="4235" t="str">
        <f t="shared" si="24"/>
        <v xml:space="preserve"> </v>
      </c>
      <c r="G585" s="3557"/>
    </row>
    <row r="586" spans="1:7" s="4236" customFormat="1" ht="14.25">
      <c r="A586" s="4390" t="s">
        <v>3905</v>
      </c>
      <c r="B586" s="4404" t="s">
        <v>3907</v>
      </c>
      <c r="C586" s="4233">
        <v>1</v>
      </c>
      <c r="D586" s="4251" t="s">
        <v>2433</v>
      </c>
      <c r="E586" s="4405">
        <v>32.39</v>
      </c>
      <c r="F586" s="4235">
        <f t="shared" si="24"/>
        <v>32.39</v>
      </c>
      <c r="G586" s="3557"/>
    </row>
    <row r="587" spans="1:7" s="4236" customFormat="1" ht="14.25">
      <c r="A587" s="4390" t="s">
        <v>3906</v>
      </c>
      <c r="B587" s="4404" t="s">
        <v>3908</v>
      </c>
      <c r="C587" s="4233">
        <v>2</v>
      </c>
      <c r="D587" s="4251" t="s">
        <v>2433</v>
      </c>
      <c r="E587" s="4405">
        <v>49.63</v>
      </c>
      <c r="F587" s="4235">
        <f t="shared" si="24"/>
        <v>99.26</v>
      </c>
      <c r="G587" s="3557"/>
    </row>
    <row r="588" spans="1:7" s="4236" customFormat="1" ht="14.25">
      <c r="A588" s="4390" t="s">
        <v>3912</v>
      </c>
      <c r="B588" s="4404" t="s">
        <v>3909</v>
      </c>
      <c r="C588" s="4233">
        <v>1</v>
      </c>
      <c r="D588" s="4251" t="s">
        <v>2433</v>
      </c>
      <c r="E588" s="4405">
        <v>232.26</v>
      </c>
      <c r="F588" s="4235">
        <f t="shared" si="24"/>
        <v>232.26</v>
      </c>
      <c r="G588" s="3557"/>
    </row>
    <row r="589" spans="1:7" s="4236" customFormat="1" ht="14.25">
      <c r="A589" s="4390" t="s">
        <v>3913</v>
      </c>
      <c r="B589" s="4404" t="s">
        <v>3910</v>
      </c>
      <c r="C589" s="4233">
        <v>2</v>
      </c>
      <c r="D589" s="4251" t="s">
        <v>2433</v>
      </c>
      <c r="E589" s="4405">
        <v>205.32</v>
      </c>
      <c r="F589" s="4235">
        <f t="shared" si="24"/>
        <v>410.64</v>
      </c>
      <c r="G589" s="3557"/>
    </row>
    <row r="590" spans="1:7" s="4236" customFormat="1" ht="14.25">
      <c r="A590" s="4390" t="s">
        <v>3914</v>
      </c>
      <c r="B590" s="4404" t="s">
        <v>3911</v>
      </c>
      <c r="C590" s="4233">
        <v>1</v>
      </c>
      <c r="D590" s="4251" t="s">
        <v>42</v>
      </c>
      <c r="E590" s="4405">
        <v>500</v>
      </c>
      <c r="F590" s="4235">
        <f t="shared" si="24"/>
        <v>500</v>
      </c>
      <c r="G590" s="3557"/>
    </row>
    <row r="591" spans="1:7" s="4236" customFormat="1" ht="14.25">
      <c r="A591" s="4390"/>
      <c r="B591" s="4404"/>
      <c r="C591" s="4233"/>
      <c r="D591" s="4251"/>
      <c r="E591" s="4405"/>
      <c r="F591" s="4235"/>
      <c r="G591" s="3557"/>
    </row>
    <row r="592" spans="1:7" s="4236" customFormat="1" ht="15">
      <c r="A592" s="4395">
        <v>14.7</v>
      </c>
      <c r="B592" s="4212" t="s">
        <v>3774</v>
      </c>
      <c r="C592" s="4233">
        <v>3</v>
      </c>
      <c r="D592" s="4251" t="s">
        <v>2433</v>
      </c>
      <c r="E592" s="4405">
        <v>4500</v>
      </c>
      <c r="F592" s="4235">
        <f t="shared" si="24"/>
        <v>13500</v>
      </c>
      <c r="G592" s="3557"/>
    </row>
    <row r="593" spans="1:7" s="4242" customFormat="1" ht="15">
      <c r="A593" s="4395"/>
      <c r="B593" s="3435"/>
      <c r="C593" s="4266"/>
      <c r="D593" s="4273"/>
      <c r="E593" s="4266"/>
      <c r="F593" s="4266"/>
      <c r="G593" s="3557"/>
    </row>
    <row r="594" spans="1:7" s="4223" customFormat="1" ht="15">
      <c r="A594" s="4406">
        <v>15</v>
      </c>
      <c r="B594" s="4345" t="s">
        <v>3123</v>
      </c>
      <c r="C594" s="4222"/>
      <c r="D594" s="4313"/>
      <c r="E594" s="4217"/>
      <c r="F594" s="4217" t="str">
        <f t="shared" ref="F594:F623" si="25">IF(C594&gt;0,(ROUND((E594*C594),2))," ")</f>
        <v xml:space="preserve"> </v>
      </c>
      <c r="G594" s="3557"/>
    </row>
    <row r="595" spans="1:7" ht="14.25" customHeight="1">
      <c r="A595" s="4394">
        <v>15.1</v>
      </c>
      <c r="B595" s="4232" t="s">
        <v>4042</v>
      </c>
      <c r="C595" s="4233">
        <v>12.24</v>
      </c>
      <c r="D595" s="4251" t="s">
        <v>2432</v>
      </c>
      <c r="E595" s="4235">
        <v>79.19</v>
      </c>
      <c r="F595" s="4235">
        <f>IF(C595&gt;0,(ROUND((E595*C595),2))," ")</f>
        <v>969.29</v>
      </c>
    </row>
    <row r="596" spans="1:7" ht="14.25" customHeight="1">
      <c r="A596" s="4390"/>
      <c r="B596" s="4232"/>
      <c r="C596" s="4233"/>
      <c r="D596" s="4251"/>
      <c r="E596" s="4235"/>
      <c r="F596" s="4235" t="str">
        <f t="shared" si="25"/>
        <v xml:space="preserve"> </v>
      </c>
    </row>
    <row r="597" spans="1:7" ht="15" customHeight="1">
      <c r="A597" s="4392">
        <v>15.2</v>
      </c>
      <c r="B597" s="4345" t="s">
        <v>38</v>
      </c>
      <c r="C597" s="4233"/>
      <c r="D597" s="4251"/>
      <c r="E597" s="4235"/>
      <c r="F597" s="4235" t="str">
        <f t="shared" si="25"/>
        <v xml:space="preserve"> </v>
      </c>
    </row>
    <row r="598" spans="1:7" ht="14.25" customHeight="1">
      <c r="A598" s="4390" t="s">
        <v>725</v>
      </c>
      <c r="B598" s="4250" t="s">
        <v>2403</v>
      </c>
      <c r="C598" s="4233">
        <v>27.3</v>
      </c>
      <c r="D598" s="4251" t="s">
        <v>2430</v>
      </c>
      <c r="E598" s="4235">
        <v>330.24</v>
      </c>
      <c r="F598" s="4235">
        <f t="shared" si="25"/>
        <v>9015.5499999999993</v>
      </c>
    </row>
    <row r="599" spans="1:7" ht="14.25" customHeight="1">
      <c r="A599" s="4390" t="s">
        <v>726</v>
      </c>
      <c r="B599" s="4250" t="s">
        <v>2399</v>
      </c>
      <c r="C599" s="4233">
        <v>7.96</v>
      </c>
      <c r="D599" s="4251" t="s">
        <v>2431</v>
      </c>
      <c r="E599" s="4235">
        <v>121.12</v>
      </c>
      <c r="F599" s="4235">
        <f t="shared" si="25"/>
        <v>964.12</v>
      </c>
    </row>
    <row r="600" spans="1:7" ht="31.5" customHeight="1">
      <c r="A600" s="4390" t="s">
        <v>727</v>
      </c>
      <c r="B600" s="4250" t="s">
        <v>3847</v>
      </c>
      <c r="C600" s="4233">
        <v>19.34</v>
      </c>
      <c r="D600" s="4251" t="s">
        <v>2525</v>
      </c>
      <c r="E600" s="4235">
        <v>210</v>
      </c>
      <c r="F600" s="4235">
        <f t="shared" si="25"/>
        <v>4061.4</v>
      </c>
    </row>
    <row r="601" spans="1:7" ht="13.5" customHeight="1">
      <c r="A601" s="4390"/>
      <c r="B601" s="4250"/>
      <c r="C601" s="4233"/>
      <c r="D601" s="4251"/>
      <c r="E601" s="4235"/>
      <c r="F601" s="4235" t="str">
        <f t="shared" si="25"/>
        <v xml:space="preserve"> </v>
      </c>
    </row>
    <row r="602" spans="1:7" ht="15" customHeight="1">
      <c r="A602" s="4392">
        <v>15.3</v>
      </c>
      <c r="B602" s="4345" t="s">
        <v>880</v>
      </c>
      <c r="C602" s="4233"/>
      <c r="D602" s="4251"/>
      <c r="E602" s="4235"/>
      <c r="F602" s="4235" t="str">
        <f t="shared" si="25"/>
        <v xml:space="preserve"> </v>
      </c>
    </row>
    <row r="603" spans="1:7" ht="14.25" customHeight="1">
      <c r="A603" s="4390" t="s">
        <v>3855</v>
      </c>
      <c r="B603" s="4212" t="s">
        <v>3767</v>
      </c>
      <c r="C603" s="4233">
        <v>1.1499999999999999</v>
      </c>
      <c r="D603" s="4251" t="s">
        <v>2430</v>
      </c>
      <c r="E603" s="4235">
        <v>9462.32</v>
      </c>
      <c r="F603" s="4235">
        <f t="shared" si="25"/>
        <v>10881.67</v>
      </c>
    </row>
    <row r="604" spans="1:7" ht="14.25" customHeight="1">
      <c r="A604" s="4390" t="s">
        <v>3915</v>
      </c>
      <c r="B604" s="4355" t="s">
        <v>3768</v>
      </c>
      <c r="C604" s="4233">
        <v>0.51</v>
      </c>
      <c r="D604" s="4251" t="s">
        <v>2430</v>
      </c>
      <c r="E604" s="4235">
        <v>12962.32</v>
      </c>
      <c r="F604" s="4235">
        <f t="shared" si="25"/>
        <v>6610.78</v>
      </c>
    </row>
    <row r="605" spans="1:7" ht="14.25" customHeight="1">
      <c r="A605" s="4390" t="s">
        <v>3916</v>
      </c>
      <c r="B605" s="4212" t="s">
        <v>3769</v>
      </c>
      <c r="C605" s="4233">
        <v>0.41</v>
      </c>
      <c r="D605" s="4251" t="s">
        <v>2430</v>
      </c>
      <c r="E605" s="4235">
        <v>18210.46</v>
      </c>
      <c r="F605" s="4235">
        <f t="shared" si="25"/>
        <v>7466.29</v>
      </c>
    </row>
    <row r="606" spans="1:7" ht="14.25" customHeight="1">
      <c r="A606" s="4390"/>
      <c r="B606" s="4250"/>
      <c r="C606" s="4233"/>
      <c r="D606" s="4251"/>
      <c r="E606" s="4235"/>
      <c r="F606" s="4235" t="str">
        <f t="shared" si="25"/>
        <v xml:space="preserve"> </v>
      </c>
    </row>
    <row r="607" spans="1:7" ht="15" customHeight="1">
      <c r="A607" s="4392">
        <v>15.4</v>
      </c>
      <c r="B607" s="4345" t="s">
        <v>3124</v>
      </c>
      <c r="C607" s="4233"/>
      <c r="D607" s="4251"/>
      <c r="E607" s="4235"/>
      <c r="F607" s="4235" t="str">
        <f t="shared" si="25"/>
        <v xml:space="preserve"> </v>
      </c>
    </row>
    <row r="608" spans="1:7" ht="14.25" customHeight="1">
      <c r="A608" s="4390" t="s">
        <v>3917</v>
      </c>
      <c r="B608" s="4250" t="s">
        <v>3127</v>
      </c>
      <c r="C608" s="4233">
        <v>43.75</v>
      </c>
      <c r="D608" s="4251" t="s">
        <v>2432</v>
      </c>
      <c r="E608" s="4235">
        <v>2925.25</v>
      </c>
      <c r="F608" s="4235">
        <f>IF(C608&gt;0,(ROUND((E608*C608),2))," ")</f>
        <v>127979.69</v>
      </c>
    </row>
    <row r="609" spans="1:8" ht="14.25" customHeight="1">
      <c r="A609" s="4456"/>
      <c r="B609" s="4481"/>
      <c r="C609" s="4466"/>
      <c r="D609" s="4467"/>
      <c r="E609" s="4468"/>
      <c r="F609" s="4468" t="str">
        <f t="shared" si="25"/>
        <v xml:space="preserve"> </v>
      </c>
    </row>
    <row r="610" spans="1:8" ht="15" customHeight="1">
      <c r="A610" s="4392">
        <v>15.5</v>
      </c>
      <c r="B610" s="4345" t="s">
        <v>3720</v>
      </c>
      <c r="C610" s="4233"/>
      <c r="D610" s="4251"/>
      <c r="E610" s="4235"/>
      <c r="F610" s="4235" t="str">
        <f t="shared" si="25"/>
        <v xml:space="preserve"> </v>
      </c>
    </row>
    <row r="611" spans="1:8" s="4223" customFormat="1" ht="14.25" customHeight="1">
      <c r="A611" s="4390" t="s">
        <v>3856</v>
      </c>
      <c r="B611" s="3563" t="s">
        <v>3125</v>
      </c>
      <c r="C611" s="4222">
        <v>18.899999999999999</v>
      </c>
      <c r="D611" s="4313" t="s">
        <v>2432</v>
      </c>
      <c r="E611" s="4217">
        <v>336.35</v>
      </c>
      <c r="F611" s="4217">
        <f t="shared" si="25"/>
        <v>6357.02</v>
      </c>
      <c r="G611" s="3557"/>
    </row>
    <row r="612" spans="1:8" s="4223" customFormat="1" ht="14.25" customHeight="1">
      <c r="A612" s="4390" t="s">
        <v>3857</v>
      </c>
      <c r="B612" s="3563" t="s">
        <v>2435</v>
      </c>
      <c r="C612" s="4222">
        <v>3.3</v>
      </c>
      <c r="D612" s="4313" t="s">
        <v>2432</v>
      </c>
      <c r="E612" s="4217">
        <v>611.6</v>
      </c>
      <c r="F612" s="4217">
        <f t="shared" si="25"/>
        <v>2018.28</v>
      </c>
      <c r="G612" s="3557"/>
    </row>
    <row r="613" spans="1:8" s="4223" customFormat="1" ht="14.25" customHeight="1">
      <c r="A613" s="4390" t="s">
        <v>3858</v>
      </c>
      <c r="B613" s="3563" t="s">
        <v>3658</v>
      </c>
      <c r="C613" s="4222">
        <v>8.8000000000000007</v>
      </c>
      <c r="D613" s="4313" t="s">
        <v>1</v>
      </c>
      <c r="E613" s="4217">
        <v>134</v>
      </c>
      <c r="F613" s="4217">
        <f t="shared" si="25"/>
        <v>1179.2</v>
      </c>
      <c r="G613" s="3557"/>
    </row>
    <row r="614" spans="1:8" s="4358" customFormat="1" ht="13.5" customHeight="1">
      <c r="A614" s="4390" t="s">
        <v>3859</v>
      </c>
      <c r="B614" s="4212" t="s">
        <v>1548</v>
      </c>
      <c r="C614" s="4191">
        <v>19.88</v>
      </c>
      <c r="D614" s="4194" t="s">
        <v>1</v>
      </c>
      <c r="E614" s="4210">
        <v>107.14</v>
      </c>
      <c r="F614" s="4210">
        <f t="shared" ref="F614:F615" si="26">ROUND(C614*E614,2)</f>
        <v>2129.94</v>
      </c>
      <c r="G614" s="3557"/>
      <c r="H614" s="4357"/>
    </row>
    <row r="615" spans="1:8" s="4358" customFormat="1" ht="13.5" customHeight="1">
      <c r="A615" s="4390" t="s">
        <v>3860</v>
      </c>
      <c r="B615" s="4212" t="s">
        <v>3770</v>
      </c>
      <c r="C615" s="4191">
        <v>4.2699999999999996</v>
      </c>
      <c r="D615" s="4194" t="s">
        <v>3755</v>
      </c>
      <c r="E615" s="4210">
        <v>565.92999999999995</v>
      </c>
      <c r="F615" s="4210">
        <f t="shared" si="26"/>
        <v>2416.52</v>
      </c>
      <c r="G615" s="3557"/>
      <c r="H615" s="4357"/>
    </row>
    <row r="616" spans="1:8" ht="14.25" customHeight="1">
      <c r="A616" s="4390"/>
      <c r="B616" s="4232"/>
      <c r="C616" s="4233"/>
      <c r="D616" s="4251"/>
      <c r="E616" s="4235"/>
      <c r="F616" s="4235" t="str">
        <f t="shared" si="25"/>
        <v xml:space="preserve"> </v>
      </c>
    </row>
    <row r="617" spans="1:8" s="4358" customFormat="1">
      <c r="A617" s="4336">
        <v>15.6</v>
      </c>
      <c r="B617" s="4207" t="s">
        <v>3771</v>
      </c>
      <c r="C617" s="4191"/>
      <c r="D617" s="4194"/>
      <c r="E617" s="4210"/>
      <c r="F617" s="4228"/>
      <c r="G617" s="3557"/>
      <c r="H617" s="4357"/>
    </row>
    <row r="618" spans="1:8" s="4358" customFormat="1">
      <c r="A618" s="4356" t="s">
        <v>3861</v>
      </c>
      <c r="B618" s="4274" t="s">
        <v>3772</v>
      </c>
      <c r="C618" s="4191">
        <v>0.36</v>
      </c>
      <c r="D618" s="4194" t="s">
        <v>3761</v>
      </c>
      <c r="E618" s="4210">
        <v>2300</v>
      </c>
      <c r="F618" s="4210">
        <f>+C618*E618</f>
        <v>828</v>
      </c>
      <c r="G618" s="3557"/>
      <c r="H618" s="4357"/>
    </row>
    <row r="619" spans="1:8" s="4358" customFormat="1">
      <c r="A619" s="4356" t="s">
        <v>3862</v>
      </c>
      <c r="B619" s="4274" t="s">
        <v>3773</v>
      </c>
      <c r="C619" s="4191">
        <v>0.27</v>
      </c>
      <c r="D619" s="4194" t="s">
        <v>3761</v>
      </c>
      <c r="E619" s="4210">
        <v>2300</v>
      </c>
      <c r="F619" s="4210">
        <f>+C619*E619</f>
        <v>621</v>
      </c>
      <c r="G619" s="3557"/>
      <c r="H619" s="4357"/>
    </row>
    <row r="620" spans="1:8" s="4358" customFormat="1">
      <c r="A620" s="4356"/>
      <c r="B620" s="4274"/>
      <c r="C620" s="4191"/>
      <c r="D620" s="4194"/>
      <c r="E620" s="4210"/>
      <c r="F620" s="4210"/>
      <c r="G620" s="3557"/>
      <c r="H620" s="4357"/>
    </row>
    <row r="621" spans="1:8" ht="14.25" customHeight="1">
      <c r="A621" s="4392">
        <v>15.7</v>
      </c>
      <c r="B621" s="4250" t="s">
        <v>3958</v>
      </c>
      <c r="C621" s="4233">
        <v>3</v>
      </c>
      <c r="D621" s="4251" t="s">
        <v>2433</v>
      </c>
      <c r="E621" s="4235">
        <v>1500</v>
      </c>
      <c r="F621" s="4235">
        <f>IF(C621&gt;0,(ROUND((E621*C621),2))," ")</f>
        <v>4500</v>
      </c>
    </row>
    <row r="622" spans="1:8" ht="14.25" customHeight="1">
      <c r="A622" s="4392"/>
      <c r="B622" s="4250"/>
      <c r="C622" s="4233"/>
      <c r="D622" s="4251"/>
      <c r="E622" s="4235"/>
      <c r="F622" s="4235"/>
    </row>
    <row r="623" spans="1:8" s="4268" customFormat="1" ht="14.25" customHeight="1">
      <c r="A623" s="4397">
        <v>15.8</v>
      </c>
      <c r="B623" s="4212" t="s">
        <v>3775</v>
      </c>
      <c r="C623" s="4222">
        <v>1</v>
      </c>
      <c r="D623" s="4313" t="s">
        <v>2433</v>
      </c>
      <c r="E623" s="4210">
        <v>158609.43</v>
      </c>
      <c r="F623" s="4217">
        <f t="shared" si="25"/>
        <v>158609.43</v>
      </c>
      <c r="G623" s="3557"/>
    </row>
    <row r="624" spans="1:8" s="4268" customFormat="1" ht="12.75" customHeight="1">
      <c r="A624" s="4307"/>
      <c r="B624" s="4306" t="s">
        <v>2122</v>
      </c>
      <c r="C624" s="4500"/>
      <c r="D624" s="4500"/>
      <c r="E624" s="4500"/>
      <c r="F624" s="4309">
        <f>SUM(F494:F623)</f>
        <v>1500736.44</v>
      </c>
      <c r="G624" s="3557"/>
    </row>
    <row r="625" spans="1:7" ht="14.25" customHeight="1">
      <c r="A625" s="4390"/>
      <c r="B625" s="4232"/>
      <c r="C625" s="4233"/>
      <c r="D625" s="4251"/>
      <c r="E625" s="4235"/>
      <c r="F625" s="4235" t="str">
        <f t="shared" ref="F625:F693" si="27">IF(C625&gt;0,(ROUND((E625*C625),2))," ")</f>
        <v xml:space="preserve"> </v>
      </c>
    </row>
    <row r="626" spans="1:7" s="4223" customFormat="1" ht="15">
      <c r="A626" s="4398" t="s">
        <v>2120</v>
      </c>
      <c r="B626" s="3435" t="s">
        <v>3485</v>
      </c>
      <c r="C626" s="4222"/>
      <c r="D626" s="4313"/>
      <c r="E626" s="4217"/>
      <c r="F626" s="4217" t="str">
        <f t="shared" si="27"/>
        <v xml:space="preserve"> </v>
      </c>
      <c r="G626" s="3557"/>
    </row>
    <row r="627" spans="1:7" ht="14.25" customHeight="1">
      <c r="A627" s="4390"/>
      <c r="B627" s="3434"/>
      <c r="C627" s="4233"/>
      <c r="D627" s="4251"/>
      <c r="E627" s="4235"/>
      <c r="F627" s="4235" t="str">
        <f t="shared" si="27"/>
        <v xml:space="preserve"> </v>
      </c>
    </row>
    <row r="628" spans="1:7" ht="14.25" customHeight="1">
      <c r="A628" s="4182">
        <v>1</v>
      </c>
      <c r="B628" s="4345" t="s">
        <v>2165</v>
      </c>
      <c r="C628" s="4173"/>
      <c r="D628" s="4518"/>
      <c r="E628" s="4235"/>
      <c r="F628" s="4235" t="str">
        <f t="shared" si="27"/>
        <v xml:space="preserve"> </v>
      </c>
    </row>
    <row r="629" spans="1:7" ht="14.25" customHeight="1">
      <c r="A629" s="4179">
        <v>1.1000000000000001</v>
      </c>
      <c r="B629" s="3540" t="s">
        <v>4043</v>
      </c>
      <c r="C629" s="4172">
        <v>22.36</v>
      </c>
      <c r="D629" s="4251" t="s">
        <v>2432</v>
      </c>
      <c r="E629" s="4235">
        <v>79.19</v>
      </c>
      <c r="F629" s="4235">
        <f t="shared" si="27"/>
        <v>1770.69</v>
      </c>
    </row>
    <row r="630" spans="1:7" ht="14.25" customHeight="1">
      <c r="A630" s="4180"/>
      <c r="B630" s="4181"/>
      <c r="C630" s="4173"/>
      <c r="D630" s="4518"/>
      <c r="E630" s="4235"/>
      <c r="F630" s="4235" t="str">
        <f t="shared" si="27"/>
        <v xml:space="preserve"> </v>
      </c>
    </row>
    <row r="631" spans="1:7" ht="14.25" customHeight="1">
      <c r="A631" s="4182">
        <v>2</v>
      </c>
      <c r="B631" s="4183" t="s">
        <v>38</v>
      </c>
      <c r="C631" s="4173"/>
      <c r="D631" s="4518"/>
      <c r="E631" s="4235"/>
      <c r="F631" s="4235" t="str">
        <f t="shared" si="27"/>
        <v xml:space="preserve"> </v>
      </c>
    </row>
    <row r="632" spans="1:7" ht="14.25" customHeight="1">
      <c r="A632" s="4180">
        <v>2.1</v>
      </c>
      <c r="B632" s="3540" t="s">
        <v>3459</v>
      </c>
      <c r="C632" s="4173">
        <v>11.48</v>
      </c>
      <c r="D632" s="4518" t="s">
        <v>2430</v>
      </c>
      <c r="E632" s="4235">
        <v>330.24</v>
      </c>
      <c r="F632" s="4235">
        <f t="shared" si="27"/>
        <v>3791.16</v>
      </c>
    </row>
    <row r="633" spans="1:7" ht="14.25" customHeight="1">
      <c r="A633" s="4180">
        <v>2.2000000000000002</v>
      </c>
      <c r="B633" s="4232" t="s">
        <v>2984</v>
      </c>
      <c r="C633" s="4173">
        <v>6.02</v>
      </c>
      <c r="D633" s="4518" t="s">
        <v>2430</v>
      </c>
      <c r="E633" s="4235">
        <v>121.12</v>
      </c>
      <c r="F633" s="4235">
        <f t="shared" si="27"/>
        <v>729.14</v>
      </c>
    </row>
    <row r="634" spans="1:7" ht="14.25" customHeight="1">
      <c r="A634" s="4180">
        <v>2.2999999999999998</v>
      </c>
      <c r="B634" s="4206" t="s">
        <v>3780</v>
      </c>
      <c r="C634" s="4173">
        <v>7.09</v>
      </c>
      <c r="D634" s="4518" t="s">
        <v>2430</v>
      </c>
      <c r="E634" s="4235">
        <v>210</v>
      </c>
      <c r="F634" s="4235">
        <f t="shared" si="27"/>
        <v>1488.9</v>
      </c>
    </row>
    <row r="635" spans="1:7" ht="14.25" customHeight="1">
      <c r="A635" s="4180"/>
      <c r="B635" s="4181"/>
      <c r="C635" s="4174"/>
      <c r="D635" s="4519"/>
      <c r="E635" s="4235"/>
      <c r="F635" s="4235" t="str">
        <f t="shared" si="27"/>
        <v xml:space="preserve"> </v>
      </c>
    </row>
    <row r="636" spans="1:7" ht="14.25" customHeight="1">
      <c r="A636" s="4182">
        <v>3</v>
      </c>
      <c r="B636" s="4183" t="s">
        <v>3726</v>
      </c>
      <c r="C636" s="4173"/>
      <c r="D636" s="4520"/>
      <c r="E636" s="4235"/>
      <c r="F636" s="4235" t="str">
        <f t="shared" si="27"/>
        <v xml:space="preserve"> </v>
      </c>
    </row>
    <row r="637" spans="1:7" ht="16.5" customHeight="1">
      <c r="A637" s="4180">
        <v>3.1</v>
      </c>
      <c r="B637" s="3540" t="s">
        <v>3460</v>
      </c>
      <c r="C637" s="4175">
        <v>1.94</v>
      </c>
      <c r="D637" s="4518" t="s">
        <v>2430</v>
      </c>
      <c r="E637" s="4235">
        <v>9737.5</v>
      </c>
      <c r="F637" s="4235">
        <f t="shared" si="27"/>
        <v>18890.75</v>
      </c>
    </row>
    <row r="638" spans="1:7" ht="16.5" customHeight="1">
      <c r="A638" s="4180">
        <v>3.2</v>
      </c>
      <c r="B638" s="3540" t="s">
        <v>3461</v>
      </c>
      <c r="C638" s="4175">
        <v>1.73</v>
      </c>
      <c r="D638" s="4518" t="s">
        <v>2430</v>
      </c>
      <c r="E638" s="4235">
        <v>14103.35</v>
      </c>
      <c r="F638" s="4235">
        <f t="shared" si="27"/>
        <v>24398.799999999999</v>
      </c>
    </row>
    <row r="639" spans="1:7" ht="16.5" customHeight="1">
      <c r="A639" s="4180">
        <v>3.3</v>
      </c>
      <c r="B639" s="3540" t="s">
        <v>3462</v>
      </c>
      <c r="C639" s="4175">
        <v>0.66</v>
      </c>
      <c r="D639" s="4518" t="s">
        <v>2430</v>
      </c>
      <c r="E639" s="4235">
        <v>21005.65</v>
      </c>
      <c r="F639" s="4235">
        <f t="shared" si="27"/>
        <v>13863.73</v>
      </c>
    </row>
    <row r="640" spans="1:7" ht="16.5" customHeight="1">
      <c r="A640" s="4180">
        <v>3.4</v>
      </c>
      <c r="B640" s="3540" t="s">
        <v>3463</v>
      </c>
      <c r="C640" s="4175">
        <v>1.35</v>
      </c>
      <c r="D640" s="4521" t="s">
        <v>2430</v>
      </c>
      <c r="E640" s="4235">
        <v>23156.68</v>
      </c>
      <c r="F640" s="4445">
        <f t="shared" si="27"/>
        <v>31261.52</v>
      </c>
    </row>
    <row r="641" spans="1:7" ht="16.5" customHeight="1">
      <c r="A641" s="4180">
        <v>3.5</v>
      </c>
      <c r="B641" s="3540" t="s">
        <v>3464</v>
      </c>
      <c r="C641" s="4175">
        <v>1.59</v>
      </c>
      <c r="D641" s="4518" t="s">
        <v>2430</v>
      </c>
      <c r="E641" s="4235">
        <v>21469.16</v>
      </c>
      <c r="F641" s="4235">
        <f t="shared" si="27"/>
        <v>34135.96</v>
      </c>
    </row>
    <row r="642" spans="1:7" s="4223" customFormat="1" ht="16.5" customHeight="1">
      <c r="A642" s="4359">
        <v>3.6</v>
      </c>
      <c r="B642" s="4212" t="s">
        <v>3465</v>
      </c>
      <c r="C642" s="4330">
        <v>4.22</v>
      </c>
      <c r="D642" s="4522" t="s">
        <v>2430</v>
      </c>
      <c r="E642" s="4235">
        <v>13856.2</v>
      </c>
      <c r="F642" s="4217">
        <f t="shared" si="27"/>
        <v>58473.16</v>
      </c>
      <c r="G642" s="3557"/>
    </row>
    <row r="643" spans="1:7" ht="14.25" customHeight="1">
      <c r="A643" s="4180">
        <v>3.7</v>
      </c>
      <c r="B643" s="3540" t="s">
        <v>3466</v>
      </c>
      <c r="C643" s="4175">
        <v>4</v>
      </c>
      <c r="D643" s="4251" t="s">
        <v>2433</v>
      </c>
      <c r="E643" s="4235">
        <v>1000</v>
      </c>
      <c r="F643" s="4235">
        <f t="shared" si="27"/>
        <v>4000</v>
      </c>
    </row>
    <row r="644" spans="1:7" ht="14.25" customHeight="1">
      <c r="A644" s="4359">
        <v>3.8</v>
      </c>
      <c r="B644" s="4184" t="s">
        <v>3570</v>
      </c>
      <c r="C644" s="4175">
        <v>18.07</v>
      </c>
      <c r="D644" s="4251" t="s">
        <v>2432</v>
      </c>
      <c r="E644" s="4235">
        <v>986.65</v>
      </c>
      <c r="F644" s="4235">
        <f t="shared" si="27"/>
        <v>17828.77</v>
      </c>
    </row>
    <row r="645" spans="1:7" ht="14.25" customHeight="1">
      <c r="A645" s="4179"/>
      <c r="B645" s="4183"/>
      <c r="C645" s="4176"/>
      <c r="D645" s="4520"/>
      <c r="E645" s="4235"/>
      <c r="F645" s="4235" t="str">
        <f t="shared" si="27"/>
        <v xml:space="preserve"> </v>
      </c>
    </row>
    <row r="646" spans="1:7" ht="14.25" customHeight="1">
      <c r="A646" s="4185">
        <v>4</v>
      </c>
      <c r="B646" s="4183" t="s">
        <v>3467</v>
      </c>
      <c r="C646" s="4176"/>
      <c r="D646" s="4520"/>
      <c r="E646" s="4235"/>
      <c r="F646" s="4235" t="str">
        <f t="shared" si="27"/>
        <v xml:space="preserve"> </v>
      </c>
    </row>
    <row r="647" spans="1:7" s="4223" customFormat="1" ht="14.25" customHeight="1">
      <c r="A647" s="4167">
        <v>4.0999999999999996</v>
      </c>
      <c r="B647" s="4333" t="s">
        <v>3660</v>
      </c>
      <c r="C647" s="4334">
        <v>6.6</v>
      </c>
      <c r="D647" s="4313" t="s">
        <v>2432</v>
      </c>
      <c r="E647" s="4235">
        <v>1495.87</v>
      </c>
      <c r="F647" s="4217">
        <f t="shared" si="27"/>
        <v>9872.74</v>
      </c>
      <c r="G647" s="3557"/>
    </row>
    <row r="648" spans="1:7" s="4223" customFormat="1" ht="14.25" customHeight="1">
      <c r="A648" s="4167">
        <v>4.2</v>
      </c>
      <c r="B648" s="4333" t="s">
        <v>3659</v>
      </c>
      <c r="C648" s="4334">
        <v>44.55</v>
      </c>
      <c r="D648" s="4313" t="s">
        <v>2432</v>
      </c>
      <c r="E648" s="4235">
        <v>1528.3</v>
      </c>
      <c r="F648" s="4217">
        <f t="shared" si="27"/>
        <v>68085.77</v>
      </c>
      <c r="G648" s="3557"/>
    </row>
    <row r="649" spans="1:7" ht="14.25" customHeight="1">
      <c r="A649" s="4179"/>
      <c r="B649" s="4183"/>
      <c r="C649" s="4176"/>
      <c r="D649" s="4520"/>
      <c r="E649" s="4235"/>
      <c r="F649" s="4235" t="str">
        <f t="shared" si="27"/>
        <v xml:space="preserve"> </v>
      </c>
    </row>
    <row r="650" spans="1:7" ht="14.25" customHeight="1">
      <c r="A650" s="4182">
        <v>5</v>
      </c>
      <c r="B650" s="4183" t="s">
        <v>859</v>
      </c>
      <c r="C650" s="4177"/>
      <c r="D650" s="4520"/>
      <c r="E650" s="4235"/>
      <c r="F650" s="4235" t="str">
        <f t="shared" si="27"/>
        <v xml:space="preserve"> </v>
      </c>
    </row>
    <row r="651" spans="1:7" ht="14.25" customHeight="1">
      <c r="A651" s="4180">
        <v>5.0999999999999996</v>
      </c>
      <c r="B651" s="4184" t="s">
        <v>2568</v>
      </c>
      <c r="C651" s="4175">
        <v>26.08</v>
      </c>
      <c r="D651" s="4251" t="s">
        <v>2432</v>
      </c>
      <c r="E651" s="4235">
        <v>56.57</v>
      </c>
      <c r="F651" s="4235">
        <f t="shared" si="27"/>
        <v>1475.35</v>
      </c>
    </row>
    <row r="652" spans="1:7" ht="14.25" customHeight="1">
      <c r="A652" s="4180">
        <v>5.2</v>
      </c>
      <c r="B652" s="4184" t="s">
        <v>2395</v>
      </c>
      <c r="C652" s="4175">
        <v>56.3</v>
      </c>
      <c r="D652" s="4251" t="s">
        <v>2432</v>
      </c>
      <c r="E652" s="4235">
        <v>382.2</v>
      </c>
      <c r="F652" s="4235">
        <f t="shared" si="27"/>
        <v>21517.86</v>
      </c>
    </row>
    <row r="653" spans="1:7" ht="14.25" customHeight="1">
      <c r="A653" s="4180">
        <v>5.3</v>
      </c>
      <c r="B653" s="4184" t="s">
        <v>2396</v>
      </c>
      <c r="C653" s="4175">
        <v>44.1</v>
      </c>
      <c r="D653" s="4251" t="s">
        <v>2432</v>
      </c>
      <c r="E653" s="4235">
        <v>336.35</v>
      </c>
      <c r="F653" s="4235">
        <f t="shared" si="27"/>
        <v>14833.04</v>
      </c>
    </row>
    <row r="654" spans="1:7" ht="14.25" customHeight="1">
      <c r="A654" s="4180">
        <v>5.4</v>
      </c>
      <c r="B654" s="4184" t="s">
        <v>3468</v>
      </c>
      <c r="C654" s="4175">
        <v>27.12</v>
      </c>
      <c r="D654" s="4251" t="s">
        <v>2432</v>
      </c>
      <c r="E654" s="4235">
        <v>382.2</v>
      </c>
      <c r="F654" s="4235">
        <f t="shared" si="27"/>
        <v>10365.26</v>
      </c>
    </row>
    <row r="655" spans="1:7" ht="14.25" customHeight="1">
      <c r="A655" s="4180">
        <v>5.5</v>
      </c>
      <c r="B655" s="4184" t="s">
        <v>3469</v>
      </c>
      <c r="C655" s="4175">
        <v>25.11</v>
      </c>
      <c r="D655" s="4251" t="s">
        <v>2432</v>
      </c>
      <c r="E655" s="4235">
        <v>565.92999999999995</v>
      </c>
      <c r="F655" s="4235">
        <f t="shared" si="27"/>
        <v>14210.5</v>
      </c>
    </row>
    <row r="656" spans="1:7" ht="14.25" customHeight="1">
      <c r="A656" s="4180">
        <v>5.6</v>
      </c>
      <c r="B656" s="4184" t="s">
        <v>2362</v>
      </c>
      <c r="C656" s="4178">
        <v>20.9</v>
      </c>
      <c r="D656" s="4518" t="s">
        <v>1</v>
      </c>
      <c r="E656" s="4235">
        <v>753.08</v>
      </c>
      <c r="F656" s="4235">
        <f t="shared" si="27"/>
        <v>15739.37</v>
      </c>
    </row>
    <row r="657" spans="1:7" ht="14.25" customHeight="1">
      <c r="A657" s="4180">
        <v>5.7</v>
      </c>
      <c r="B657" s="4184" t="s">
        <v>3470</v>
      </c>
      <c r="C657" s="4175">
        <v>62.6</v>
      </c>
      <c r="D657" s="4518" t="s">
        <v>1</v>
      </c>
      <c r="E657" s="4235">
        <v>107.14</v>
      </c>
      <c r="F657" s="4235">
        <f t="shared" si="27"/>
        <v>6706.96</v>
      </c>
    </row>
    <row r="658" spans="1:7" ht="14.25" customHeight="1">
      <c r="A658" s="4180">
        <v>5.8</v>
      </c>
      <c r="B658" s="4184" t="s">
        <v>3540</v>
      </c>
      <c r="C658" s="4175">
        <v>20.100000000000001</v>
      </c>
      <c r="D658" s="4518" t="s">
        <v>1</v>
      </c>
      <c r="E658" s="4235">
        <v>134</v>
      </c>
      <c r="F658" s="4235">
        <f t="shared" si="27"/>
        <v>2693.4</v>
      </c>
    </row>
    <row r="659" spans="1:7" s="4238" customFormat="1" ht="14.25" customHeight="1">
      <c r="A659" s="4180">
        <v>5.9</v>
      </c>
      <c r="B659" s="4184" t="s">
        <v>3471</v>
      </c>
      <c r="C659" s="4175">
        <v>127.52</v>
      </c>
      <c r="D659" s="4251" t="s">
        <v>2432</v>
      </c>
      <c r="E659" s="4235">
        <v>227.56</v>
      </c>
      <c r="F659" s="4235">
        <f t="shared" si="27"/>
        <v>29018.45</v>
      </c>
      <c r="G659" s="3557"/>
    </row>
    <row r="660" spans="1:7" ht="14.25" customHeight="1">
      <c r="A660" s="4180"/>
      <c r="B660" s="4184"/>
      <c r="C660" s="4175"/>
      <c r="D660" s="4518"/>
      <c r="E660" s="4235"/>
      <c r="F660" s="4235" t="str">
        <f t="shared" si="27"/>
        <v xml:space="preserve"> </v>
      </c>
    </row>
    <row r="661" spans="1:7" ht="14.25" customHeight="1">
      <c r="A661" s="4182">
        <v>6</v>
      </c>
      <c r="B661" s="4184" t="s">
        <v>3472</v>
      </c>
      <c r="C661" s="4175">
        <v>15.12</v>
      </c>
      <c r="D661" s="4251" t="s">
        <v>2432</v>
      </c>
      <c r="E661" s="4103">
        <v>977.29</v>
      </c>
      <c r="F661" s="4235">
        <f t="shared" si="27"/>
        <v>14776.62</v>
      </c>
    </row>
    <row r="662" spans="1:7" ht="14.25" customHeight="1">
      <c r="A662" s="4482"/>
      <c r="B662" s="4483"/>
      <c r="C662" s="4484"/>
      <c r="D662" s="4523"/>
      <c r="E662" s="4468"/>
      <c r="F662" s="4468" t="str">
        <f t="shared" si="27"/>
        <v xml:space="preserve"> </v>
      </c>
    </row>
    <row r="663" spans="1:7" ht="14.25" customHeight="1">
      <c r="A663" s="4182">
        <v>7</v>
      </c>
      <c r="B663" s="4183" t="s">
        <v>3473</v>
      </c>
      <c r="C663" s="4175"/>
      <c r="D663" s="4518"/>
      <c r="E663" s="4235"/>
      <c r="F663" s="4235" t="str">
        <f t="shared" si="27"/>
        <v xml:space="preserve"> </v>
      </c>
    </row>
    <row r="664" spans="1:7" ht="14.25" customHeight="1">
      <c r="A664" s="4180">
        <v>7.1</v>
      </c>
      <c r="B664" s="4184" t="s">
        <v>4048</v>
      </c>
      <c r="C664" s="4175">
        <v>1</v>
      </c>
      <c r="D664" s="4251" t="s">
        <v>2433</v>
      </c>
      <c r="E664" s="4235">
        <v>73505</v>
      </c>
      <c r="F664" s="4235">
        <f t="shared" si="27"/>
        <v>73505</v>
      </c>
    </row>
    <row r="665" spans="1:7" ht="14.25" customHeight="1">
      <c r="A665" s="4180">
        <v>7.2</v>
      </c>
      <c r="B665" s="4232" t="s">
        <v>3475</v>
      </c>
      <c r="C665" s="4175">
        <v>15.06</v>
      </c>
      <c r="D665" s="4251" t="s">
        <v>2602</v>
      </c>
      <c r="E665" s="4235">
        <v>493.93</v>
      </c>
      <c r="F665" s="4235">
        <f t="shared" si="27"/>
        <v>7438.59</v>
      </c>
    </row>
    <row r="666" spans="1:7" ht="14.25" customHeight="1">
      <c r="A666" s="4179">
        <v>7.3</v>
      </c>
      <c r="B666" s="4212" t="s">
        <v>3918</v>
      </c>
      <c r="C666" s="4175">
        <v>1</v>
      </c>
      <c r="D666" s="4251" t="s">
        <v>2433</v>
      </c>
      <c r="E666" s="4235">
        <v>2471.14</v>
      </c>
      <c r="F666" s="4235">
        <f t="shared" si="27"/>
        <v>2471.14</v>
      </c>
    </row>
    <row r="667" spans="1:7" ht="14.25" customHeight="1">
      <c r="A667" s="4180"/>
      <c r="B667" s="4184"/>
      <c r="C667" s="4233"/>
      <c r="D667" s="4251"/>
      <c r="E667" s="4235"/>
      <c r="F667" s="4235" t="str">
        <f t="shared" si="27"/>
        <v xml:space="preserve"> </v>
      </c>
    </row>
    <row r="668" spans="1:7" ht="14.25" customHeight="1">
      <c r="A668" s="4185">
        <v>8</v>
      </c>
      <c r="B668" s="4183" t="s">
        <v>3476</v>
      </c>
      <c r="C668" s="4233"/>
      <c r="D668" s="4251"/>
      <c r="E668" s="4235"/>
      <c r="F668" s="4235" t="str">
        <f t="shared" si="27"/>
        <v xml:space="preserve"> </v>
      </c>
    </row>
    <row r="669" spans="1:7" ht="14.25" customHeight="1">
      <c r="A669" s="4180">
        <v>8.1</v>
      </c>
      <c r="B669" s="4232" t="s">
        <v>3477</v>
      </c>
      <c r="C669" s="4175">
        <v>4</v>
      </c>
      <c r="D669" s="4251" t="s">
        <v>2433</v>
      </c>
      <c r="E669" s="4235">
        <v>1153.96</v>
      </c>
      <c r="F669" s="4235">
        <f t="shared" si="27"/>
        <v>4615.84</v>
      </c>
    </row>
    <row r="670" spans="1:7" ht="14.25" customHeight="1">
      <c r="A670" s="4180">
        <v>8.1999999999999993</v>
      </c>
      <c r="B670" s="4232" t="s">
        <v>3478</v>
      </c>
      <c r="C670" s="4175">
        <v>1</v>
      </c>
      <c r="D670" s="4251" t="s">
        <v>2433</v>
      </c>
      <c r="E670" s="4235">
        <v>1189.7</v>
      </c>
      <c r="F670" s="4235">
        <f t="shared" si="27"/>
        <v>1189.7</v>
      </c>
    </row>
    <row r="671" spans="1:7" ht="14.25" customHeight="1">
      <c r="A671" s="4180">
        <v>8.3000000000000007</v>
      </c>
      <c r="B671" s="4232" t="s">
        <v>3479</v>
      </c>
      <c r="C671" s="4175">
        <v>2</v>
      </c>
      <c r="D671" s="4251" t="s">
        <v>2433</v>
      </c>
      <c r="E671" s="4235">
        <v>1400.82</v>
      </c>
      <c r="F671" s="4235">
        <f t="shared" si="27"/>
        <v>2801.64</v>
      </c>
    </row>
    <row r="672" spans="1:7" ht="14.25" customHeight="1">
      <c r="A672" s="4167"/>
      <c r="B672" s="4169"/>
      <c r="C672" s="4233"/>
      <c r="D672" s="4251"/>
      <c r="E672" s="4235"/>
      <c r="F672" s="4235" t="str">
        <f t="shared" si="27"/>
        <v xml:space="preserve"> </v>
      </c>
    </row>
    <row r="673" spans="1:8" ht="14.25" customHeight="1">
      <c r="A673" s="4168">
        <v>9</v>
      </c>
      <c r="B673" s="4170" t="s">
        <v>3480</v>
      </c>
      <c r="C673" s="4233"/>
      <c r="D673" s="4251"/>
      <c r="E673" s="4235"/>
      <c r="F673" s="4235" t="str">
        <f t="shared" si="27"/>
        <v xml:space="preserve"> </v>
      </c>
    </row>
    <row r="674" spans="1:8" ht="14.25" customHeight="1">
      <c r="A674" s="4167">
        <v>9.1</v>
      </c>
      <c r="B674" s="4171" t="s">
        <v>3661</v>
      </c>
      <c r="C674" s="4186">
        <v>2</v>
      </c>
      <c r="D674" s="4522" t="s">
        <v>2433</v>
      </c>
      <c r="E674" s="4210">
        <v>47000</v>
      </c>
      <c r="F674" s="4235">
        <f t="shared" si="27"/>
        <v>94000</v>
      </c>
    </row>
    <row r="675" spans="1:8" ht="14.25" customHeight="1">
      <c r="A675" s="4167">
        <v>9.1999999999999993</v>
      </c>
      <c r="B675" s="4171" t="s">
        <v>3481</v>
      </c>
      <c r="C675" s="4186">
        <v>2</v>
      </c>
      <c r="D675" s="4522" t="s">
        <v>2433</v>
      </c>
      <c r="E675" s="4210">
        <v>28000</v>
      </c>
      <c r="F675" s="4235">
        <f t="shared" si="27"/>
        <v>56000</v>
      </c>
    </row>
    <row r="676" spans="1:8" ht="14.25" customHeight="1">
      <c r="A676" s="4167">
        <v>9.3000000000000007</v>
      </c>
      <c r="B676" s="4171" t="s">
        <v>3662</v>
      </c>
      <c r="C676" s="4187">
        <v>1</v>
      </c>
      <c r="D676" s="4522" t="s">
        <v>2433</v>
      </c>
      <c r="E676" s="4210">
        <v>9309.6299999999992</v>
      </c>
      <c r="F676" s="4235">
        <f t="shared" si="27"/>
        <v>9309.6299999999992</v>
      </c>
    </row>
    <row r="677" spans="1:8" ht="14.25" customHeight="1">
      <c r="A677" s="4167">
        <v>9.4</v>
      </c>
      <c r="B677" s="4171" t="s">
        <v>3482</v>
      </c>
      <c r="C677" s="4187">
        <v>95</v>
      </c>
      <c r="D677" s="4524" t="s">
        <v>1</v>
      </c>
      <c r="E677" s="4210">
        <v>197.75</v>
      </c>
      <c r="F677" s="4235">
        <f t="shared" si="27"/>
        <v>18786.25</v>
      </c>
    </row>
    <row r="678" spans="1:8" ht="14.25" customHeight="1">
      <c r="A678" s="4167">
        <v>9.5</v>
      </c>
      <c r="B678" s="4171" t="s">
        <v>3663</v>
      </c>
      <c r="C678" s="4186">
        <v>33</v>
      </c>
      <c r="D678" s="4522" t="s">
        <v>2433</v>
      </c>
      <c r="E678" s="4210">
        <v>42.57</v>
      </c>
      <c r="F678" s="4235">
        <f t="shared" si="27"/>
        <v>1404.81</v>
      </c>
    </row>
    <row r="679" spans="1:8" ht="14.25" customHeight="1">
      <c r="A679" s="4167">
        <v>9.6</v>
      </c>
      <c r="B679" s="4171" t="s">
        <v>3664</v>
      </c>
      <c r="C679" s="4186">
        <v>4</v>
      </c>
      <c r="D679" s="4522" t="s">
        <v>2433</v>
      </c>
      <c r="E679" s="4210">
        <v>35.89</v>
      </c>
      <c r="F679" s="4235">
        <f t="shared" si="27"/>
        <v>143.56</v>
      </c>
    </row>
    <row r="680" spans="1:8" ht="14.25" customHeight="1">
      <c r="A680" s="4167">
        <v>9.6999999999999993</v>
      </c>
      <c r="B680" s="4171" t="s">
        <v>3665</v>
      </c>
      <c r="C680" s="4186">
        <v>9</v>
      </c>
      <c r="D680" s="4522" t="s">
        <v>2433</v>
      </c>
      <c r="E680" s="4210">
        <v>93.59</v>
      </c>
      <c r="F680" s="4235">
        <f t="shared" si="27"/>
        <v>842.31</v>
      </c>
    </row>
    <row r="681" spans="1:8" ht="14.25" customHeight="1">
      <c r="A681" s="4167">
        <v>9.8000000000000007</v>
      </c>
      <c r="B681" s="4171" t="s">
        <v>3666</v>
      </c>
      <c r="C681" s="4186">
        <v>4</v>
      </c>
      <c r="D681" s="4522" t="s">
        <v>2433</v>
      </c>
      <c r="E681" s="4210">
        <v>93.59</v>
      </c>
      <c r="F681" s="4235">
        <f t="shared" si="27"/>
        <v>374.36</v>
      </c>
    </row>
    <row r="682" spans="1:8" ht="14.25" customHeight="1">
      <c r="A682" s="4167">
        <v>9.9</v>
      </c>
      <c r="B682" s="4171" t="s">
        <v>4040</v>
      </c>
      <c r="C682" s="4186">
        <v>7</v>
      </c>
      <c r="D682" s="4522" t="s">
        <v>2433</v>
      </c>
      <c r="E682" s="4210">
        <v>1687.49</v>
      </c>
      <c r="F682" s="4235">
        <f t="shared" si="27"/>
        <v>11812.43</v>
      </c>
    </row>
    <row r="683" spans="1:8" ht="15" customHeight="1">
      <c r="A683" s="4179">
        <v>9.1</v>
      </c>
      <c r="B683" s="4171" t="s">
        <v>3667</v>
      </c>
      <c r="C683" s="4186">
        <v>16</v>
      </c>
      <c r="D683" s="4522" t="s">
        <v>2433</v>
      </c>
      <c r="E683" s="4210">
        <v>47.61</v>
      </c>
      <c r="F683" s="4235">
        <f t="shared" si="27"/>
        <v>761.76</v>
      </c>
    </row>
    <row r="684" spans="1:8" ht="14.25" customHeight="1">
      <c r="A684" s="4179">
        <v>9.11</v>
      </c>
      <c r="B684" s="4171" t="s">
        <v>3668</v>
      </c>
      <c r="C684" s="4186">
        <v>1</v>
      </c>
      <c r="D684" s="4522" t="s">
        <v>2433</v>
      </c>
      <c r="E684" s="4210">
        <v>1500</v>
      </c>
      <c r="F684" s="4235">
        <f t="shared" si="27"/>
        <v>1500</v>
      </c>
    </row>
    <row r="685" spans="1:8" ht="14.25" customHeight="1">
      <c r="A685" s="4192">
        <v>9.1199999999999992</v>
      </c>
      <c r="B685" s="4171" t="s">
        <v>3483</v>
      </c>
      <c r="C685" s="4186">
        <v>1</v>
      </c>
      <c r="D685" s="4313" t="s">
        <v>42</v>
      </c>
      <c r="E685" s="4210">
        <v>22000</v>
      </c>
      <c r="F685" s="4235">
        <f t="shared" si="27"/>
        <v>22000</v>
      </c>
    </row>
    <row r="686" spans="1:8" ht="14.25" customHeight="1">
      <c r="A686" s="4179">
        <v>9.1300000000000008</v>
      </c>
      <c r="B686" s="4171" t="s">
        <v>3669</v>
      </c>
      <c r="C686" s="4186">
        <v>1</v>
      </c>
      <c r="D686" s="4313" t="s">
        <v>42</v>
      </c>
      <c r="E686" s="4210">
        <v>20000</v>
      </c>
      <c r="F686" s="4235">
        <f t="shared" si="27"/>
        <v>20000</v>
      </c>
    </row>
    <row r="687" spans="1:8" ht="14.25" customHeight="1">
      <c r="A687" s="4179"/>
      <c r="B687" s="4171"/>
      <c r="C687" s="4186"/>
      <c r="D687" s="4313" t="s">
        <v>42</v>
      </c>
      <c r="E687" s="4210"/>
      <c r="F687" s="4235" t="str">
        <f t="shared" si="27"/>
        <v xml:space="preserve"> </v>
      </c>
    </row>
    <row r="688" spans="1:8" s="4332" customFormat="1" ht="15" customHeight="1">
      <c r="A688" s="4167">
        <v>10</v>
      </c>
      <c r="B688" s="4214" t="s">
        <v>3484</v>
      </c>
      <c r="C688" s="4330">
        <v>1</v>
      </c>
      <c r="D688" s="4313" t="s">
        <v>42</v>
      </c>
      <c r="E688" s="4210">
        <v>7500</v>
      </c>
      <c r="F688" s="4228">
        <f t="shared" ref="F688" si="28">ROUND(C688*E688,2)</f>
        <v>7500</v>
      </c>
      <c r="G688" s="3557"/>
      <c r="H688" s="4331"/>
    </row>
    <row r="689" spans="1:7" s="4268" customFormat="1" ht="12.75" customHeight="1">
      <c r="A689" s="4306"/>
      <c r="B689" s="4306" t="s">
        <v>2123</v>
      </c>
      <c r="C689" s="4500"/>
      <c r="D689" s="4500"/>
      <c r="E689" s="4500"/>
      <c r="F689" s="4309">
        <f>SUM(F626:F688)</f>
        <v>756384.92</v>
      </c>
      <c r="G689" s="3557"/>
    </row>
    <row r="690" spans="1:7" s="4268" customFormat="1" ht="12.75" customHeight="1">
      <c r="A690" s="4335"/>
      <c r="B690" s="4335"/>
      <c r="C690" s="4506"/>
      <c r="D690" s="4506"/>
      <c r="E690" s="4506"/>
      <c r="F690" s="4407"/>
      <c r="G690" s="3557"/>
    </row>
    <row r="691" spans="1:7" s="4223" customFormat="1" ht="15">
      <c r="A691" s="4398" t="s">
        <v>2323</v>
      </c>
      <c r="B691" s="3435" t="s">
        <v>2164</v>
      </c>
      <c r="C691" s="4312"/>
      <c r="D691" s="4311"/>
      <c r="E691" s="4312"/>
      <c r="F691" s="4312" t="str">
        <f t="shared" si="27"/>
        <v xml:space="preserve"> </v>
      </c>
      <c r="G691" s="3557"/>
    </row>
    <row r="692" spans="1:7" ht="14.25" customHeight="1">
      <c r="A692" s="4390"/>
      <c r="B692" s="4232"/>
      <c r="C692" s="4233"/>
      <c r="D692" s="4251"/>
      <c r="E692" s="4235"/>
      <c r="F692" s="4235" t="str">
        <f t="shared" si="27"/>
        <v xml:space="preserve"> </v>
      </c>
    </row>
    <row r="693" spans="1:7" ht="15" customHeight="1">
      <c r="A693" s="4391">
        <v>1</v>
      </c>
      <c r="B693" s="4211" t="s">
        <v>2261</v>
      </c>
      <c r="C693" s="4233"/>
      <c r="D693" s="4251"/>
      <c r="E693" s="4235"/>
      <c r="F693" s="4235" t="str">
        <f t="shared" si="27"/>
        <v xml:space="preserve"> </v>
      </c>
    </row>
    <row r="694" spans="1:7" ht="15" customHeight="1">
      <c r="A694" s="4392">
        <v>1.1000000000000001</v>
      </c>
      <c r="B694" s="4211" t="s">
        <v>38</v>
      </c>
      <c r="C694" s="4233"/>
      <c r="D694" s="4251"/>
      <c r="E694" s="4235"/>
      <c r="F694" s="4235"/>
    </row>
    <row r="695" spans="1:7" ht="14.25" customHeight="1">
      <c r="A695" s="4390" t="s">
        <v>3928</v>
      </c>
      <c r="B695" s="4232" t="s">
        <v>3007</v>
      </c>
      <c r="C695" s="4235">
        <v>218.92</v>
      </c>
      <c r="D695" s="4251" t="s">
        <v>2430</v>
      </c>
      <c r="E695" s="4235">
        <v>154.51</v>
      </c>
      <c r="F695" s="4235">
        <f t="shared" ref="F695:F697" si="29">IF(C695&gt;0,(ROUND((E695*C695),2))," ")</f>
        <v>33825.33</v>
      </c>
    </row>
    <row r="696" spans="1:7" ht="14.25" customHeight="1">
      <c r="A696" s="4390" t="s">
        <v>3929</v>
      </c>
      <c r="B696" s="4232" t="s">
        <v>3927</v>
      </c>
      <c r="C696" s="4233">
        <v>80.69</v>
      </c>
      <c r="D696" s="4251" t="s">
        <v>2430</v>
      </c>
      <c r="E696" s="4235">
        <v>121.12</v>
      </c>
      <c r="F696" s="4235">
        <f t="shared" si="29"/>
        <v>9773.17</v>
      </c>
    </row>
    <row r="697" spans="1:7" ht="27" customHeight="1">
      <c r="A697" s="4390" t="s">
        <v>3930</v>
      </c>
      <c r="B697" s="4206" t="s">
        <v>3780</v>
      </c>
      <c r="C697" s="4233">
        <v>186.61</v>
      </c>
      <c r="D697" s="4251" t="s">
        <v>2525</v>
      </c>
      <c r="E697" s="4235">
        <v>210.08</v>
      </c>
      <c r="F697" s="4235">
        <f t="shared" si="29"/>
        <v>39203.03</v>
      </c>
    </row>
    <row r="698" spans="1:7" ht="14.25" customHeight="1">
      <c r="A698" s="4390"/>
      <c r="B698" s="4232"/>
      <c r="C698" s="4233"/>
      <c r="D698" s="4251"/>
      <c r="E698" s="4235"/>
      <c r="F698" s="4235"/>
    </row>
    <row r="699" spans="1:7" ht="15" customHeight="1">
      <c r="A699" s="4392">
        <v>1.2</v>
      </c>
      <c r="B699" s="4211" t="s">
        <v>3727</v>
      </c>
      <c r="C699" s="4233"/>
      <c r="D699" s="4251"/>
      <c r="E699" s="4235"/>
      <c r="F699" s="4235"/>
    </row>
    <row r="700" spans="1:7" ht="14.25" customHeight="1">
      <c r="A700" s="4390" t="s">
        <v>3919</v>
      </c>
      <c r="B700" s="4232" t="s">
        <v>3020</v>
      </c>
      <c r="C700" s="4233">
        <v>0.77</v>
      </c>
      <c r="D700" s="4251" t="s">
        <v>2430</v>
      </c>
      <c r="E700" s="4235">
        <v>18391.099999999999</v>
      </c>
      <c r="F700" s="4235">
        <f t="shared" ref="F700:F703" si="30">IF(C700&gt;0,(ROUND((E700*C700),2))," ")</f>
        <v>14161.15</v>
      </c>
    </row>
    <row r="701" spans="1:7" ht="14.25" customHeight="1">
      <c r="A701" s="4390" t="s">
        <v>3920</v>
      </c>
      <c r="B701" s="4232" t="s">
        <v>2420</v>
      </c>
      <c r="C701" s="4233">
        <v>32.58</v>
      </c>
      <c r="D701" s="4251" t="s">
        <v>2430</v>
      </c>
      <c r="E701" s="4235">
        <v>20809.66</v>
      </c>
      <c r="F701" s="4235">
        <f t="shared" si="30"/>
        <v>677978.72</v>
      </c>
    </row>
    <row r="702" spans="1:7" ht="14.25" customHeight="1">
      <c r="A702" s="4390" t="s">
        <v>3921</v>
      </c>
      <c r="B702" s="4232" t="s">
        <v>2421</v>
      </c>
      <c r="C702" s="4233">
        <v>22.07</v>
      </c>
      <c r="D702" s="4251" t="s">
        <v>2430</v>
      </c>
      <c r="E702" s="4235">
        <v>13096.66</v>
      </c>
      <c r="F702" s="4235">
        <f t="shared" si="30"/>
        <v>289043.28999999998</v>
      </c>
    </row>
    <row r="703" spans="1:7" ht="14.25" customHeight="1">
      <c r="A703" s="4390" t="s">
        <v>3931</v>
      </c>
      <c r="B703" s="4232" t="s">
        <v>2422</v>
      </c>
      <c r="C703" s="4233">
        <v>0.81</v>
      </c>
      <c r="D703" s="4251" t="s">
        <v>2430</v>
      </c>
      <c r="E703" s="4235">
        <v>16190.08</v>
      </c>
      <c r="F703" s="4235">
        <f t="shared" si="30"/>
        <v>13113.96</v>
      </c>
    </row>
    <row r="704" spans="1:7" ht="14.25" customHeight="1">
      <c r="A704" s="4390"/>
      <c r="B704" s="4232"/>
      <c r="C704" s="4233"/>
      <c r="D704" s="4251"/>
      <c r="E704" s="4235"/>
      <c r="F704" s="4235"/>
    </row>
    <row r="705" spans="1:7" ht="15" customHeight="1">
      <c r="A705" s="4392">
        <v>1.3</v>
      </c>
      <c r="B705" s="4211" t="s">
        <v>787</v>
      </c>
      <c r="C705" s="4233"/>
      <c r="D705" s="4251"/>
      <c r="E705" s="4235"/>
      <c r="F705" s="4235"/>
    </row>
    <row r="706" spans="1:7" ht="14.25" customHeight="1">
      <c r="A706" s="4390" t="s">
        <v>3922</v>
      </c>
      <c r="B706" s="4232" t="s">
        <v>2402</v>
      </c>
      <c r="C706" s="4233">
        <v>171.69</v>
      </c>
      <c r="D706" s="4251" t="s">
        <v>2432</v>
      </c>
      <c r="E706" s="4235">
        <v>336.35</v>
      </c>
      <c r="F706" s="4235">
        <f t="shared" ref="F706:F709" si="31">IF(C706&gt;0,(ROUND((E706*C706),2))," ")</f>
        <v>57747.93</v>
      </c>
    </row>
    <row r="707" spans="1:7" ht="14.25" customHeight="1">
      <c r="A707" s="4390" t="s">
        <v>3923</v>
      </c>
      <c r="B707" s="4232" t="s">
        <v>2395</v>
      </c>
      <c r="C707" s="4233">
        <v>38.770000000000003</v>
      </c>
      <c r="D707" s="4251" t="s">
        <v>2432</v>
      </c>
      <c r="E707" s="4235">
        <v>382.2</v>
      </c>
      <c r="F707" s="4235">
        <f t="shared" si="31"/>
        <v>14817.89</v>
      </c>
    </row>
    <row r="708" spans="1:7" ht="14.25" customHeight="1">
      <c r="A708" s="4390" t="s">
        <v>3924</v>
      </c>
      <c r="B708" s="4232" t="s">
        <v>2423</v>
      </c>
      <c r="C708" s="4233">
        <v>73.569999999999993</v>
      </c>
      <c r="D708" s="4251" t="s">
        <v>2432</v>
      </c>
      <c r="E708" s="4235">
        <v>611.6</v>
      </c>
      <c r="F708" s="4235">
        <f t="shared" si="31"/>
        <v>44995.41</v>
      </c>
    </row>
    <row r="709" spans="1:7" s="4166" customFormat="1" ht="14.25" customHeight="1">
      <c r="A709" s="4390" t="s">
        <v>3925</v>
      </c>
      <c r="B709" s="4232" t="s">
        <v>1548</v>
      </c>
      <c r="C709" s="4233">
        <v>114.22</v>
      </c>
      <c r="D709" s="4251" t="s">
        <v>1</v>
      </c>
      <c r="E709" s="4235">
        <v>107.14</v>
      </c>
      <c r="F709" s="4235">
        <f t="shared" si="31"/>
        <v>12237.53</v>
      </c>
      <c r="G709" s="3557"/>
    </row>
    <row r="710" spans="1:7" ht="14.25" customHeight="1">
      <c r="A710" s="4456"/>
      <c r="B710" s="4452"/>
      <c r="C710" s="4466"/>
      <c r="D710" s="4467"/>
      <c r="E710" s="4468"/>
      <c r="F710" s="4468"/>
    </row>
    <row r="711" spans="1:7" ht="15" customHeight="1">
      <c r="A711" s="4391">
        <v>2</v>
      </c>
      <c r="B711" s="4211" t="s">
        <v>2278</v>
      </c>
      <c r="C711" s="4233"/>
      <c r="D711" s="4251"/>
      <c r="E711" s="4235"/>
      <c r="F711" s="4235"/>
    </row>
    <row r="712" spans="1:7" ht="15" customHeight="1">
      <c r="A712" s="4392">
        <v>2.1</v>
      </c>
      <c r="B712" s="4211" t="s">
        <v>38</v>
      </c>
      <c r="C712" s="4233"/>
      <c r="D712" s="4251"/>
      <c r="E712" s="4235"/>
      <c r="F712" s="4235"/>
    </row>
    <row r="713" spans="1:7" ht="14.25" customHeight="1">
      <c r="A713" s="4390" t="s">
        <v>1182</v>
      </c>
      <c r="B713" s="4232" t="s">
        <v>3007</v>
      </c>
      <c r="C713" s="4233">
        <v>262.64</v>
      </c>
      <c r="D713" s="4251" t="s">
        <v>2430</v>
      </c>
      <c r="E713" s="4235">
        <v>154.51</v>
      </c>
      <c r="F713" s="4235">
        <f t="shared" ref="F713:F715" si="32">IF(C713&gt;0,(ROUND((E713*C713),2))," ")</f>
        <v>40580.51</v>
      </c>
    </row>
    <row r="714" spans="1:7" ht="14.25" customHeight="1">
      <c r="A714" s="4390" t="s">
        <v>1183</v>
      </c>
      <c r="B714" s="4232" t="s">
        <v>2419</v>
      </c>
      <c r="C714" s="4233">
        <v>70.58</v>
      </c>
      <c r="D714" s="4251" t="s">
        <v>2430</v>
      </c>
      <c r="E714" s="4235">
        <v>121.12</v>
      </c>
      <c r="F714" s="4235">
        <f t="shared" si="32"/>
        <v>8548.65</v>
      </c>
    </row>
    <row r="715" spans="1:7" ht="14.25" customHeight="1">
      <c r="A715" s="4390" t="s">
        <v>1958</v>
      </c>
      <c r="B715" s="4206" t="s">
        <v>3780</v>
      </c>
      <c r="C715" s="4233">
        <v>259.27999999999997</v>
      </c>
      <c r="D715" s="4251" t="s">
        <v>2525</v>
      </c>
      <c r="E715" s="4235">
        <v>210</v>
      </c>
      <c r="F715" s="4235">
        <f t="shared" si="32"/>
        <v>54448.800000000003</v>
      </c>
    </row>
    <row r="716" spans="1:7" ht="14.25" customHeight="1">
      <c r="A716" s="4390"/>
      <c r="B716" s="4232"/>
      <c r="C716" s="4233"/>
      <c r="D716" s="4251"/>
      <c r="E716" s="4235"/>
      <c r="F716" s="4235"/>
    </row>
    <row r="717" spans="1:7" ht="15" customHeight="1">
      <c r="A717" s="4392">
        <v>2.2000000000000002</v>
      </c>
      <c r="B717" s="4211" t="s">
        <v>3728</v>
      </c>
      <c r="C717" s="4233"/>
      <c r="D717" s="4251"/>
      <c r="E717" s="4235"/>
      <c r="F717" s="4235"/>
    </row>
    <row r="718" spans="1:7" ht="14.25" customHeight="1">
      <c r="A718" s="4390" t="s">
        <v>3932</v>
      </c>
      <c r="B718" s="4232" t="s">
        <v>3022</v>
      </c>
      <c r="C718" s="4233">
        <v>19.190000000000001</v>
      </c>
      <c r="D718" s="4251" t="s">
        <v>2430</v>
      </c>
      <c r="E718" s="4235">
        <v>8435.86</v>
      </c>
      <c r="F718" s="4235">
        <f t="shared" ref="F718:F722" si="33">IF(C718&gt;0,(ROUND((E718*C718),2))," ")</f>
        <v>161884.15</v>
      </c>
    </row>
    <row r="719" spans="1:7" ht="14.25" customHeight="1">
      <c r="A719" s="4390" t="s">
        <v>3933</v>
      </c>
      <c r="B719" s="4232" t="s">
        <v>3027</v>
      </c>
      <c r="C719" s="4233">
        <v>1.31</v>
      </c>
      <c r="D719" s="4251" t="s">
        <v>2430</v>
      </c>
      <c r="E719" s="4235">
        <v>20439.71</v>
      </c>
      <c r="F719" s="4235">
        <f t="shared" si="33"/>
        <v>26776.02</v>
      </c>
    </row>
    <row r="720" spans="1:7" ht="14.25" customHeight="1">
      <c r="A720" s="4390" t="s">
        <v>3934</v>
      </c>
      <c r="B720" s="4232" t="s">
        <v>3021</v>
      </c>
      <c r="C720" s="4233">
        <v>30.2</v>
      </c>
      <c r="D720" s="4251" t="s">
        <v>2430</v>
      </c>
      <c r="E720" s="4235">
        <v>20256.25</v>
      </c>
      <c r="F720" s="4235">
        <f t="shared" si="33"/>
        <v>611738.75</v>
      </c>
    </row>
    <row r="721" spans="1:7" ht="14.25" customHeight="1">
      <c r="A721" s="4390" t="s">
        <v>3935</v>
      </c>
      <c r="B721" s="4232" t="s">
        <v>2424</v>
      </c>
      <c r="C721" s="4233">
        <v>11.27</v>
      </c>
      <c r="D721" s="4251" t="s">
        <v>2430</v>
      </c>
      <c r="E721" s="4235">
        <v>13096.66</v>
      </c>
      <c r="F721" s="4235">
        <f t="shared" si="33"/>
        <v>147599.35999999999</v>
      </c>
    </row>
    <row r="722" spans="1:7" ht="14.25" customHeight="1">
      <c r="A722" s="4390" t="s">
        <v>3936</v>
      </c>
      <c r="B722" s="4232" t="s">
        <v>2422</v>
      </c>
      <c r="C722" s="4233">
        <v>1.32</v>
      </c>
      <c r="D722" s="4251" t="s">
        <v>2430</v>
      </c>
      <c r="E722" s="4235">
        <v>16190.08</v>
      </c>
      <c r="F722" s="4235">
        <f t="shared" si="33"/>
        <v>21370.91</v>
      </c>
    </row>
    <row r="723" spans="1:7" ht="14.25" customHeight="1">
      <c r="A723" s="4390"/>
      <c r="B723" s="4232"/>
      <c r="C723" s="4233"/>
      <c r="D723" s="4251"/>
      <c r="E723" s="4235"/>
      <c r="F723" s="4235"/>
    </row>
    <row r="724" spans="1:7" ht="15" customHeight="1">
      <c r="A724" s="4392">
        <v>2.2999999999999998</v>
      </c>
      <c r="B724" s="4211" t="s">
        <v>859</v>
      </c>
      <c r="C724" s="4233"/>
      <c r="D724" s="4251"/>
      <c r="E724" s="4235"/>
      <c r="F724" s="4235"/>
    </row>
    <row r="725" spans="1:7" ht="14.25" customHeight="1">
      <c r="A725" s="4390" t="s">
        <v>3937</v>
      </c>
      <c r="B725" s="4232" t="s">
        <v>2402</v>
      </c>
      <c r="C725" s="4233">
        <v>158.15</v>
      </c>
      <c r="D725" s="4251" t="s">
        <v>2432</v>
      </c>
      <c r="E725" s="4235">
        <v>336.35</v>
      </c>
      <c r="F725" s="4235">
        <f t="shared" ref="F725:F728" si="34">IF(C725&gt;0,(ROUND((E725*C725),2))," ")</f>
        <v>53193.75</v>
      </c>
    </row>
    <row r="726" spans="1:7" ht="14.25" customHeight="1">
      <c r="A726" s="4390" t="s">
        <v>3938</v>
      </c>
      <c r="B726" s="4232" t="s">
        <v>2395</v>
      </c>
      <c r="C726" s="4233">
        <v>39.5</v>
      </c>
      <c r="D726" s="4251" t="s">
        <v>2432</v>
      </c>
      <c r="E726" s="4235">
        <v>382.2</v>
      </c>
      <c r="F726" s="4235">
        <f t="shared" si="34"/>
        <v>15096.9</v>
      </c>
    </row>
    <row r="727" spans="1:7" ht="14.25" customHeight="1">
      <c r="A727" s="4390" t="s">
        <v>3939</v>
      </c>
      <c r="B727" s="4232" t="s">
        <v>2423</v>
      </c>
      <c r="C727" s="4233">
        <v>93.25</v>
      </c>
      <c r="D727" s="4251" t="s">
        <v>2432</v>
      </c>
      <c r="E727" s="4235">
        <v>611.6</v>
      </c>
      <c r="F727" s="4235">
        <f t="shared" si="34"/>
        <v>57031.7</v>
      </c>
    </row>
    <row r="728" spans="1:7" s="4166" customFormat="1" ht="14.25" customHeight="1">
      <c r="A728" s="4390" t="s">
        <v>3940</v>
      </c>
      <c r="B728" s="4232" t="s">
        <v>1548</v>
      </c>
      <c r="C728" s="4233">
        <v>119.75</v>
      </c>
      <c r="D728" s="4251" t="s">
        <v>1</v>
      </c>
      <c r="E728" s="4235">
        <v>107.14</v>
      </c>
      <c r="F728" s="4235">
        <f t="shared" si="34"/>
        <v>12830.02</v>
      </c>
      <c r="G728" s="3557"/>
    </row>
    <row r="729" spans="1:7" s="4268" customFormat="1" ht="12.75" customHeight="1">
      <c r="A729" s="4306"/>
      <c r="B729" s="4306" t="s">
        <v>2324</v>
      </c>
      <c r="C729" s="4500"/>
      <c r="D729" s="4500"/>
      <c r="E729" s="4500"/>
      <c r="F729" s="4309">
        <f>SUM(F691:F728)</f>
        <v>2417996.9300000002</v>
      </c>
      <c r="G729" s="3557"/>
    </row>
    <row r="730" spans="1:7" ht="15" customHeight="1">
      <c r="A730" s="4395"/>
      <c r="B730" s="3435"/>
      <c r="C730" s="4266"/>
      <c r="D730" s="4273"/>
      <c r="E730" s="4266"/>
      <c r="F730" s="4266"/>
    </row>
    <row r="731" spans="1:7" s="4223" customFormat="1" ht="30">
      <c r="A731" s="4398" t="s">
        <v>2545</v>
      </c>
      <c r="B731" s="3435" t="s">
        <v>3961</v>
      </c>
      <c r="C731" s="4312"/>
      <c r="D731" s="4311"/>
      <c r="E731" s="4312"/>
      <c r="F731" s="4312" t="str">
        <f t="shared" ref="F731:F794" si="35">IF(C731&gt;0,(ROUND((E731*C731),2))," ")</f>
        <v xml:space="preserve"> </v>
      </c>
      <c r="G731" s="3557"/>
    </row>
    <row r="732" spans="1:7" ht="14.25" customHeight="1">
      <c r="A732" s="4390"/>
      <c r="B732" s="3432"/>
      <c r="C732" s="4233"/>
      <c r="D732" s="4251"/>
      <c r="E732" s="4235"/>
      <c r="F732" s="4235" t="str">
        <f t="shared" si="35"/>
        <v xml:space="preserve"> </v>
      </c>
    </row>
    <row r="733" spans="1:7" ht="14.25" customHeight="1">
      <c r="A733" s="4391">
        <v>1</v>
      </c>
      <c r="B733" s="3432" t="s">
        <v>2353</v>
      </c>
      <c r="C733" s="4233">
        <v>460.4</v>
      </c>
      <c r="D733" s="4251" t="s">
        <v>1</v>
      </c>
      <c r="E733" s="4235">
        <v>16.11</v>
      </c>
      <c r="F733" s="4235">
        <f>+E733*C733</f>
        <v>7417.04</v>
      </c>
    </row>
    <row r="734" spans="1:7" ht="14.25" customHeight="1">
      <c r="A734" s="4390"/>
      <c r="B734" s="3432"/>
      <c r="C734" s="4233"/>
      <c r="D734" s="4251"/>
      <c r="E734" s="4235"/>
      <c r="F734" s="4235"/>
    </row>
    <row r="735" spans="1:7" ht="18" customHeight="1">
      <c r="A735" s="4391">
        <v>2</v>
      </c>
      <c r="B735" s="4344" t="s">
        <v>14</v>
      </c>
      <c r="C735" s="4233"/>
      <c r="D735" s="4251"/>
      <c r="E735" s="4235"/>
      <c r="F735" s="4235" t="str">
        <f t="shared" si="35"/>
        <v xml:space="preserve"> </v>
      </c>
    </row>
    <row r="736" spans="1:7" ht="15" customHeight="1">
      <c r="A736" s="4394">
        <v>2.1</v>
      </c>
      <c r="B736" s="4232" t="s">
        <v>3740</v>
      </c>
      <c r="C736" s="4233">
        <v>824.2</v>
      </c>
      <c r="D736" s="4251" t="s">
        <v>2527</v>
      </c>
      <c r="E736" s="4235">
        <v>330.24</v>
      </c>
      <c r="F736" s="4235">
        <f t="shared" si="35"/>
        <v>272183.81</v>
      </c>
    </row>
    <row r="737" spans="1:6" ht="15" customHeight="1">
      <c r="A737" s="4394">
        <v>2.2000000000000002</v>
      </c>
      <c r="B737" s="4232" t="s">
        <v>3491</v>
      </c>
      <c r="C737" s="4233">
        <v>759.11</v>
      </c>
      <c r="D737" s="4251" t="s">
        <v>2526</v>
      </c>
      <c r="E737" s="4235">
        <v>121.12</v>
      </c>
      <c r="F737" s="4235">
        <f t="shared" si="35"/>
        <v>91943.4</v>
      </c>
    </row>
    <row r="738" spans="1:6" ht="15" customHeight="1">
      <c r="A738" s="4394">
        <v>2.2999999999999998</v>
      </c>
      <c r="B738" s="4232" t="s">
        <v>3779</v>
      </c>
      <c r="C738" s="4233">
        <v>31.6</v>
      </c>
      <c r="D738" s="4251" t="s">
        <v>2430</v>
      </c>
      <c r="E738" s="4235">
        <v>1313.13</v>
      </c>
      <c r="F738" s="4235">
        <f t="shared" si="35"/>
        <v>41494.910000000003</v>
      </c>
    </row>
    <row r="739" spans="1:6" ht="30" customHeight="1">
      <c r="A739" s="4394">
        <v>2.4</v>
      </c>
      <c r="B739" s="4206" t="s">
        <v>3780</v>
      </c>
      <c r="C739" s="4233">
        <v>78.099999999999994</v>
      </c>
      <c r="D739" s="4251" t="s">
        <v>2525</v>
      </c>
      <c r="E739" s="4235">
        <v>210</v>
      </c>
      <c r="F739" s="4235">
        <f t="shared" si="35"/>
        <v>16401</v>
      </c>
    </row>
    <row r="740" spans="1:6" ht="15" customHeight="1">
      <c r="A740" s="4395"/>
      <c r="B740" s="3435"/>
      <c r="C740" s="4233"/>
      <c r="D740" s="4251"/>
      <c r="E740" s="4235"/>
      <c r="F740" s="4235" t="str">
        <f t="shared" si="35"/>
        <v xml:space="preserve"> </v>
      </c>
    </row>
    <row r="741" spans="1:6" ht="15" customHeight="1">
      <c r="A741" s="4391">
        <v>3</v>
      </c>
      <c r="B741" s="4344" t="s">
        <v>3741</v>
      </c>
      <c r="C741" s="4233"/>
      <c r="D741" s="4251"/>
      <c r="E741" s="4235"/>
      <c r="F741" s="4235" t="str">
        <f t="shared" si="35"/>
        <v xml:space="preserve"> </v>
      </c>
    </row>
    <row r="742" spans="1:6" ht="15" customHeight="1">
      <c r="A742" s="4394">
        <v>3.1</v>
      </c>
      <c r="B742" s="4232" t="s">
        <v>3744</v>
      </c>
      <c r="C742" s="4233">
        <v>46</v>
      </c>
      <c r="D742" s="4251" t="s">
        <v>1</v>
      </c>
      <c r="E742" s="4235">
        <v>6908.66</v>
      </c>
      <c r="F742" s="4235">
        <f t="shared" si="35"/>
        <v>317798.36</v>
      </c>
    </row>
    <row r="743" spans="1:6" ht="15" customHeight="1">
      <c r="A743" s="4394">
        <v>3.2</v>
      </c>
      <c r="B743" s="4232" t="s">
        <v>3743</v>
      </c>
      <c r="C743" s="4233">
        <v>2</v>
      </c>
      <c r="D743" s="4251" t="s">
        <v>1</v>
      </c>
      <c r="E743" s="4235">
        <v>3681.97</v>
      </c>
      <c r="F743" s="4235">
        <f t="shared" si="35"/>
        <v>7363.94</v>
      </c>
    </row>
    <row r="744" spans="1:6" ht="15" customHeight="1">
      <c r="A744" s="4394">
        <v>3.3</v>
      </c>
      <c r="B744" s="4232" t="s">
        <v>3742</v>
      </c>
      <c r="C744" s="4507">
        <v>399.78</v>
      </c>
      <c r="D744" s="4251" t="s">
        <v>1</v>
      </c>
      <c r="E744" s="4235">
        <v>7090.87</v>
      </c>
      <c r="F744" s="4235">
        <f>IF(C744&gt;0,(ROUND((E744*C744),2))," ")</f>
        <v>2834788.01</v>
      </c>
    </row>
    <row r="745" spans="1:6" ht="15" customHeight="1">
      <c r="A745" s="4394">
        <v>3.4</v>
      </c>
      <c r="B745" s="4232" t="s">
        <v>3941</v>
      </c>
      <c r="C745" s="4233">
        <v>49.92</v>
      </c>
      <c r="D745" s="4251" t="s">
        <v>1</v>
      </c>
      <c r="E745" s="4235">
        <v>3544.84</v>
      </c>
      <c r="F745" s="4235">
        <f>IF(C745&gt;0,(ROUND((E745*C745),2))," ")</f>
        <v>176958.41</v>
      </c>
    </row>
    <row r="746" spans="1:6" ht="15" customHeight="1">
      <c r="A746" s="4395"/>
      <c r="B746" s="3435"/>
      <c r="C746" s="4233"/>
      <c r="D746" s="4251"/>
      <c r="E746" s="4235"/>
      <c r="F746" s="4235" t="str">
        <f t="shared" si="35"/>
        <v xml:space="preserve"> </v>
      </c>
    </row>
    <row r="747" spans="1:6" ht="15" customHeight="1">
      <c r="A747" s="4391">
        <v>4</v>
      </c>
      <c r="B747" s="4344" t="s">
        <v>3746</v>
      </c>
      <c r="C747" s="4233"/>
      <c r="D747" s="4251"/>
      <c r="E747" s="4235"/>
      <c r="F747" s="4235" t="str">
        <f t="shared" si="35"/>
        <v xml:space="preserve"> </v>
      </c>
    </row>
    <row r="748" spans="1:6" ht="15" customHeight="1">
      <c r="A748" s="4394">
        <v>4.0999999999999996</v>
      </c>
      <c r="B748" s="4232" t="s">
        <v>3493</v>
      </c>
      <c r="C748" s="4233">
        <v>46</v>
      </c>
      <c r="D748" s="4251" t="s">
        <v>1</v>
      </c>
      <c r="E748" s="4405">
        <v>213.05</v>
      </c>
      <c r="F748" s="4235">
        <f t="shared" si="35"/>
        <v>9800.2999999999993</v>
      </c>
    </row>
    <row r="749" spans="1:6" ht="15" customHeight="1">
      <c r="A749" s="4394">
        <v>4.2</v>
      </c>
      <c r="B749" s="4232" t="s">
        <v>3494</v>
      </c>
      <c r="C749" s="4233">
        <v>2</v>
      </c>
      <c r="D749" s="4251" t="s">
        <v>1</v>
      </c>
      <c r="E749" s="4405">
        <v>101.14</v>
      </c>
      <c r="F749" s="4235">
        <f t="shared" si="35"/>
        <v>202.28</v>
      </c>
    </row>
    <row r="750" spans="1:6" ht="15" customHeight="1">
      <c r="A750" s="4394">
        <v>4.3</v>
      </c>
      <c r="B750" s="4232" t="s">
        <v>3745</v>
      </c>
      <c r="C750" s="4233">
        <v>364.4</v>
      </c>
      <c r="D750" s="4251" t="s">
        <v>1</v>
      </c>
      <c r="E750" s="4405">
        <v>55.95</v>
      </c>
      <c r="F750" s="4235">
        <f>IF(C750&gt;0,(ROUND((E750*C750),2))," ")</f>
        <v>20388.18</v>
      </c>
    </row>
    <row r="751" spans="1:6" ht="15" customHeight="1">
      <c r="A751" s="4394">
        <v>4.4000000000000004</v>
      </c>
      <c r="B751" s="4232" t="s">
        <v>3739</v>
      </c>
      <c r="C751" s="4233">
        <v>48</v>
      </c>
      <c r="D751" s="4251" t="s">
        <v>1</v>
      </c>
      <c r="E751" s="4405">
        <v>43.04</v>
      </c>
      <c r="F751" s="4235">
        <f>IF(C751&gt;0,(ROUND((E751*C751),2))," ")</f>
        <v>2065.92</v>
      </c>
    </row>
    <row r="752" spans="1:6" ht="15" customHeight="1">
      <c r="A752" s="4395"/>
      <c r="B752" s="4232"/>
      <c r="C752" s="4233"/>
      <c r="D752" s="4251"/>
      <c r="E752" s="4235"/>
      <c r="F752" s="4235" t="str">
        <f t="shared" si="35"/>
        <v xml:space="preserve"> </v>
      </c>
    </row>
    <row r="753" spans="1:6" ht="14.25" customHeight="1">
      <c r="A753" s="4391">
        <v>5</v>
      </c>
      <c r="B753" s="4344" t="s">
        <v>3781</v>
      </c>
      <c r="C753" s="4233"/>
      <c r="D753" s="4251"/>
      <c r="E753" s="4235"/>
      <c r="F753" s="4235" t="str">
        <f t="shared" si="35"/>
        <v xml:space="preserve"> </v>
      </c>
    </row>
    <row r="754" spans="1:6" ht="15" customHeight="1">
      <c r="A754" s="4394">
        <v>5.0999999999999996</v>
      </c>
      <c r="B754" s="4232" t="s">
        <v>3747</v>
      </c>
      <c r="C754" s="4233">
        <v>6</v>
      </c>
      <c r="D754" s="4251" t="s">
        <v>2433</v>
      </c>
      <c r="E754" s="4235">
        <v>140043.67000000001</v>
      </c>
      <c r="F754" s="4235">
        <f>IF(C754&gt;0,(ROUND((E754*C754),2))," ")</f>
        <v>840262.02</v>
      </c>
    </row>
    <row r="755" spans="1:6" ht="15" customHeight="1">
      <c r="A755" s="4394">
        <v>5.2</v>
      </c>
      <c r="B755" s="4232" t="s">
        <v>3748</v>
      </c>
      <c r="C755" s="4233">
        <v>4</v>
      </c>
      <c r="D755" s="4251" t="s">
        <v>2433</v>
      </c>
      <c r="E755" s="4235">
        <v>70116.44</v>
      </c>
      <c r="F755" s="4235">
        <f>IF(C755&gt;0,(ROUND((E755*C755),2))," ")</f>
        <v>280465.76</v>
      </c>
    </row>
    <row r="756" spans="1:6" ht="15" customHeight="1">
      <c r="A756" s="4394">
        <v>5.3</v>
      </c>
      <c r="B756" s="4232" t="s">
        <v>3782</v>
      </c>
      <c r="C756" s="4233">
        <v>2</v>
      </c>
      <c r="D756" s="4251" t="s">
        <v>2433</v>
      </c>
      <c r="E756" s="4235">
        <v>14160.67</v>
      </c>
      <c r="F756" s="4235">
        <f t="shared" si="35"/>
        <v>28321.34</v>
      </c>
    </row>
    <row r="757" spans="1:6" ht="15" customHeight="1">
      <c r="A757" s="4394">
        <v>5.4</v>
      </c>
      <c r="B757" s="4232" t="s">
        <v>3782</v>
      </c>
      <c r="C757" s="4233">
        <v>1</v>
      </c>
      <c r="D757" s="4251" t="s">
        <v>2433</v>
      </c>
      <c r="E757" s="4235">
        <v>14160.67</v>
      </c>
      <c r="F757" s="4235">
        <f t="shared" si="35"/>
        <v>14160.67</v>
      </c>
    </row>
    <row r="758" spans="1:6" ht="15" customHeight="1">
      <c r="A758" s="4394">
        <v>5.5</v>
      </c>
      <c r="B758" s="4232" t="s">
        <v>3785</v>
      </c>
      <c r="C758" s="4233">
        <v>6</v>
      </c>
      <c r="D758" s="4251" t="s">
        <v>2433</v>
      </c>
      <c r="E758" s="4235">
        <v>11305.07</v>
      </c>
      <c r="F758" s="4235">
        <f t="shared" si="35"/>
        <v>67830.42</v>
      </c>
    </row>
    <row r="759" spans="1:6" ht="15" customHeight="1">
      <c r="A759" s="4451">
        <v>5.6</v>
      </c>
      <c r="B759" s="4452" t="s">
        <v>3783</v>
      </c>
      <c r="C759" s="4466">
        <v>2</v>
      </c>
      <c r="D759" s="4467" t="s">
        <v>2433</v>
      </c>
      <c r="E759" s="4468">
        <v>11564.67</v>
      </c>
      <c r="F759" s="4468">
        <f t="shared" si="35"/>
        <v>23129.34</v>
      </c>
    </row>
    <row r="760" spans="1:6" ht="15" customHeight="1">
      <c r="A760" s="4394">
        <v>5.7</v>
      </c>
      <c r="B760" s="4232" t="s">
        <v>3784</v>
      </c>
      <c r="C760" s="4233">
        <v>3</v>
      </c>
      <c r="D760" s="4251" t="s">
        <v>2433</v>
      </c>
      <c r="E760" s="4235">
        <v>23843.53</v>
      </c>
      <c r="F760" s="4235">
        <f t="shared" si="35"/>
        <v>71530.59</v>
      </c>
    </row>
    <row r="761" spans="1:6" ht="15" customHeight="1">
      <c r="A761" s="4394">
        <v>5.8</v>
      </c>
      <c r="B761" s="4232" t="s">
        <v>3784</v>
      </c>
      <c r="C761" s="4233">
        <v>3</v>
      </c>
      <c r="D761" s="4251" t="s">
        <v>2433</v>
      </c>
      <c r="E761" s="4235">
        <v>23843.53</v>
      </c>
      <c r="F761" s="4235">
        <f t="shared" si="35"/>
        <v>71530.59</v>
      </c>
    </row>
    <row r="762" spans="1:6" ht="15" customHeight="1">
      <c r="A762" s="4394">
        <v>5.9</v>
      </c>
      <c r="B762" s="4232" t="s">
        <v>3787</v>
      </c>
      <c r="C762" s="4233">
        <v>3</v>
      </c>
      <c r="D762" s="4251" t="s">
        <v>2433</v>
      </c>
      <c r="E762" s="4235">
        <v>4516.01</v>
      </c>
      <c r="F762" s="4235">
        <f t="shared" si="35"/>
        <v>13548.03</v>
      </c>
    </row>
    <row r="763" spans="1:6" ht="15" customHeight="1">
      <c r="A763" s="4390">
        <v>5.0999999999999996</v>
      </c>
      <c r="B763" s="4232" t="s">
        <v>3788</v>
      </c>
      <c r="C763" s="4233">
        <v>3</v>
      </c>
      <c r="D763" s="4251" t="s">
        <v>2433</v>
      </c>
      <c r="E763" s="4235">
        <v>4516.01</v>
      </c>
      <c r="F763" s="4235">
        <f t="shared" si="35"/>
        <v>13548.03</v>
      </c>
    </row>
    <row r="764" spans="1:6" ht="15" customHeight="1">
      <c r="A764" s="4390">
        <v>5.1100000000000003</v>
      </c>
      <c r="B764" s="4232" t="s">
        <v>3511</v>
      </c>
      <c r="C764" s="4233">
        <v>2</v>
      </c>
      <c r="D764" s="4251" t="s">
        <v>2433</v>
      </c>
      <c r="E764" s="4405">
        <v>10030</v>
      </c>
      <c r="F764" s="4235">
        <f>IF(C764&gt;0,(ROUND((E764*C764),2))," ")</f>
        <v>20060</v>
      </c>
    </row>
    <row r="765" spans="1:6" ht="15" customHeight="1">
      <c r="A765" s="4390">
        <v>5.12</v>
      </c>
      <c r="B765" s="4232" t="s">
        <v>3529</v>
      </c>
      <c r="C765" s="4233">
        <v>2</v>
      </c>
      <c r="D765" s="4251" t="s">
        <v>2433</v>
      </c>
      <c r="E765" s="4405">
        <v>10030</v>
      </c>
      <c r="F765" s="4235">
        <f>IF(C765&gt;0,(ROUND((E765*C765),2))," ")</f>
        <v>20060</v>
      </c>
    </row>
    <row r="766" spans="1:6" ht="15" customHeight="1">
      <c r="A766" s="4390">
        <v>5.13</v>
      </c>
      <c r="B766" s="4232" t="s">
        <v>3512</v>
      </c>
      <c r="C766" s="4233">
        <v>4</v>
      </c>
      <c r="D766" s="4251" t="s">
        <v>2433</v>
      </c>
      <c r="E766" s="4405">
        <v>2950</v>
      </c>
      <c r="F766" s="4235">
        <f>IF(C766&gt;0,(ROUND((E766*C766),2))," ")</f>
        <v>11800</v>
      </c>
    </row>
    <row r="767" spans="1:6" ht="15" customHeight="1">
      <c r="A767" s="4390">
        <v>5.14</v>
      </c>
      <c r="B767" s="4232" t="s">
        <v>3513</v>
      </c>
      <c r="C767" s="4233">
        <v>4</v>
      </c>
      <c r="D767" s="4251" t="s">
        <v>2433</v>
      </c>
      <c r="E767" s="4405">
        <v>18600</v>
      </c>
      <c r="F767" s="4235">
        <f>IF(C767&gt;0,(ROUND((E767*C767),2))," ")</f>
        <v>74400</v>
      </c>
    </row>
    <row r="768" spans="1:6" ht="15" customHeight="1">
      <c r="A768" s="4390">
        <v>5.15</v>
      </c>
      <c r="B768" s="4232" t="s">
        <v>3514</v>
      </c>
      <c r="C768" s="4233">
        <v>1</v>
      </c>
      <c r="D768" s="4251" t="s">
        <v>2433</v>
      </c>
      <c r="E768" s="4405">
        <v>4720</v>
      </c>
      <c r="F768" s="4235">
        <f>IF(C768&gt;0,(ROUND((E768*C768),2))," ")</f>
        <v>4720</v>
      </c>
    </row>
    <row r="769" spans="1:7" ht="15" customHeight="1">
      <c r="A769" s="4390">
        <v>5.16</v>
      </c>
      <c r="B769" s="4232" t="s">
        <v>3786</v>
      </c>
      <c r="C769" s="4233">
        <v>1</v>
      </c>
      <c r="D769" s="4251" t="s">
        <v>2433</v>
      </c>
      <c r="E769" s="4235">
        <v>6473.67</v>
      </c>
      <c r="F769" s="4235">
        <f t="shared" si="35"/>
        <v>6473.67</v>
      </c>
    </row>
    <row r="770" spans="1:7" ht="15.75" customHeight="1">
      <c r="A770" s="4390">
        <v>5.17</v>
      </c>
      <c r="B770" s="4232" t="s">
        <v>3778</v>
      </c>
      <c r="C770" s="4233">
        <v>1</v>
      </c>
      <c r="D770" s="4251" t="s">
        <v>2433</v>
      </c>
      <c r="E770" s="4405">
        <v>29826.62</v>
      </c>
      <c r="F770" s="4235">
        <f t="shared" si="35"/>
        <v>29826.62</v>
      </c>
    </row>
    <row r="771" spans="1:7" ht="15" customHeight="1">
      <c r="A771" s="4390">
        <v>5.18</v>
      </c>
      <c r="B771" s="4232" t="s">
        <v>3776</v>
      </c>
      <c r="C771" s="4233">
        <v>2</v>
      </c>
      <c r="D771" s="4251" t="s">
        <v>2433</v>
      </c>
      <c r="E771" s="4405">
        <v>19676.25</v>
      </c>
      <c r="F771" s="4235">
        <f t="shared" si="35"/>
        <v>39352.5</v>
      </c>
    </row>
    <row r="772" spans="1:7" ht="15" customHeight="1">
      <c r="A772" s="4390">
        <v>5.19</v>
      </c>
      <c r="B772" s="4232" t="s">
        <v>3777</v>
      </c>
      <c r="C772" s="4233">
        <v>2</v>
      </c>
      <c r="D772" s="4251" t="s">
        <v>2433</v>
      </c>
      <c r="E772" s="4405">
        <v>15263.03</v>
      </c>
      <c r="F772" s="4235">
        <f t="shared" si="35"/>
        <v>30526.06</v>
      </c>
    </row>
    <row r="773" spans="1:7" ht="15" customHeight="1">
      <c r="A773" s="4390">
        <v>5.2</v>
      </c>
      <c r="B773" s="4232" t="s">
        <v>3789</v>
      </c>
      <c r="C773" s="4233">
        <v>1</v>
      </c>
      <c r="D773" s="4251" t="s">
        <v>42</v>
      </c>
      <c r="E773" s="4405">
        <v>1500</v>
      </c>
      <c r="F773" s="4235">
        <f t="shared" si="35"/>
        <v>1500</v>
      </c>
    </row>
    <row r="774" spans="1:7" ht="15" customHeight="1">
      <c r="A774" s="4395"/>
      <c r="B774" s="4232"/>
      <c r="C774" s="4233"/>
      <c r="D774" s="4251"/>
      <c r="E774" s="4235"/>
      <c r="F774" s="4235" t="str">
        <f t="shared" si="35"/>
        <v xml:space="preserve"> </v>
      </c>
    </row>
    <row r="775" spans="1:7" ht="15.75" customHeight="1">
      <c r="A775" s="4391">
        <v>6</v>
      </c>
      <c r="B775" s="4344" t="s">
        <v>3733</v>
      </c>
      <c r="C775" s="4233"/>
      <c r="D775" s="4251"/>
      <c r="E775" s="4235"/>
      <c r="F775" s="4235" t="str">
        <f t="shared" si="35"/>
        <v xml:space="preserve"> </v>
      </c>
    </row>
    <row r="776" spans="1:7" s="4227" customFormat="1" ht="14.25" customHeight="1">
      <c r="A776" s="4394">
        <v>6.1</v>
      </c>
      <c r="B776" s="4232" t="s">
        <v>3734</v>
      </c>
      <c r="C776" s="4233">
        <v>1</v>
      </c>
      <c r="D776" s="4251" t="s">
        <v>2433</v>
      </c>
      <c r="E776" s="4235">
        <v>39657.29</v>
      </c>
      <c r="F776" s="4235">
        <f t="shared" si="35"/>
        <v>39657.29</v>
      </c>
      <c r="G776" s="3557"/>
    </row>
    <row r="777" spans="1:7" s="4227" customFormat="1" ht="14.25" customHeight="1">
      <c r="A777" s="4394">
        <v>6.2</v>
      </c>
      <c r="B777" s="4232" t="s">
        <v>3729</v>
      </c>
      <c r="C777" s="4233">
        <v>2</v>
      </c>
      <c r="D777" s="4251" t="s">
        <v>2433</v>
      </c>
      <c r="E777" s="4235">
        <v>56736.46</v>
      </c>
      <c r="F777" s="4235">
        <f t="shared" si="35"/>
        <v>113472.92</v>
      </c>
      <c r="G777" s="3557"/>
    </row>
    <row r="778" spans="1:7" s="4227" customFormat="1" ht="14.25" customHeight="1">
      <c r="A778" s="4394">
        <v>6.3</v>
      </c>
      <c r="B778" s="4232" t="s">
        <v>3730</v>
      </c>
      <c r="C778" s="4233">
        <v>5</v>
      </c>
      <c r="D778" s="4251" t="s">
        <v>2433</v>
      </c>
      <c r="E778" s="4235">
        <v>64645.67</v>
      </c>
      <c r="F778" s="4235">
        <f t="shared" si="35"/>
        <v>323228.34999999998</v>
      </c>
      <c r="G778" s="3557"/>
    </row>
    <row r="779" spans="1:7" s="4227" customFormat="1" ht="14.25" customHeight="1">
      <c r="A779" s="4394">
        <v>6.4</v>
      </c>
      <c r="B779" s="4232" t="s">
        <v>3731</v>
      </c>
      <c r="C779" s="4233">
        <v>1</v>
      </c>
      <c r="D779" s="4251" t="s">
        <v>2433</v>
      </c>
      <c r="E779" s="4235">
        <v>72085.03</v>
      </c>
      <c r="F779" s="4235">
        <f t="shared" si="35"/>
        <v>72085.03</v>
      </c>
      <c r="G779" s="3557"/>
    </row>
    <row r="780" spans="1:7" s="4227" customFormat="1" ht="14.25" customHeight="1">
      <c r="A780" s="4394">
        <v>6.5</v>
      </c>
      <c r="B780" s="4232" t="s">
        <v>3790</v>
      </c>
      <c r="C780" s="4233">
        <v>2</v>
      </c>
      <c r="D780" s="4251" t="s">
        <v>2433</v>
      </c>
      <c r="E780" s="4235">
        <v>100848.9</v>
      </c>
      <c r="F780" s="4235">
        <f t="shared" si="35"/>
        <v>201697.8</v>
      </c>
      <c r="G780" s="3557"/>
    </row>
    <row r="781" spans="1:7" s="4227" customFormat="1" ht="14.25" customHeight="1">
      <c r="A781" s="4394">
        <v>6.6</v>
      </c>
      <c r="B781" s="4232" t="s">
        <v>3732</v>
      </c>
      <c r="C781" s="4233">
        <v>1</v>
      </c>
      <c r="D781" s="4251" t="s">
        <v>2433</v>
      </c>
      <c r="E781" s="4235">
        <v>110254.02</v>
      </c>
      <c r="F781" s="4235">
        <f t="shared" si="35"/>
        <v>110254.02</v>
      </c>
      <c r="G781" s="3557"/>
    </row>
    <row r="782" spans="1:7" s="4227" customFormat="1" ht="14.25" customHeight="1">
      <c r="A782" s="4390"/>
      <c r="B782" s="4232"/>
      <c r="C782" s="4233"/>
      <c r="D782" s="4251"/>
      <c r="E782" s="4235"/>
      <c r="F782" s="4235" t="str">
        <f t="shared" si="35"/>
        <v xml:space="preserve"> </v>
      </c>
      <c r="G782" s="3557"/>
    </row>
    <row r="783" spans="1:7" s="4262" customFormat="1" ht="15" customHeight="1">
      <c r="A783" s="4391">
        <v>7</v>
      </c>
      <c r="B783" s="4344" t="s">
        <v>3521</v>
      </c>
      <c r="C783" s="4259"/>
      <c r="D783" s="4272"/>
      <c r="E783" s="4260"/>
      <c r="F783" s="4260" t="str">
        <f t="shared" si="35"/>
        <v xml:space="preserve"> </v>
      </c>
      <c r="G783" s="3557"/>
    </row>
    <row r="784" spans="1:7" ht="14.25" customHeight="1">
      <c r="A784" s="4394">
        <v>7.1</v>
      </c>
      <c r="B784" s="4232" t="s">
        <v>3522</v>
      </c>
      <c r="C784" s="4233">
        <v>2</v>
      </c>
      <c r="D784" s="4251" t="s">
        <v>2433</v>
      </c>
      <c r="E784" s="4235">
        <v>56839.77</v>
      </c>
      <c r="F784" s="4235">
        <f t="shared" si="35"/>
        <v>113679.54</v>
      </c>
    </row>
    <row r="785" spans="1:7" s="4268" customFormat="1" ht="12.75" customHeight="1">
      <c r="A785" s="4306"/>
      <c r="B785" s="4306" t="s">
        <v>3670</v>
      </c>
      <c r="C785" s="4500"/>
      <c r="D785" s="4500"/>
      <c r="E785" s="4500"/>
      <c r="F785" s="4309">
        <f>SUM(F731:F784)</f>
        <v>6435926.1500000004</v>
      </c>
      <c r="G785" s="3557"/>
    </row>
    <row r="786" spans="1:7" s="4268" customFormat="1" ht="12.75" customHeight="1">
      <c r="A786" s="4335"/>
      <c r="B786" s="4335"/>
      <c r="C786" s="4506"/>
      <c r="D786" s="4506"/>
      <c r="E786" s="4506"/>
      <c r="F786" s="4407"/>
      <c r="G786" s="3557"/>
    </row>
    <row r="787" spans="1:7" s="4268" customFormat="1" ht="12.75" customHeight="1">
      <c r="A787" s="4335" t="s">
        <v>2597</v>
      </c>
      <c r="B787" s="3435" t="s">
        <v>3942</v>
      </c>
      <c r="C787" s="4506"/>
      <c r="D787" s="4506"/>
      <c r="E787" s="4506"/>
      <c r="F787" s="4407"/>
      <c r="G787" s="3557"/>
    </row>
    <row r="788" spans="1:7" s="4227" customFormat="1" ht="15" customHeight="1">
      <c r="A788" s="4391">
        <v>1</v>
      </c>
      <c r="B788" s="4344" t="s">
        <v>3793</v>
      </c>
      <c r="C788" s="4266"/>
      <c r="D788" s="4273"/>
      <c r="E788" s="4235"/>
      <c r="F788" s="4235" t="str">
        <f t="shared" si="35"/>
        <v xml:space="preserve"> </v>
      </c>
      <c r="G788" s="3557"/>
    </row>
    <row r="789" spans="1:7" ht="14.25" customHeight="1">
      <c r="A789" s="4394">
        <v>1.1000000000000001</v>
      </c>
      <c r="B789" s="4232" t="s">
        <v>3791</v>
      </c>
      <c r="C789" s="4233">
        <v>196.08</v>
      </c>
      <c r="D789" s="4251" t="s">
        <v>2430</v>
      </c>
      <c r="E789" s="4235">
        <v>575</v>
      </c>
      <c r="F789" s="4235">
        <f t="shared" si="35"/>
        <v>112746</v>
      </c>
    </row>
    <row r="790" spans="1:7" ht="14.25" customHeight="1">
      <c r="A790" s="4394">
        <v>1.2</v>
      </c>
      <c r="B790" s="4232" t="s">
        <v>3122</v>
      </c>
      <c r="C790" s="4233">
        <v>163.4</v>
      </c>
      <c r="D790" s="4251" t="s">
        <v>2430</v>
      </c>
      <c r="E790" s="4235">
        <v>61.14</v>
      </c>
      <c r="F790" s="4235">
        <f t="shared" si="35"/>
        <v>9990.2800000000007</v>
      </c>
    </row>
    <row r="791" spans="1:7" ht="14.25" customHeight="1">
      <c r="A791" s="4394">
        <v>1.3</v>
      </c>
      <c r="B791" s="4232" t="s">
        <v>3192</v>
      </c>
      <c r="C791" s="4233">
        <v>163.4</v>
      </c>
      <c r="D791" s="4251" t="s">
        <v>2431</v>
      </c>
      <c r="E791" s="4235">
        <v>74.91</v>
      </c>
      <c r="F791" s="4235">
        <f t="shared" si="35"/>
        <v>12240.29</v>
      </c>
    </row>
    <row r="792" spans="1:7" ht="14.25" customHeight="1">
      <c r="A792" s="4394">
        <v>1.4</v>
      </c>
      <c r="B792" s="4232" t="s">
        <v>3792</v>
      </c>
      <c r="C792" s="4233">
        <v>817</v>
      </c>
      <c r="D792" s="4251" t="s">
        <v>2432</v>
      </c>
      <c r="E792" s="4235">
        <v>116.38</v>
      </c>
      <c r="F792" s="4235">
        <f t="shared" si="35"/>
        <v>95082.46</v>
      </c>
    </row>
    <row r="793" spans="1:7" s="4238" customFormat="1" ht="14.25" customHeight="1">
      <c r="A793" s="4394">
        <v>1.5</v>
      </c>
      <c r="B793" s="4232" t="s">
        <v>4026</v>
      </c>
      <c r="C793" s="4233">
        <v>817</v>
      </c>
      <c r="D793" s="4251" t="s">
        <v>2432</v>
      </c>
      <c r="E793" s="4235">
        <v>666.64</v>
      </c>
      <c r="F793" s="4235">
        <f t="shared" si="35"/>
        <v>544644.88</v>
      </c>
      <c r="G793" s="3557"/>
    </row>
    <row r="794" spans="1:7" ht="14.25" customHeight="1">
      <c r="A794" s="4394">
        <v>1.6</v>
      </c>
      <c r="B794" s="4232" t="s">
        <v>3976</v>
      </c>
      <c r="C794" s="4233">
        <v>3890.96</v>
      </c>
      <c r="D794" s="4251" t="s">
        <v>3974</v>
      </c>
      <c r="E794" s="4235">
        <v>23.46</v>
      </c>
      <c r="F794" s="4235">
        <f t="shared" si="35"/>
        <v>91281.919999999998</v>
      </c>
    </row>
    <row r="795" spans="1:7" ht="14.25" customHeight="1">
      <c r="A795" s="4390"/>
      <c r="B795" s="4232"/>
      <c r="C795" s="4233"/>
      <c r="D795" s="4251"/>
      <c r="E795" s="4235"/>
      <c r="F795" s="4235"/>
    </row>
    <row r="796" spans="1:7" ht="14.25" customHeight="1">
      <c r="A796" s="4391">
        <v>2</v>
      </c>
      <c r="B796" s="4232" t="s">
        <v>3975</v>
      </c>
      <c r="C796" s="4233">
        <v>1220.55</v>
      </c>
      <c r="D796" s="4251" t="s">
        <v>2432</v>
      </c>
      <c r="E796" s="4235">
        <v>110.01</v>
      </c>
      <c r="F796" s="4235">
        <f t="shared" ref="F796:F859" si="36">IF(C796&gt;0,(ROUND((E796*C796),2))," ")</f>
        <v>134272.71</v>
      </c>
    </row>
    <row r="797" spans="1:7" ht="14.25" customHeight="1">
      <c r="A797" s="4391">
        <v>3</v>
      </c>
      <c r="B797" s="4232" t="s">
        <v>2346</v>
      </c>
      <c r="C797" s="4233">
        <v>245.67</v>
      </c>
      <c r="D797" s="4251" t="s">
        <v>2432</v>
      </c>
      <c r="E797" s="4235">
        <v>896.94</v>
      </c>
      <c r="F797" s="4235">
        <f t="shared" si="36"/>
        <v>220351.25</v>
      </c>
    </row>
    <row r="798" spans="1:7" ht="14.25" customHeight="1">
      <c r="A798" s="4391">
        <v>5</v>
      </c>
      <c r="B798" s="3432" t="s">
        <v>3569</v>
      </c>
      <c r="C798" s="4233">
        <v>116</v>
      </c>
      <c r="D798" s="4251" t="s">
        <v>1</v>
      </c>
      <c r="E798" s="4235">
        <v>1019.83</v>
      </c>
      <c r="F798" s="4235">
        <f>IF(C798&gt;0,(ROUND((E798*C798),2))," ")</f>
        <v>118300.28</v>
      </c>
    </row>
    <row r="799" spans="1:7" ht="14.25" customHeight="1">
      <c r="A799" s="4391">
        <v>4</v>
      </c>
      <c r="B799" s="3432" t="s">
        <v>3735</v>
      </c>
      <c r="C799" s="4233">
        <v>341.07</v>
      </c>
      <c r="D799" s="4251" t="s">
        <v>2432</v>
      </c>
      <c r="E799" s="4235">
        <v>847.13</v>
      </c>
      <c r="F799" s="4235">
        <f t="shared" si="36"/>
        <v>288930.63</v>
      </c>
    </row>
    <row r="800" spans="1:7" s="4238" customFormat="1" ht="14.25" customHeight="1">
      <c r="A800" s="4391">
        <v>5</v>
      </c>
      <c r="B800" s="3432" t="s">
        <v>4027</v>
      </c>
      <c r="C800" s="4436">
        <v>47.9</v>
      </c>
      <c r="D800" s="4437" t="s">
        <v>1</v>
      </c>
      <c r="E800" s="4438">
        <v>895.72</v>
      </c>
      <c r="F800" s="4235">
        <f t="shared" si="36"/>
        <v>42904.99</v>
      </c>
      <c r="G800" s="3557"/>
    </row>
    <row r="801" spans="1:7" s="4262" customFormat="1" ht="14.25" customHeight="1">
      <c r="A801" s="4391">
        <v>6</v>
      </c>
      <c r="B801" s="4232" t="s">
        <v>4028</v>
      </c>
      <c r="C801" s="4248">
        <v>1</v>
      </c>
      <c r="D801" s="4313" t="s">
        <v>42</v>
      </c>
      <c r="E801" s="1263">
        <v>15000</v>
      </c>
      <c r="F801" s="1263">
        <f t="shared" ref="F801" si="37">+ROUND((E801*C801),2)</f>
        <v>15000</v>
      </c>
      <c r="G801" s="3557"/>
    </row>
    <row r="802" spans="1:7" s="4262" customFormat="1" ht="14.25" customHeight="1">
      <c r="A802" s="4439"/>
      <c r="B802" s="4440"/>
      <c r="C802" s="4441"/>
      <c r="D802" s="4442"/>
      <c r="E802" s="4443"/>
      <c r="F802" s="4235"/>
      <c r="G802" s="3557"/>
    </row>
    <row r="803" spans="1:7" s="4268" customFormat="1" ht="12.75" customHeight="1">
      <c r="A803" s="4306"/>
      <c r="B803" s="4306" t="s">
        <v>3943</v>
      </c>
      <c r="C803" s="4500"/>
      <c r="D803" s="4500"/>
      <c r="E803" s="4500"/>
      <c r="F803" s="4309">
        <f>SUM(F789:F801)</f>
        <v>1685745.69</v>
      </c>
      <c r="G803" s="3557"/>
    </row>
    <row r="804" spans="1:7" ht="15" customHeight="1" outlineLevel="1">
      <c r="A804" s="4395"/>
      <c r="B804" s="3435"/>
      <c r="C804" s="4266"/>
      <c r="D804" s="4273"/>
      <c r="E804" s="4235"/>
      <c r="F804" s="4266" t="str">
        <f t="shared" si="36"/>
        <v xml:space="preserve"> </v>
      </c>
    </row>
    <row r="805" spans="1:7" s="4342" customFormat="1" ht="15">
      <c r="A805" s="4410" t="s">
        <v>2561</v>
      </c>
      <c r="B805" s="3435" t="s">
        <v>3944</v>
      </c>
      <c r="C805" s="4341"/>
      <c r="D805" s="4525"/>
      <c r="E805" s="4341"/>
      <c r="F805" s="4341" t="str">
        <f t="shared" si="36"/>
        <v xml:space="preserve"> </v>
      </c>
      <c r="G805" s="3557"/>
    </row>
    <row r="806" spans="1:7" ht="15" customHeight="1">
      <c r="A806" s="4411">
        <v>1</v>
      </c>
      <c r="B806" s="4345" t="s">
        <v>2631</v>
      </c>
      <c r="C806" s="4282"/>
      <c r="D806" s="4251"/>
      <c r="E806" s="4235"/>
      <c r="F806" s="4235" t="str">
        <f t="shared" si="36"/>
        <v xml:space="preserve"> </v>
      </c>
    </row>
    <row r="807" spans="1:7" ht="14.25" customHeight="1">
      <c r="A807" s="4394">
        <v>1.1000000000000001</v>
      </c>
      <c r="B807" s="4232" t="s">
        <v>3675</v>
      </c>
      <c r="C807" s="4283">
        <v>8</v>
      </c>
      <c r="D807" s="4251" t="s">
        <v>2433</v>
      </c>
      <c r="E807" s="4284">
        <v>15101.27</v>
      </c>
      <c r="F807" s="4235">
        <f t="shared" si="36"/>
        <v>120810.16</v>
      </c>
    </row>
    <row r="808" spans="1:7" ht="14.25" customHeight="1">
      <c r="A808" s="4394">
        <v>1.2</v>
      </c>
      <c r="B808" s="4232" t="s">
        <v>3676</v>
      </c>
      <c r="C808" s="4285">
        <v>12</v>
      </c>
      <c r="D808" s="4251" t="s">
        <v>2433</v>
      </c>
      <c r="E808" s="4284">
        <v>6828.82</v>
      </c>
      <c r="F808" s="4235">
        <f t="shared" si="36"/>
        <v>81945.84</v>
      </c>
    </row>
    <row r="809" spans="1:7" ht="14.25" customHeight="1">
      <c r="A809" s="4394">
        <v>1.3</v>
      </c>
      <c r="B809" s="4232" t="s">
        <v>2425</v>
      </c>
      <c r="C809" s="4283">
        <v>800</v>
      </c>
      <c r="D809" s="4251" t="s">
        <v>1</v>
      </c>
      <c r="E809" s="4284">
        <v>290.20999999999998</v>
      </c>
      <c r="F809" s="4235">
        <f t="shared" si="36"/>
        <v>232168</v>
      </c>
    </row>
    <row r="810" spans="1:7" ht="14.25" customHeight="1">
      <c r="A810" s="4394">
        <v>1.4</v>
      </c>
      <c r="B810" s="4232" t="s">
        <v>3688</v>
      </c>
      <c r="C810" s="4283">
        <v>8</v>
      </c>
      <c r="D810" s="4251" t="s">
        <v>2433</v>
      </c>
      <c r="E810" s="4284">
        <v>1680</v>
      </c>
      <c r="F810" s="4235">
        <f t="shared" si="36"/>
        <v>13440</v>
      </c>
    </row>
    <row r="811" spans="1:7" ht="14.25" customHeight="1">
      <c r="A811" s="4451">
        <v>1.5</v>
      </c>
      <c r="B811" s="4452" t="s">
        <v>3687</v>
      </c>
      <c r="C811" s="4486">
        <v>8</v>
      </c>
      <c r="D811" s="4467" t="s">
        <v>2433</v>
      </c>
      <c r="E811" s="4487">
        <v>2800</v>
      </c>
      <c r="F811" s="4468">
        <f t="shared" si="36"/>
        <v>22400</v>
      </c>
    </row>
    <row r="812" spans="1:7" ht="14.25" customHeight="1">
      <c r="A812" s="4412"/>
      <c r="B812" s="4232"/>
      <c r="C812" s="4282"/>
      <c r="D812" s="4251"/>
      <c r="E812" s="4235"/>
      <c r="F812" s="4235" t="str">
        <f t="shared" si="36"/>
        <v xml:space="preserve"> </v>
      </c>
    </row>
    <row r="813" spans="1:7" ht="15" customHeight="1">
      <c r="A813" s="4413">
        <v>2</v>
      </c>
      <c r="B813" s="4345" t="s">
        <v>3959</v>
      </c>
      <c r="C813" s="4282"/>
      <c r="D813" s="4251"/>
      <c r="E813" s="4235"/>
      <c r="F813" s="4235" t="str">
        <f t="shared" si="36"/>
        <v xml:space="preserve"> </v>
      </c>
    </row>
    <row r="814" spans="1:7" ht="14.25" customHeight="1">
      <c r="A814" s="4394">
        <v>2.1</v>
      </c>
      <c r="B814" s="4232" t="s">
        <v>3671</v>
      </c>
      <c r="C814" s="4233">
        <v>1</v>
      </c>
      <c r="D814" s="4251" t="s">
        <v>2433</v>
      </c>
      <c r="E814" s="4235">
        <v>34957.72</v>
      </c>
      <c r="F814" s="4235">
        <f t="shared" si="36"/>
        <v>34957.72</v>
      </c>
    </row>
    <row r="815" spans="1:7" ht="14.25" customHeight="1">
      <c r="A815" s="4394">
        <v>2.2000000000000002</v>
      </c>
      <c r="B815" s="4232" t="s">
        <v>3672</v>
      </c>
      <c r="C815" s="4233">
        <v>8</v>
      </c>
      <c r="D815" s="4251" t="s">
        <v>2433</v>
      </c>
      <c r="E815" s="4235">
        <v>28809.72</v>
      </c>
      <c r="F815" s="4235">
        <f t="shared" si="36"/>
        <v>230477.76</v>
      </c>
    </row>
    <row r="816" spans="1:7" ht="14.25" customHeight="1">
      <c r="A816" s="4394">
        <v>2.2999999999999998</v>
      </c>
      <c r="B816" s="4232" t="s">
        <v>3673</v>
      </c>
      <c r="C816" s="4233">
        <v>3000</v>
      </c>
      <c r="D816" s="4251" t="s">
        <v>3970</v>
      </c>
      <c r="E816" s="4235">
        <v>19.16</v>
      </c>
      <c r="F816" s="4235">
        <f t="shared" si="36"/>
        <v>57480</v>
      </c>
    </row>
    <row r="817" spans="1:6" ht="14.25" customHeight="1">
      <c r="A817" s="4394">
        <v>2.4</v>
      </c>
      <c r="B817" s="4232" t="s">
        <v>3674</v>
      </c>
      <c r="C817" s="4233">
        <v>3</v>
      </c>
      <c r="D817" s="4251" t="s">
        <v>2433</v>
      </c>
      <c r="E817" s="4235">
        <v>3286.99</v>
      </c>
      <c r="F817" s="4235">
        <f t="shared" si="36"/>
        <v>9860.9699999999993</v>
      </c>
    </row>
    <row r="818" spans="1:6" ht="14.25" customHeight="1">
      <c r="A818" s="4394">
        <v>2.5</v>
      </c>
      <c r="B818" s="4232" t="s">
        <v>3677</v>
      </c>
      <c r="C818" s="4233">
        <v>1</v>
      </c>
      <c r="D818" s="4251" t="s">
        <v>2433</v>
      </c>
      <c r="E818" s="4235">
        <v>3519.93</v>
      </c>
      <c r="F818" s="4235">
        <f t="shared" si="36"/>
        <v>3519.93</v>
      </c>
    </row>
    <row r="819" spans="1:6" ht="14.25" customHeight="1">
      <c r="A819" s="4394">
        <v>2.6</v>
      </c>
      <c r="B819" s="4232" t="s">
        <v>3678</v>
      </c>
      <c r="C819" s="4233">
        <v>4</v>
      </c>
      <c r="D819" s="4251" t="s">
        <v>2433</v>
      </c>
      <c r="E819" s="4235">
        <v>6114.11</v>
      </c>
      <c r="F819" s="4235">
        <f t="shared" si="36"/>
        <v>24456.44</v>
      </c>
    </row>
    <row r="820" spans="1:6" ht="14.25" customHeight="1">
      <c r="A820" s="4394">
        <v>2.7</v>
      </c>
      <c r="B820" s="4232" t="s">
        <v>3679</v>
      </c>
      <c r="C820" s="4233">
        <v>1</v>
      </c>
      <c r="D820" s="4251" t="s">
        <v>2433</v>
      </c>
      <c r="E820" s="4235">
        <v>4172.97</v>
      </c>
      <c r="F820" s="4235">
        <f t="shared" si="36"/>
        <v>4172.97</v>
      </c>
    </row>
    <row r="821" spans="1:6" ht="14.25" customHeight="1">
      <c r="A821" s="4394">
        <v>2.8</v>
      </c>
      <c r="B821" s="4232" t="s">
        <v>3946</v>
      </c>
      <c r="C821" s="4233">
        <v>10</v>
      </c>
      <c r="D821" s="4251" t="s">
        <v>2433</v>
      </c>
      <c r="E821" s="4235">
        <v>4616.43</v>
      </c>
      <c r="F821" s="4235">
        <f t="shared" si="36"/>
        <v>46164.3</v>
      </c>
    </row>
    <row r="822" spans="1:6" ht="14.25" customHeight="1">
      <c r="A822" s="4394">
        <v>2.9</v>
      </c>
      <c r="B822" s="4232" t="s">
        <v>3680</v>
      </c>
      <c r="C822" s="4233">
        <v>9</v>
      </c>
      <c r="D822" s="4251" t="s">
        <v>2433</v>
      </c>
      <c r="E822" s="4235">
        <v>4462.93</v>
      </c>
      <c r="F822" s="4235">
        <f t="shared" si="36"/>
        <v>40166.370000000003</v>
      </c>
    </row>
    <row r="823" spans="1:6" ht="14.25" customHeight="1">
      <c r="A823" s="4390">
        <v>2.1</v>
      </c>
      <c r="B823" s="4232" t="s">
        <v>3681</v>
      </c>
      <c r="C823" s="4233">
        <v>9</v>
      </c>
      <c r="D823" s="4251" t="s">
        <v>2433</v>
      </c>
      <c r="E823" s="4235">
        <v>9978.82</v>
      </c>
      <c r="F823" s="4235">
        <f t="shared" si="36"/>
        <v>89809.38</v>
      </c>
    </row>
    <row r="824" spans="1:6" ht="14.25" customHeight="1">
      <c r="A824" s="4390">
        <v>2.11</v>
      </c>
      <c r="B824" s="4232" t="s">
        <v>3682</v>
      </c>
      <c r="C824" s="4233">
        <v>1</v>
      </c>
      <c r="D824" s="4251" t="s">
        <v>2433</v>
      </c>
      <c r="E824" s="4235">
        <v>60358.41</v>
      </c>
      <c r="F824" s="4235">
        <f t="shared" si="36"/>
        <v>60358.41</v>
      </c>
    </row>
    <row r="825" spans="1:6" ht="14.25" customHeight="1">
      <c r="A825" s="4390">
        <v>2.12</v>
      </c>
      <c r="B825" s="4232" t="s">
        <v>3683</v>
      </c>
      <c r="C825" s="4233">
        <v>9</v>
      </c>
      <c r="D825" s="4251" t="s">
        <v>2433</v>
      </c>
      <c r="E825" s="4235">
        <v>1301.24</v>
      </c>
      <c r="F825" s="4235">
        <f t="shared" si="36"/>
        <v>11711.16</v>
      </c>
    </row>
    <row r="826" spans="1:6" ht="14.25" customHeight="1">
      <c r="A826" s="4390">
        <v>2.13</v>
      </c>
      <c r="B826" s="4232" t="s">
        <v>3684</v>
      </c>
      <c r="C826" s="4233">
        <v>1</v>
      </c>
      <c r="D826" s="4251" t="s">
        <v>2433</v>
      </c>
      <c r="E826" s="4235">
        <v>2218.3000000000002</v>
      </c>
      <c r="F826" s="4235">
        <f t="shared" si="36"/>
        <v>2218.3000000000002</v>
      </c>
    </row>
    <row r="827" spans="1:6" ht="14.25" customHeight="1">
      <c r="A827" s="4390">
        <v>2.14</v>
      </c>
      <c r="B827" s="4232" t="s">
        <v>3685</v>
      </c>
      <c r="C827" s="4233">
        <v>1</v>
      </c>
      <c r="D827" s="4251" t="s">
        <v>2433</v>
      </c>
      <c r="E827" s="4235">
        <v>1009.49</v>
      </c>
      <c r="F827" s="4235">
        <f t="shared" si="36"/>
        <v>1009.49</v>
      </c>
    </row>
    <row r="828" spans="1:6" ht="14.25" customHeight="1">
      <c r="A828" s="4390">
        <v>2.15</v>
      </c>
      <c r="B828" s="4232" t="s">
        <v>3686</v>
      </c>
      <c r="C828" s="4233">
        <v>2</v>
      </c>
      <c r="D828" s="4251" t="s">
        <v>2433</v>
      </c>
      <c r="E828" s="4235">
        <v>884</v>
      </c>
      <c r="F828" s="4235">
        <f t="shared" si="36"/>
        <v>1768</v>
      </c>
    </row>
    <row r="829" spans="1:6" ht="14.25" customHeight="1">
      <c r="A829" s="4390">
        <v>2.16</v>
      </c>
      <c r="B829" s="4232" t="s">
        <v>3687</v>
      </c>
      <c r="C829" s="4233">
        <v>9</v>
      </c>
      <c r="D829" s="4251" t="s">
        <v>2433</v>
      </c>
      <c r="E829" s="4235">
        <v>3000</v>
      </c>
      <c r="F829" s="4235">
        <f t="shared" si="36"/>
        <v>27000</v>
      </c>
    </row>
    <row r="830" spans="1:6" ht="14.25" customHeight="1">
      <c r="A830" s="4390">
        <v>2.17</v>
      </c>
      <c r="B830" s="4232" t="s">
        <v>3688</v>
      </c>
      <c r="C830" s="4233">
        <v>9</v>
      </c>
      <c r="D830" s="4251" t="s">
        <v>2433</v>
      </c>
      <c r="E830" s="4235">
        <v>1680</v>
      </c>
      <c r="F830" s="4235">
        <f t="shared" si="36"/>
        <v>15120</v>
      </c>
    </row>
    <row r="831" spans="1:6" ht="14.25" customHeight="1">
      <c r="A831" s="4390">
        <v>2.1800000000000002</v>
      </c>
      <c r="B831" s="4232" t="s">
        <v>3945</v>
      </c>
      <c r="C831" s="4233">
        <v>10</v>
      </c>
      <c r="D831" s="4251" t="s">
        <v>2433</v>
      </c>
      <c r="E831" s="4235">
        <v>1260</v>
      </c>
      <c r="F831" s="4235">
        <f t="shared" si="36"/>
        <v>12600</v>
      </c>
    </row>
    <row r="832" spans="1:6" ht="14.25" customHeight="1">
      <c r="A832" s="4390">
        <v>2.19</v>
      </c>
      <c r="B832" s="4232" t="s">
        <v>2426</v>
      </c>
      <c r="C832" s="4233">
        <v>1</v>
      </c>
      <c r="D832" s="4251" t="s">
        <v>2433</v>
      </c>
      <c r="E832" s="4235">
        <v>70800</v>
      </c>
      <c r="F832" s="4235">
        <f t="shared" si="36"/>
        <v>70800</v>
      </c>
    </row>
    <row r="833" spans="1:6" ht="14.25" customHeight="1">
      <c r="A833" s="4412"/>
      <c r="B833" s="4232"/>
      <c r="C833" s="4282"/>
      <c r="D833" s="4251"/>
      <c r="E833" s="4235"/>
      <c r="F833" s="4235" t="str">
        <f t="shared" si="36"/>
        <v xml:space="preserve"> </v>
      </c>
    </row>
    <row r="834" spans="1:6" ht="15" customHeight="1">
      <c r="A834" s="4413">
        <v>3</v>
      </c>
      <c r="B834" s="4345" t="s">
        <v>3960</v>
      </c>
      <c r="C834" s="4282"/>
      <c r="D834" s="4251"/>
      <c r="E834" s="4235"/>
      <c r="F834" s="4235" t="str">
        <f t="shared" si="36"/>
        <v xml:space="preserve"> </v>
      </c>
    </row>
    <row r="835" spans="1:6" ht="42.75" customHeight="1">
      <c r="A835" s="4394">
        <v>3.1</v>
      </c>
      <c r="B835" s="4232" t="s">
        <v>3702</v>
      </c>
      <c r="C835" s="4233">
        <v>14</v>
      </c>
      <c r="D835" s="4251" t="s">
        <v>1</v>
      </c>
      <c r="E835" s="4235">
        <v>2094.64</v>
      </c>
      <c r="F835" s="4235">
        <f t="shared" si="36"/>
        <v>29324.959999999999</v>
      </c>
    </row>
    <row r="836" spans="1:6" ht="42.75" customHeight="1">
      <c r="A836" s="4394">
        <v>3.2</v>
      </c>
      <c r="B836" s="4232" t="s">
        <v>4041</v>
      </c>
      <c r="C836" s="4233">
        <v>4</v>
      </c>
      <c r="D836" s="4251" t="s">
        <v>1</v>
      </c>
      <c r="E836" s="4235">
        <v>1303.25</v>
      </c>
      <c r="F836" s="4235">
        <f t="shared" si="36"/>
        <v>5213</v>
      </c>
    </row>
    <row r="837" spans="1:6" ht="42.75" customHeight="1">
      <c r="A837" s="4394">
        <v>3.3</v>
      </c>
      <c r="B837" s="4232" t="s">
        <v>3703</v>
      </c>
      <c r="C837" s="4233">
        <v>4</v>
      </c>
      <c r="D837" s="4251" t="s">
        <v>1</v>
      </c>
      <c r="E837" s="4235">
        <v>1303.25</v>
      </c>
      <c r="F837" s="4235">
        <f t="shared" si="36"/>
        <v>5213</v>
      </c>
    </row>
    <row r="838" spans="1:6" ht="42.75" customHeight="1">
      <c r="A838" s="4394">
        <v>3.4</v>
      </c>
      <c r="B838" s="4232" t="s">
        <v>3704</v>
      </c>
      <c r="C838" s="4233">
        <v>20</v>
      </c>
      <c r="D838" s="4251" t="s">
        <v>1</v>
      </c>
      <c r="E838" s="4235">
        <v>578.47</v>
      </c>
      <c r="F838" s="4235">
        <f t="shared" si="36"/>
        <v>11569.4</v>
      </c>
    </row>
    <row r="839" spans="1:6" ht="42.75" customHeight="1">
      <c r="A839" s="4394">
        <v>3.5</v>
      </c>
      <c r="B839" s="4232" t="s">
        <v>3705</v>
      </c>
      <c r="C839" s="4233">
        <v>20</v>
      </c>
      <c r="D839" s="4251" t="s">
        <v>1</v>
      </c>
      <c r="E839" s="4235">
        <v>333.67</v>
      </c>
      <c r="F839" s="4235">
        <f t="shared" si="36"/>
        <v>6673.4</v>
      </c>
    </row>
    <row r="840" spans="1:6" ht="42.75" customHeight="1">
      <c r="A840" s="4394">
        <v>3.6</v>
      </c>
      <c r="B840" s="4232" t="s">
        <v>3706</v>
      </c>
      <c r="C840" s="4233">
        <v>4</v>
      </c>
      <c r="D840" s="4251" t="s">
        <v>1</v>
      </c>
      <c r="E840" s="4235">
        <v>173.34</v>
      </c>
      <c r="F840" s="4235">
        <f t="shared" si="36"/>
        <v>693.36</v>
      </c>
    </row>
    <row r="841" spans="1:6" ht="42.75" customHeight="1">
      <c r="A841" s="4394">
        <v>3.7</v>
      </c>
      <c r="B841" s="4232" t="s">
        <v>3707</v>
      </c>
      <c r="C841" s="4233">
        <v>30</v>
      </c>
      <c r="D841" s="4251" t="s">
        <v>1</v>
      </c>
      <c r="E841" s="4235">
        <v>380.82</v>
      </c>
      <c r="F841" s="4235">
        <f t="shared" si="36"/>
        <v>11424.6</v>
      </c>
    </row>
    <row r="842" spans="1:6" ht="42.75" customHeight="1">
      <c r="A842" s="4394">
        <v>3.8</v>
      </c>
      <c r="B842" s="4232" t="s">
        <v>3708</v>
      </c>
      <c r="C842" s="4233">
        <v>30</v>
      </c>
      <c r="D842" s="4251" t="s">
        <v>1</v>
      </c>
      <c r="E842" s="4235">
        <v>400.28</v>
      </c>
      <c r="F842" s="4235">
        <f t="shared" si="36"/>
        <v>12008.4</v>
      </c>
    </row>
    <row r="843" spans="1:6" ht="42.75" customHeight="1">
      <c r="A843" s="4394">
        <v>3.9</v>
      </c>
      <c r="B843" s="4232" t="s">
        <v>3709</v>
      </c>
      <c r="C843" s="4233">
        <v>20</v>
      </c>
      <c r="D843" s="4251" t="s">
        <v>1</v>
      </c>
      <c r="E843" s="4235">
        <v>850.36</v>
      </c>
      <c r="F843" s="4235">
        <f t="shared" si="36"/>
        <v>17007.2</v>
      </c>
    </row>
    <row r="844" spans="1:6" ht="14.25" customHeight="1">
      <c r="A844" s="4456">
        <v>3.1</v>
      </c>
      <c r="B844" s="4452" t="s">
        <v>3710</v>
      </c>
      <c r="C844" s="4466">
        <v>1</v>
      </c>
      <c r="D844" s="4467" t="s">
        <v>2433</v>
      </c>
      <c r="E844" s="4468">
        <v>4891.16</v>
      </c>
      <c r="F844" s="4468">
        <f t="shared" si="36"/>
        <v>4891.16</v>
      </c>
    </row>
    <row r="845" spans="1:6" ht="42.75" customHeight="1">
      <c r="A845" s="4390">
        <v>3.11</v>
      </c>
      <c r="B845" s="4232" t="s">
        <v>3711</v>
      </c>
      <c r="C845" s="4233">
        <v>1</v>
      </c>
      <c r="D845" s="4251" t="s">
        <v>2433</v>
      </c>
      <c r="E845" s="4235">
        <v>8564.75</v>
      </c>
      <c r="F845" s="4235">
        <f t="shared" si="36"/>
        <v>8564.75</v>
      </c>
    </row>
    <row r="846" spans="1:6" ht="14.25" customHeight="1">
      <c r="A846" s="4390">
        <v>3.12</v>
      </c>
      <c r="B846" s="4232" t="s">
        <v>2632</v>
      </c>
      <c r="C846" s="4233">
        <v>2</v>
      </c>
      <c r="D846" s="4251" t="s">
        <v>2433</v>
      </c>
      <c r="E846" s="4235">
        <v>3485.14</v>
      </c>
      <c r="F846" s="4235">
        <f t="shared" si="36"/>
        <v>6970.28</v>
      </c>
    </row>
    <row r="847" spans="1:6" ht="14.25" customHeight="1">
      <c r="A847" s="4390">
        <v>3.13</v>
      </c>
      <c r="B847" s="4232" t="s">
        <v>2427</v>
      </c>
      <c r="C847" s="4233">
        <v>1</v>
      </c>
      <c r="D847" s="4251" t="s">
        <v>2433</v>
      </c>
      <c r="E847" s="4235">
        <v>7572.38</v>
      </c>
      <c r="F847" s="4235">
        <f t="shared" si="36"/>
        <v>7572.38</v>
      </c>
    </row>
    <row r="848" spans="1:6" ht="14.25" customHeight="1">
      <c r="A848" s="4390">
        <v>3.14</v>
      </c>
      <c r="B848" s="4232" t="s">
        <v>2633</v>
      </c>
      <c r="C848" s="4233">
        <v>1</v>
      </c>
      <c r="D848" s="4251" t="s">
        <v>2433</v>
      </c>
      <c r="E848" s="4235">
        <v>9920.98</v>
      </c>
      <c r="F848" s="4235">
        <f t="shared" si="36"/>
        <v>9920.98</v>
      </c>
    </row>
    <row r="849" spans="1:7" ht="14.25" customHeight="1">
      <c r="A849" s="4390">
        <v>3.15</v>
      </c>
      <c r="B849" s="4232" t="s">
        <v>2634</v>
      </c>
      <c r="C849" s="4233">
        <v>1</v>
      </c>
      <c r="D849" s="4251" t="s">
        <v>2433</v>
      </c>
      <c r="E849" s="4235">
        <v>12494.56</v>
      </c>
      <c r="F849" s="4235">
        <f t="shared" si="36"/>
        <v>12494.56</v>
      </c>
    </row>
    <row r="850" spans="1:7" ht="14.25" customHeight="1">
      <c r="A850" s="4390">
        <v>3.16</v>
      </c>
      <c r="B850" s="4232" t="s">
        <v>3712</v>
      </c>
      <c r="C850" s="4233">
        <v>7</v>
      </c>
      <c r="D850" s="4251" t="s">
        <v>2433</v>
      </c>
      <c r="E850" s="4235">
        <v>3800</v>
      </c>
      <c r="F850" s="4235">
        <f t="shared" si="36"/>
        <v>26600</v>
      </c>
    </row>
    <row r="851" spans="1:7" ht="14.25" customHeight="1">
      <c r="A851" s="4390">
        <v>3.17</v>
      </c>
      <c r="B851" s="4232" t="s">
        <v>3713</v>
      </c>
      <c r="C851" s="4233">
        <v>1</v>
      </c>
      <c r="D851" s="4251" t="s">
        <v>2433</v>
      </c>
      <c r="E851" s="4235">
        <v>330.4</v>
      </c>
      <c r="F851" s="4235">
        <f t="shared" si="36"/>
        <v>330.4</v>
      </c>
    </row>
    <row r="852" spans="1:7" ht="14.25" customHeight="1">
      <c r="A852" s="4390">
        <v>3.18</v>
      </c>
      <c r="B852" s="4232" t="s">
        <v>3714</v>
      </c>
      <c r="C852" s="4233">
        <v>1</v>
      </c>
      <c r="D852" s="4251" t="s">
        <v>2433</v>
      </c>
      <c r="E852" s="4235">
        <v>1033.68</v>
      </c>
      <c r="F852" s="4235">
        <f t="shared" si="36"/>
        <v>1033.68</v>
      </c>
    </row>
    <row r="853" spans="1:7" ht="14.25" customHeight="1">
      <c r="A853" s="4390">
        <v>3.19</v>
      </c>
      <c r="B853" s="4232" t="s">
        <v>2428</v>
      </c>
      <c r="C853" s="4233">
        <v>1</v>
      </c>
      <c r="D853" s="4251" t="s">
        <v>2433</v>
      </c>
      <c r="E853" s="4235">
        <v>22000</v>
      </c>
      <c r="F853" s="4235">
        <f t="shared" si="36"/>
        <v>22000</v>
      </c>
    </row>
    <row r="854" spans="1:7" ht="14.25" customHeight="1">
      <c r="A854" s="4390"/>
      <c r="B854" s="4232"/>
      <c r="C854" s="4233"/>
      <c r="D854" s="4251"/>
      <c r="E854" s="4235"/>
      <c r="F854" s="4235" t="str">
        <f t="shared" si="36"/>
        <v xml:space="preserve"> </v>
      </c>
    </row>
    <row r="855" spans="1:7" ht="29.25" customHeight="1">
      <c r="A855" s="4413">
        <v>4</v>
      </c>
      <c r="B855" s="4345" t="s">
        <v>3689</v>
      </c>
      <c r="C855" s="4282"/>
      <c r="D855" s="4251"/>
      <c r="E855" s="4235"/>
      <c r="F855" s="4235" t="str">
        <f t="shared" si="36"/>
        <v xml:space="preserve"> </v>
      </c>
    </row>
    <row r="856" spans="1:7" ht="14.25" customHeight="1">
      <c r="A856" s="4394">
        <v>4.0999999999999996</v>
      </c>
      <c r="B856" s="4232" t="s">
        <v>3715</v>
      </c>
      <c r="C856" s="4233">
        <v>1</v>
      </c>
      <c r="D856" s="4251" t="s">
        <v>2433</v>
      </c>
      <c r="E856" s="4235">
        <v>15682.64</v>
      </c>
      <c r="F856" s="4235">
        <f t="shared" si="36"/>
        <v>15682.64</v>
      </c>
    </row>
    <row r="857" spans="1:7" ht="14.25" customHeight="1">
      <c r="A857" s="4394">
        <v>4.2</v>
      </c>
      <c r="B857" s="4232" t="s">
        <v>3716</v>
      </c>
      <c r="C857" s="4233">
        <v>1</v>
      </c>
      <c r="D857" s="4251" t="s">
        <v>2433</v>
      </c>
      <c r="E857" s="4235">
        <v>4566.38</v>
      </c>
      <c r="F857" s="4235">
        <f t="shared" si="36"/>
        <v>4566.38</v>
      </c>
    </row>
    <row r="858" spans="1:7" ht="42.75" customHeight="1">
      <c r="A858" s="4394">
        <v>4.3</v>
      </c>
      <c r="B858" s="4343" t="s">
        <v>3717</v>
      </c>
      <c r="C858" s="4233">
        <v>10</v>
      </c>
      <c r="D858" s="4251" t="s">
        <v>2433</v>
      </c>
      <c r="E858" s="4235">
        <v>1094.1400000000001</v>
      </c>
      <c r="F858" s="4235">
        <f t="shared" si="36"/>
        <v>10941.4</v>
      </c>
    </row>
    <row r="859" spans="1:7" ht="14.25" customHeight="1">
      <c r="A859" s="4394">
        <v>4.4000000000000004</v>
      </c>
      <c r="B859" s="4232" t="s">
        <v>2429</v>
      </c>
      <c r="C859" s="4233">
        <v>1</v>
      </c>
      <c r="D859" s="4251" t="s">
        <v>42</v>
      </c>
      <c r="E859" s="4235">
        <v>6500</v>
      </c>
      <c r="F859" s="4235">
        <f t="shared" si="36"/>
        <v>6500</v>
      </c>
    </row>
    <row r="860" spans="1:7" s="4268" customFormat="1" ht="12.75" customHeight="1">
      <c r="A860" s="4306"/>
      <c r="B860" s="4306" t="s">
        <v>3947</v>
      </c>
      <c r="C860" s="4500"/>
      <c r="D860" s="4500"/>
      <c r="E860" s="4500"/>
      <c r="F860" s="4309">
        <f>SUM(F805:F859)</f>
        <v>1451611.13</v>
      </c>
      <c r="G860" s="3557"/>
    </row>
    <row r="861" spans="1:7" ht="14.25" customHeight="1" outlineLevel="1" collapsed="1">
      <c r="A861" s="4414"/>
      <c r="B861" s="4232"/>
      <c r="C861" s="4233"/>
      <c r="D861" s="4251"/>
      <c r="E861" s="4233"/>
      <c r="F861" s="4235" t="str">
        <f t="shared" ref="F861:F924" si="38">IF(C861&gt;0,(ROUND((E861*C861),2))," ")</f>
        <v xml:space="preserve"> </v>
      </c>
    </row>
    <row r="862" spans="1:7" s="4268" customFormat="1" ht="15">
      <c r="A862" s="4398" t="s">
        <v>3948</v>
      </c>
      <c r="B862" s="3435" t="s">
        <v>3154</v>
      </c>
      <c r="C862" s="4312"/>
      <c r="D862" s="4311"/>
      <c r="E862" s="4312"/>
      <c r="F862" s="4312" t="str">
        <f t="shared" si="38"/>
        <v xml:space="preserve"> </v>
      </c>
      <c r="G862" s="3557"/>
    </row>
    <row r="863" spans="1:7" ht="15" customHeight="1">
      <c r="A863" s="4395"/>
      <c r="B863" s="4232"/>
      <c r="C863" s="4233"/>
      <c r="D863" s="4251"/>
      <c r="E863" s="4235"/>
      <c r="F863" s="4235" t="str">
        <f t="shared" si="38"/>
        <v xml:space="preserve"> </v>
      </c>
    </row>
    <row r="864" spans="1:7" ht="15" customHeight="1">
      <c r="A864" s="4413">
        <v>1</v>
      </c>
      <c r="B864" s="4345" t="s">
        <v>3155</v>
      </c>
      <c r="C864" s="4282"/>
      <c r="D864" s="4251"/>
      <c r="E864" s="4235"/>
      <c r="F864" s="4235" t="str">
        <f t="shared" si="38"/>
        <v xml:space="preserve"> </v>
      </c>
    </row>
    <row r="865" spans="1:6" ht="14.25" customHeight="1">
      <c r="A865" s="4394">
        <v>1.1000000000000001</v>
      </c>
      <c r="B865" s="4232" t="s">
        <v>2353</v>
      </c>
      <c r="C865" s="4283">
        <v>72.25</v>
      </c>
      <c r="D865" s="4251" t="s">
        <v>2432</v>
      </c>
      <c r="E865" s="4235">
        <v>79.19</v>
      </c>
      <c r="F865" s="4235">
        <f t="shared" si="38"/>
        <v>5721.48</v>
      </c>
    </row>
    <row r="866" spans="1:6" ht="14.25" customHeight="1">
      <c r="A866" s="4390"/>
      <c r="B866" s="4232"/>
      <c r="C866" s="4283"/>
      <c r="D866" s="4251"/>
      <c r="E866" s="4115"/>
      <c r="F866" s="4235" t="str">
        <f t="shared" si="38"/>
        <v xml:space="preserve"> </v>
      </c>
    </row>
    <row r="867" spans="1:6" ht="15" customHeight="1">
      <c r="A867" s="4109">
        <v>2</v>
      </c>
      <c r="B867" s="4345" t="s">
        <v>38</v>
      </c>
      <c r="C867" s="4288"/>
      <c r="D867" s="4251"/>
      <c r="E867" s="4115"/>
      <c r="F867" s="4235" t="str">
        <f t="shared" si="38"/>
        <v xml:space="preserve"> </v>
      </c>
    </row>
    <row r="868" spans="1:6" ht="14.25" customHeight="1">
      <c r="A868" s="4102">
        <v>2.1</v>
      </c>
      <c r="B868" s="4289" t="s">
        <v>3156</v>
      </c>
      <c r="C868" s="4288">
        <v>219.34</v>
      </c>
      <c r="D868" s="4251" t="s">
        <v>3157</v>
      </c>
      <c r="E868" s="4235">
        <v>154.51</v>
      </c>
      <c r="F868" s="4235">
        <f t="shared" si="38"/>
        <v>33890.22</v>
      </c>
    </row>
    <row r="869" spans="1:6" ht="28.5">
      <c r="A869" s="4102">
        <v>2.2000000000000002</v>
      </c>
      <c r="B869" s="4113" t="s">
        <v>4049</v>
      </c>
      <c r="C869" s="4288">
        <v>56.3</v>
      </c>
      <c r="D869" s="4251" t="s">
        <v>2431</v>
      </c>
      <c r="E869" s="4235">
        <v>121.12</v>
      </c>
      <c r="F869" s="4235">
        <f t="shared" si="38"/>
        <v>6819.06</v>
      </c>
    </row>
    <row r="870" spans="1:6" ht="28.5" customHeight="1">
      <c r="A870" s="4102">
        <v>2.2999999999999998</v>
      </c>
      <c r="B870" s="4113" t="s">
        <v>3571</v>
      </c>
      <c r="C870" s="4288">
        <v>195.6</v>
      </c>
      <c r="D870" s="4251" t="s">
        <v>3160</v>
      </c>
      <c r="E870" s="4235">
        <v>210</v>
      </c>
      <c r="F870" s="4235">
        <f t="shared" si="38"/>
        <v>41076</v>
      </c>
    </row>
    <row r="871" spans="1:6" ht="15" customHeight="1">
      <c r="A871" s="4415"/>
      <c r="B871" s="3435"/>
      <c r="C871" s="4282"/>
      <c r="D871" s="4251"/>
      <c r="E871" s="4235"/>
      <c r="F871" s="4235" t="str">
        <f t="shared" si="38"/>
        <v xml:space="preserve"> </v>
      </c>
    </row>
    <row r="872" spans="1:6" ht="15" customHeight="1">
      <c r="A872" s="4110">
        <v>3</v>
      </c>
      <c r="B872" s="4345" t="s">
        <v>3693</v>
      </c>
      <c r="C872" s="4288"/>
      <c r="D872" s="4251"/>
      <c r="E872" s="4235"/>
      <c r="F872" s="4235" t="str">
        <f t="shared" si="38"/>
        <v xml:space="preserve"> </v>
      </c>
    </row>
    <row r="873" spans="1:6" ht="14.25" customHeight="1">
      <c r="A873" s="4114">
        <v>3.1</v>
      </c>
      <c r="B873" s="4112" t="s">
        <v>3690</v>
      </c>
      <c r="C873" s="4103">
        <v>13.3</v>
      </c>
      <c r="D873" s="4251" t="s">
        <v>2430</v>
      </c>
      <c r="E873" s="4235">
        <v>15415.34</v>
      </c>
      <c r="F873" s="4235">
        <f t="shared" si="38"/>
        <v>205024.02</v>
      </c>
    </row>
    <row r="874" spans="1:6" ht="14.25" customHeight="1">
      <c r="A874" s="4114">
        <v>3.2</v>
      </c>
      <c r="B874" s="4112" t="s">
        <v>3161</v>
      </c>
      <c r="C874" s="4103">
        <v>0.86</v>
      </c>
      <c r="D874" s="4251" t="s">
        <v>2430</v>
      </c>
      <c r="E874" s="4235">
        <v>14275.27</v>
      </c>
      <c r="F874" s="4235">
        <f t="shared" si="38"/>
        <v>12276.73</v>
      </c>
    </row>
    <row r="875" spans="1:6" ht="14.25" customHeight="1">
      <c r="A875" s="4114">
        <v>3.3</v>
      </c>
      <c r="B875" s="4112" t="s">
        <v>3691</v>
      </c>
      <c r="C875" s="4103">
        <v>7.01</v>
      </c>
      <c r="D875" s="4251" t="s">
        <v>2430</v>
      </c>
      <c r="E875" s="4235">
        <v>18408.03</v>
      </c>
      <c r="F875" s="4235">
        <f t="shared" si="38"/>
        <v>129040.29</v>
      </c>
    </row>
    <row r="876" spans="1:6" ht="14.25" customHeight="1">
      <c r="A876" s="4114">
        <v>3.4</v>
      </c>
      <c r="B876" s="4112" t="s">
        <v>3162</v>
      </c>
      <c r="C876" s="4103">
        <v>0.35</v>
      </c>
      <c r="D876" s="4251" t="s">
        <v>2430</v>
      </c>
      <c r="E876" s="4235">
        <v>38287.07</v>
      </c>
      <c r="F876" s="4235">
        <f t="shared" si="38"/>
        <v>13400.47</v>
      </c>
    </row>
    <row r="877" spans="1:6" ht="14.25" customHeight="1">
      <c r="A877" s="4114">
        <v>3.5</v>
      </c>
      <c r="B877" s="4112" t="s">
        <v>3163</v>
      </c>
      <c r="C877" s="4103">
        <v>1.03</v>
      </c>
      <c r="D877" s="4251" t="s">
        <v>2430</v>
      </c>
      <c r="E877" s="4235">
        <v>26417.040000000001</v>
      </c>
      <c r="F877" s="4235">
        <f t="shared" si="38"/>
        <v>27209.55</v>
      </c>
    </row>
    <row r="878" spans="1:6" ht="14.25" customHeight="1">
      <c r="A878" s="4114">
        <v>3.6</v>
      </c>
      <c r="B878" s="4112" t="s">
        <v>3164</v>
      </c>
      <c r="C878" s="4103">
        <v>27.52</v>
      </c>
      <c r="D878" s="4251" t="s">
        <v>2430</v>
      </c>
      <c r="E878" s="4235">
        <v>22295.72</v>
      </c>
      <c r="F878" s="4235">
        <f t="shared" si="38"/>
        <v>613578.21</v>
      </c>
    </row>
    <row r="879" spans="1:6" ht="14.25" customHeight="1">
      <c r="A879" s="4114">
        <v>3.7</v>
      </c>
      <c r="B879" s="4112" t="s">
        <v>3165</v>
      </c>
      <c r="C879" s="4103">
        <v>1.0900000000000001</v>
      </c>
      <c r="D879" s="4251" t="s">
        <v>2430</v>
      </c>
      <c r="E879" s="4235">
        <v>32583.360000000001</v>
      </c>
      <c r="F879" s="4235">
        <f t="shared" si="38"/>
        <v>35515.86</v>
      </c>
    </row>
    <row r="880" spans="1:6" ht="14.25" customHeight="1">
      <c r="A880" s="4114">
        <v>3.8</v>
      </c>
      <c r="B880" s="4112" t="s">
        <v>3692</v>
      </c>
      <c r="C880" s="4103">
        <v>7.49</v>
      </c>
      <c r="D880" s="4251" t="s">
        <v>2430</v>
      </c>
      <c r="E880" s="4235">
        <v>24340.799999999999</v>
      </c>
      <c r="F880" s="4235">
        <f t="shared" si="38"/>
        <v>182312.59</v>
      </c>
    </row>
    <row r="881" spans="1:7" ht="14.25" customHeight="1">
      <c r="A881" s="4114">
        <v>3.9</v>
      </c>
      <c r="B881" s="4112" t="s">
        <v>3166</v>
      </c>
      <c r="C881" s="4103">
        <v>0.11</v>
      </c>
      <c r="D881" s="4251" t="s">
        <v>2430</v>
      </c>
      <c r="E881" s="4235">
        <v>8284.66</v>
      </c>
      <c r="F881" s="4235">
        <f t="shared" si="38"/>
        <v>911.31</v>
      </c>
    </row>
    <row r="882" spans="1:7" ht="14.25" customHeight="1">
      <c r="A882" s="4107"/>
      <c r="B882" s="4112"/>
      <c r="C882" s="4103"/>
      <c r="D882" s="4251"/>
      <c r="E882" s="4235"/>
      <c r="F882" s="4235" t="str">
        <f t="shared" si="38"/>
        <v xml:space="preserve"> </v>
      </c>
    </row>
    <row r="883" spans="1:7" ht="16.5" customHeight="1">
      <c r="A883" s="4101">
        <v>4</v>
      </c>
      <c r="B883" s="4112" t="s">
        <v>3694</v>
      </c>
      <c r="C883" s="4103">
        <v>3.87</v>
      </c>
      <c r="D883" s="4251" t="s">
        <v>2430</v>
      </c>
      <c r="E883" s="4235">
        <v>4897.13</v>
      </c>
      <c r="F883" s="4235">
        <f t="shared" si="38"/>
        <v>18951.89</v>
      </c>
    </row>
    <row r="884" spans="1:7" ht="14.25" customHeight="1">
      <c r="A884" s="4107"/>
      <c r="B884" s="4112"/>
      <c r="C884" s="4103"/>
      <c r="D884" s="4251"/>
      <c r="E884" s="4235"/>
      <c r="F884" s="4235" t="str">
        <f t="shared" si="38"/>
        <v xml:space="preserve"> </v>
      </c>
    </row>
    <row r="885" spans="1:7" ht="28.5" customHeight="1">
      <c r="A885" s="4114">
        <v>5</v>
      </c>
      <c r="B885" s="4104" t="s">
        <v>3167</v>
      </c>
      <c r="C885" s="4103">
        <v>91.2</v>
      </c>
      <c r="D885" s="4251" t="s">
        <v>1</v>
      </c>
      <c r="E885" s="4235">
        <v>687</v>
      </c>
      <c r="F885" s="4235">
        <f t="shared" si="38"/>
        <v>62654.400000000001</v>
      </c>
    </row>
    <row r="886" spans="1:7" ht="14.25" customHeight="1">
      <c r="A886" s="4114">
        <v>6</v>
      </c>
      <c r="B886" s="4112" t="s">
        <v>3738</v>
      </c>
      <c r="C886" s="4103">
        <v>110</v>
      </c>
      <c r="D886" s="4251" t="s">
        <v>2567</v>
      </c>
      <c r="E886" s="4235">
        <v>1203.5999999999999</v>
      </c>
      <c r="F886" s="4235">
        <f t="shared" si="38"/>
        <v>132396</v>
      </c>
    </row>
    <row r="887" spans="1:7" ht="14.25" customHeight="1">
      <c r="A887" s="4488"/>
      <c r="B887" s="4489"/>
      <c r="C887" s="4508"/>
      <c r="D887" s="4467"/>
      <c r="E887" s="4468"/>
      <c r="F887" s="4468" t="str">
        <f t="shared" si="38"/>
        <v xml:space="preserve"> </v>
      </c>
    </row>
    <row r="888" spans="1:7" ht="15" customHeight="1">
      <c r="A888" s="4110">
        <v>7</v>
      </c>
      <c r="B888" s="4345" t="s">
        <v>787</v>
      </c>
      <c r="C888" s="4103"/>
      <c r="D888" s="4251"/>
      <c r="E888" s="4235"/>
      <c r="F888" s="4235" t="str">
        <f t="shared" si="38"/>
        <v xml:space="preserve"> </v>
      </c>
    </row>
    <row r="889" spans="1:7" ht="14.25" customHeight="1">
      <c r="A889" s="4114">
        <v>7.1</v>
      </c>
      <c r="B889" s="4112" t="s">
        <v>2568</v>
      </c>
      <c r="C889" s="4103">
        <v>217.47</v>
      </c>
      <c r="D889" s="4251" t="s">
        <v>2432</v>
      </c>
      <c r="E889" s="4235">
        <v>56.57</v>
      </c>
      <c r="F889" s="4235">
        <f t="shared" si="38"/>
        <v>12302.28</v>
      </c>
    </row>
    <row r="890" spans="1:7" ht="14.25" customHeight="1">
      <c r="A890" s="4114">
        <v>7.2</v>
      </c>
      <c r="B890" s="4112" t="s">
        <v>2345</v>
      </c>
      <c r="C890" s="4103">
        <v>102.7</v>
      </c>
      <c r="D890" s="4251" t="s">
        <v>2432</v>
      </c>
      <c r="E890" s="4235">
        <v>382.2</v>
      </c>
      <c r="F890" s="4235">
        <f t="shared" si="38"/>
        <v>39251.94</v>
      </c>
    </row>
    <row r="891" spans="1:7" ht="14.25" customHeight="1">
      <c r="A891" s="4114">
        <v>7.3</v>
      </c>
      <c r="B891" s="4112" t="s">
        <v>2344</v>
      </c>
      <c r="C891" s="4103">
        <v>114.77</v>
      </c>
      <c r="D891" s="4251" t="s">
        <v>2432</v>
      </c>
      <c r="E891" s="4235">
        <v>396.6</v>
      </c>
      <c r="F891" s="4235">
        <f t="shared" si="38"/>
        <v>45517.78</v>
      </c>
    </row>
    <row r="892" spans="1:7" ht="14.25" customHeight="1">
      <c r="A892" s="4114">
        <v>7.4</v>
      </c>
      <c r="B892" s="4114" t="s">
        <v>3168</v>
      </c>
      <c r="C892" s="4103">
        <v>53.17</v>
      </c>
      <c r="D892" s="4251" t="s">
        <v>2432</v>
      </c>
      <c r="E892" s="4235">
        <v>611.6</v>
      </c>
      <c r="F892" s="4235">
        <f t="shared" si="38"/>
        <v>32518.77</v>
      </c>
    </row>
    <row r="893" spans="1:7" ht="14.25" customHeight="1">
      <c r="A893" s="4114">
        <v>7.5</v>
      </c>
      <c r="B893" s="4114" t="s">
        <v>3169</v>
      </c>
      <c r="C893" s="4103">
        <v>62.41</v>
      </c>
      <c r="D893" s="4251" t="s">
        <v>2432</v>
      </c>
      <c r="E893" s="4235">
        <v>565.92999999999995</v>
      </c>
      <c r="F893" s="4235">
        <f t="shared" si="38"/>
        <v>35319.69</v>
      </c>
    </row>
    <row r="894" spans="1:7" s="4166" customFormat="1" ht="14.25" customHeight="1">
      <c r="A894" s="4114">
        <v>7.6</v>
      </c>
      <c r="B894" s="4114" t="s">
        <v>1548</v>
      </c>
      <c r="C894" s="4103">
        <v>112.4</v>
      </c>
      <c r="D894" s="4251" t="s">
        <v>1</v>
      </c>
      <c r="E894" s="4235">
        <v>107.14</v>
      </c>
      <c r="F894" s="4235">
        <f t="shared" si="38"/>
        <v>12042.54</v>
      </c>
      <c r="G894" s="3557"/>
    </row>
    <row r="895" spans="1:7" ht="14.25" customHeight="1">
      <c r="A895" s="4114">
        <v>7.7</v>
      </c>
      <c r="B895" s="4114" t="s">
        <v>3542</v>
      </c>
      <c r="C895" s="4103">
        <v>29.2</v>
      </c>
      <c r="D895" s="4251" t="s">
        <v>1</v>
      </c>
      <c r="E895" s="4235">
        <v>134</v>
      </c>
      <c r="F895" s="4235">
        <f t="shared" si="38"/>
        <v>3912.8</v>
      </c>
    </row>
    <row r="896" spans="1:7" ht="14.25" customHeight="1">
      <c r="A896" s="4114"/>
      <c r="B896" s="4114"/>
      <c r="C896" s="4103"/>
      <c r="D896" s="4251"/>
      <c r="E896" s="4235"/>
      <c r="F896" s="4235" t="str">
        <f t="shared" si="38"/>
        <v xml:space="preserve"> </v>
      </c>
    </row>
    <row r="897" spans="1:6" ht="15" customHeight="1">
      <c r="A897" s="4110">
        <v>8</v>
      </c>
      <c r="B897" s="4345" t="s">
        <v>202</v>
      </c>
      <c r="C897" s="4103"/>
      <c r="D897" s="4251"/>
      <c r="E897" s="4235"/>
      <c r="F897" s="4235" t="str">
        <f t="shared" si="38"/>
        <v xml:space="preserve"> </v>
      </c>
    </row>
    <row r="898" spans="1:6" ht="14.25" customHeight="1">
      <c r="A898" s="4114">
        <v>8.1</v>
      </c>
      <c r="B898" s="4114" t="s">
        <v>3170</v>
      </c>
      <c r="C898" s="4103">
        <v>35.39</v>
      </c>
      <c r="D898" s="4251" t="s">
        <v>2432</v>
      </c>
      <c r="E898" s="4235">
        <v>94.92</v>
      </c>
      <c r="F898" s="4235">
        <f t="shared" si="38"/>
        <v>3359.22</v>
      </c>
    </row>
    <row r="899" spans="1:6" ht="14.25" customHeight="1">
      <c r="A899" s="4114">
        <v>8.1999999999999993</v>
      </c>
      <c r="B899" s="4114" t="s">
        <v>3171</v>
      </c>
      <c r="C899" s="4103">
        <v>35.39</v>
      </c>
      <c r="D899" s="4251" t="s">
        <v>2432</v>
      </c>
      <c r="E899" s="4235">
        <v>132.63999999999999</v>
      </c>
      <c r="F899" s="4235">
        <f t="shared" si="38"/>
        <v>4694.13</v>
      </c>
    </row>
    <row r="900" spans="1:6" ht="14.25" customHeight="1">
      <c r="A900" s="4114"/>
      <c r="B900" s="4114"/>
      <c r="C900" s="4103"/>
      <c r="D900" s="4251"/>
      <c r="E900" s="4235"/>
      <c r="F900" s="4235" t="str">
        <f t="shared" si="38"/>
        <v xml:space="preserve"> </v>
      </c>
    </row>
    <row r="901" spans="1:6" ht="15" customHeight="1">
      <c r="A901" s="4110">
        <v>9</v>
      </c>
      <c r="B901" s="4345" t="s">
        <v>697</v>
      </c>
      <c r="C901" s="4103"/>
      <c r="D901" s="4251"/>
      <c r="E901" s="4235"/>
      <c r="F901" s="4235" t="str">
        <f t="shared" si="38"/>
        <v xml:space="preserve"> </v>
      </c>
    </row>
    <row r="902" spans="1:6" ht="30" customHeight="1">
      <c r="A902" s="4110">
        <v>9.1</v>
      </c>
      <c r="B902" s="4345" t="s">
        <v>3564</v>
      </c>
      <c r="C902" s="4103"/>
      <c r="D902" s="4251"/>
      <c r="E902" s="4235"/>
      <c r="F902" s="4235" t="str">
        <f t="shared" si="38"/>
        <v xml:space="preserve"> </v>
      </c>
    </row>
    <row r="903" spans="1:6" ht="14.25" customHeight="1">
      <c r="A903" s="4111" t="s">
        <v>541</v>
      </c>
      <c r="B903" s="4108" t="s">
        <v>3172</v>
      </c>
      <c r="C903" s="4103">
        <v>14.22</v>
      </c>
      <c r="D903" s="4251" t="s">
        <v>1</v>
      </c>
      <c r="E903" s="4235">
        <v>2003</v>
      </c>
      <c r="F903" s="4235">
        <f t="shared" si="38"/>
        <v>28482.66</v>
      </c>
    </row>
    <row r="904" spans="1:6" ht="14.25" customHeight="1">
      <c r="A904" s="4111" t="s">
        <v>542</v>
      </c>
      <c r="B904" s="4108" t="s">
        <v>3695</v>
      </c>
      <c r="C904" s="4103">
        <v>17.37</v>
      </c>
      <c r="D904" s="4251" t="s">
        <v>1</v>
      </c>
      <c r="E904" s="4235">
        <v>1695.15</v>
      </c>
      <c r="F904" s="4235">
        <f t="shared" si="38"/>
        <v>29444.76</v>
      </c>
    </row>
    <row r="905" spans="1:6" ht="14.25" customHeight="1">
      <c r="A905" s="4111" t="s">
        <v>3173</v>
      </c>
      <c r="B905" s="4108" t="s">
        <v>3696</v>
      </c>
      <c r="C905" s="4103">
        <v>5</v>
      </c>
      <c r="D905" s="4251" t="s">
        <v>2433</v>
      </c>
      <c r="E905" s="4235">
        <v>1843.86</v>
      </c>
      <c r="F905" s="4235">
        <f t="shared" si="38"/>
        <v>9219.2999999999993</v>
      </c>
    </row>
    <row r="906" spans="1:6" ht="14.25" customHeight="1">
      <c r="A906" s="4111" t="s">
        <v>3174</v>
      </c>
      <c r="B906" s="4108" t="s">
        <v>3697</v>
      </c>
      <c r="C906" s="4103">
        <v>8</v>
      </c>
      <c r="D906" s="4251" t="s">
        <v>2433</v>
      </c>
      <c r="E906" s="4235">
        <v>6156.32</v>
      </c>
      <c r="F906" s="4235">
        <f t="shared" si="38"/>
        <v>49250.559999999998</v>
      </c>
    </row>
    <row r="907" spans="1:6" ht="14.25" customHeight="1">
      <c r="A907" s="4111" t="s">
        <v>3175</v>
      </c>
      <c r="B907" s="4108" t="s">
        <v>3698</v>
      </c>
      <c r="C907" s="4103">
        <v>2</v>
      </c>
      <c r="D907" s="4251" t="s">
        <v>2433</v>
      </c>
      <c r="E907" s="4235">
        <v>6374.62</v>
      </c>
      <c r="F907" s="4235">
        <f t="shared" si="38"/>
        <v>12749.24</v>
      </c>
    </row>
    <row r="908" spans="1:6" ht="14.25" customHeight="1">
      <c r="A908" s="4111" t="s">
        <v>3176</v>
      </c>
      <c r="B908" s="4114" t="s">
        <v>3508</v>
      </c>
      <c r="C908" s="4103">
        <v>3</v>
      </c>
      <c r="D908" s="4251" t="s">
        <v>2433</v>
      </c>
      <c r="E908" s="4235">
        <v>2347.23</v>
      </c>
      <c r="F908" s="4235">
        <f t="shared" si="38"/>
        <v>7041.69</v>
      </c>
    </row>
    <row r="909" spans="1:6" ht="14.25" customHeight="1">
      <c r="A909" s="4111" t="s">
        <v>3177</v>
      </c>
      <c r="B909" s="4114" t="s">
        <v>3699</v>
      </c>
      <c r="C909" s="4103">
        <v>7</v>
      </c>
      <c r="D909" s="4251" t="s">
        <v>2433</v>
      </c>
      <c r="E909" s="4235">
        <v>850</v>
      </c>
      <c r="F909" s="4235">
        <f t="shared" si="38"/>
        <v>5950</v>
      </c>
    </row>
    <row r="910" spans="1:6" ht="14.25" customHeight="1">
      <c r="A910" s="4111" t="s">
        <v>3178</v>
      </c>
      <c r="B910" s="4114" t="s">
        <v>3700</v>
      </c>
      <c r="C910" s="4103">
        <v>2</v>
      </c>
      <c r="D910" s="4251" t="s">
        <v>2433</v>
      </c>
      <c r="E910" s="4235">
        <v>46932.74</v>
      </c>
      <c r="F910" s="4235">
        <f t="shared" si="38"/>
        <v>93865.48</v>
      </c>
    </row>
    <row r="911" spans="1:6" ht="14.25" customHeight="1">
      <c r="A911" s="4111" t="s">
        <v>3179</v>
      </c>
      <c r="B911" s="4114" t="s">
        <v>3736</v>
      </c>
      <c r="C911" s="4103">
        <v>2</v>
      </c>
      <c r="D911" s="4251" t="s">
        <v>2433</v>
      </c>
      <c r="E911" s="4235">
        <v>42739.71</v>
      </c>
      <c r="F911" s="4235">
        <f t="shared" si="38"/>
        <v>85479.42</v>
      </c>
    </row>
    <row r="912" spans="1:6" ht="14.25" customHeight="1">
      <c r="A912" s="4114"/>
      <c r="B912" s="4114"/>
      <c r="C912" s="4103"/>
      <c r="D912" s="4251"/>
      <c r="E912" s="4235"/>
      <c r="F912" s="4235" t="str">
        <f t="shared" si="38"/>
        <v xml:space="preserve"> </v>
      </c>
    </row>
    <row r="913" spans="1:6" ht="15" customHeight="1">
      <c r="A913" s="4110">
        <v>9.1999999999999993</v>
      </c>
      <c r="B913" s="4345" t="s">
        <v>3701</v>
      </c>
      <c r="C913" s="4103"/>
      <c r="D913" s="4251"/>
      <c r="E913" s="4235"/>
      <c r="F913" s="4235" t="str">
        <f t="shared" si="38"/>
        <v xml:space="preserve"> </v>
      </c>
    </row>
    <row r="914" spans="1:6" ht="14.25" customHeight="1">
      <c r="A914" s="4111" t="s">
        <v>543</v>
      </c>
      <c r="B914" s="4114" t="s">
        <v>2353</v>
      </c>
      <c r="C914" s="4103">
        <v>26.49</v>
      </c>
      <c r="D914" s="4251" t="s">
        <v>1</v>
      </c>
      <c r="E914" s="4235">
        <v>16.11</v>
      </c>
      <c r="F914" s="4235">
        <f t="shared" si="38"/>
        <v>426.75</v>
      </c>
    </row>
    <row r="915" spans="1:6" ht="14.25" customHeight="1">
      <c r="A915" s="4111" t="s">
        <v>544</v>
      </c>
      <c r="B915" s="4108" t="s">
        <v>3180</v>
      </c>
      <c r="C915" s="4103">
        <v>23.31</v>
      </c>
      <c r="D915" s="4251" t="s">
        <v>3157</v>
      </c>
      <c r="E915" s="4235">
        <v>154.51</v>
      </c>
      <c r="F915" s="4235">
        <f t="shared" si="38"/>
        <v>3601.63</v>
      </c>
    </row>
    <row r="916" spans="1:6" ht="14.25" customHeight="1">
      <c r="A916" s="4111" t="s">
        <v>545</v>
      </c>
      <c r="B916" s="4114" t="s">
        <v>2546</v>
      </c>
      <c r="C916" s="4103">
        <v>1.22</v>
      </c>
      <c r="D916" s="4251" t="s">
        <v>3181</v>
      </c>
      <c r="E916" s="4235">
        <v>1313.13</v>
      </c>
      <c r="F916" s="4235">
        <f t="shared" si="38"/>
        <v>1602.02</v>
      </c>
    </row>
    <row r="917" spans="1:6" ht="14.25" customHeight="1">
      <c r="A917" s="4111" t="s">
        <v>3182</v>
      </c>
      <c r="B917" s="4108" t="s">
        <v>3572</v>
      </c>
      <c r="C917" s="4103">
        <v>20.54</v>
      </c>
      <c r="D917" s="4251" t="s">
        <v>2431</v>
      </c>
      <c r="E917" s="4235">
        <v>121.12</v>
      </c>
      <c r="F917" s="4235">
        <f t="shared" si="38"/>
        <v>2487.8000000000002</v>
      </c>
    </row>
    <row r="918" spans="1:6" ht="28.5" customHeight="1">
      <c r="A918" s="4111" t="s">
        <v>3183</v>
      </c>
      <c r="B918" s="4108" t="s">
        <v>3571</v>
      </c>
      <c r="C918" s="4103">
        <v>3.33</v>
      </c>
      <c r="D918" s="4251" t="s">
        <v>3160</v>
      </c>
      <c r="E918" s="4416">
        <v>210</v>
      </c>
      <c r="F918" s="4235">
        <f t="shared" si="38"/>
        <v>699.3</v>
      </c>
    </row>
    <row r="919" spans="1:6" ht="14.25" customHeight="1">
      <c r="A919" s="4114"/>
      <c r="B919" s="4114"/>
      <c r="C919" s="4103"/>
      <c r="D919" s="4251"/>
      <c r="E919" s="4103"/>
      <c r="F919" s="4235" t="str">
        <f t="shared" si="38"/>
        <v xml:space="preserve"> </v>
      </c>
    </row>
    <row r="920" spans="1:6" ht="15" customHeight="1">
      <c r="A920" s="4110">
        <v>9.3000000000000007</v>
      </c>
      <c r="B920" s="4345" t="s">
        <v>3563</v>
      </c>
      <c r="C920" s="4103"/>
      <c r="D920" s="4251"/>
      <c r="E920" s="4103"/>
      <c r="F920" s="4235" t="str">
        <f t="shared" si="38"/>
        <v xml:space="preserve"> </v>
      </c>
    </row>
    <row r="921" spans="1:6" ht="14.25" customHeight="1">
      <c r="A921" s="4111" t="s">
        <v>3184</v>
      </c>
      <c r="B921" s="4114" t="s">
        <v>3737</v>
      </c>
      <c r="C921" s="4103">
        <v>1</v>
      </c>
      <c r="D921" s="4251" t="s">
        <v>2433</v>
      </c>
      <c r="E921" s="4417">
        <v>71844.3</v>
      </c>
      <c r="F921" s="4235">
        <f t="shared" si="38"/>
        <v>71844.3</v>
      </c>
    </row>
    <row r="922" spans="1:6" ht="14.25" customHeight="1">
      <c r="A922" s="4111" t="s">
        <v>3185</v>
      </c>
      <c r="B922" s="4114" t="s">
        <v>3186</v>
      </c>
      <c r="C922" s="4103">
        <v>1</v>
      </c>
      <c r="D922" s="4251" t="s">
        <v>2433</v>
      </c>
      <c r="E922" s="4417">
        <v>53218</v>
      </c>
      <c r="F922" s="4235">
        <f t="shared" si="38"/>
        <v>53218</v>
      </c>
    </row>
    <row r="923" spans="1:6" ht="14.25" customHeight="1">
      <c r="A923" s="4111" t="s">
        <v>3187</v>
      </c>
      <c r="B923" s="4114" t="s">
        <v>3188</v>
      </c>
      <c r="C923" s="4103">
        <v>1</v>
      </c>
      <c r="D923" s="4251" t="s">
        <v>2433</v>
      </c>
      <c r="E923" s="4417">
        <v>6000</v>
      </c>
      <c r="F923" s="4235">
        <f t="shared" si="38"/>
        <v>6000</v>
      </c>
    </row>
    <row r="924" spans="1:6" ht="14.25" customHeight="1">
      <c r="A924" s="4111" t="s">
        <v>3189</v>
      </c>
      <c r="B924" s="4114" t="s">
        <v>3190</v>
      </c>
      <c r="C924" s="4103">
        <v>1</v>
      </c>
      <c r="D924" s="4251" t="s">
        <v>2433</v>
      </c>
      <c r="E924" s="4417">
        <v>7624.76</v>
      </c>
      <c r="F924" s="4235">
        <f t="shared" si="38"/>
        <v>7624.76</v>
      </c>
    </row>
    <row r="925" spans="1:6" ht="14.25" customHeight="1">
      <c r="A925" s="4114"/>
      <c r="B925" s="4114"/>
      <c r="C925" s="4103"/>
      <c r="D925" s="4251"/>
      <c r="E925" s="4103"/>
      <c r="F925" s="4235" t="str">
        <f t="shared" ref="F925:F928" si="39">IF(C925&gt;0,(ROUND((E925*C925),2))," ")</f>
        <v xml:space="preserve"> </v>
      </c>
    </row>
    <row r="926" spans="1:6" ht="15" customHeight="1">
      <c r="A926" s="4110">
        <v>10</v>
      </c>
      <c r="B926" s="4345" t="s">
        <v>2523</v>
      </c>
      <c r="C926" s="4103"/>
      <c r="D926" s="4251"/>
      <c r="E926" s="4103"/>
      <c r="F926" s="4235" t="str">
        <f t="shared" si="39"/>
        <v xml:space="preserve"> </v>
      </c>
    </row>
    <row r="927" spans="1:6" ht="14.25" customHeight="1">
      <c r="A927" s="4114">
        <v>10.1</v>
      </c>
      <c r="B927" s="4114" t="s">
        <v>3191</v>
      </c>
      <c r="C927" s="4103">
        <v>16.8</v>
      </c>
      <c r="D927" s="4251" t="s">
        <v>2432</v>
      </c>
      <c r="E927" s="4103">
        <v>977.29</v>
      </c>
      <c r="F927" s="4235">
        <f t="shared" si="39"/>
        <v>16418.47</v>
      </c>
    </row>
    <row r="928" spans="1:6" ht="14.25" customHeight="1">
      <c r="A928" s="4114">
        <v>10.199999999999999</v>
      </c>
      <c r="B928" s="4114" t="s">
        <v>2596</v>
      </c>
      <c r="C928" s="4103">
        <v>1</v>
      </c>
      <c r="D928" s="4251" t="s">
        <v>2433</v>
      </c>
      <c r="E928" s="4103">
        <v>7500</v>
      </c>
      <c r="F928" s="4235">
        <f t="shared" si="39"/>
        <v>7500</v>
      </c>
    </row>
    <row r="929" spans="1:7" s="4268" customFormat="1" ht="12.75" customHeight="1">
      <c r="A929" s="4306"/>
      <c r="B929" s="4306" t="s">
        <v>3949</v>
      </c>
      <c r="C929" s="4500"/>
      <c r="D929" s="4500"/>
      <c r="E929" s="4500"/>
      <c r="F929" s="4309">
        <f>SUM(F864:F928)</f>
        <v>2202603.37</v>
      </c>
      <c r="G929" s="3557"/>
    </row>
    <row r="930" spans="1:7" ht="8.25" customHeight="1">
      <c r="A930" s="4390"/>
      <c r="B930" s="3435"/>
      <c r="C930" s="4233"/>
      <c r="D930" s="4273"/>
      <c r="E930" s="4266"/>
      <c r="F930" s="4235" t="str">
        <f t="shared" ref="F930:F977" si="40">IF(C930&gt;0,(ROUND((E930*C930),2))," ")</f>
        <v xml:space="preserve"> </v>
      </c>
    </row>
    <row r="931" spans="1:7" ht="30.75" customHeight="1">
      <c r="A931" s="3553" t="s">
        <v>3950</v>
      </c>
      <c r="B931" s="3435" t="s">
        <v>3794</v>
      </c>
      <c r="C931" s="4509"/>
      <c r="D931" s="4526"/>
      <c r="E931" s="3556"/>
      <c r="F931" s="3556" t="str">
        <f t="shared" si="40"/>
        <v xml:space="preserve"> </v>
      </c>
    </row>
    <row r="932" spans="1:7" ht="12.75" customHeight="1">
      <c r="A932" s="3558"/>
      <c r="B932" s="3554"/>
      <c r="C932" s="4510"/>
      <c r="D932" s="4526"/>
      <c r="E932" s="3556"/>
      <c r="F932" s="3556" t="str">
        <f t="shared" si="40"/>
        <v xml:space="preserve"> </v>
      </c>
    </row>
    <row r="933" spans="1:7" ht="12.75" customHeight="1">
      <c r="A933" s="3560">
        <v>1</v>
      </c>
      <c r="B933" s="3561" t="s">
        <v>2165</v>
      </c>
      <c r="C933" s="4510"/>
      <c r="D933" s="4526"/>
      <c r="E933" s="3556"/>
      <c r="F933" s="3556" t="str">
        <f t="shared" si="40"/>
        <v xml:space="preserve"> </v>
      </c>
    </row>
    <row r="934" spans="1:7" ht="14.25" customHeight="1">
      <c r="A934" s="3562">
        <v>1.1000000000000001</v>
      </c>
      <c r="B934" s="3563" t="s">
        <v>2353</v>
      </c>
      <c r="C934" s="4510">
        <v>240.25</v>
      </c>
      <c r="D934" s="4526" t="s">
        <v>1</v>
      </c>
      <c r="E934" s="3743">
        <v>53.08</v>
      </c>
      <c r="F934" s="4235">
        <f t="shared" si="40"/>
        <v>12752.47</v>
      </c>
    </row>
    <row r="935" spans="1:7" ht="12.75" customHeight="1">
      <c r="A935" s="4491"/>
      <c r="B935" s="4492"/>
      <c r="C935" s="4511"/>
      <c r="D935" s="4527"/>
      <c r="E935" s="4495"/>
      <c r="F935" s="4495" t="str">
        <f t="shared" si="40"/>
        <v xml:space="preserve"> </v>
      </c>
    </row>
    <row r="936" spans="1:7" ht="12.75" customHeight="1">
      <c r="A936" s="3560">
        <v>2</v>
      </c>
      <c r="B936" s="3565" t="s">
        <v>14</v>
      </c>
      <c r="C936" s="3566"/>
      <c r="D936" s="1252"/>
      <c r="E936" s="1251"/>
      <c r="F936" s="3564" t="str">
        <f t="shared" si="40"/>
        <v xml:space="preserve"> </v>
      </c>
    </row>
    <row r="937" spans="1:7" ht="14.25" customHeight="1">
      <c r="A937" s="17">
        <v>2.1</v>
      </c>
      <c r="B937" s="3563" t="s">
        <v>2992</v>
      </c>
      <c r="C937" s="3566">
        <v>98</v>
      </c>
      <c r="D937" s="4251" t="s">
        <v>3157</v>
      </c>
      <c r="E937" s="3743">
        <v>330.24</v>
      </c>
      <c r="F937" s="3744">
        <f t="shared" si="40"/>
        <v>32363.52</v>
      </c>
    </row>
    <row r="938" spans="1:7" ht="14.25" customHeight="1">
      <c r="A938" s="17">
        <v>2.2000000000000002</v>
      </c>
      <c r="B938" s="3563" t="s">
        <v>2993</v>
      </c>
      <c r="C938" s="3566">
        <v>48.37</v>
      </c>
      <c r="D938" s="4251" t="s">
        <v>2431</v>
      </c>
      <c r="E938" s="1251">
        <v>72.099999999999994</v>
      </c>
      <c r="F938" s="3564">
        <f t="shared" si="40"/>
        <v>3487.48</v>
      </c>
    </row>
    <row r="939" spans="1:7" ht="14.25" customHeight="1">
      <c r="A939" s="17">
        <v>2.2999999999999998</v>
      </c>
      <c r="B939" s="3563" t="s">
        <v>2994</v>
      </c>
      <c r="C939" s="4105">
        <v>64.52</v>
      </c>
      <c r="D939" s="4528" t="s">
        <v>2431</v>
      </c>
      <c r="E939" s="3743">
        <v>210</v>
      </c>
      <c r="F939" s="3744">
        <f t="shared" si="40"/>
        <v>13549.2</v>
      </c>
    </row>
    <row r="940" spans="1:7" ht="12.75" customHeight="1">
      <c r="A940" s="17"/>
      <c r="B940" s="3567"/>
      <c r="C940" s="3566"/>
      <c r="D940" s="1252"/>
      <c r="E940" s="1251"/>
      <c r="F940" s="3564" t="str">
        <f t="shared" si="40"/>
        <v xml:space="preserve"> </v>
      </c>
    </row>
    <row r="941" spans="1:7" ht="12.75" customHeight="1">
      <c r="A941" s="3560">
        <v>3</v>
      </c>
      <c r="B941" s="3565" t="s">
        <v>2995</v>
      </c>
      <c r="C941" s="3566"/>
      <c r="D941" s="1252"/>
      <c r="E941" s="1251"/>
      <c r="F941" s="3564" t="str">
        <f t="shared" si="40"/>
        <v xml:space="preserve"> </v>
      </c>
    </row>
    <row r="942" spans="1:7" ht="14.25" customHeight="1">
      <c r="A942" s="17">
        <v>3.1</v>
      </c>
      <c r="B942" s="3563" t="s">
        <v>2996</v>
      </c>
      <c r="C942" s="3566">
        <v>22.35</v>
      </c>
      <c r="D942" s="4518" t="s">
        <v>2430</v>
      </c>
      <c r="E942" s="1251">
        <v>9706.93</v>
      </c>
      <c r="F942" s="3564">
        <f t="shared" si="40"/>
        <v>216949.89</v>
      </c>
    </row>
    <row r="943" spans="1:7" ht="28.5" customHeight="1">
      <c r="A943" s="17">
        <v>3.2</v>
      </c>
      <c r="B943" s="3563" t="s">
        <v>2997</v>
      </c>
      <c r="C943" s="1251">
        <v>5.58</v>
      </c>
      <c r="D943" s="4518" t="s">
        <v>2430</v>
      </c>
      <c r="E943" s="1251">
        <v>13406.66</v>
      </c>
      <c r="F943" s="3564">
        <f t="shared" si="40"/>
        <v>74809.16</v>
      </c>
    </row>
    <row r="944" spans="1:7" ht="13.5" customHeight="1">
      <c r="A944" s="17">
        <v>3.3</v>
      </c>
      <c r="B944" s="3563" t="s">
        <v>3967</v>
      </c>
      <c r="C944" s="3566">
        <v>8.4499999999999993</v>
      </c>
      <c r="D944" s="4518" t="s">
        <v>2430</v>
      </c>
      <c r="E944" s="1251">
        <v>29128.06</v>
      </c>
      <c r="F944" s="3564">
        <f t="shared" si="40"/>
        <v>246132.11</v>
      </c>
    </row>
    <row r="945" spans="1:7" ht="13.5" customHeight="1">
      <c r="A945" s="17">
        <v>3.4</v>
      </c>
      <c r="B945" s="3563" t="s">
        <v>3968</v>
      </c>
      <c r="C945" s="3566">
        <v>6.69</v>
      </c>
      <c r="D945" s="4518" t="s">
        <v>2430</v>
      </c>
      <c r="E945" s="1251">
        <v>23558.36</v>
      </c>
      <c r="F945" s="3564">
        <f t="shared" si="40"/>
        <v>157605.43</v>
      </c>
    </row>
    <row r="946" spans="1:7" ht="13.5" customHeight="1">
      <c r="A946" s="17">
        <v>3.5</v>
      </c>
      <c r="B946" s="3563" t="s">
        <v>3969</v>
      </c>
      <c r="C946" s="3566">
        <v>9.4499999999999993</v>
      </c>
      <c r="D946" s="4518" t="s">
        <v>2430</v>
      </c>
      <c r="E946" s="1251">
        <v>20037.98</v>
      </c>
      <c r="F946" s="3564">
        <f t="shared" si="40"/>
        <v>189358.91</v>
      </c>
    </row>
    <row r="947" spans="1:7" ht="31.5" customHeight="1">
      <c r="A947" s="17">
        <v>3.6</v>
      </c>
      <c r="B947" s="3563" t="s">
        <v>2998</v>
      </c>
      <c r="C947" s="3566">
        <v>1.32</v>
      </c>
      <c r="D947" s="4518" t="s">
        <v>2430</v>
      </c>
      <c r="E947" s="1251">
        <v>14906.77</v>
      </c>
      <c r="F947" s="3564">
        <f t="shared" si="40"/>
        <v>19676.939999999999</v>
      </c>
    </row>
    <row r="948" spans="1:7" ht="12.75" customHeight="1">
      <c r="A948" s="17"/>
      <c r="B948" s="3567"/>
      <c r="C948" s="3566"/>
      <c r="D948" s="4526"/>
      <c r="E948" s="1251"/>
      <c r="F948" s="3564" t="str">
        <f t="shared" si="40"/>
        <v xml:space="preserve"> </v>
      </c>
    </row>
    <row r="949" spans="1:7" ht="12.75" customHeight="1">
      <c r="A949" s="4430">
        <v>4</v>
      </c>
      <c r="B949" s="3565" t="s">
        <v>2999</v>
      </c>
      <c r="C949" s="3566"/>
      <c r="D949" s="4526"/>
      <c r="E949" s="1251"/>
      <c r="F949" s="3564" t="str">
        <f t="shared" si="40"/>
        <v xml:space="preserve"> </v>
      </c>
    </row>
    <row r="950" spans="1:7" ht="14.25" customHeight="1">
      <c r="A950" s="17">
        <v>4.0999999999999996</v>
      </c>
      <c r="B950" s="3563" t="s">
        <v>3795</v>
      </c>
      <c r="C950" s="3566">
        <v>574.73</v>
      </c>
      <c r="D950" s="4251" t="s">
        <v>2432</v>
      </c>
      <c r="E950" s="1251">
        <v>1309.51</v>
      </c>
      <c r="F950" s="3564">
        <f t="shared" si="40"/>
        <v>752614.68</v>
      </c>
    </row>
    <row r="951" spans="1:7" ht="14.25" customHeight="1">
      <c r="A951" s="17">
        <v>4.2</v>
      </c>
      <c r="B951" s="3563" t="s">
        <v>3718</v>
      </c>
      <c r="C951" s="3566">
        <v>88.42</v>
      </c>
      <c r="D951" s="4251" t="s">
        <v>2432</v>
      </c>
      <c r="E951" s="1251">
        <v>1168.02</v>
      </c>
      <c r="F951" s="3564">
        <f t="shared" si="40"/>
        <v>103276.33</v>
      </c>
    </row>
    <row r="952" spans="1:7" ht="12.75" customHeight="1">
      <c r="A952" s="17"/>
      <c r="B952" s="3567"/>
      <c r="C952" s="3566"/>
      <c r="D952" s="1252"/>
      <c r="E952" s="1251"/>
      <c r="F952" s="3564" t="str">
        <f t="shared" si="40"/>
        <v xml:space="preserve"> </v>
      </c>
    </row>
    <row r="953" spans="1:7" ht="12.75" customHeight="1">
      <c r="A953" s="3560">
        <v>5</v>
      </c>
      <c r="B953" s="3565" t="s">
        <v>787</v>
      </c>
      <c r="C953" s="3566"/>
      <c r="D953" s="1252"/>
      <c r="E953" s="1251"/>
      <c r="F953" s="3564" t="str">
        <f t="shared" si="40"/>
        <v xml:space="preserve"> </v>
      </c>
    </row>
    <row r="954" spans="1:7" s="4238" customFormat="1" ht="14.25" customHeight="1">
      <c r="A954" s="4394">
        <v>5.0999999999999996</v>
      </c>
      <c r="B954" s="4232" t="s">
        <v>2568</v>
      </c>
      <c r="C954" s="4233">
        <v>239.36</v>
      </c>
      <c r="D954" s="4251" t="s">
        <v>2432</v>
      </c>
      <c r="E954" s="4235">
        <v>56.57</v>
      </c>
      <c r="F954" s="4235">
        <f t="shared" si="40"/>
        <v>13540.6</v>
      </c>
      <c r="G954" s="3557"/>
    </row>
    <row r="955" spans="1:7" ht="14.25" customHeight="1">
      <c r="A955" s="4394">
        <v>5.2</v>
      </c>
      <c r="B955" s="4232" t="s">
        <v>3000</v>
      </c>
      <c r="C955" s="4233">
        <v>239.36</v>
      </c>
      <c r="D955" s="4251" t="s">
        <v>2432</v>
      </c>
      <c r="E955" s="4235">
        <v>382.2</v>
      </c>
      <c r="F955" s="4235">
        <f t="shared" si="40"/>
        <v>91483.39</v>
      </c>
    </row>
    <row r="956" spans="1:7" s="4166" customFormat="1" ht="14.25" customHeight="1">
      <c r="A956" s="4165">
        <v>5.3</v>
      </c>
      <c r="B956" s="3563" t="s">
        <v>1548</v>
      </c>
      <c r="C956" s="4105">
        <v>1395.15</v>
      </c>
      <c r="D956" s="4529" t="s">
        <v>1</v>
      </c>
      <c r="E956" s="3743">
        <v>107.14</v>
      </c>
      <c r="F956" s="3744">
        <f t="shared" si="40"/>
        <v>149476.37</v>
      </c>
      <c r="G956" s="3557"/>
    </row>
    <row r="957" spans="1:7" ht="12.75" customHeight="1">
      <c r="A957" s="734"/>
      <c r="B957" s="3565"/>
      <c r="C957" s="3566"/>
      <c r="D957" s="1252"/>
      <c r="E957" s="1251"/>
      <c r="F957" s="3564" t="str">
        <f t="shared" si="40"/>
        <v xml:space="preserve"> </v>
      </c>
    </row>
    <row r="958" spans="1:7" ht="12.75" customHeight="1">
      <c r="A958" s="3560">
        <v>6</v>
      </c>
      <c r="B958" s="3565" t="s">
        <v>202</v>
      </c>
      <c r="C958" s="3566"/>
      <c r="D958" s="1252"/>
      <c r="E958" s="1251"/>
      <c r="F958" s="3564" t="str">
        <f t="shared" si="40"/>
        <v xml:space="preserve"> </v>
      </c>
    </row>
    <row r="959" spans="1:7" ht="14.25" customHeight="1">
      <c r="A959" s="4394">
        <v>6.1</v>
      </c>
      <c r="B959" s="4232" t="s">
        <v>3001</v>
      </c>
      <c r="C959" s="4233">
        <v>239.36</v>
      </c>
      <c r="D959" s="4251" t="s">
        <v>2432</v>
      </c>
      <c r="E959" s="4235">
        <v>94.92</v>
      </c>
      <c r="F959" s="4235">
        <f t="shared" si="40"/>
        <v>22720.05</v>
      </c>
    </row>
    <row r="960" spans="1:7" ht="14.25" customHeight="1">
      <c r="A960" s="17">
        <v>6.2</v>
      </c>
      <c r="B960" s="3563" t="s">
        <v>3573</v>
      </c>
      <c r="C960" s="3566">
        <v>239.36</v>
      </c>
      <c r="D960" s="4251" t="s">
        <v>2432</v>
      </c>
      <c r="E960" s="3741">
        <v>132.63999999999999</v>
      </c>
      <c r="F960" s="3564">
        <f t="shared" si="40"/>
        <v>31748.71</v>
      </c>
    </row>
    <row r="961" spans="1:7" ht="14.25" customHeight="1">
      <c r="A961" s="17"/>
      <c r="B961" s="3563"/>
      <c r="C961" s="3566"/>
      <c r="D961" s="1252"/>
      <c r="E961" s="1251"/>
      <c r="F961" s="3564" t="str">
        <f t="shared" si="40"/>
        <v xml:space="preserve"> </v>
      </c>
    </row>
    <row r="962" spans="1:7" ht="14.25" customHeight="1">
      <c r="A962" s="3560">
        <v>7</v>
      </c>
      <c r="B962" s="3563" t="s">
        <v>3002</v>
      </c>
      <c r="C962" s="3566">
        <v>236.25</v>
      </c>
      <c r="D962" s="1252" t="s">
        <v>1</v>
      </c>
      <c r="E962" s="1251">
        <v>753.25</v>
      </c>
      <c r="F962" s="3564">
        <f t="shared" si="40"/>
        <v>177955.31</v>
      </c>
    </row>
    <row r="963" spans="1:7" ht="28.5" customHeight="1">
      <c r="A963" s="3560">
        <v>8</v>
      </c>
      <c r="B963" s="3563" t="s">
        <v>3003</v>
      </c>
      <c r="C963" s="1251">
        <v>15.6</v>
      </c>
      <c r="D963" s="1252" t="s">
        <v>1</v>
      </c>
      <c r="E963" s="1251">
        <v>94.63</v>
      </c>
      <c r="F963" s="3564">
        <f t="shared" si="40"/>
        <v>1476.23</v>
      </c>
    </row>
    <row r="964" spans="1:7" ht="28.5" customHeight="1">
      <c r="A964" s="3560">
        <v>9</v>
      </c>
      <c r="B964" s="3563" t="s">
        <v>3004</v>
      </c>
      <c r="C964" s="3566">
        <v>24</v>
      </c>
      <c r="D964" s="4251" t="s">
        <v>2433</v>
      </c>
      <c r="E964" s="1251">
        <v>1292.56</v>
      </c>
      <c r="F964" s="3564">
        <f t="shared" si="40"/>
        <v>31021.439999999999</v>
      </c>
    </row>
    <row r="965" spans="1:7" ht="14.25" customHeight="1">
      <c r="A965" s="17"/>
      <c r="B965" s="3563"/>
      <c r="C965" s="3566"/>
      <c r="D965" s="4530"/>
      <c r="E965" s="1251"/>
      <c r="F965" s="3564" t="str">
        <f t="shared" si="40"/>
        <v xml:space="preserve"> </v>
      </c>
    </row>
    <row r="966" spans="1:7" ht="14.25" customHeight="1">
      <c r="A966" s="3560">
        <v>10</v>
      </c>
      <c r="B966" s="3563" t="s">
        <v>3005</v>
      </c>
      <c r="C966" s="3568">
        <v>1</v>
      </c>
      <c r="D966" s="4251" t="s">
        <v>2433</v>
      </c>
      <c r="E966" s="1251">
        <v>81545</v>
      </c>
      <c r="F966" s="3564">
        <f t="shared" si="40"/>
        <v>81545</v>
      </c>
    </row>
    <row r="967" spans="1:7" s="4268" customFormat="1" ht="12.75" customHeight="1">
      <c r="A967" s="4306"/>
      <c r="B967" s="4306" t="s">
        <v>3951</v>
      </c>
      <c r="C967" s="4500"/>
      <c r="D967" s="4500"/>
      <c r="E967" s="4500"/>
      <c r="F967" s="4309">
        <f>SUM(F932:F966)</f>
        <v>2423543.2200000002</v>
      </c>
      <c r="G967" s="3557"/>
    </row>
    <row r="968" spans="1:7" s="4227" customFormat="1" ht="15" customHeight="1">
      <c r="A968" s="4395"/>
      <c r="B968" s="3435"/>
      <c r="C968" s="4266"/>
      <c r="D968" s="4273"/>
      <c r="E968" s="4235"/>
      <c r="F968" s="4235"/>
      <c r="G968" s="3557"/>
    </row>
    <row r="969" spans="1:7" s="4227" customFormat="1" ht="15" customHeight="1">
      <c r="A969" s="4280" t="s">
        <v>3952</v>
      </c>
      <c r="B969" s="3435" t="s">
        <v>3719</v>
      </c>
      <c r="C969" s="4266"/>
      <c r="D969" s="4273"/>
      <c r="E969" s="4235"/>
      <c r="F969" s="4235"/>
      <c r="G969" s="3557"/>
    </row>
    <row r="970" spans="1:7" ht="56.25" customHeight="1">
      <c r="A970" s="4418">
        <v>1</v>
      </c>
      <c r="B970" s="4372" t="s">
        <v>3964</v>
      </c>
      <c r="C970" s="4233">
        <v>1</v>
      </c>
      <c r="D970" s="4251" t="s">
        <v>2433</v>
      </c>
      <c r="E970" s="4235">
        <v>42500</v>
      </c>
      <c r="F970" s="4235">
        <f t="shared" si="40"/>
        <v>42500</v>
      </c>
    </row>
    <row r="971" spans="1:7" ht="28.5" customHeight="1">
      <c r="A971" s="4418">
        <v>2</v>
      </c>
      <c r="B971" s="4372" t="s">
        <v>3956</v>
      </c>
      <c r="C971" s="4233">
        <v>10</v>
      </c>
      <c r="D971" s="4251" t="s">
        <v>4050</v>
      </c>
      <c r="E971" s="4235">
        <v>35500</v>
      </c>
      <c r="F971" s="4235">
        <f t="shared" si="40"/>
        <v>355000</v>
      </c>
    </row>
    <row r="972" spans="1:7" s="3531" customFormat="1" ht="45.75" customHeight="1">
      <c r="A972" s="4360">
        <v>3</v>
      </c>
      <c r="B972" s="4372" t="s">
        <v>3965</v>
      </c>
      <c r="C972" s="4191">
        <v>1</v>
      </c>
      <c r="D972" s="4313" t="s">
        <v>42</v>
      </c>
      <c r="E972" s="4210">
        <v>203000</v>
      </c>
      <c r="F972" s="4361">
        <f>+ROUND((E972*C972),2)</f>
        <v>203000</v>
      </c>
      <c r="G972" s="3557"/>
    </row>
    <row r="973" spans="1:7" s="3531" customFormat="1" ht="18" customHeight="1">
      <c r="A973" s="4360">
        <v>4</v>
      </c>
      <c r="B973" s="4372" t="s">
        <v>3966</v>
      </c>
      <c r="C973" s="4191">
        <v>10</v>
      </c>
      <c r="D973" s="4251" t="s">
        <v>4050</v>
      </c>
      <c r="E973" s="4210">
        <v>6000</v>
      </c>
      <c r="F973" s="4361">
        <f>+ROUND((E973*C973),2)</f>
        <v>60000</v>
      </c>
      <c r="G973" s="3557"/>
    </row>
    <row r="974" spans="1:7" s="4268" customFormat="1" ht="12.75" customHeight="1">
      <c r="A974" s="4306"/>
      <c r="B974" s="4306" t="s">
        <v>3953</v>
      </c>
      <c r="C974" s="4307"/>
      <c r="D974" s="4307"/>
      <c r="E974" s="4307"/>
      <c r="F974" s="4309">
        <f>SUM(F970:F973)</f>
        <v>660500</v>
      </c>
      <c r="G974" s="3557"/>
    </row>
    <row r="975" spans="1:7" s="4242" customFormat="1">
      <c r="A975" s="4419"/>
      <c r="B975" s="4374" t="s">
        <v>15</v>
      </c>
      <c r="C975" s="4375"/>
      <c r="D975" s="4376"/>
      <c r="E975" s="4375"/>
      <c r="F975" s="4420">
        <f>F976</f>
        <v>73864757.930000007</v>
      </c>
      <c r="G975" s="3557"/>
    </row>
    <row r="976" spans="1:7" s="4242" customFormat="1">
      <c r="A976" s="4419"/>
      <c r="B976" s="4374" t="s">
        <v>15</v>
      </c>
      <c r="C976" s="4375"/>
      <c r="D976" s="4376"/>
      <c r="E976" s="4375"/>
      <c r="F976" s="4420">
        <f>+F974+F967+F929+F860+F803+F785+F729+F689+F624+F492+F445+F367+F180</f>
        <v>73864757.930000007</v>
      </c>
      <c r="G976" s="3557"/>
    </row>
    <row r="977" spans="1:7" ht="14.25">
      <c r="A977" s="4414"/>
      <c r="B977" s="4232"/>
      <c r="C977" s="4233"/>
      <c r="D977" s="4234"/>
      <c r="E977" s="4233"/>
      <c r="F977" s="4235" t="str">
        <f t="shared" si="40"/>
        <v xml:space="preserve"> </v>
      </c>
    </row>
    <row r="978" spans="1:7" s="4223" customFormat="1" ht="15" collapsed="1">
      <c r="A978" s="4402"/>
      <c r="B978" s="4215" t="s">
        <v>16</v>
      </c>
      <c r="C978" s="4337"/>
      <c r="D978" s="4338"/>
      <c r="E978" s="4312"/>
      <c r="F978" s="4312"/>
      <c r="G978" s="3557"/>
    </row>
    <row r="979" spans="1:7" ht="14.25">
      <c r="A979" s="4414"/>
      <c r="B979" s="4295" t="s">
        <v>3576</v>
      </c>
      <c r="C979" s="4381">
        <v>0.1</v>
      </c>
      <c r="D979" s="4249"/>
      <c r="E979" s="4405"/>
      <c r="F979" s="1263">
        <f>+C979*$F$976</f>
        <v>7386475.79</v>
      </c>
    </row>
    <row r="980" spans="1:7" ht="14.25">
      <c r="A980" s="4414"/>
      <c r="B980" s="4295" t="s">
        <v>3577</v>
      </c>
      <c r="C980" s="4381">
        <v>0.05</v>
      </c>
      <c r="D980" s="4249"/>
      <c r="E980" s="4405"/>
      <c r="F980" s="1263">
        <f t="shared" ref="F980:F990" si="41">+C980*$F$976</f>
        <v>3693237.9</v>
      </c>
    </row>
    <row r="981" spans="1:7" ht="14.25">
      <c r="A981" s="4414"/>
      <c r="B981" s="4295" t="s">
        <v>3578</v>
      </c>
      <c r="C981" s="4381">
        <v>0.03</v>
      </c>
      <c r="D981" s="4249"/>
      <c r="E981" s="4405"/>
      <c r="F981" s="1263">
        <f t="shared" si="41"/>
        <v>2215942.7400000002</v>
      </c>
    </row>
    <row r="982" spans="1:7" ht="14.25">
      <c r="A982" s="4414"/>
      <c r="B982" s="4295" t="s">
        <v>3579</v>
      </c>
      <c r="C982" s="4381">
        <v>0.04</v>
      </c>
      <c r="D982" s="4249"/>
      <c r="E982" s="4405"/>
      <c r="F982" s="1263">
        <f t="shared" si="41"/>
        <v>2954590.32</v>
      </c>
    </row>
    <row r="983" spans="1:7" ht="14.25">
      <c r="A983" s="4414"/>
      <c r="B983" s="4295" t="s">
        <v>3580</v>
      </c>
      <c r="C983" s="4381">
        <v>0.03</v>
      </c>
      <c r="D983" s="4249"/>
      <c r="E983" s="4405"/>
      <c r="F983" s="1263">
        <f t="shared" si="41"/>
        <v>2215942.7400000002</v>
      </c>
    </row>
    <row r="984" spans="1:7" ht="14.25">
      <c r="A984" s="4414"/>
      <c r="B984" s="4295" t="s">
        <v>3581</v>
      </c>
      <c r="C984" s="4381">
        <v>0.01</v>
      </c>
      <c r="D984" s="4249"/>
      <c r="E984" s="4405"/>
      <c r="F984" s="1263">
        <f t="shared" si="41"/>
        <v>738647.58</v>
      </c>
    </row>
    <row r="985" spans="1:7" ht="14.25">
      <c r="A985" s="4414"/>
      <c r="B985" s="4295" t="s">
        <v>3954</v>
      </c>
      <c r="C985" s="4381">
        <v>0.18</v>
      </c>
      <c r="D985" s="4249"/>
      <c r="E985" s="4405"/>
      <c r="F985" s="1263">
        <f>+C985*$F$979</f>
        <v>1329565.6399999999</v>
      </c>
    </row>
    <row r="986" spans="1:7" ht="14.25">
      <c r="A986" s="4390"/>
      <c r="B986" s="4295" t="s">
        <v>3582</v>
      </c>
      <c r="C986" s="4381">
        <v>0.1</v>
      </c>
      <c r="D986" s="4249"/>
      <c r="E986" s="4405"/>
      <c r="F986" s="1263">
        <f t="shared" si="41"/>
        <v>7386475.79</v>
      </c>
    </row>
    <row r="987" spans="1:7" ht="28.5">
      <c r="A987" s="4390"/>
      <c r="B987" s="4295" t="s">
        <v>4029</v>
      </c>
      <c r="C987" s="4381">
        <v>0.03</v>
      </c>
      <c r="D987" s="4249"/>
      <c r="E987" s="4405"/>
      <c r="F987" s="1263">
        <f t="shared" si="41"/>
        <v>2215942.7400000002</v>
      </c>
    </row>
    <row r="988" spans="1:7" ht="14.25">
      <c r="A988" s="4390"/>
      <c r="B988" s="4295" t="s">
        <v>3583</v>
      </c>
      <c r="C988" s="4381">
        <v>1.4999999999999999E-2</v>
      </c>
      <c r="D988" s="4249"/>
      <c r="E988" s="4405"/>
      <c r="F988" s="1263">
        <f t="shared" si="41"/>
        <v>1107971.3700000001</v>
      </c>
    </row>
    <row r="989" spans="1:7" ht="14.25">
      <c r="A989" s="4390"/>
      <c r="B989" s="4295" t="s">
        <v>459</v>
      </c>
      <c r="C989" s="4381">
        <v>1E-3</v>
      </c>
      <c r="D989" s="4249"/>
      <c r="E989" s="4405"/>
      <c r="F989" s="1263">
        <f t="shared" si="41"/>
        <v>73864.759999999995</v>
      </c>
    </row>
    <row r="990" spans="1:7" ht="14.25">
      <c r="A990" s="4390"/>
      <c r="B990" s="4295" t="s">
        <v>3584</v>
      </c>
      <c r="C990" s="4381">
        <v>0.05</v>
      </c>
      <c r="D990" s="4249"/>
      <c r="E990" s="4405"/>
      <c r="F990" s="1263">
        <f t="shared" si="41"/>
        <v>3693237.9</v>
      </c>
    </row>
    <row r="991" spans="1:7" ht="14.25">
      <c r="A991" s="4414"/>
      <c r="B991" s="4295" t="s">
        <v>3955</v>
      </c>
      <c r="C991" s="4248">
        <v>1</v>
      </c>
      <c r="D991" s="4249" t="s">
        <v>42</v>
      </c>
      <c r="E991" s="1263">
        <v>74771.56</v>
      </c>
      <c r="F991" s="1263">
        <f>+E991*C991</f>
        <v>74771.56</v>
      </c>
    </row>
    <row r="992" spans="1:7" ht="14.25">
      <c r="A992" s="4414"/>
      <c r="B992" s="4295" t="s">
        <v>2742</v>
      </c>
      <c r="C992" s="4248">
        <v>1</v>
      </c>
      <c r="D992" s="4249" t="s">
        <v>42</v>
      </c>
      <c r="E992" s="1263">
        <v>27037.19</v>
      </c>
      <c r="F992" s="1263">
        <f>+E992*C992</f>
        <v>27037.19</v>
      </c>
    </row>
    <row r="993" spans="1:7" ht="14.25">
      <c r="A993" s="4414"/>
      <c r="B993" s="4295" t="s">
        <v>3585</v>
      </c>
      <c r="C993" s="4248">
        <v>1</v>
      </c>
      <c r="D993" s="1264" t="s">
        <v>2433</v>
      </c>
      <c r="E993" s="1263">
        <v>20000</v>
      </c>
      <c r="F993" s="1263">
        <f>E993*C993</f>
        <v>20000</v>
      </c>
    </row>
    <row r="994" spans="1:7" ht="14.25">
      <c r="A994" s="4414"/>
      <c r="B994" s="4295" t="s">
        <v>3574</v>
      </c>
      <c r="C994" s="4248">
        <v>1</v>
      </c>
      <c r="D994" s="1264" t="s">
        <v>2433</v>
      </c>
      <c r="E994" s="1263">
        <v>40000</v>
      </c>
      <c r="F994" s="1263">
        <f>E994*C994</f>
        <v>40000</v>
      </c>
    </row>
    <row r="995" spans="1:7" ht="14.25">
      <c r="A995" s="4390"/>
      <c r="B995" s="4373" t="s">
        <v>23</v>
      </c>
      <c r="C995" s="4382"/>
      <c r="D995" s="4383"/>
      <c r="E995" s="4247"/>
      <c r="F995" s="4369">
        <f>SUBTOTAL(9,F978:F994)</f>
        <v>35173704.020000003</v>
      </c>
    </row>
    <row r="996" spans="1:7" s="4379" customFormat="1" ht="15.75" thickBot="1">
      <c r="A996" s="4421"/>
      <c r="B996" s="4380" t="s">
        <v>3962</v>
      </c>
      <c r="C996" s="4377"/>
      <c r="D996" s="4378"/>
      <c r="E996" s="4377"/>
      <c r="F996" s="4422">
        <f>+F995+F976</f>
        <v>109038461.95</v>
      </c>
      <c r="G996" s="3557"/>
    </row>
    <row r="997" spans="1:7" s="4223" customFormat="1" ht="15">
      <c r="A997" s="4393"/>
      <c r="B997" s="4431"/>
      <c r="C997" s="4212"/>
      <c r="D997" s="4218"/>
      <c r="E997" s="4212"/>
      <c r="F997" s="4312"/>
      <c r="G997" s="3557"/>
    </row>
    <row r="998" spans="1:7" s="4379" customFormat="1" ht="15">
      <c r="A998" s="4423"/>
      <c r="B998" s="4424" t="s">
        <v>3963</v>
      </c>
      <c r="C998" s="4425"/>
      <c r="D998" s="4426"/>
      <c r="E998" s="4425"/>
      <c r="F998" s="4427">
        <f>+F996</f>
        <v>109038461.95</v>
      </c>
      <c r="G998" s="3557"/>
    </row>
    <row r="999" spans="1:7" ht="14.25">
      <c r="A999" s="3436"/>
      <c r="B999" s="3437"/>
      <c r="C999" s="4296"/>
      <c r="D999" s="4297"/>
      <c r="E999" s="4281"/>
      <c r="F999" s="4281"/>
    </row>
    <row r="1000" spans="1:7" ht="14.25">
      <c r="A1000" s="3436"/>
      <c r="B1000" s="3437"/>
      <c r="C1000" s="4296"/>
      <c r="D1000" s="4297"/>
      <c r="E1000" s="4281"/>
      <c r="F1000" s="4281"/>
    </row>
    <row r="1001" spans="1:7" ht="14.25">
      <c r="A1001" s="5177" t="s">
        <v>463</v>
      </c>
      <c r="B1001" s="5177"/>
      <c r="C1001" s="5177" t="s">
        <v>464</v>
      </c>
      <c r="D1001" s="5177"/>
      <c r="E1001" s="5177"/>
      <c r="F1001" s="5177"/>
    </row>
    <row r="1002" spans="1:7" ht="14.25">
      <c r="A1002" s="3436"/>
      <c r="B1002" s="3437"/>
      <c r="C1002" s="4296"/>
      <c r="D1002" s="4297"/>
      <c r="E1002" s="4281"/>
      <c r="F1002" s="4281"/>
    </row>
    <row r="1003" spans="1:7" ht="14.25">
      <c r="A1003" s="3436"/>
      <c r="B1003" s="3437"/>
      <c r="C1003" s="4296"/>
      <c r="D1003" s="4297"/>
      <c r="E1003" s="4281"/>
      <c r="F1003" s="4281"/>
    </row>
    <row r="1004" spans="1:7" ht="14.25">
      <c r="A1004" s="3436"/>
      <c r="B1004" s="3437"/>
      <c r="C1004" s="4296"/>
      <c r="D1004" s="4297"/>
      <c r="E1004" s="4281"/>
      <c r="F1004" s="4281"/>
    </row>
    <row r="1005" spans="1:7" ht="14.25">
      <c r="A1005" s="5178"/>
      <c r="B1005" s="5178"/>
      <c r="C1005" s="5177"/>
      <c r="D1005" s="5177"/>
      <c r="E1005" s="5177"/>
      <c r="F1005" s="5177"/>
    </row>
    <row r="1006" spans="1:7" ht="14.25">
      <c r="A1006" s="5179" t="s">
        <v>465</v>
      </c>
      <c r="B1006" s="5179"/>
      <c r="C1006" s="5177" t="s">
        <v>466</v>
      </c>
      <c r="D1006" s="5177"/>
      <c r="E1006" s="5177"/>
      <c r="F1006" s="5177"/>
    </row>
    <row r="1007" spans="1:7" ht="14.25">
      <c r="A1007" s="3436"/>
      <c r="B1007" s="3437"/>
      <c r="C1007" s="4296"/>
      <c r="D1007" s="4297"/>
      <c r="E1007" s="4281"/>
      <c r="F1007" s="4281"/>
    </row>
    <row r="1008" spans="1:7" ht="14.25">
      <c r="A1008" s="3436"/>
      <c r="B1008" s="3437"/>
      <c r="C1008" s="4296"/>
      <c r="D1008" s="4297"/>
      <c r="E1008" s="4281"/>
      <c r="F1008" s="4281"/>
    </row>
    <row r="1009" spans="1:6" ht="14.25">
      <c r="A1009" s="3436"/>
      <c r="B1009" s="3437"/>
      <c r="C1009" s="4296"/>
      <c r="D1009" s="4297"/>
      <c r="E1009" s="4281"/>
      <c r="F1009" s="4281"/>
    </row>
    <row r="1010" spans="1:6" ht="14.25">
      <c r="A1010" s="3436"/>
      <c r="B1010" s="3437"/>
      <c r="C1010" s="4296"/>
      <c r="D1010" s="4297"/>
      <c r="E1010" s="4281"/>
      <c r="F1010" s="4281"/>
    </row>
    <row r="1011" spans="1:6" ht="14.25">
      <c r="A1011" s="3436"/>
      <c r="B1011" s="3437"/>
      <c r="C1011" s="4296"/>
      <c r="D1011" s="4297"/>
      <c r="E1011" s="4281"/>
      <c r="F1011" s="4281"/>
    </row>
    <row r="1012" spans="1:6" ht="14.25">
      <c r="A1012" s="3436"/>
      <c r="B1012" s="3437"/>
      <c r="C1012" s="4296"/>
      <c r="D1012" s="4297"/>
      <c r="E1012" s="4281"/>
      <c r="F1012" s="4281"/>
    </row>
    <row r="1013" spans="1:6" ht="14.25">
      <c r="A1013" s="3436"/>
      <c r="B1013" s="3437"/>
      <c r="C1013" s="4296"/>
      <c r="D1013" s="4297"/>
      <c r="E1013" s="4281"/>
      <c r="F1013" s="4281"/>
    </row>
    <row r="1014" spans="1:6" ht="14.25">
      <c r="A1014" s="5177" t="s">
        <v>467</v>
      </c>
      <c r="B1014" s="5177"/>
      <c r="C1014" s="5177" t="s">
        <v>468</v>
      </c>
      <c r="D1014" s="5177"/>
      <c r="E1014" s="5177"/>
      <c r="F1014" s="5177"/>
    </row>
    <row r="1015" spans="1:6" ht="14.25">
      <c r="A1015" s="3436"/>
      <c r="B1015" s="3437"/>
      <c r="C1015" s="4296"/>
      <c r="D1015" s="4297"/>
      <c r="E1015" s="4281"/>
      <c r="F1015" s="4281"/>
    </row>
    <row r="1016" spans="1:6" ht="14.25">
      <c r="A1016" s="3436"/>
      <c r="B1016" s="3437"/>
      <c r="C1016" s="4296"/>
      <c r="D1016" s="4297"/>
      <c r="E1016" s="4281"/>
      <c r="F1016" s="4281"/>
    </row>
    <row r="1017" spans="1:6" ht="14.25">
      <c r="A1017" s="5178"/>
      <c r="B1017" s="5178"/>
      <c r="C1017" s="5177"/>
      <c r="D1017" s="5177"/>
      <c r="E1017" s="5177"/>
      <c r="F1017" s="5177"/>
    </row>
    <row r="1018" spans="1:6" ht="14.25">
      <c r="A1018" s="5179" t="s">
        <v>471</v>
      </c>
      <c r="B1018" s="5179"/>
      <c r="C1018" s="5177" t="s">
        <v>472</v>
      </c>
      <c r="D1018" s="5177"/>
      <c r="E1018" s="5177"/>
      <c r="F1018" s="5177"/>
    </row>
    <row r="1019" spans="1:6" ht="14.25">
      <c r="A1019" s="3436"/>
      <c r="B1019" s="3437"/>
      <c r="C1019" s="4296"/>
      <c r="D1019" s="4297"/>
      <c r="E1019" s="4281"/>
      <c r="F1019" s="4281"/>
    </row>
    <row r="1020" spans="1:6" ht="14.25">
      <c r="A1020" s="3438"/>
      <c r="B1020" s="4298"/>
      <c r="C1020" s="4166"/>
      <c r="D1020" s="4258"/>
      <c r="E1020" s="4166"/>
      <c r="F1020" s="4166"/>
    </row>
  </sheetData>
  <autoFilter ref="A11:F1026" xr:uid="{00000000-0009-0000-0000-000007000000}"/>
  <mergeCells count="17">
    <mergeCell ref="A1017:B1017"/>
    <mergeCell ref="C1017:F1017"/>
    <mergeCell ref="A1018:B1018"/>
    <mergeCell ref="C1018:F1018"/>
    <mergeCell ref="A1005:B1005"/>
    <mergeCell ref="C1005:F1005"/>
    <mergeCell ref="A1006:B1006"/>
    <mergeCell ref="C1006:F1006"/>
    <mergeCell ref="A1014:B1014"/>
    <mergeCell ref="C1014:F1014"/>
    <mergeCell ref="A1001:B1001"/>
    <mergeCell ref="C1001:F1001"/>
    <mergeCell ref="A2:F2"/>
    <mergeCell ref="A3:F3"/>
    <mergeCell ref="A4:F4"/>
    <mergeCell ref="A5:F5"/>
    <mergeCell ref="B8:E8"/>
  </mergeCells>
  <conditionalFormatting sqref="F1">
    <cfRule type="cellIs" dxfId="5" priority="3" operator="lessThan">
      <formula>0</formula>
    </cfRule>
  </conditionalFormatting>
  <conditionalFormatting sqref="E1">
    <cfRule type="cellIs" dxfId="4" priority="1" operator="greaterThan">
      <formula>0</formula>
    </cfRule>
    <cfRule type="cellIs" dxfId="3"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E1662"/>
  <sheetViews>
    <sheetView showGridLines="0" showZeros="0" tabSelected="1" view="pageBreakPreview" topLeftCell="A13" zoomScaleNormal="100" zoomScaleSheetLayoutView="100" workbookViewId="0">
      <selection activeCell="C16" sqref="C16"/>
    </sheetView>
  </sheetViews>
  <sheetFormatPr baseColWidth="10" defaultColWidth="11.42578125" defaultRowHeight="14.25" outlineLevelRow="1"/>
  <cols>
    <col min="1" max="1" width="9.7109375" style="4585" customWidth="1"/>
    <col min="2" max="2" width="64" style="4298" customWidth="1"/>
    <col min="3" max="3" width="10.7109375" style="4238" customWidth="1"/>
    <col min="4" max="4" width="9" style="4609" customWidth="1"/>
    <col min="5" max="5" width="13" style="4238" customWidth="1"/>
    <col min="6" max="6" width="18.28515625" style="4238" customWidth="1"/>
    <col min="7" max="7" width="13.7109375" style="4166" bestFit="1" customWidth="1"/>
    <col min="8" max="8" width="16.7109375" style="4166" bestFit="1" customWidth="1"/>
    <col min="9" max="9" width="13.7109375" style="4166" bestFit="1" customWidth="1"/>
    <col min="10" max="10" width="12.7109375" style="4166" bestFit="1" customWidth="1"/>
    <col min="11" max="11" width="15" style="4166" customWidth="1"/>
    <col min="12" max="12" width="14.7109375" style="4166" bestFit="1" customWidth="1"/>
    <col min="13" max="16384" width="11.42578125" style="4166"/>
  </cols>
  <sheetData>
    <row r="1" spans="1:7" s="4238" customFormat="1" ht="12.75">
      <c r="A1" s="4428"/>
      <c r="B1" s="1904"/>
      <c r="C1" s="4655"/>
      <c r="D1" s="4237"/>
      <c r="E1" s="4243"/>
      <c r="F1" s="4243"/>
    </row>
    <row r="2" spans="1:7" s="4238" customFormat="1" ht="12.75">
      <c r="A2" s="5180"/>
      <c r="B2" s="5180"/>
      <c r="C2" s="5180"/>
      <c r="D2" s="5180"/>
      <c r="E2" s="5180"/>
      <c r="F2" s="5180"/>
    </row>
    <row r="3" spans="1:7" s="4238" customFormat="1" ht="12.75">
      <c r="A3" s="5180"/>
      <c r="B3" s="5180"/>
      <c r="C3" s="5180"/>
      <c r="D3" s="5180"/>
      <c r="E3" s="5180"/>
      <c r="F3" s="5180"/>
    </row>
    <row r="4" spans="1:7" s="4238" customFormat="1" ht="12.75">
      <c r="A4" s="5180"/>
      <c r="B4" s="5180"/>
      <c r="C4" s="5180"/>
      <c r="D4" s="5180"/>
      <c r="E4" s="5180"/>
      <c r="F4" s="5180"/>
    </row>
    <row r="5" spans="1:7" s="4238" customFormat="1" ht="12.75">
      <c r="A5" s="5180"/>
      <c r="B5" s="5180"/>
      <c r="C5" s="5180"/>
      <c r="D5" s="5180"/>
      <c r="E5" s="5180"/>
      <c r="F5" s="5180"/>
    </row>
    <row r="6" spans="1:7" s="4238" customFormat="1" ht="12.75">
      <c r="A6" s="4428"/>
      <c r="B6" s="4429"/>
      <c r="C6" s="4655"/>
      <c r="D6" s="4237"/>
      <c r="E6" s="4655"/>
      <c r="F6" s="4243"/>
    </row>
    <row r="7" spans="1:7" s="4242" customFormat="1" ht="12.75">
      <c r="A7" s="4656"/>
      <c r="B7" s="4628"/>
      <c r="C7" s="4240"/>
      <c r="D7" s="5052"/>
      <c r="E7" s="4241"/>
      <c r="F7" s="4241"/>
    </row>
    <row r="8" spans="1:7" s="4242" customFormat="1" ht="12.75">
      <c r="A8" s="4656" t="s">
        <v>2210</v>
      </c>
      <c r="B8" s="5181" t="s">
        <v>4718</v>
      </c>
      <c r="C8" s="5181"/>
      <c r="D8" s="5181"/>
      <c r="E8" s="5181"/>
      <c r="F8" s="4241"/>
    </row>
    <row r="9" spans="1:7" s="4242" customFormat="1" ht="12.75">
      <c r="A9" s="4656" t="s">
        <v>4719</v>
      </c>
      <c r="B9" s="4630" t="s">
        <v>4720</v>
      </c>
      <c r="C9" s="4240"/>
      <c r="D9" s="5052" t="s">
        <v>4721</v>
      </c>
      <c r="E9" s="4241"/>
      <c r="F9" s="4241"/>
    </row>
    <row r="10" spans="1:7" s="4238" customFormat="1" ht="12.75">
      <c r="A10" s="4428"/>
      <c r="B10" s="1904"/>
      <c r="C10" s="4655"/>
      <c r="D10" s="4237"/>
      <c r="E10" s="4243"/>
      <c r="F10" s="4243"/>
    </row>
    <row r="11" spans="1:7" s="4237" customFormat="1" ht="12.75">
      <c r="A11" s="4663" t="s">
        <v>4577</v>
      </c>
      <c r="B11" s="4664" t="s">
        <v>2938</v>
      </c>
      <c r="C11" s="4665" t="s">
        <v>286</v>
      </c>
      <c r="D11" s="4665" t="s">
        <v>976</v>
      </c>
      <c r="E11" s="4959" t="s">
        <v>534</v>
      </c>
      <c r="F11" s="4960" t="s">
        <v>3798</v>
      </c>
      <c r="G11" s="4629"/>
    </row>
    <row r="12" spans="1:7" ht="15">
      <c r="A12" s="4666"/>
      <c r="B12" s="4667"/>
      <c r="C12" s="4668"/>
      <c r="D12" s="4669"/>
      <c r="E12" s="4961"/>
      <c r="F12" s="4961"/>
      <c r="G12" s="4536"/>
    </row>
    <row r="13" spans="1:7" s="4238" customFormat="1" ht="12.75">
      <c r="A13" s="4670" t="s">
        <v>0</v>
      </c>
      <c r="B13" s="4671" t="s">
        <v>4364</v>
      </c>
      <c r="C13" s="4668"/>
      <c r="D13" s="4669"/>
      <c r="E13" s="4961"/>
      <c r="F13" s="4961"/>
      <c r="G13" s="4581"/>
    </row>
    <row r="14" spans="1:7" s="4238" customFormat="1" ht="12.75">
      <c r="A14" s="4666"/>
      <c r="B14" s="4671"/>
      <c r="C14" s="4668"/>
      <c r="D14" s="4669"/>
      <c r="E14" s="4961"/>
      <c r="F14" s="4961"/>
      <c r="G14" s="4581"/>
    </row>
    <row r="15" spans="1:7" s="4582" customFormat="1" ht="12.75">
      <c r="A15" s="4670" t="s">
        <v>4366</v>
      </c>
      <c r="B15" s="4610" t="s">
        <v>4051</v>
      </c>
      <c r="C15" s="4672"/>
      <c r="D15" s="4600"/>
      <c r="E15" s="4962"/>
      <c r="F15" s="4963"/>
    </row>
    <row r="16" spans="1:7" s="4537" customFormat="1" ht="18" customHeight="1">
      <c r="A16" s="4674">
        <v>1</v>
      </c>
      <c r="B16" s="4675" t="s">
        <v>4578</v>
      </c>
      <c r="C16" s="4672">
        <v>8</v>
      </c>
      <c r="D16" s="4600" t="s">
        <v>4052</v>
      </c>
      <c r="E16" s="4964"/>
      <c r="F16" s="4965">
        <f>ROUND(C16*E16,2)</f>
        <v>0</v>
      </c>
    </row>
    <row r="17" spans="1:6" s="4537" customFormat="1" ht="9.75" customHeight="1">
      <c r="A17" s="4673"/>
      <c r="B17" s="4676"/>
      <c r="C17" s="4672"/>
      <c r="D17" s="4600"/>
      <c r="E17" s="4964"/>
      <c r="F17" s="4963"/>
    </row>
    <row r="18" spans="1:6" s="4582" customFormat="1" ht="12" customHeight="1">
      <c r="A18" s="4674">
        <v>2</v>
      </c>
      <c r="B18" s="4168" t="s">
        <v>4053</v>
      </c>
      <c r="C18" s="4672"/>
      <c r="D18" s="4600"/>
      <c r="E18" s="4964"/>
      <c r="F18" s="4963"/>
    </row>
    <row r="19" spans="1:6" s="4537" customFormat="1" ht="13.5" customHeight="1">
      <c r="A19" s="4167">
        <v>2.1</v>
      </c>
      <c r="B19" s="4532" t="s">
        <v>2353</v>
      </c>
      <c r="C19" s="4677">
        <v>25</v>
      </c>
      <c r="D19" s="4593" t="s">
        <v>1</v>
      </c>
      <c r="E19" s="4964"/>
      <c r="F19" s="4966">
        <f>ROUND(C19*E19,2)</f>
        <v>0</v>
      </c>
    </row>
    <row r="20" spans="1:6" s="4537" customFormat="1" ht="6.75" customHeight="1">
      <c r="A20" s="4167"/>
      <c r="B20" s="4679"/>
      <c r="C20" s="4168"/>
      <c r="D20" s="4168"/>
      <c r="E20" s="4318"/>
      <c r="F20" s="4966"/>
    </row>
    <row r="21" spans="1:6" s="4582" customFormat="1" ht="13.5" customHeight="1">
      <c r="A21" s="4680">
        <v>3</v>
      </c>
      <c r="B21" s="4681" t="s">
        <v>14</v>
      </c>
      <c r="C21" s="4682"/>
      <c r="D21" s="4600"/>
      <c r="E21" s="4964"/>
      <c r="F21" s="4966"/>
    </row>
    <row r="22" spans="1:6" s="4537" customFormat="1" ht="19.5" customHeight="1">
      <c r="A22" s="4654">
        <v>3.1</v>
      </c>
      <c r="B22" s="4675" t="s">
        <v>4054</v>
      </c>
      <c r="C22" s="4682">
        <v>29.75</v>
      </c>
      <c r="D22" s="4600" t="s">
        <v>2430</v>
      </c>
      <c r="E22" s="4964"/>
      <c r="F22" s="4966">
        <f>ROUND(C22*E22,2)</f>
        <v>0</v>
      </c>
    </row>
    <row r="23" spans="1:6" s="4537" customFormat="1" ht="15.75" customHeight="1">
      <c r="A23" s="4654">
        <v>3.2</v>
      </c>
      <c r="B23" s="4675" t="s">
        <v>4055</v>
      </c>
      <c r="C23" s="4683">
        <v>26.53</v>
      </c>
      <c r="D23" s="4600" t="s">
        <v>2430</v>
      </c>
      <c r="E23" s="4967"/>
      <c r="F23" s="4966">
        <f>ROUND(C23*E23,2)</f>
        <v>0</v>
      </c>
    </row>
    <row r="24" spans="1:6" s="4537" customFormat="1" ht="30" customHeight="1">
      <c r="A24" s="4654">
        <v>3.3</v>
      </c>
      <c r="B24" s="4675" t="s">
        <v>4056</v>
      </c>
      <c r="C24" s="4678">
        <v>3.87</v>
      </c>
      <c r="D24" s="4600" t="s">
        <v>2430</v>
      </c>
      <c r="E24" s="4968"/>
      <c r="F24" s="4966">
        <f>ROUND(C24*E24,2)</f>
        <v>0</v>
      </c>
    </row>
    <row r="25" spans="1:6" s="4537" customFormat="1" ht="15.75" customHeight="1">
      <c r="A25" s="4654">
        <v>3.4</v>
      </c>
      <c r="B25" s="4675" t="s">
        <v>4580</v>
      </c>
      <c r="C25" s="4684">
        <v>6</v>
      </c>
      <c r="D25" s="4593" t="s">
        <v>2604</v>
      </c>
      <c r="E25" s="4318"/>
      <c r="F25" s="4966">
        <f>ROUND(C25*E25,2)</f>
        <v>0</v>
      </c>
    </row>
    <row r="26" spans="1:6" s="4537" customFormat="1" ht="9.75" customHeight="1">
      <c r="A26" s="4654"/>
      <c r="B26" s="4685"/>
      <c r="C26" s="4678"/>
      <c r="D26" s="4686"/>
      <c r="E26" s="4968"/>
      <c r="F26" s="4966"/>
    </row>
    <row r="27" spans="1:6" s="4582" customFormat="1" ht="12.75" customHeight="1">
      <c r="A27" s="4680">
        <v>4</v>
      </c>
      <c r="B27" s="4681" t="s">
        <v>4057</v>
      </c>
      <c r="C27" s="4682"/>
      <c r="D27" s="4600"/>
      <c r="E27" s="4964"/>
      <c r="F27" s="4969"/>
    </row>
    <row r="28" spans="1:6" s="4537" customFormat="1" ht="13.5" customHeight="1">
      <c r="A28" s="4654">
        <v>4.0999999999999996</v>
      </c>
      <c r="B28" s="4532" t="s">
        <v>4058</v>
      </c>
      <c r="C28" s="4682">
        <v>25</v>
      </c>
      <c r="D28" s="4593" t="s">
        <v>1</v>
      </c>
      <c r="E28" s="4967"/>
      <c r="F28" s="4969">
        <f>ROUND(C28*E28,2)</f>
        <v>0</v>
      </c>
    </row>
    <row r="29" spans="1:6" s="4537" customFormat="1" ht="13.5" customHeight="1">
      <c r="A29" s="4654">
        <v>4.0999999999999996</v>
      </c>
      <c r="B29" s="4532" t="s">
        <v>4059</v>
      </c>
      <c r="C29" s="4682">
        <v>25</v>
      </c>
      <c r="D29" s="4593" t="s">
        <v>1</v>
      </c>
      <c r="E29" s="4967"/>
      <c r="F29" s="4969">
        <f>ROUND(C29*E29,2)</f>
        <v>0</v>
      </c>
    </row>
    <row r="30" spans="1:6" s="4537" customFormat="1" ht="7.5" customHeight="1">
      <c r="A30" s="4673"/>
      <c r="B30" s="4687"/>
      <c r="C30" s="4672"/>
      <c r="D30" s="4600"/>
      <c r="E30" s="4967"/>
      <c r="F30" s="4963"/>
    </row>
    <row r="31" spans="1:6" s="4537" customFormat="1" ht="13.5" customHeight="1">
      <c r="A31" s="4680">
        <v>5</v>
      </c>
      <c r="B31" s="4532" t="s">
        <v>4060</v>
      </c>
      <c r="C31" s="4682">
        <v>1</v>
      </c>
      <c r="D31" s="4600" t="s">
        <v>2433</v>
      </c>
      <c r="E31" s="4967"/>
      <c r="F31" s="4969">
        <f>ROUND(C31*E31,2)</f>
        <v>0</v>
      </c>
    </row>
    <row r="32" spans="1:6" s="4537" customFormat="1" ht="15">
      <c r="A32" s="4680">
        <v>6</v>
      </c>
      <c r="B32" s="4675" t="s">
        <v>4581</v>
      </c>
      <c r="C32" s="4682">
        <v>1</v>
      </c>
      <c r="D32" s="4600" t="s">
        <v>2433</v>
      </c>
      <c r="E32" s="4967"/>
      <c r="F32" s="4969">
        <f>ROUND(C32*E32,2)</f>
        <v>0</v>
      </c>
    </row>
    <row r="33" spans="1:239" s="4537" customFormat="1" ht="28.5">
      <c r="A33" s="4680">
        <v>7</v>
      </c>
      <c r="B33" s="4688" t="s">
        <v>4061</v>
      </c>
      <c r="C33" s="4682">
        <v>1</v>
      </c>
      <c r="D33" s="4600" t="s">
        <v>2433</v>
      </c>
      <c r="E33" s="4967"/>
      <c r="F33" s="4969">
        <f>ROUND(C33*E33,2)</f>
        <v>0</v>
      </c>
    </row>
    <row r="34" spans="1:239" s="4538" customFormat="1" ht="15">
      <c r="A34" s="4689"/>
      <c r="B34" s="4690" t="s">
        <v>4367</v>
      </c>
      <c r="C34" s="4691"/>
      <c r="D34" s="4691"/>
      <c r="E34" s="4970"/>
      <c r="F34" s="4971">
        <f>ROUND(SUM(F15:F33),2)</f>
        <v>0</v>
      </c>
    </row>
    <row r="35" spans="1:239" s="4537" customFormat="1" ht="15">
      <c r="A35" s="4673"/>
      <c r="B35" s="4692"/>
      <c r="C35" s="4672"/>
      <c r="D35" s="4600"/>
      <c r="E35" s="4962"/>
      <c r="F35" s="4963"/>
    </row>
    <row r="36" spans="1:239" s="4541" customFormat="1">
      <c r="A36" s="4693" t="s">
        <v>4368</v>
      </c>
      <c r="B36" s="4694" t="s">
        <v>4062</v>
      </c>
      <c r="C36" s="4695"/>
      <c r="D36" s="4695"/>
      <c r="E36" s="4972"/>
      <c r="F36" s="4586"/>
      <c r="G36" s="4540"/>
      <c r="H36" s="4540"/>
      <c r="I36" s="4540"/>
      <c r="J36" s="4540"/>
      <c r="K36" s="4540"/>
      <c r="L36" s="4540"/>
      <c r="M36" s="4540"/>
      <c r="N36" s="4540"/>
      <c r="O36" s="4540"/>
      <c r="P36" s="4540"/>
      <c r="Q36" s="4540"/>
      <c r="R36" s="4540"/>
      <c r="S36" s="4540"/>
      <c r="T36" s="4540"/>
      <c r="U36" s="4540"/>
      <c r="V36" s="4540"/>
      <c r="W36" s="4540"/>
      <c r="X36" s="4540"/>
      <c r="Y36" s="4540"/>
      <c r="Z36" s="4540"/>
      <c r="AA36" s="4540"/>
      <c r="AB36" s="4540"/>
      <c r="AC36" s="4540"/>
      <c r="AD36" s="4540"/>
      <c r="AE36" s="4540"/>
      <c r="AF36" s="4540"/>
      <c r="AG36" s="4540"/>
      <c r="AH36" s="4540"/>
      <c r="AI36" s="4540"/>
      <c r="AJ36" s="4540"/>
      <c r="AK36" s="4540"/>
      <c r="AL36" s="4540"/>
      <c r="AM36" s="4540"/>
      <c r="AN36" s="4540"/>
      <c r="AO36" s="4540"/>
      <c r="AP36" s="4540"/>
      <c r="AQ36" s="4540"/>
      <c r="AR36" s="4540"/>
      <c r="AS36" s="4540"/>
      <c r="AT36" s="4540"/>
      <c r="AU36" s="4540"/>
      <c r="AV36" s="4540"/>
      <c r="AW36" s="4540"/>
      <c r="AX36" s="4540"/>
      <c r="AY36" s="4540"/>
      <c r="AZ36" s="4540"/>
      <c r="BA36" s="4540"/>
      <c r="BB36" s="4540"/>
      <c r="BC36" s="4540"/>
      <c r="BD36" s="4540"/>
      <c r="BE36" s="4540"/>
      <c r="BF36" s="4540"/>
      <c r="BG36" s="4540"/>
      <c r="BH36" s="4540"/>
      <c r="BI36" s="4540"/>
      <c r="BJ36" s="4540"/>
      <c r="BK36" s="4540"/>
      <c r="BL36" s="4540"/>
      <c r="BM36" s="4540"/>
      <c r="BN36" s="4540"/>
      <c r="BO36" s="4540"/>
      <c r="BP36" s="4540"/>
      <c r="BQ36" s="4540"/>
      <c r="BR36" s="4540"/>
      <c r="BS36" s="4540"/>
      <c r="BT36" s="4540"/>
      <c r="BU36" s="4540"/>
      <c r="BV36" s="4540"/>
      <c r="BW36" s="4540"/>
      <c r="BX36" s="4540"/>
      <c r="BY36" s="4540"/>
      <c r="BZ36" s="4540"/>
      <c r="CA36" s="4540"/>
      <c r="CB36" s="4540"/>
      <c r="CC36" s="4540"/>
      <c r="CD36" s="4540"/>
      <c r="CE36" s="4540"/>
      <c r="CF36" s="4540"/>
      <c r="CG36" s="4540"/>
      <c r="CH36" s="4540"/>
      <c r="CI36" s="4540"/>
      <c r="CJ36" s="4540"/>
      <c r="CK36" s="4540"/>
      <c r="CL36" s="4540"/>
      <c r="CM36" s="4540"/>
      <c r="CN36" s="4540"/>
      <c r="CO36" s="4540"/>
      <c r="CP36" s="4540"/>
      <c r="CQ36" s="4540"/>
      <c r="CR36" s="4540"/>
      <c r="CS36" s="4540"/>
      <c r="CT36" s="4540"/>
      <c r="CU36" s="4540"/>
      <c r="CV36" s="4540"/>
      <c r="CW36" s="4540"/>
      <c r="CX36" s="4540"/>
      <c r="CY36" s="4540"/>
      <c r="CZ36" s="4540"/>
      <c r="DA36" s="4540"/>
      <c r="DB36" s="4540"/>
      <c r="DC36" s="4540"/>
      <c r="DD36" s="4540"/>
      <c r="DE36" s="4540"/>
      <c r="DF36" s="4540"/>
      <c r="DG36" s="4540"/>
      <c r="DH36" s="4540"/>
      <c r="DI36" s="4540"/>
      <c r="DJ36" s="4540"/>
      <c r="DK36" s="4540"/>
      <c r="DL36" s="4540"/>
      <c r="DM36" s="4540"/>
      <c r="DN36" s="4540"/>
      <c r="DO36" s="4540"/>
      <c r="DP36" s="4540"/>
      <c r="DQ36" s="4540"/>
      <c r="DR36" s="4540"/>
      <c r="DS36" s="4540"/>
      <c r="DT36" s="4540"/>
      <c r="DU36" s="4540"/>
      <c r="DV36" s="4540"/>
      <c r="DW36" s="4540"/>
      <c r="DX36" s="4540"/>
      <c r="DY36" s="4540"/>
      <c r="DZ36" s="4540"/>
      <c r="EA36" s="4540"/>
      <c r="EB36" s="4540"/>
      <c r="EC36" s="4540"/>
      <c r="ED36" s="4540"/>
      <c r="EE36" s="4540"/>
      <c r="EF36" s="4540"/>
      <c r="EG36" s="4540"/>
      <c r="EH36" s="4540"/>
      <c r="EI36" s="4540"/>
      <c r="EJ36" s="4540"/>
      <c r="EK36" s="4540"/>
      <c r="EL36" s="4540"/>
      <c r="EM36" s="4540"/>
      <c r="EN36" s="4540"/>
      <c r="EO36" s="4540"/>
      <c r="EP36" s="4540"/>
      <c r="EQ36" s="4540"/>
      <c r="ER36" s="4540"/>
      <c r="ES36" s="4540"/>
      <c r="ET36" s="4540"/>
      <c r="EU36" s="4540"/>
      <c r="EV36" s="4540"/>
      <c r="EW36" s="4540"/>
      <c r="EX36" s="4540"/>
      <c r="EY36" s="4540"/>
      <c r="EZ36" s="4540"/>
      <c r="FA36" s="4540"/>
      <c r="FB36" s="4540"/>
      <c r="FC36" s="4540"/>
      <c r="FD36" s="4540"/>
      <c r="FE36" s="4540"/>
      <c r="FF36" s="4540"/>
      <c r="FG36" s="4540"/>
      <c r="FH36" s="4540"/>
      <c r="FI36" s="4540"/>
      <c r="FJ36" s="4540"/>
      <c r="FK36" s="4540"/>
      <c r="FL36" s="4540"/>
      <c r="FM36" s="4540"/>
      <c r="FN36" s="4540"/>
      <c r="FO36" s="4540"/>
      <c r="FP36" s="4540"/>
      <c r="FQ36" s="4540"/>
      <c r="FR36" s="4540"/>
      <c r="FS36" s="4540"/>
      <c r="FT36" s="4540"/>
      <c r="FU36" s="4540"/>
      <c r="FV36" s="4540"/>
      <c r="FW36" s="4540"/>
      <c r="FX36" s="4540"/>
      <c r="FY36" s="4540"/>
      <c r="FZ36" s="4540"/>
      <c r="GA36" s="4540"/>
      <c r="GB36" s="4540"/>
      <c r="GC36" s="4540"/>
      <c r="GD36" s="4540"/>
      <c r="GE36" s="4540"/>
      <c r="GF36" s="4540"/>
      <c r="GG36" s="4540"/>
      <c r="GH36" s="4540"/>
      <c r="GI36" s="4540"/>
      <c r="GJ36" s="4540"/>
      <c r="GK36" s="4540"/>
      <c r="GL36" s="4540"/>
      <c r="GM36" s="4540"/>
      <c r="GN36" s="4540"/>
      <c r="GO36" s="4540"/>
      <c r="GP36" s="4540"/>
      <c r="GQ36" s="4540"/>
      <c r="GR36" s="4540"/>
      <c r="GS36" s="4540"/>
      <c r="GT36" s="4540"/>
      <c r="GU36" s="4540"/>
      <c r="GV36" s="4540"/>
      <c r="GW36" s="4540"/>
      <c r="GX36" s="4540"/>
      <c r="GY36" s="4540"/>
      <c r="GZ36" s="4540"/>
      <c r="HA36" s="4540"/>
      <c r="HB36" s="4540"/>
      <c r="HC36" s="4540"/>
      <c r="HD36" s="4540"/>
      <c r="HE36" s="4540"/>
      <c r="HF36" s="4540"/>
      <c r="HG36" s="4540"/>
      <c r="HH36" s="4540"/>
      <c r="HI36" s="4540"/>
      <c r="HJ36" s="4540"/>
      <c r="HK36" s="4540"/>
      <c r="HL36" s="4540"/>
      <c r="HM36" s="4540"/>
      <c r="HN36" s="4540"/>
      <c r="HO36" s="4540"/>
      <c r="HP36" s="4540"/>
      <c r="HQ36" s="4540"/>
      <c r="HR36" s="4540"/>
      <c r="HS36" s="4540"/>
      <c r="HT36" s="4540"/>
      <c r="HU36" s="4540"/>
      <c r="HV36" s="4540"/>
      <c r="HW36" s="4540"/>
      <c r="HX36" s="4540"/>
      <c r="HY36" s="4540"/>
      <c r="HZ36" s="4540"/>
      <c r="IA36" s="4540"/>
      <c r="IB36" s="4540"/>
      <c r="IC36" s="4540"/>
      <c r="ID36" s="4540"/>
      <c r="IE36" s="4540"/>
    </row>
    <row r="37" spans="1:239" s="4542" customFormat="1" ht="10.5" customHeight="1">
      <c r="A37" s="4696"/>
      <c r="B37" s="4693"/>
      <c r="C37" s="4695"/>
      <c r="D37" s="4695"/>
      <c r="E37" s="4972"/>
      <c r="F37" s="4586"/>
      <c r="G37" s="4540"/>
      <c r="H37" s="4540"/>
      <c r="I37" s="4540"/>
      <c r="J37" s="4540"/>
      <c r="K37" s="4540"/>
      <c r="L37" s="4540"/>
      <c r="M37" s="4540"/>
      <c r="N37" s="4540"/>
      <c r="O37" s="4540"/>
      <c r="P37" s="4540"/>
      <c r="Q37" s="4540"/>
      <c r="R37" s="4540"/>
      <c r="S37" s="4540"/>
      <c r="T37" s="4540"/>
      <c r="U37" s="4540"/>
      <c r="V37" s="4540"/>
      <c r="W37" s="4540"/>
      <c r="X37" s="4540"/>
      <c r="Y37" s="4540"/>
      <c r="Z37" s="4540"/>
      <c r="AA37" s="4540"/>
      <c r="AB37" s="4540"/>
      <c r="AC37" s="4540"/>
      <c r="AD37" s="4540"/>
      <c r="AE37" s="4540"/>
      <c r="AF37" s="4540"/>
      <c r="AG37" s="4540"/>
      <c r="AH37" s="4540"/>
      <c r="AI37" s="4540"/>
      <c r="AJ37" s="4540"/>
      <c r="AK37" s="4540"/>
      <c r="AL37" s="4540"/>
      <c r="AM37" s="4540"/>
      <c r="AN37" s="4540"/>
      <c r="AO37" s="4540"/>
      <c r="AP37" s="4540"/>
      <c r="AQ37" s="4540"/>
      <c r="AR37" s="4540"/>
      <c r="AS37" s="4541"/>
      <c r="AT37" s="4541"/>
      <c r="AU37" s="4541"/>
      <c r="AV37" s="4541"/>
      <c r="AW37" s="4541"/>
      <c r="AX37" s="4541"/>
      <c r="AY37" s="4541"/>
      <c r="AZ37" s="4541"/>
      <c r="BA37" s="4541"/>
      <c r="BB37" s="4541"/>
      <c r="BC37" s="4541"/>
      <c r="BD37" s="4541"/>
      <c r="BE37" s="4541"/>
      <c r="BF37" s="4541"/>
      <c r="BG37" s="4541"/>
      <c r="BH37" s="4541"/>
      <c r="BI37" s="4541"/>
      <c r="BJ37" s="4541"/>
      <c r="BK37" s="4541"/>
      <c r="BL37" s="4541"/>
      <c r="BM37" s="4541"/>
      <c r="BN37" s="4541"/>
      <c r="BO37" s="4541"/>
      <c r="BP37" s="4541"/>
      <c r="BQ37" s="4541"/>
      <c r="BR37" s="4541"/>
      <c r="BS37" s="4541"/>
      <c r="BT37" s="4541"/>
      <c r="BU37" s="4541"/>
      <c r="BV37" s="4541"/>
      <c r="BW37" s="4541"/>
      <c r="BX37" s="4541"/>
      <c r="BY37" s="4541"/>
      <c r="BZ37" s="4541"/>
      <c r="CA37" s="4541"/>
      <c r="CB37" s="4541"/>
      <c r="CC37" s="4541"/>
      <c r="CD37" s="4541"/>
      <c r="CE37" s="4541"/>
      <c r="CF37" s="4541"/>
      <c r="CG37" s="4541"/>
      <c r="CH37" s="4541"/>
      <c r="CI37" s="4541"/>
      <c r="CJ37" s="4541"/>
      <c r="CK37" s="4541"/>
      <c r="CL37" s="4541"/>
      <c r="CM37" s="4541"/>
      <c r="CN37" s="4541"/>
      <c r="CO37" s="4541"/>
      <c r="CP37" s="4541"/>
      <c r="CQ37" s="4541"/>
      <c r="CR37" s="4541"/>
      <c r="CS37" s="4541"/>
      <c r="CT37" s="4541"/>
      <c r="CU37" s="4541"/>
      <c r="CV37" s="4541"/>
      <c r="CW37" s="4541"/>
      <c r="CX37" s="4541"/>
      <c r="CY37" s="4541"/>
      <c r="CZ37" s="4541"/>
      <c r="DA37" s="4541"/>
      <c r="DB37" s="4541"/>
      <c r="DC37" s="4541"/>
      <c r="DD37" s="4541"/>
      <c r="DE37" s="4541"/>
      <c r="DF37" s="4541"/>
      <c r="DG37" s="4541"/>
      <c r="DH37" s="4541"/>
      <c r="DI37" s="4541"/>
      <c r="DJ37" s="4541"/>
      <c r="DK37" s="4541"/>
      <c r="DL37" s="4541"/>
      <c r="DM37" s="4541"/>
      <c r="DN37" s="4541"/>
      <c r="DO37" s="4541"/>
      <c r="DP37" s="4541"/>
      <c r="DQ37" s="4541"/>
      <c r="DR37" s="4541"/>
      <c r="DS37" s="4541"/>
      <c r="DT37" s="4541"/>
      <c r="DU37" s="4541"/>
      <c r="DV37" s="4541"/>
      <c r="DW37" s="4541"/>
      <c r="DX37" s="4541"/>
      <c r="DY37" s="4541"/>
      <c r="DZ37" s="4541"/>
      <c r="EA37" s="4541"/>
      <c r="EB37" s="4541"/>
      <c r="EC37" s="4541"/>
      <c r="ED37" s="4541"/>
      <c r="EE37" s="4541"/>
      <c r="EF37" s="4541"/>
      <c r="EG37" s="4541"/>
      <c r="EH37" s="4541"/>
      <c r="EI37" s="4541"/>
      <c r="EJ37" s="4541"/>
      <c r="EK37" s="4541"/>
      <c r="EL37" s="4541"/>
      <c r="EM37" s="4541"/>
      <c r="EN37" s="4541"/>
      <c r="EO37" s="4541"/>
      <c r="EP37" s="4541"/>
      <c r="EQ37" s="4541"/>
      <c r="ER37" s="4541"/>
      <c r="ES37" s="4541"/>
      <c r="ET37" s="4541"/>
      <c r="EU37" s="4541"/>
      <c r="EV37" s="4541"/>
      <c r="EW37" s="4541"/>
      <c r="EX37" s="4541"/>
      <c r="EY37" s="4541"/>
      <c r="EZ37" s="4541"/>
      <c r="FA37" s="4541"/>
      <c r="FB37" s="4541"/>
      <c r="FC37" s="4541"/>
      <c r="FD37" s="4541"/>
      <c r="FE37" s="4541"/>
      <c r="FF37" s="4541"/>
      <c r="FG37" s="4541"/>
      <c r="FH37" s="4541"/>
      <c r="FI37" s="4541"/>
      <c r="FJ37" s="4541"/>
      <c r="FK37" s="4541"/>
      <c r="FL37" s="4541"/>
      <c r="FM37" s="4541"/>
      <c r="FN37" s="4541"/>
      <c r="FO37" s="4541"/>
      <c r="FP37" s="4541"/>
      <c r="FQ37" s="4541"/>
      <c r="FR37" s="4541"/>
      <c r="FS37" s="4541"/>
      <c r="FT37" s="4541"/>
      <c r="FU37" s="4541"/>
      <c r="FV37" s="4541"/>
      <c r="FW37" s="4541"/>
      <c r="FX37" s="4541"/>
      <c r="FY37" s="4541"/>
      <c r="FZ37" s="4541"/>
      <c r="GA37" s="4541"/>
      <c r="GB37" s="4541"/>
      <c r="GC37" s="4541"/>
      <c r="GD37" s="4541"/>
      <c r="GE37" s="4541"/>
      <c r="GF37" s="4541"/>
      <c r="GG37" s="4541"/>
      <c r="GH37" s="4541"/>
      <c r="GI37" s="4541"/>
      <c r="GJ37" s="4541"/>
      <c r="GK37" s="4541"/>
      <c r="GL37" s="4541"/>
      <c r="GM37" s="4541"/>
      <c r="GN37" s="4541"/>
      <c r="GO37" s="4541"/>
      <c r="GP37" s="4541"/>
      <c r="GQ37" s="4541"/>
      <c r="GR37" s="4541"/>
      <c r="GS37" s="4541"/>
      <c r="GT37" s="4541"/>
      <c r="GU37" s="4541"/>
      <c r="GV37" s="4541"/>
      <c r="GW37" s="4541"/>
      <c r="GX37" s="4541"/>
      <c r="GY37" s="4541"/>
      <c r="GZ37" s="4541"/>
      <c r="HA37" s="4541"/>
      <c r="HB37" s="4541"/>
      <c r="HC37" s="4541"/>
      <c r="HD37" s="4541"/>
      <c r="HE37" s="4541"/>
      <c r="HF37" s="4541"/>
      <c r="HG37" s="4541"/>
      <c r="HH37" s="4541"/>
      <c r="HI37" s="4541"/>
      <c r="HJ37" s="4541"/>
      <c r="HK37" s="4541"/>
      <c r="HL37" s="4541"/>
      <c r="HM37" s="4541"/>
      <c r="HN37" s="4541"/>
      <c r="HO37" s="4541"/>
      <c r="HP37" s="4541"/>
      <c r="HQ37" s="4541"/>
      <c r="HR37" s="4541"/>
      <c r="HS37" s="4541"/>
      <c r="HT37" s="4541"/>
      <c r="HU37" s="4541"/>
      <c r="HV37" s="4541"/>
      <c r="HW37" s="4541"/>
      <c r="HX37" s="4541"/>
      <c r="HY37" s="4541"/>
      <c r="HZ37" s="4541"/>
      <c r="IA37" s="4541"/>
      <c r="IB37" s="4541"/>
      <c r="IC37" s="4541"/>
      <c r="ID37" s="4541"/>
      <c r="IE37" s="4541"/>
    </row>
    <row r="38" spans="1:239" s="4542" customFormat="1" ht="15">
      <c r="A38" s="4674">
        <v>1</v>
      </c>
      <c r="B38" s="4697" t="s">
        <v>2165</v>
      </c>
      <c r="C38" s="4698"/>
      <c r="D38" s="4699"/>
      <c r="E38" s="4972"/>
      <c r="F38" s="4586"/>
      <c r="G38" s="4543"/>
      <c r="H38" s="4543"/>
      <c r="I38" s="4543"/>
      <c r="J38" s="4543"/>
      <c r="K38" s="4543"/>
      <c r="L38" s="4543"/>
      <c r="M38" s="4543"/>
      <c r="N38" s="4543"/>
      <c r="O38" s="4543"/>
      <c r="P38" s="4543"/>
      <c r="Q38" s="4543"/>
      <c r="R38" s="4543"/>
      <c r="S38" s="4543"/>
      <c r="T38" s="4543"/>
      <c r="U38" s="4543"/>
      <c r="V38" s="4543"/>
      <c r="W38" s="4543"/>
      <c r="X38" s="4543"/>
      <c r="Y38" s="4543"/>
      <c r="Z38" s="4543"/>
      <c r="AA38" s="4543"/>
      <c r="AB38" s="4543"/>
      <c r="AC38" s="4543"/>
      <c r="AD38" s="4543"/>
      <c r="AE38" s="4543"/>
      <c r="AF38" s="4543"/>
      <c r="AG38" s="4543"/>
      <c r="AH38" s="4543"/>
      <c r="AI38" s="4543"/>
      <c r="AJ38" s="4543"/>
      <c r="AK38" s="4543"/>
      <c r="AL38" s="4543"/>
      <c r="AM38" s="4543"/>
      <c r="AN38" s="4543"/>
      <c r="AO38" s="4543"/>
      <c r="AP38" s="4543"/>
      <c r="AQ38" s="4543"/>
      <c r="AR38" s="4543"/>
    </row>
    <row r="39" spans="1:239" s="4542" customFormat="1" ht="15.75" customHeight="1">
      <c r="A39" s="4700">
        <v>1.1000000000000001</v>
      </c>
      <c r="B39" s="4701" t="s">
        <v>4063</v>
      </c>
      <c r="C39" s="4696">
        <v>2</v>
      </c>
      <c r="D39" s="4702" t="s">
        <v>2524</v>
      </c>
      <c r="E39" s="4973"/>
      <c r="F39" s="4965">
        <f>ROUND(C39*E39,2)</f>
        <v>0</v>
      </c>
      <c r="G39" s="4543"/>
      <c r="H39" s="4543"/>
      <c r="I39" s="4543"/>
      <c r="J39" s="4543"/>
      <c r="K39" s="4543"/>
      <c r="L39" s="4543"/>
      <c r="M39" s="4543"/>
      <c r="N39" s="4543"/>
      <c r="O39" s="4543"/>
      <c r="P39" s="4543"/>
      <c r="Q39" s="4543"/>
      <c r="R39" s="4543"/>
      <c r="S39" s="4543"/>
      <c r="T39" s="4543"/>
      <c r="U39" s="4543"/>
      <c r="V39" s="4543"/>
      <c r="W39" s="4543"/>
      <c r="X39" s="4543"/>
      <c r="Y39" s="4543"/>
      <c r="Z39" s="4543"/>
      <c r="AA39" s="4543"/>
      <c r="AB39" s="4543"/>
      <c r="AC39" s="4543"/>
      <c r="AD39" s="4543"/>
      <c r="AE39" s="4543"/>
      <c r="AF39" s="4543"/>
      <c r="AG39" s="4543"/>
      <c r="AH39" s="4543"/>
      <c r="AI39" s="4543"/>
      <c r="AJ39" s="4543"/>
      <c r="AK39" s="4543"/>
      <c r="AL39" s="4543"/>
      <c r="AM39" s="4543"/>
      <c r="AN39" s="4543"/>
      <c r="AO39" s="4543"/>
      <c r="AP39" s="4543"/>
      <c r="AQ39" s="4543"/>
      <c r="AR39" s="4543"/>
    </row>
    <row r="40" spans="1:239" s="4544" customFormat="1" ht="9.75" customHeight="1">
      <c r="A40" s="4672"/>
      <c r="B40" s="4703"/>
      <c r="C40" s="4704"/>
      <c r="D40" s="4699"/>
      <c r="E40" s="4972"/>
      <c r="F40" s="4965"/>
      <c r="G40" s="4543"/>
      <c r="H40" s="4543"/>
      <c r="I40" s="4543"/>
      <c r="J40" s="4543"/>
      <c r="K40" s="4543"/>
      <c r="L40" s="4543"/>
      <c r="M40" s="4543"/>
      <c r="N40" s="4543"/>
      <c r="O40" s="4543"/>
      <c r="P40" s="4543"/>
      <c r="Q40" s="4543"/>
      <c r="R40" s="4543"/>
      <c r="S40" s="4543"/>
      <c r="T40" s="4543"/>
      <c r="U40" s="4543"/>
      <c r="V40" s="4543"/>
      <c r="W40" s="4543"/>
      <c r="X40" s="4543"/>
      <c r="Y40" s="4543"/>
      <c r="Z40" s="4543"/>
      <c r="AA40" s="4543"/>
      <c r="AB40" s="4543"/>
      <c r="AC40" s="4543"/>
      <c r="AD40" s="4543"/>
      <c r="AE40" s="4543"/>
      <c r="AF40" s="4543"/>
      <c r="AG40" s="4543"/>
      <c r="AH40" s="4543"/>
      <c r="AI40" s="4543"/>
      <c r="AJ40" s="4543"/>
      <c r="AK40" s="4543"/>
      <c r="AL40" s="4543"/>
      <c r="AM40" s="4543"/>
      <c r="AN40" s="4543"/>
      <c r="AO40" s="4543"/>
      <c r="AP40" s="4543"/>
      <c r="AQ40" s="4543"/>
      <c r="AR40" s="4543"/>
      <c r="AS40" s="4542"/>
      <c r="AT40" s="4542"/>
      <c r="AU40" s="4542"/>
      <c r="AV40" s="4542"/>
      <c r="AW40" s="4542"/>
      <c r="AX40" s="4542"/>
      <c r="AY40" s="4542"/>
      <c r="AZ40" s="4542"/>
      <c r="BA40" s="4542"/>
      <c r="BB40" s="4542"/>
      <c r="BC40" s="4542"/>
      <c r="BD40" s="4542"/>
      <c r="BE40" s="4542"/>
      <c r="BF40" s="4542"/>
      <c r="BG40" s="4542"/>
      <c r="BH40" s="4542"/>
      <c r="BI40" s="4542"/>
      <c r="BJ40" s="4542"/>
      <c r="BK40" s="4542"/>
      <c r="BL40" s="4542"/>
      <c r="BM40" s="4542"/>
      <c r="BN40" s="4542"/>
      <c r="BO40" s="4542"/>
      <c r="BP40" s="4542"/>
      <c r="BQ40" s="4542"/>
      <c r="BR40" s="4542"/>
      <c r="BS40" s="4542"/>
      <c r="BT40" s="4542"/>
      <c r="BU40" s="4542"/>
      <c r="BV40" s="4542"/>
      <c r="BW40" s="4542"/>
      <c r="BX40" s="4542"/>
      <c r="BY40" s="4542"/>
      <c r="BZ40" s="4542"/>
      <c r="CA40" s="4542"/>
      <c r="CB40" s="4542"/>
      <c r="CC40" s="4542"/>
      <c r="CD40" s="4542"/>
      <c r="CE40" s="4542"/>
      <c r="CF40" s="4542"/>
      <c r="CG40" s="4542"/>
      <c r="CH40" s="4542"/>
      <c r="CI40" s="4542"/>
      <c r="CJ40" s="4542"/>
      <c r="CK40" s="4542"/>
      <c r="CL40" s="4542"/>
      <c r="CM40" s="4542"/>
      <c r="CN40" s="4542"/>
      <c r="CO40" s="4542"/>
      <c r="CP40" s="4542"/>
      <c r="CQ40" s="4542"/>
      <c r="CR40" s="4542"/>
      <c r="CS40" s="4542"/>
      <c r="CT40" s="4542"/>
      <c r="CU40" s="4542"/>
      <c r="CV40" s="4542"/>
      <c r="CW40" s="4542"/>
      <c r="CX40" s="4542"/>
      <c r="CY40" s="4542"/>
      <c r="CZ40" s="4542"/>
      <c r="DA40" s="4542"/>
      <c r="DB40" s="4542"/>
      <c r="DC40" s="4542"/>
      <c r="DD40" s="4542"/>
      <c r="DE40" s="4542"/>
      <c r="DF40" s="4542"/>
      <c r="DG40" s="4542"/>
      <c r="DH40" s="4542"/>
      <c r="DI40" s="4542"/>
      <c r="DJ40" s="4542"/>
      <c r="DK40" s="4542"/>
      <c r="DL40" s="4542"/>
      <c r="DM40" s="4542"/>
      <c r="DN40" s="4542"/>
      <c r="DO40" s="4542"/>
      <c r="DP40" s="4542"/>
      <c r="DQ40" s="4542"/>
      <c r="DR40" s="4542"/>
      <c r="DS40" s="4542"/>
      <c r="DT40" s="4542"/>
      <c r="DU40" s="4542"/>
      <c r="DV40" s="4542"/>
      <c r="DW40" s="4542"/>
      <c r="DX40" s="4542"/>
      <c r="DY40" s="4542"/>
      <c r="DZ40" s="4542"/>
      <c r="EA40" s="4542"/>
      <c r="EB40" s="4542"/>
      <c r="EC40" s="4542"/>
      <c r="ED40" s="4542"/>
      <c r="EE40" s="4542"/>
      <c r="EF40" s="4542"/>
      <c r="EG40" s="4542"/>
      <c r="EH40" s="4542"/>
      <c r="EI40" s="4542"/>
      <c r="EJ40" s="4542"/>
      <c r="EK40" s="4542"/>
      <c r="EL40" s="4542"/>
      <c r="EM40" s="4542"/>
      <c r="EN40" s="4542"/>
      <c r="EO40" s="4542"/>
      <c r="EP40" s="4542"/>
      <c r="EQ40" s="4542"/>
      <c r="ER40" s="4542"/>
      <c r="ES40" s="4542"/>
      <c r="ET40" s="4542"/>
      <c r="EU40" s="4542"/>
      <c r="EV40" s="4542"/>
      <c r="EW40" s="4542"/>
      <c r="EX40" s="4542"/>
      <c r="EY40" s="4542"/>
      <c r="EZ40" s="4542"/>
      <c r="FA40" s="4542"/>
      <c r="FB40" s="4542"/>
      <c r="FC40" s="4542"/>
      <c r="FD40" s="4542"/>
      <c r="FE40" s="4542"/>
      <c r="FF40" s="4542"/>
      <c r="FG40" s="4542"/>
      <c r="FH40" s="4542"/>
      <c r="FI40" s="4542"/>
      <c r="FJ40" s="4542"/>
      <c r="FK40" s="4542"/>
      <c r="FL40" s="4542"/>
      <c r="FM40" s="4542"/>
      <c r="FN40" s="4542"/>
      <c r="FO40" s="4542"/>
      <c r="FP40" s="4542"/>
      <c r="FQ40" s="4542"/>
      <c r="FR40" s="4542"/>
      <c r="FS40" s="4542"/>
      <c r="FT40" s="4542"/>
      <c r="FU40" s="4542"/>
      <c r="FV40" s="4542"/>
      <c r="FW40" s="4542"/>
      <c r="FX40" s="4542"/>
      <c r="FY40" s="4542"/>
      <c r="FZ40" s="4542"/>
      <c r="GA40" s="4542"/>
      <c r="GB40" s="4542"/>
      <c r="GC40" s="4542"/>
      <c r="GD40" s="4542"/>
      <c r="GE40" s="4542"/>
      <c r="GF40" s="4542"/>
      <c r="GG40" s="4542"/>
      <c r="GH40" s="4542"/>
      <c r="GI40" s="4542"/>
      <c r="GJ40" s="4542"/>
      <c r="GK40" s="4542"/>
      <c r="GL40" s="4542"/>
      <c r="GM40" s="4542"/>
      <c r="GN40" s="4542"/>
      <c r="GO40" s="4542"/>
      <c r="GP40" s="4542"/>
      <c r="GQ40" s="4542"/>
      <c r="GR40" s="4542"/>
      <c r="GS40" s="4542"/>
      <c r="GT40" s="4542"/>
      <c r="GU40" s="4542"/>
      <c r="GV40" s="4542"/>
      <c r="GW40" s="4542"/>
      <c r="GX40" s="4542"/>
      <c r="GY40" s="4542"/>
      <c r="GZ40" s="4542"/>
      <c r="HA40" s="4542"/>
      <c r="HB40" s="4542"/>
      <c r="HC40" s="4542"/>
      <c r="HD40" s="4542"/>
      <c r="HE40" s="4542"/>
      <c r="HF40" s="4542"/>
      <c r="HG40" s="4542"/>
      <c r="HH40" s="4542"/>
      <c r="HI40" s="4542"/>
      <c r="HJ40" s="4542"/>
      <c r="HK40" s="4542"/>
      <c r="HL40" s="4542"/>
      <c r="HM40" s="4542"/>
      <c r="HN40" s="4542"/>
      <c r="HO40" s="4542"/>
      <c r="HP40" s="4542"/>
      <c r="HQ40" s="4542"/>
      <c r="HR40" s="4542"/>
      <c r="HS40" s="4542"/>
      <c r="HT40" s="4542"/>
      <c r="HU40" s="4542"/>
      <c r="HV40" s="4542"/>
      <c r="HW40" s="4542"/>
      <c r="HX40" s="4542"/>
      <c r="HY40" s="4542"/>
      <c r="HZ40" s="4542"/>
      <c r="IA40" s="4542"/>
      <c r="IB40" s="4542"/>
      <c r="IC40" s="4542"/>
      <c r="ID40" s="4542"/>
      <c r="IE40" s="4542"/>
    </row>
    <row r="41" spans="1:239" s="4544" customFormat="1" ht="15">
      <c r="A41" s="4705">
        <v>2</v>
      </c>
      <c r="B41" s="4706" t="s">
        <v>2285</v>
      </c>
      <c r="C41" s="4704"/>
      <c r="D41" s="4707"/>
      <c r="E41" s="4587"/>
      <c r="F41" s="4965"/>
      <c r="G41" s="4545"/>
      <c r="H41" s="4545"/>
      <c r="I41" s="4545"/>
      <c r="J41" s="4545"/>
      <c r="K41" s="4545"/>
      <c r="L41" s="4545"/>
      <c r="M41" s="4545"/>
      <c r="N41" s="4545"/>
      <c r="O41" s="4545"/>
      <c r="P41" s="4545"/>
      <c r="Q41" s="4545"/>
      <c r="R41" s="4545"/>
      <c r="S41" s="4545"/>
      <c r="T41" s="4545"/>
      <c r="U41" s="4545"/>
      <c r="V41" s="4545"/>
      <c r="W41" s="4545"/>
      <c r="X41" s="4545"/>
      <c r="Y41" s="4545"/>
      <c r="Z41" s="4545"/>
      <c r="AA41" s="4545"/>
      <c r="AB41" s="4545"/>
      <c r="AC41" s="4545"/>
      <c r="AD41" s="4545"/>
      <c r="AE41" s="4545"/>
      <c r="AF41" s="4545"/>
      <c r="AG41" s="4545"/>
      <c r="AH41" s="4545"/>
      <c r="AI41" s="4545"/>
      <c r="AJ41" s="4545"/>
      <c r="AK41" s="4545"/>
      <c r="AL41" s="4545"/>
      <c r="AM41" s="4545"/>
      <c r="AN41" s="4545"/>
      <c r="AO41" s="4545"/>
      <c r="AP41" s="4545"/>
      <c r="AQ41" s="4545"/>
      <c r="AR41" s="4545"/>
    </row>
    <row r="42" spans="1:239" s="4544" customFormat="1" ht="12.75" customHeight="1">
      <c r="A42" s="4708">
        <v>2.1</v>
      </c>
      <c r="B42" s="4701" t="s">
        <v>4064</v>
      </c>
      <c r="C42" s="4704">
        <v>387</v>
      </c>
      <c r="D42" s="4707" t="s">
        <v>2430</v>
      </c>
      <c r="E42" s="4587"/>
      <c r="F42" s="4965">
        <f>ROUND(C42*E42,2)</f>
        <v>0</v>
      </c>
      <c r="G42" s="4545"/>
      <c r="H42" s="4545"/>
      <c r="I42" s="4545"/>
      <c r="J42" s="4545"/>
      <c r="K42" s="4545"/>
      <c r="L42" s="4545"/>
      <c r="M42" s="4545"/>
      <c r="N42" s="4545"/>
      <c r="O42" s="4545"/>
      <c r="P42" s="4545"/>
      <c r="Q42" s="4545"/>
      <c r="R42" s="4545"/>
      <c r="S42" s="4545"/>
      <c r="T42" s="4545"/>
      <c r="U42" s="4545"/>
      <c r="V42" s="4545"/>
      <c r="W42" s="4545"/>
      <c r="X42" s="4545"/>
      <c r="Y42" s="4545"/>
      <c r="Z42" s="4545"/>
      <c r="AA42" s="4545"/>
      <c r="AB42" s="4545"/>
      <c r="AC42" s="4545"/>
      <c r="AD42" s="4545"/>
      <c r="AE42" s="4545"/>
      <c r="AF42" s="4545"/>
      <c r="AG42" s="4545"/>
      <c r="AH42" s="4545"/>
      <c r="AI42" s="4545"/>
      <c r="AJ42" s="4545"/>
      <c r="AK42" s="4545"/>
      <c r="AL42" s="4545"/>
      <c r="AM42" s="4545"/>
      <c r="AN42" s="4545"/>
      <c r="AO42" s="4545"/>
      <c r="AP42" s="4545"/>
      <c r="AQ42" s="4545"/>
      <c r="AR42" s="4545"/>
    </row>
    <row r="43" spans="1:239" s="4544" customFormat="1" ht="30" customHeight="1">
      <c r="A43" s="4708">
        <v>2.2000000000000002</v>
      </c>
      <c r="B43" s="4701" t="s">
        <v>4065</v>
      </c>
      <c r="C43" s="4704">
        <v>105.87</v>
      </c>
      <c r="D43" s="4707" t="s">
        <v>2430</v>
      </c>
      <c r="E43" s="4967"/>
      <c r="F43" s="4965">
        <f>ROUND(C43*E43,2)</f>
        <v>0</v>
      </c>
      <c r="G43" s="4545"/>
      <c r="H43" s="4545"/>
      <c r="I43" s="4545"/>
      <c r="J43" s="4545"/>
      <c r="K43" s="4545"/>
      <c r="L43" s="4545"/>
      <c r="M43" s="4545"/>
      <c r="N43" s="4545"/>
      <c r="O43" s="4545"/>
      <c r="P43" s="4545"/>
      <c r="Q43" s="4545"/>
      <c r="R43" s="4545"/>
      <c r="S43" s="4545"/>
      <c r="T43" s="4545"/>
      <c r="U43" s="4545"/>
      <c r="V43" s="4545"/>
      <c r="W43" s="4545"/>
      <c r="X43" s="4545"/>
      <c r="Y43" s="4545"/>
      <c r="Z43" s="4545"/>
      <c r="AA43" s="4545"/>
      <c r="AB43" s="4545"/>
      <c r="AC43" s="4545"/>
      <c r="AD43" s="4545"/>
      <c r="AE43" s="4545"/>
      <c r="AF43" s="4545"/>
      <c r="AG43" s="4545"/>
      <c r="AH43" s="4545"/>
      <c r="AI43" s="4545"/>
      <c r="AJ43" s="4545"/>
      <c r="AK43" s="4545"/>
      <c r="AL43" s="4545"/>
      <c r="AM43" s="4545"/>
      <c r="AN43" s="4545"/>
      <c r="AO43" s="4545"/>
      <c r="AP43" s="4545"/>
      <c r="AQ43" s="4545"/>
      <c r="AR43" s="4545"/>
    </row>
    <row r="44" spans="1:239" s="4542" customFormat="1" ht="12.75" customHeight="1">
      <c r="A44" s="4708">
        <v>2.2999999999999998</v>
      </c>
      <c r="B44" s="4701" t="s">
        <v>4066</v>
      </c>
      <c r="C44" s="4696">
        <v>337.36</v>
      </c>
      <c r="D44" s="4707" t="s">
        <v>2430</v>
      </c>
      <c r="E44" s="4587"/>
      <c r="F44" s="4965">
        <f>ROUND(C44*E44,2)</f>
        <v>0</v>
      </c>
      <c r="G44" s="4545"/>
      <c r="H44" s="4545"/>
      <c r="I44" s="4545"/>
      <c r="J44" s="4545"/>
      <c r="K44" s="4545"/>
      <c r="L44" s="4545"/>
      <c r="M44" s="4545"/>
      <c r="N44" s="4545"/>
      <c r="O44" s="4545"/>
      <c r="P44" s="4545"/>
      <c r="Q44" s="4545"/>
      <c r="R44" s="4545"/>
      <c r="S44" s="4545"/>
      <c r="T44" s="4545"/>
      <c r="U44" s="4545"/>
      <c r="V44" s="4545"/>
      <c r="W44" s="4545"/>
      <c r="X44" s="4545"/>
      <c r="Y44" s="4545"/>
      <c r="Z44" s="4545"/>
      <c r="AA44" s="4545"/>
      <c r="AB44" s="4545"/>
      <c r="AC44" s="4545"/>
      <c r="AD44" s="4545"/>
      <c r="AE44" s="4545"/>
      <c r="AF44" s="4545"/>
      <c r="AG44" s="4545"/>
      <c r="AH44" s="4545"/>
      <c r="AI44" s="4545"/>
      <c r="AJ44" s="4545"/>
      <c r="AK44" s="4545"/>
      <c r="AL44" s="4545"/>
      <c r="AM44" s="4545"/>
      <c r="AN44" s="4545"/>
      <c r="AO44" s="4545"/>
      <c r="AP44" s="4545"/>
      <c r="AQ44" s="4545"/>
      <c r="AR44" s="4545"/>
      <c r="AS44" s="4544"/>
      <c r="AT44" s="4544"/>
      <c r="AU44" s="4544"/>
      <c r="AV44" s="4544"/>
      <c r="AW44" s="4544"/>
      <c r="AX44" s="4544"/>
      <c r="AY44" s="4544"/>
      <c r="AZ44" s="4544"/>
      <c r="BA44" s="4544"/>
      <c r="BB44" s="4544"/>
      <c r="BC44" s="4544"/>
      <c r="BD44" s="4544"/>
      <c r="BE44" s="4544"/>
      <c r="BF44" s="4544"/>
      <c r="BG44" s="4544"/>
      <c r="BH44" s="4544"/>
      <c r="BI44" s="4544"/>
      <c r="BJ44" s="4544"/>
      <c r="BK44" s="4544"/>
      <c r="BL44" s="4544"/>
      <c r="BM44" s="4544"/>
      <c r="BN44" s="4544"/>
      <c r="BO44" s="4544"/>
      <c r="BP44" s="4544"/>
      <c r="BQ44" s="4544"/>
      <c r="BR44" s="4544"/>
      <c r="BS44" s="4544"/>
      <c r="BT44" s="4544"/>
      <c r="BU44" s="4544"/>
      <c r="BV44" s="4544"/>
      <c r="BW44" s="4544"/>
      <c r="BX44" s="4544"/>
      <c r="BY44" s="4544"/>
      <c r="BZ44" s="4544"/>
      <c r="CA44" s="4544"/>
      <c r="CB44" s="4544"/>
      <c r="CC44" s="4544"/>
      <c r="CD44" s="4544"/>
      <c r="CE44" s="4544"/>
      <c r="CF44" s="4544"/>
      <c r="CG44" s="4544"/>
      <c r="CH44" s="4544"/>
      <c r="CI44" s="4544"/>
      <c r="CJ44" s="4544"/>
      <c r="CK44" s="4544"/>
      <c r="CL44" s="4544"/>
      <c r="CM44" s="4544"/>
      <c r="CN44" s="4544"/>
      <c r="CO44" s="4544"/>
      <c r="CP44" s="4544"/>
      <c r="CQ44" s="4544"/>
      <c r="CR44" s="4544"/>
      <c r="CS44" s="4544"/>
      <c r="CT44" s="4544"/>
      <c r="CU44" s="4544"/>
      <c r="CV44" s="4544"/>
      <c r="CW44" s="4544"/>
      <c r="CX44" s="4544"/>
      <c r="CY44" s="4544"/>
      <c r="CZ44" s="4544"/>
      <c r="DA44" s="4544"/>
      <c r="DB44" s="4544"/>
      <c r="DC44" s="4544"/>
      <c r="DD44" s="4544"/>
      <c r="DE44" s="4544"/>
      <c r="DF44" s="4544"/>
      <c r="DG44" s="4544"/>
      <c r="DH44" s="4544"/>
      <c r="DI44" s="4544"/>
      <c r="DJ44" s="4544"/>
      <c r="DK44" s="4544"/>
      <c r="DL44" s="4544"/>
      <c r="DM44" s="4544"/>
      <c r="DN44" s="4544"/>
      <c r="DO44" s="4544"/>
      <c r="DP44" s="4544"/>
      <c r="DQ44" s="4544"/>
      <c r="DR44" s="4544"/>
      <c r="DS44" s="4544"/>
      <c r="DT44" s="4544"/>
      <c r="DU44" s="4544"/>
      <c r="DV44" s="4544"/>
      <c r="DW44" s="4544"/>
      <c r="DX44" s="4544"/>
      <c r="DY44" s="4544"/>
      <c r="DZ44" s="4544"/>
      <c r="EA44" s="4544"/>
      <c r="EB44" s="4544"/>
      <c r="EC44" s="4544"/>
      <c r="ED44" s="4544"/>
      <c r="EE44" s="4544"/>
      <c r="EF44" s="4544"/>
      <c r="EG44" s="4544"/>
      <c r="EH44" s="4544"/>
      <c r="EI44" s="4544"/>
      <c r="EJ44" s="4544"/>
      <c r="EK44" s="4544"/>
      <c r="EL44" s="4544"/>
      <c r="EM44" s="4544"/>
      <c r="EN44" s="4544"/>
      <c r="EO44" s="4544"/>
      <c r="EP44" s="4544"/>
      <c r="EQ44" s="4544"/>
      <c r="ER44" s="4544"/>
      <c r="ES44" s="4544"/>
      <c r="ET44" s="4544"/>
      <c r="EU44" s="4544"/>
      <c r="EV44" s="4544"/>
      <c r="EW44" s="4544"/>
      <c r="EX44" s="4544"/>
      <c r="EY44" s="4544"/>
      <c r="EZ44" s="4544"/>
      <c r="FA44" s="4544"/>
      <c r="FB44" s="4544"/>
      <c r="FC44" s="4544"/>
      <c r="FD44" s="4544"/>
      <c r="FE44" s="4544"/>
      <c r="FF44" s="4544"/>
      <c r="FG44" s="4544"/>
      <c r="FH44" s="4544"/>
      <c r="FI44" s="4544"/>
      <c r="FJ44" s="4544"/>
      <c r="FK44" s="4544"/>
      <c r="FL44" s="4544"/>
      <c r="FM44" s="4544"/>
      <c r="FN44" s="4544"/>
      <c r="FO44" s="4544"/>
      <c r="FP44" s="4544"/>
      <c r="FQ44" s="4544"/>
      <c r="FR44" s="4544"/>
      <c r="FS44" s="4544"/>
      <c r="FT44" s="4544"/>
      <c r="FU44" s="4544"/>
      <c r="FV44" s="4544"/>
      <c r="FW44" s="4544"/>
      <c r="FX44" s="4544"/>
      <c r="FY44" s="4544"/>
      <c r="FZ44" s="4544"/>
      <c r="GA44" s="4544"/>
      <c r="GB44" s="4544"/>
      <c r="GC44" s="4544"/>
      <c r="GD44" s="4544"/>
      <c r="GE44" s="4544"/>
      <c r="GF44" s="4544"/>
      <c r="GG44" s="4544"/>
      <c r="GH44" s="4544"/>
      <c r="GI44" s="4544"/>
      <c r="GJ44" s="4544"/>
      <c r="GK44" s="4544"/>
      <c r="GL44" s="4544"/>
      <c r="GM44" s="4544"/>
      <c r="GN44" s="4544"/>
      <c r="GO44" s="4544"/>
      <c r="GP44" s="4544"/>
      <c r="GQ44" s="4544"/>
      <c r="GR44" s="4544"/>
      <c r="GS44" s="4544"/>
      <c r="GT44" s="4544"/>
      <c r="GU44" s="4544"/>
      <c r="GV44" s="4544"/>
      <c r="GW44" s="4544"/>
      <c r="GX44" s="4544"/>
      <c r="GY44" s="4544"/>
      <c r="GZ44" s="4544"/>
      <c r="HA44" s="4544"/>
      <c r="HB44" s="4544"/>
      <c r="HC44" s="4544"/>
      <c r="HD44" s="4544"/>
      <c r="HE44" s="4544"/>
      <c r="HF44" s="4544"/>
      <c r="HG44" s="4544"/>
      <c r="HH44" s="4544"/>
      <c r="HI44" s="4544"/>
      <c r="HJ44" s="4544"/>
      <c r="HK44" s="4544"/>
      <c r="HL44" s="4544"/>
      <c r="HM44" s="4544"/>
      <c r="HN44" s="4544"/>
      <c r="HO44" s="4544"/>
      <c r="HP44" s="4544"/>
      <c r="HQ44" s="4544"/>
      <c r="HR44" s="4544"/>
      <c r="HS44" s="4544"/>
      <c r="HT44" s="4544"/>
      <c r="HU44" s="4544"/>
      <c r="HV44" s="4544"/>
      <c r="HW44" s="4544"/>
      <c r="HX44" s="4544"/>
      <c r="HY44" s="4544"/>
      <c r="HZ44" s="4544"/>
      <c r="IA44" s="4544"/>
      <c r="IB44" s="4544"/>
      <c r="IC44" s="4544"/>
      <c r="ID44" s="4544"/>
      <c r="IE44" s="4544"/>
    </row>
    <row r="45" spans="1:239" s="4544" customFormat="1" ht="12.75" customHeight="1">
      <c r="A45" s="4709"/>
      <c r="B45" s="4710"/>
      <c r="C45" s="4704"/>
      <c r="D45" s="4707"/>
      <c r="E45" s="4587"/>
      <c r="F45" s="4965"/>
      <c r="G45" s="4543"/>
      <c r="H45" s="4543"/>
      <c r="I45" s="4543"/>
      <c r="J45" s="4543"/>
      <c r="K45" s="4543"/>
      <c r="L45" s="4543"/>
      <c r="M45" s="4543"/>
      <c r="N45" s="4543"/>
      <c r="O45" s="4543"/>
      <c r="P45" s="4543"/>
      <c r="Q45" s="4543"/>
      <c r="R45" s="4543"/>
      <c r="S45" s="4543"/>
      <c r="T45" s="4543"/>
      <c r="U45" s="4543"/>
      <c r="V45" s="4543"/>
      <c r="W45" s="4543"/>
      <c r="X45" s="4543"/>
      <c r="Y45" s="4543"/>
      <c r="Z45" s="4543"/>
      <c r="AA45" s="4543"/>
      <c r="AB45" s="4543"/>
      <c r="AC45" s="4543"/>
      <c r="AD45" s="4543"/>
      <c r="AE45" s="4543"/>
      <c r="AF45" s="4543"/>
      <c r="AG45" s="4543"/>
      <c r="AH45" s="4543"/>
      <c r="AI45" s="4543"/>
      <c r="AJ45" s="4543"/>
      <c r="AK45" s="4543"/>
      <c r="AL45" s="4543"/>
      <c r="AM45" s="4543"/>
      <c r="AN45" s="4543"/>
      <c r="AO45" s="4543"/>
      <c r="AP45" s="4543"/>
      <c r="AQ45" s="4543"/>
      <c r="AR45" s="4543"/>
      <c r="AS45" s="4542"/>
      <c r="AT45" s="4542"/>
      <c r="AU45" s="4542"/>
      <c r="AV45" s="4542"/>
      <c r="AW45" s="4542"/>
      <c r="AX45" s="4542"/>
      <c r="AY45" s="4542"/>
      <c r="AZ45" s="4542"/>
      <c r="BA45" s="4542"/>
      <c r="BB45" s="4542"/>
      <c r="BC45" s="4542"/>
      <c r="BD45" s="4542"/>
      <c r="BE45" s="4542"/>
      <c r="BF45" s="4542"/>
      <c r="BG45" s="4542"/>
      <c r="BH45" s="4542"/>
      <c r="BI45" s="4542"/>
      <c r="BJ45" s="4542"/>
      <c r="BK45" s="4542"/>
      <c r="BL45" s="4542"/>
      <c r="BM45" s="4542"/>
      <c r="BN45" s="4542"/>
      <c r="BO45" s="4542"/>
      <c r="BP45" s="4542"/>
      <c r="BQ45" s="4542"/>
      <c r="BR45" s="4542"/>
      <c r="BS45" s="4542"/>
      <c r="BT45" s="4542"/>
      <c r="BU45" s="4542"/>
      <c r="BV45" s="4542"/>
      <c r="BW45" s="4542"/>
      <c r="BX45" s="4542"/>
      <c r="BY45" s="4542"/>
      <c r="BZ45" s="4542"/>
      <c r="CA45" s="4542"/>
      <c r="CB45" s="4542"/>
      <c r="CC45" s="4542"/>
      <c r="CD45" s="4542"/>
      <c r="CE45" s="4542"/>
      <c r="CF45" s="4542"/>
      <c r="CG45" s="4542"/>
      <c r="CH45" s="4542"/>
      <c r="CI45" s="4542"/>
      <c r="CJ45" s="4542"/>
      <c r="CK45" s="4542"/>
      <c r="CL45" s="4542"/>
      <c r="CM45" s="4542"/>
      <c r="CN45" s="4542"/>
      <c r="CO45" s="4542"/>
      <c r="CP45" s="4542"/>
      <c r="CQ45" s="4542"/>
      <c r="CR45" s="4542"/>
      <c r="CS45" s="4542"/>
      <c r="CT45" s="4542"/>
      <c r="CU45" s="4542"/>
      <c r="CV45" s="4542"/>
      <c r="CW45" s="4542"/>
      <c r="CX45" s="4542"/>
      <c r="CY45" s="4542"/>
      <c r="CZ45" s="4542"/>
      <c r="DA45" s="4542"/>
      <c r="DB45" s="4542"/>
      <c r="DC45" s="4542"/>
      <c r="DD45" s="4542"/>
      <c r="DE45" s="4542"/>
      <c r="DF45" s="4542"/>
      <c r="DG45" s="4542"/>
      <c r="DH45" s="4542"/>
      <c r="DI45" s="4542"/>
      <c r="DJ45" s="4542"/>
      <c r="DK45" s="4542"/>
      <c r="DL45" s="4542"/>
      <c r="DM45" s="4542"/>
      <c r="DN45" s="4542"/>
      <c r="DO45" s="4542"/>
      <c r="DP45" s="4542"/>
      <c r="DQ45" s="4542"/>
      <c r="DR45" s="4542"/>
      <c r="DS45" s="4542"/>
      <c r="DT45" s="4542"/>
      <c r="DU45" s="4542"/>
      <c r="DV45" s="4542"/>
      <c r="DW45" s="4542"/>
      <c r="DX45" s="4542"/>
      <c r="DY45" s="4542"/>
      <c r="DZ45" s="4542"/>
      <c r="EA45" s="4542"/>
      <c r="EB45" s="4542"/>
      <c r="EC45" s="4542"/>
      <c r="ED45" s="4542"/>
      <c r="EE45" s="4542"/>
      <c r="EF45" s="4542"/>
      <c r="EG45" s="4542"/>
      <c r="EH45" s="4542"/>
      <c r="EI45" s="4542"/>
      <c r="EJ45" s="4542"/>
      <c r="EK45" s="4542"/>
      <c r="EL45" s="4542"/>
      <c r="EM45" s="4542"/>
      <c r="EN45" s="4542"/>
      <c r="EO45" s="4542"/>
      <c r="EP45" s="4542"/>
      <c r="EQ45" s="4542"/>
      <c r="ER45" s="4542"/>
      <c r="ES45" s="4542"/>
      <c r="ET45" s="4542"/>
      <c r="EU45" s="4542"/>
      <c r="EV45" s="4542"/>
      <c r="EW45" s="4542"/>
      <c r="EX45" s="4542"/>
      <c r="EY45" s="4542"/>
      <c r="EZ45" s="4542"/>
      <c r="FA45" s="4542"/>
      <c r="FB45" s="4542"/>
      <c r="FC45" s="4542"/>
      <c r="FD45" s="4542"/>
      <c r="FE45" s="4542"/>
      <c r="FF45" s="4542"/>
      <c r="FG45" s="4542"/>
      <c r="FH45" s="4542"/>
      <c r="FI45" s="4542"/>
      <c r="FJ45" s="4542"/>
      <c r="FK45" s="4542"/>
      <c r="FL45" s="4542"/>
      <c r="FM45" s="4542"/>
      <c r="FN45" s="4542"/>
      <c r="FO45" s="4542"/>
      <c r="FP45" s="4542"/>
      <c r="FQ45" s="4542"/>
      <c r="FR45" s="4542"/>
      <c r="FS45" s="4542"/>
      <c r="FT45" s="4542"/>
      <c r="FU45" s="4542"/>
      <c r="FV45" s="4542"/>
      <c r="FW45" s="4542"/>
      <c r="FX45" s="4542"/>
      <c r="FY45" s="4542"/>
      <c r="FZ45" s="4542"/>
      <c r="GA45" s="4542"/>
      <c r="GB45" s="4542"/>
      <c r="GC45" s="4542"/>
      <c r="GD45" s="4542"/>
      <c r="GE45" s="4542"/>
      <c r="GF45" s="4542"/>
      <c r="GG45" s="4542"/>
      <c r="GH45" s="4542"/>
      <c r="GI45" s="4542"/>
      <c r="GJ45" s="4542"/>
      <c r="GK45" s="4542"/>
      <c r="GL45" s="4542"/>
      <c r="GM45" s="4542"/>
      <c r="GN45" s="4542"/>
      <c r="GO45" s="4542"/>
      <c r="GP45" s="4542"/>
      <c r="GQ45" s="4542"/>
      <c r="GR45" s="4542"/>
      <c r="GS45" s="4542"/>
      <c r="GT45" s="4542"/>
      <c r="GU45" s="4542"/>
      <c r="GV45" s="4542"/>
      <c r="GW45" s="4542"/>
      <c r="GX45" s="4542"/>
      <c r="GY45" s="4542"/>
      <c r="GZ45" s="4542"/>
      <c r="HA45" s="4542"/>
      <c r="HB45" s="4542"/>
      <c r="HC45" s="4542"/>
      <c r="HD45" s="4542"/>
      <c r="HE45" s="4542"/>
      <c r="HF45" s="4542"/>
      <c r="HG45" s="4542"/>
      <c r="HH45" s="4542"/>
      <c r="HI45" s="4542"/>
      <c r="HJ45" s="4542"/>
      <c r="HK45" s="4542"/>
      <c r="HL45" s="4542"/>
      <c r="HM45" s="4542"/>
      <c r="HN45" s="4542"/>
      <c r="HO45" s="4542"/>
      <c r="HP45" s="4542"/>
      <c r="HQ45" s="4542"/>
      <c r="HR45" s="4542"/>
      <c r="HS45" s="4542"/>
      <c r="HT45" s="4542"/>
      <c r="HU45" s="4542"/>
      <c r="HV45" s="4542"/>
      <c r="HW45" s="4542"/>
      <c r="HX45" s="4542"/>
      <c r="HY45" s="4542"/>
      <c r="HZ45" s="4542"/>
      <c r="IA45" s="4542"/>
      <c r="IB45" s="4542"/>
      <c r="IC45" s="4542"/>
      <c r="ID45" s="4542"/>
      <c r="IE45" s="4542"/>
    </row>
    <row r="46" spans="1:239" s="4544" customFormat="1" ht="17.25">
      <c r="A46" s="4705">
        <v>3</v>
      </c>
      <c r="B46" s="4706" t="s">
        <v>4576</v>
      </c>
      <c r="C46" s="4711"/>
      <c r="D46" s="4707"/>
      <c r="E46" s="4587"/>
      <c r="F46" s="4965"/>
      <c r="G46" s="4545"/>
      <c r="H46" s="4545"/>
      <c r="I46" s="4545"/>
      <c r="J46" s="4545"/>
      <c r="K46" s="4545"/>
      <c r="L46" s="4545"/>
      <c r="M46" s="4545"/>
      <c r="N46" s="4545"/>
      <c r="O46" s="4545"/>
      <c r="P46" s="4545"/>
      <c r="Q46" s="4545"/>
      <c r="R46" s="4545"/>
      <c r="S46" s="4545"/>
      <c r="T46" s="4545"/>
      <c r="U46" s="4545"/>
      <c r="V46" s="4545"/>
      <c r="W46" s="4545"/>
      <c r="X46" s="4545"/>
      <c r="Y46" s="4545"/>
      <c r="Z46" s="4545"/>
      <c r="AA46" s="4545"/>
      <c r="AB46" s="4545"/>
      <c r="AC46" s="4545"/>
      <c r="AD46" s="4545"/>
      <c r="AE46" s="4545"/>
      <c r="AF46" s="4545"/>
      <c r="AG46" s="4545"/>
      <c r="AH46" s="4545"/>
      <c r="AI46" s="4545"/>
      <c r="AJ46" s="4545"/>
      <c r="AK46" s="4545"/>
      <c r="AL46" s="4545"/>
      <c r="AM46" s="4545"/>
      <c r="AN46" s="4545"/>
      <c r="AO46" s="4545"/>
      <c r="AP46" s="4545"/>
      <c r="AQ46" s="4545"/>
      <c r="AR46" s="4545"/>
    </row>
    <row r="47" spans="1:239" s="4544" customFormat="1" ht="16.5">
      <c r="A47" s="4708">
        <v>3.1</v>
      </c>
      <c r="B47" s="4701" t="s">
        <v>4646</v>
      </c>
      <c r="C47" s="4711">
        <v>13.12</v>
      </c>
      <c r="D47" s="4707" t="s">
        <v>2430</v>
      </c>
      <c r="E47" s="4587"/>
      <c r="F47" s="4965">
        <f t="shared" ref="F47:F54" si="0">ROUND(C47*E47,2)</f>
        <v>0</v>
      </c>
      <c r="G47" s="4545"/>
      <c r="H47" s="4545"/>
      <c r="I47" s="4545"/>
      <c r="J47" s="4545"/>
      <c r="K47" s="4545"/>
      <c r="L47" s="4545"/>
      <c r="M47" s="4545"/>
      <c r="N47" s="4545"/>
      <c r="O47" s="4545"/>
      <c r="P47" s="4545"/>
      <c r="Q47" s="4545"/>
      <c r="R47" s="4545"/>
      <c r="S47" s="4545"/>
      <c r="T47" s="4545"/>
      <c r="U47" s="4545"/>
      <c r="V47" s="4545"/>
      <c r="W47" s="4545"/>
      <c r="X47" s="4545"/>
      <c r="Y47" s="4545"/>
      <c r="Z47" s="4545"/>
      <c r="AA47" s="4545"/>
      <c r="AB47" s="4545"/>
      <c r="AC47" s="4545"/>
      <c r="AD47" s="4545"/>
      <c r="AE47" s="4545"/>
      <c r="AF47" s="4545"/>
      <c r="AG47" s="4545"/>
      <c r="AH47" s="4545"/>
      <c r="AI47" s="4545"/>
      <c r="AJ47" s="4545"/>
      <c r="AK47" s="4545"/>
      <c r="AL47" s="4545"/>
      <c r="AM47" s="4545"/>
      <c r="AN47" s="4545"/>
      <c r="AO47" s="4545"/>
      <c r="AP47" s="4545"/>
      <c r="AQ47" s="4545"/>
      <c r="AR47" s="4545"/>
    </row>
    <row r="48" spans="1:239" s="4544" customFormat="1" ht="16.5">
      <c r="A48" s="4708">
        <v>3.2</v>
      </c>
      <c r="B48" s="4701" t="s">
        <v>4647</v>
      </c>
      <c r="C48" s="4711">
        <v>4.0999999999999996</v>
      </c>
      <c r="D48" s="4707" t="s">
        <v>2430</v>
      </c>
      <c r="E48" s="4587"/>
      <c r="F48" s="4965">
        <f t="shared" si="0"/>
        <v>0</v>
      </c>
      <c r="G48" s="4545"/>
      <c r="H48" s="4545"/>
      <c r="I48" s="4545"/>
      <c r="J48" s="4545"/>
      <c r="K48" s="4545"/>
      <c r="L48" s="4545"/>
      <c r="M48" s="4545"/>
      <c r="N48" s="4545"/>
      <c r="O48" s="4545"/>
      <c r="P48" s="4545"/>
      <c r="Q48" s="4545"/>
      <c r="R48" s="4545"/>
      <c r="S48" s="4545"/>
      <c r="T48" s="4545"/>
      <c r="U48" s="4545"/>
      <c r="V48" s="4545"/>
      <c r="W48" s="4545"/>
      <c r="X48" s="4545"/>
      <c r="Y48" s="4545"/>
      <c r="Z48" s="4545"/>
      <c r="AA48" s="4545"/>
      <c r="AB48" s="4545"/>
      <c r="AC48" s="4545"/>
      <c r="AD48" s="4545"/>
      <c r="AE48" s="4545"/>
      <c r="AF48" s="4545"/>
      <c r="AG48" s="4545"/>
      <c r="AH48" s="4545"/>
      <c r="AI48" s="4545"/>
      <c r="AJ48" s="4545"/>
      <c r="AK48" s="4545"/>
      <c r="AL48" s="4545"/>
      <c r="AM48" s="4545"/>
      <c r="AN48" s="4545"/>
      <c r="AO48" s="4545"/>
      <c r="AP48" s="4545"/>
      <c r="AQ48" s="4545"/>
      <c r="AR48" s="4545"/>
    </row>
    <row r="49" spans="1:44" s="4544" customFormat="1" ht="16.5">
      <c r="A49" s="4708">
        <v>3.3</v>
      </c>
      <c r="B49" s="4701" t="s">
        <v>4648</v>
      </c>
      <c r="C49" s="4711">
        <v>3.51</v>
      </c>
      <c r="D49" s="4707" t="s">
        <v>2430</v>
      </c>
      <c r="E49" s="4587"/>
      <c r="F49" s="4965">
        <f t="shared" si="0"/>
        <v>0</v>
      </c>
      <c r="G49" s="4545"/>
      <c r="H49" s="4545"/>
      <c r="I49" s="4545"/>
      <c r="J49" s="4545"/>
      <c r="K49" s="4545"/>
      <c r="L49" s="4545"/>
      <c r="M49" s="4545"/>
      <c r="N49" s="4545"/>
      <c r="O49" s="4545"/>
      <c r="P49" s="4545"/>
      <c r="Q49" s="4545"/>
      <c r="R49" s="4545"/>
      <c r="S49" s="4545"/>
      <c r="T49" s="4545"/>
      <c r="U49" s="4545"/>
      <c r="V49" s="4545"/>
      <c r="W49" s="4545"/>
      <c r="X49" s="4545"/>
      <c r="Y49" s="4545"/>
      <c r="Z49" s="4545"/>
      <c r="AA49" s="4545"/>
      <c r="AB49" s="4545"/>
      <c r="AC49" s="4545"/>
      <c r="AD49" s="4545"/>
      <c r="AE49" s="4545"/>
      <c r="AF49" s="4545"/>
      <c r="AG49" s="4545"/>
      <c r="AH49" s="4545"/>
      <c r="AI49" s="4545"/>
      <c r="AJ49" s="4545"/>
      <c r="AK49" s="4545"/>
      <c r="AL49" s="4545"/>
      <c r="AM49" s="4545"/>
      <c r="AN49" s="4545"/>
      <c r="AO49" s="4545"/>
      <c r="AP49" s="4545"/>
      <c r="AQ49" s="4545"/>
      <c r="AR49" s="4545"/>
    </row>
    <row r="50" spans="1:44" s="4544" customFormat="1" ht="16.5">
      <c r="A50" s="4708">
        <v>3.4</v>
      </c>
      <c r="B50" s="4701" t="s">
        <v>4649</v>
      </c>
      <c r="C50" s="4704">
        <v>1.3</v>
      </c>
      <c r="D50" s="4707" t="s">
        <v>2430</v>
      </c>
      <c r="E50" s="4974"/>
      <c r="F50" s="4965">
        <f t="shared" si="0"/>
        <v>0</v>
      </c>
      <c r="G50" s="4545"/>
      <c r="H50" s="4545"/>
      <c r="I50" s="4545"/>
      <c r="J50" s="4545"/>
      <c r="K50" s="4545"/>
      <c r="L50" s="4545"/>
      <c r="M50" s="4545"/>
      <c r="N50" s="4545"/>
      <c r="O50" s="4545"/>
      <c r="P50" s="4545"/>
      <c r="Q50" s="4545"/>
      <c r="R50" s="4545"/>
      <c r="S50" s="4545"/>
      <c r="T50" s="4545"/>
      <c r="U50" s="4545"/>
      <c r="V50" s="4545"/>
      <c r="W50" s="4545"/>
      <c r="X50" s="4545"/>
      <c r="Y50" s="4545"/>
      <c r="Z50" s="4545"/>
      <c r="AA50" s="4545"/>
      <c r="AB50" s="4545"/>
      <c r="AC50" s="4545"/>
      <c r="AD50" s="4545"/>
      <c r="AE50" s="4545"/>
      <c r="AF50" s="4545"/>
      <c r="AG50" s="4545"/>
      <c r="AH50" s="4545"/>
      <c r="AI50" s="4545"/>
      <c r="AJ50" s="4545"/>
      <c r="AK50" s="4545"/>
      <c r="AL50" s="4545"/>
      <c r="AM50" s="4545"/>
      <c r="AN50" s="4545"/>
      <c r="AO50" s="4545"/>
      <c r="AP50" s="4545"/>
      <c r="AQ50" s="4545"/>
      <c r="AR50" s="4545"/>
    </row>
    <row r="51" spans="1:44" s="4544" customFormat="1" ht="16.5">
      <c r="A51" s="4708">
        <v>3.5</v>
      </c>
      <c r="B51" s="4701" t="s">
        <v>4650</v>
      </c>
      <c r="C51" s="4711">
        <v>48.76</v>
      </c>
      <c r="D51" s="4707" t="s">
        <v>2430</v>
      </c>
      <c r="E51" s="4587"/>
      <c r="F51" s="4965">
        <f t="shared" si="0"/>
        <v>0</v>
      </c>
      <c r="G51" s="4545"/>
      <c r="H51" s="4545"/>
      <c r="I51" s="4545"/>
      <c r="J51" s="4545"/>
      <c r="K51" s="4545"/>
      <c r="L51" s="4545"/>
      <c r="M51" s="4545"/>
      <c r="N51" s="4545"/>
      <c r="O51" s="4545"/>
      <c r="P51" s="4545"/>
      <c r="Q51" s="4545"/>
      <c r="R51" s="4545"/>
      <c r="S51" s="4545"/>
      <c r="T51" s="4545"/>
      <c r="U51" s="4545"/>
      <c r="V51" s="4545"/>
      <c r="W51" s="4545"/>
      <c r="X51" s="4545"/>
      <c r="Y51" s="4545"/>
      <c r="Z51" s="4545"/>
      <c r="AA51" s="4545"/>
      <c r="AB51" s="4545"/>
      <c r="AC51" s="4545"/>
      <c r="AD51" s="4545"/>
      <c r="AE51" s="4545"/>
      <c r="AF51" s="4545"/>
      <c r="AG51" s="4545"/>
      <c r="AH51" s="4545"/>
      <c r="AI51" s="4545"/>
      <c r="AJ51" s="4545"/>
      <c r="AK51" s="4545"/>
      <c r="AL51" s="4545"/>
      <c r="AM51" s="4545"/>
      <c r="AN51" s="4545"/>
      <c r="AO51" s="4545"/>
      <c r="AP51" s="4545"/>
      <c r="AQ51" s="4545"/>
      <c r="AR51" s="4545"/>
    </row>
    <row r="52" spans="1:44" s="4544" customFormat="1" ht="16.5">
      <c r="A52" s="4708">
        <v>3.6</v>
      </c>
      <c r="B52" s="4701" t="s">
        <v>4651</v>
      </c>
      <c r="C52" s="4711">
        <v>1.1200000000000001</v>
      </c>
      <c r="D52" s="4707" t="s">
        <v>2430</v>
      </c>
      <c r="E52" s="4587"/>
      <c r="F52" s="4965">
        <f t="shared" si="0"/>
        <v>0</v>
      </c>
      <c r="G52" s="4545"/>
      <c r="H52" s="4545"/>
      <c r="I52" s="4545"/>
      <c r="J52" s="4545"/>
      <c r="K52" s="4545"/>
      <c r="L52" s="4545"/>
      <c r="M52" s="4545"/>
      <c r="N52" s="4545"/>
      <c r="O52" s="4545"/>
      <c r="P52" s="4545"/>
      <c r="Q52" s="4545"/>
      <c r="R52" s="4545"/>
      <c r="S52" s="4545"/>
      <c r="T52" s="4545"/>
      <c r="U52" s="4545"/>
      <c r="V52" s="4545"/>
      <c r="W52" s="4545"/>
      <c r="X52" s="4545"/>
      <c r="Y52" s="4545"/>
      <c r="Z52" s="4545"/>
      <c r="AA52" s="4545"/>
      <c r="AB52" s="4545"/>
      <c r="AC52" s="4545"/>
      <c r="AD52" s="4545"/>
      <c r="AE52" s="4545"/>
      <c r="AF52" s="4545"/>
      <c r="AG52" s="4545"/>
      <c r="AH52" s="4545"/>
      <c r="AI52" s="4545"/>
      <c r="AJ52" s="4545"/>
      <c r="AK52" s="4545"/>
      <c r="AL52" s="4545"/>
      <c r="AM52" s="4545"/>
      <c r="AN52" s="4545"/>
      <c r="AO52" s="4545"/>
      <c r="AP52" s="4545"/>
      <c r="AQ52" s="4545"/>
      <c r="AR52" s="4545"/>
    </row>
    <row r="53" spans="1:44" s="4544" customFormat="1" ht="16.5">
      <c r="A53" s="4708">
        <v>3.7</v>
      </c>
      <c r="B53" s="4701" t="s">
        <v>4652</v>
      </c>
      <c r="C53" s="4711">
        <v>1.61</v>
      </c>
      <c r="D53" s="4707" t="s">
        <v>2430</v>
      </c>
      <c r="E53" s="4587"/>
      <c r="F53" s="4965">
        <f t="shared" si="0"/>
        <v>0</v>
      </c>
      <c r="G53" s="4545"/>
      <c r="H53" s="4545"/>
      <c r="I53" s="4545"/>
      <c r="J53" s="4545"/>
      <c r="K53" s="4545"/>
      <c r="L53" s="4545"/>
      <c r="M53" s="4545"/>
      <c r="N53" s="4545"/>
      <c r="O53" s="4545"/>
      <c r="P53" s="4545"/>
      <c r="Q53" s="4545"/>
      <c r="R53" s="4545"/>
      <c r="S53" s="4545"/>
      <c r="T53" s="4545"/>
      <c r="U53" s="4545"/>
      <c r="V53" s="4545"/>
      <c r="W53" s="4545"/>
      <c r="X53" s="4545"/>
      <c r="Y53" s="4545"/>
      <c r="Z53" s="4545"/>
      <c r="AA53" s="4545"/>
      <c r="AB53" s="4545"/>
      <c r="AC53" s="4545"/>
      <c r="AD53" s="4545"/>
      <c r="AE53" s="4545"/>
      <c r="AF53" s="4545"/>
      <c r="AG53" s="4545"/>
      <c r="AH53" s="4545"/>
      <c r="AI53" s="4545"/>
      <c r="AJ53" s="4545"/>
      <c r="AK53" s="4545"/>
      <c r="AL53" s="4545"/>
      <c r="AM53" s="4545"/>
      <c r="AN53" s="4545"/>
      <c r="AO53" s="4545"/>
      <c r="AP53" s="4545"/>
      <c r="AQ53" s="4545"/>
      <c r="AR53" s="4545"/>
    </row>
    <row r="54" spans="1:44" s="4544" customFormat="1" ht="13.5" customHeight="1">
      <c r="A54" s="4708">
        <v>3.8</v>
      </c>
      <c r="B54" s="4701" t="s">
        <v>4067</v>
      </c>
      <c r="C54" s="4711">
        <v>5.09</v>
      </c>
      <c r="D54" s="4707" t="s">
        <v>1</v>
      </c>
      <c r="E54" s="4587"/>
      <c r="F54" s="4965">
        <f t="shared" si="0"/>
        <v>0</v>
      </c>
      <c r="G54" s="4545"/>
      <c r="H54" s="4545"/>
      <c r="I54" s="4545"/>
      <c r="J54" s="4545"/>
      <c r="K54" s="4545"/>
      <c r="L54" s="4545"/>
      <c r="M54" s="4545"/>
      <c r="N54" s="4545"/>
      <c r="O54" s="4545"/>
      <c r="P54" s="4545"/>
      <c r="Q54" s="4545"/>
      <c r="R54" s="4545"/>
      <c r="S54" s="4545"/>
      <c r="T54" s="4545"/>
      <c r="U54" s="4545"/>
      <c r="V54" s="4545"/>
      <c r="W54" s="4545"/>
      <c r="X54" s="4545"/>
      <c r="Y54" s="4545"/>
      <c r="Z54" s="4545"/>
      <c r="AA54" s="4545"/>
      <c r="AB54" s="4545"/>
      <c r="AC54" s="4545"/>
      <c r="AD54" s="4545"/>
      <c r="AE54" s="4545"/>
      <c r="AF54" s="4545"/>
      <c r="AG54" s="4545"/>
      <c r="AH54" s="4545"/>
      <c r="AI54" s="4545"/>
      <c r="AJ54" s="4545"/>
      <c r="AK54" s="4545"/>
      <c r="AL54" s="4545"/>
      <c r="AM54" s="4545"/>
      <c r="AN54" s="4545"/>
      <c r="AO54" s="4545"/>
      <c r="AP54" s="4545"/>
      <c r="AQ54" s="4545"/>
      <c r="AR54" s="4545"/>
    </row>
    <row r="55" spans="1:44" s="4544" customFormat="1" ht="15" customHeight="1">
      <c r="A55" s="4708">
        <v>3.9</v>
      </c>
      <c r="B55" s="4701" t="s">
        <v>4653</v>
      </c>
      <c r="C55" s="4711">
        <v>1.06</v>
      </c>
      <c r="D55" s="4707" t="s">
        <v>2430</v>
      </c>
      <c r="E55" s="4587"/>
      <c r="F55" s="4965">
        <f>ROUND(C55*E55,2)</f>
        <v>0</v>
      </c>
      <c r="G55" s="4545"/>
      <c r="H55" s="4545"/>
      <c r="I55" s="4545"/>
      <c r="J55" s="4545"/>
      <c r="K55" s="4545"/>
      <c r="L55" s="4545"/>
      <c r="M55" s="4545"/>
      <c r="N55" s="4545"/>
      <c r="O55" s="4545"/>
      <c r="P55" s="4545"/>
      <c r="Q55" s="4545"/>
      <c r="R55" s="4545"/>
      <c r="S55" s="4545"/>
      <c r="T55" s="4545"/>
      <c r="U55" s="4545"/>
      <c r="V55" s="4545"/>
      <c r="W55" s="4545"/>
      <c r="X55" s="4545"/>
      <c r="Y55" s="4545"/>
      <c r="Z55" s="4545"/>
      <c r="AA55" s="4545"/>
      <c r="AB55" s="4545"/>
      <c r="AC55" s="4545"/>
      <c r="AD55" s="4545"/>
      <c r="AE55" s="4545"/>
      <c r="AF55" s="4545"/>
      <c r="AG55" s="4545"/>
      <c r="AH55" s="4545"/>
      <c r="AI55" s="4545"/>
      <c r="AJ55" s="4545"/>
      <c r="AK55" s="4545"/>
      <c r="AL55" s="4545"/>
      <c r="AM55" s="4545"/>
      <c r="AN55" s="4545"/>
      <c r="AO55" s="4545"/>
      <c r="AP55" s="4545"/>
      <c r="AQ55" s="4545"/>
      <c r="AR55" s="4545"/>
    </row>
    <row r="56" spans="1:44" s="4544" customFormat="1" ht="7.5" customHeight="1">
      <c r="A56" s="4712"/>
      <c r="B56" s="4713"/>
      <c r="C56" s="4711"/>
      <c r="D56" s="4707"/>
      <c r="E56" s="4587"/>
      <c r="F56" s="4965"/>
      <c r="G56" s="4545"/>
      <c r="H56" s="4545"/>
      <c r="I56" s="4545"/>
      <c r="J56" s="4545"/>
      <c r="K56" s="4545"/>
      <c r="L56" s="4545"/>
      <c r="M56" s="4545"/>
      <c r="N56" s="4545"/>
      <c r="O56" s="4545"/>
      <c r="P56" s="4545"/>
      <c r="Q56" s="4545"/>
      <c r="R56" s="4545"/>
      <c r="S56" s="4545"/>
      <c r="T56" s="4545"/>
      <c r="U56" s="4545"/>
      <c r="V56" s="4545"/>
      <c r="W56" s="4545"/>
      <c r="X56" s="4545"/>
      <c r="Y56" s="4545"/>
      <c r="Z56" s="4545"/>
      <c r="AA56" s="4545"/>
      <c r="AB56" s="4545"/>
      <c r="AC56" s="4545"/>
      <c r="AD56" s="4545"/>
      <c r="AE56" s="4545"/>
      <c r="AF56" s="4545"/>
      <c r="AG56" s="4545"/>
      <c r="AH56" s="4545"/>
      <c r="AI56" s="4545"/>
      <c r="AJ56" s="4545"/>
      <c r="AK56" s="4545"/>
      <c r="AL56" s="4545"/>
      <c r="AM56" s="4545"/>
      <c r="AN56" s="4545"/>
      <c r="AO56" s="4545"/>
      <c r="AP56" s="4545"/>
      <c r="AQ56" s="4545"/>
      <c r="AR56" s="4545"/>
    </row>
    <row r="57" spans="1:44" s="4544" customFormat="1" ht="12.75" customHeight="1">
      <c r="A57" s="4705">
        <v>4</v>
      </c>
      <c r="B57" s="4706" t="s">
        <v>4068</v>
      </c>
      <c r="C57" s="4714"/>
      <c r="D57" s="4715"/>
      <c r="E57" s="4587"/>
      <c r="F57" s="4965"/>
      <c r="G57" s="4545"/>
      <c r="H57" s="4545"/>
      <c r="I57" s="4545"/>
      <c r="J57" s="4545"/>
      <c r="K57" s="4545"/>
      <c r="L57" s="4545"/>
      <c r="M57" s="4545"/>
      <c r="N57" s="4545"/>
      <c r="O57" s="4545"/>
      <c r="P57" s="4545"/>
      <c r="Q57" s="4545"/>
      <c r="R57" s="4545"/>
      <c r="S57" s="4545"/>
      <c r="T57" s="4545"/>
      <c r="U57" s="4545"/>
      <c r="V57" s="4545"/>
      <c r="W57" s="4545"/>
      <c r="X57" s="4545"/>
      <c r="Y57" s="4545"/>
      <c r="Z57" s="4545"/>
      <c r="AA57" s="4545"/>
      <c r="AB57" s="4545"/>
      <c r="AC57" s="4545"/>
      <c r="AD57" s="4545"/>
      <c r="AE57" s="4545"/>
      <c r="AF57" s="4545"/>
      <c r="AG57" s="4545"/>
      <c r="AH57" s="4545"/>
      <c r="AI57" s="4545"/>
      <c r="AJ57" s="4545"/>
      <c r="AK57" s="4545"/>
      <c r="AL57" s="4545"/>
      <c r="AM57" s="4545"/>
      <c r="AN57" s="4545"/>
      <c r="AO57" s="4545"/>
      <c r="AP57" s="4545"/>
      <c r="AQ57" s="4545"/>
      <c r="AR57" s="4545"/>
    </row>
    <row r="58" spans="1:44" s="4544" customFormat="1" ht="13.5" customHeight="1">
      <c r="A58" s="4708">
        <v>4.0999999999999996</v>
      </c>
      <c r="B58" s="4701" t="s">
        <v>4069</v>
      </c>
      <c r="C58" s="4711">
        <v>47.44</v>
      </c>
      <c r="D58" s="4707" t="s">
        <v>2432</v>
      </c>
      <c r="E58" s="4587"/>
      <c r="F58" s="4965">
        <f>ROUND(C58*E58,2)</f>
        <v>0</v>
      </c>
      <c r="G58" s="4545"/>
      <c r="H58" s="4545"/>
      <c r="I58" s="4545"/>
      <c r="J58" s="4545"/>
      <c r="K58" s="4545"/>
      <c r="L58" s="4545"/>
      <c r="M58" s="4545"/>
      <c r="N58" s="4545"/>
      <c r="O58" s="4545"/>
      <c r="P58" s="4545"/>
      <c r="Q58" s="4545"/>
      <c r="R58" s="4545"/>
      <c r="S58" s="4545"/>
      <c r="T58" s="4545"/>
      <c r="U58" s="4545"/>
      <c r="V58" s="4545"/>
      <c r="W58" s="4545"/>
      <c r="X58" s="4545"/>
      <c r="Y58" s="4545"/>
      <c r="Z58" s="4545"/>
      <c r="AA58" s="4545"/>
      <c r="AB58" s="4545"/>
      <c r="AC58" s="4545"/>
      <c r="AD58" s="4545"/>
      <c r="AE58" s="4545"/>
      <c r="AF58" s="4545"/>
      <c r="AG58" s="4545"/>
      <c r="AH58" s="4545"/>
      <c r="AI58" s="4545"/>
      <c r="AJ58" s="4545"/>
      <c r="AK58" s="4545"/>
      <c r="AL58" s="4545"/>
      <c r="AM58" s="4545"/>
      <c r="AN58" s="4545"/>
      <c r="AO58" s="4545"/>
      <c r="AP58" s="4545"/>
      <c r="AQ58" s="4545"/>
      <c r="AR58" s="4545"/>
    </row>
    <row r="59" spans="1:44" s="4544" customFormat="1" ht="8.25" customHeight="1">
      <c r="A59" s="4712"/>
      <c r="B59" s="4710"/>
      <c r="C59" s="4711"/>
      <c r="D59" s="4707"/>
      <c r="E59" s="4587"/>
      <c r="F59" s="4965"/>
      <c r="G59" s="4545"/>
      <c r="H59" s="4545"/>
      <c r="I59" s="4545"/>
      <c r="J59" s="4545"/>
      <c r="K59" s="4545"/>
      <c r="L59" s="4545"/>
      <c r="M59" s="4545"/>
      <c r="N59" s="4545"/>
      <c r="O59" s="4545"/>
      <c r="P59" s="4545"/>
      <c r="Q59" s="4545"/>
      <c r="R59" s="4545"/>
      <c r="S59" s="4545"/>
      <c r="T59" s="4545"/>
      <c r="U59" s="4545"/>
      <c r="V59" s="4545"/>
      <c r="W59" s="4545"/>
      <c r="X59" s="4545"/>
      <c r="Y59" s="4545"/>
      <c r="Z59" s="4545"/>
      <c r="AA59" s="4545"/>
      <c r="AB59" s="4545"/>
      <c r="AC59" s="4545"/>
      <c r="AD59" s="4545"/>
      <c r="AE59" s="4545"/>
      <c r="AF59" s="4545"/>
      <c r="AG59" s="4545"/>
      <c r="AH59" s="4545"/>
      <c r="AI59" s="4545"/>
      <c r="AJ59" s="4545"/>
      <c r="AK59" s="4545"/>
      <c r="AL59" s="4545"/>
      <c r="AM59" s="4545"/>
      <c r="AN59" s="4545"/>
      <c r="AO59" s="4545"/>
      <c r="AP59" s="4545"/>
      <c r="AQ59" s="4545"/>
      <c r="AR59" s="4545"/>
    </row>
    <row r="60" spans="1:44" s="4544" customFormat="1" ht="12.75" customHeight="1">
      <c r="A60" s="4705">
        <v>5</v>
      </c>
      <c r="B60" s="4706" t="s">
        <v>4070</v>
      </c>
      <c r="C60" s="4714"/>
      <c r="D60" s="4715"/>
      <c r="E60" s="4587"/>
      <c r="F60" s="4965"/>
      <c r="G60" s="4545"/>
      <c r="H60" s="4545"/>
      <c r="I60" s="4545"/>
      <c r="J60" s="4545"/>
      <c r="K60" s="4545"/>
      <c r="L60" s="4545"/>
      <c r="M60" s="4545"/>
      <c r="N60" s="4545"/>
      <c r="O60" s="4545"/>
      <c r="P60" s="4545"/>
      <c r="Q60" s="4545"/>
      <c r="R60" s="4545"/>
      <c r="S60" s="4545"/>
      <c r="T60" s="4545"/>
      <c r="U60" s="4545"/>
      <c r="V60" s="4545"/>
      <c r="W60" s="4545"/>
      <c r="X60" s="4545"/>
      <c r="Y60" s="4545"/>
      <c r="Z60" s="4545"/>
      <c r="AA60" s="4545"/>
      <c r="AB60" s="4545"/>
      <c r="AC60" s="4545"/>
      <c r="AD60" s="4545"/>
      <c r="AE60" s="4545"/>
      <c r="AF60" s="4545"/>
      <c r="AG60" s="4545"/>
      <c r="AH60" s="4545"/>
      <c r="AI60" s="4545"/>
      <c r="AJ60" s="4545"/>
      <c r="AK60" s="4545"/>
      <c r="AL60" s="4545"/>
      <c r="AM60" s="4545"/>
      <c r="AN60" s="4545"/>
      <c r="AO60" s="4545"/>
      <c r="AP60" s="4545"/>
      <c r="AQ60" s="4545"/>
      <c r="AR60" s="4545"/>
    </row>
    <row r="61" spans="1:44" s="4544" customFormat="1" ht="15.75" customHeight="1">
      <c r="A61" s="4708">
        <v>5.0999999999999996</v>
      </c>
      <c r="B61" s="4701" t="s">
        <v>4071</v>
      </c>
      <c r="C61" s="4711">
        <v>16</v>
      </c>
      <c r="D61" s="4707" t="s">
        <v>2432</v>
      </c>
      <c r="E61" s="4587"/>
      <c r="F61" s="4965">
        <f t="shared" ref="F61:F66" si="1">ROUND(C61*E61,2)</f>
        <v>0</v>
      </c>
      <c r="G61" s="4545"/>
      <c r="H61" s="4545"/>
      <c r="I61" s="4545"/>
      <c r="J61" s="4545"/>
      <c r="K61" s="4545"/>
      <c r="L61" s="4545"/>
      <c r="M61" s="4545"/>
      <c r="N61" s="4545"/>
      <c r="O61" s="4545"/>
      <c r="P61" s="4545"/>
      <c r="Q61" s="4545"/>
      <c r="R61" s="4545"/>
      <c r="S61" s="4545"/>
      <c r="T61" s="4545"/>
      <c r="U61" s="4545"/>
      <c r="V61" s="4545"/>
      <c r="W61" s="4545"/>
      <c r="X61" s="4545"/>
      <c r="Y61" s="4545"/>
      <c r="Z61" s="4545"/>
      <c r="AA61" s="4545"/>
      <c r="AB61" s="4545"/>
      <c r="AC61" s="4545"/>
      <c r="AD61" s="4545"/>
      <c r="AE61" s="4545"/>
      <c r="AF61" s="4545"/>
      <c r="AG61" s="4545"/>
      <c r="AH61" s="4545"/>
      <c r="AI61" s="4545"/>
      <c r="AJ61" s="4545"/>
      <c r="AK61" s="4545"/>
      <c r="AL61" s="4545"/>
      <c r="AM61" s="4545"/>
      <c r="AN61" s="4545"/>
      <c r="AO61" s="4545"/>
      <c r="AP61" s="4545"/>
      <c r="AQ61" s="4545"/>
      <c r="AR61" s="4545"/>
    </row>
    <row r="62" spans="1:44" s="4544" customFormat="1" ht="14.25" customHeight="1">
      <c r="A62" s="4708">
        <v>5.2</v>
      </c>
      <c r="B62" s="4701" t="s">
        <v>4072</v>
      </c>
      <c r="C62" s="4711">
        <v>195</v>
      </c>
      <c r="D62" s="4707" t="s">
        <v>2432</v>
      </c>
      <c r="E62" s="4587"/>
      <c r="F62" s="4965">
        <f t="shared" si="1"/>
        <v>0</v>
      </c>
      <c r="G62" s="4545"/>
      <c r="H62" s="4545"/>
      <c r="I62" s="4545"/>
      <c r="J62" s="4545"/>
      <c r="K62" s="4545"/>
      <c r="L62" s="4545"/>
      <c r="M62" s="4545"/>
      <c r="N62" s="4545"/>
      <c r="O62" s="4545"/>
      <c r="P62" s="4545"/>
      <c r="Q62" s="4545"/>
      <c r="R62" s="4545"/>
      <c r="S62" s="4545"/>
      <c r="T62" s="4545"/>
      <c r="U62" s="4545"/>
      <c r="V62" s="4545"/>
      <c r="W62" s="4545"/>
      <c r="X62" s="4545"/>
      <c r="Y62" s="4545"/>
      <c r="Z62" s="4545"/>
      <c r="AA62" s="4545"/>
      <c r="AB62" s="4545"/>
      <c r="AC62" s="4545"/>
      <c r="AD62" s="4545"/>
      <c r="AE62" s="4545"/>
      <c r="AF62" s="4545"/>
      <c r="AG62" s="4545"/>
      <c r="AH62" s="4545"/>
      <c r="AI62" s="4545"/>
      <c r="AJ62" s="4545"/>
      <c r="AK62" s="4545"/>
      <c r="AL62" s="4545"/>
      <c r="AM62" s="4545"/>
      <c r="AN62" s="4545"/>
      <c r="AO62" s="4545"/>
      <c r="AP62" s="4545"/>
      <c r="AQ62" s="4545"/>
      <c r="AR62" s="4545"/>
    </row>
    <row r="63" spans="1:44" s="4544" customFormat="1" ht="12.75" customHeight="1">
      <c r="A63" s="4708">
        <v>5.3</v>
      </c>
      <c r="B63" s="4701" t="s">
        <v>2395</v>
      </c>
      <c r="C63" s="4711">
        <v>51.97</v>
      </c>
      <c r="D63" s="4707" t="s">
        <v>2432</v>
      </c>
      <c r="E63" s="4587"/>
      <c r="F63" s="4965">
        <f t="shared" si="1"/>
        <v>0</v>
      </c>
      <c r="G63" s="4545"/>
      <c r="H63" s="4545"/>
      <c r="I63" s="4545"/>
      <c r="J63" s="4545"/>
      <c r="K63" s="4545"/>
      <c r="L63" s="4545"/>
      <c r="M63" s="4545"/>
      <c r="N63" s="4545"/>
      <c r="O63" s="4545"/>
      <c r="P63" s="4545"/>
      <c r="Q63" s="4545"/>
      <c r="R63" s="4545"/>
      <c r="S63" s="4545"/>
      <c r="T63" s="4545"/>
      <c r="U63" s="4545"/>
      <c r="V63" s="4545"/>
      <c r="W63" s="4545"/>
      <c r="X63" s="4545"/>
      <c r="Y63" s="4545"/>
      <c r="Z63" s="4545"/>
      <c r="AA63" s="4545"/>
      <c r="AB63" s="4545"/>
      <c r="AC63" s="4545"/>
      <c r="AD63" s="4545"/>
      <c r="AE63" s="4545"/>
      <c r="AF63" s="4545"/>
      <c r="AG63" s="4545"/>
      <c r="AH63" s="4545"/>
      <c r="AI63" s="4545"/>
      <c r="AJ63" s="4545"/>
      <c r="AK63" s="4545"/>
      <c r="AL63" s="4545"/>
      <c r="AM63" s="4545"/>
      <c r="AN63" s="4545"/>
      <c r="AO63" s="4545"/>
      <c r="AP63" s="4545"/>
      <c r="AQ63" s="4545"/>
      <c r="AR63" s="4545"/>
    </row>
    <row r="64" spans="1:44" s="4544" customFormat="1" ht="12.75" customHeight="1">
      <c r="A64" s="4708">
        <v>5.4</v>
      </c>
      <c r="B64" s="4701" t="s">
        <v>3470</v>
      </c>
      <c r="C64" s="4711">
        <v>83.4</v>
      </c>
      <c r="D64" s="4716" t="s">
        <v>1</v>
      </c>
      <c r="E64" s="4587"/>
      <c r="F64" s="4965">
        <f t="shared" si="1"/>
        <v>0</v>
      </c>
      <c r="G64" s="4545"/>
      <c r="H64" s="4545"/>
      <c r="I64" s="4545"/>
      <c r="J64" s="4545"/>
      <c r="K64" s="4545"/>
      <c r="L64" s="4545"/>
      <c r="M64" s="4545"/>
      <c r="N64" s="4545"/>
      <c r="O64" s="4545"/>
      <c r="P64" s="4545"/>
      <c r="Q64" s="4545"/>
      <c r="R64" s="4545"/>
      <c r="S64" s="4545"/>
      <c r="T64" s="4545"/>
      <c r="U64" s="4545"/>
      <c r="V64" s="4545"/>
      <c r="W64" s="4545"/>
      <c r="X64" s="4545"/>
      <c r="Y64" s="4545"/>
      <c r="Z64" s="4545"/>
      <c r="AA64" s="4545"/>
      <c r="AB64" s="4545"/>
      <c r="AC64" s="4545"/>
      <c r="AD64" s="4545"/>
      <c r="AE64" s="4545"/>
      <c r="AF64" s="4545"/>
      <c r="AG64" s="4545"/>
      <c r="AH64" s="4545"/>
      <c r="AI64" s="4545"/>
      <c r="AJ64" s="4545"/>
      <c r="AK64" s="4545"/>
      <c r="AL64" s="4545"/>
      <c r="AM64" s="4545"/>
      <c r="AN64" s="4545"/>
      <c r="AO64" s="4545"/>
      <c r="AP64" s="4545"/>
      <c r="AQ64" s="4545"/>
      <c r="AR64" s="4545"/>
    </row>
    <row r="65" spans="1:44" s="4544" customFormat="1" ht="12.75" customHeight="1">
      <c r="A65" s="4708">
        <v>5.5</v>
      </c>
      <c r="B65" s="4701" t="s">
        <v>4073</v>
      </c>
      <c r="C65" s="4711">
        <v>22.09</v>
      </c>
      <c r="D65" s="4707" t="s">
        <v>2432</v>
      </c>
      <c r="E65" s="4587"/>
      <c r="F65" s="4965">
        <f t="shared" si="1"/>
        <v>0</v>
      </c>
      <c r="G65" s="4545"/>
      <c r="H65" s="4545"/>
      <c r="I65" s="4545"/>
      <c r="J65" s="4545"/>
      <c r="K65" s="4545"/>
      <c r="L65" s="4545"/>
      <c r="M65" s="4545"/>
      <c r="N65" s="4545"/>
      <c r="O65" s="4545"/>
      <c r="P65" s="4545"/>
      <c r="Q65" s="4545"/>
      <c r="R65" s="4545"/>
      <c r="S65" s="4545"/>
      <c r="T65" s="4545"/>
      <c r="U65" s="4545"/>
      <c r="V65" s="4545"/>
      <c r="W65" s="4545"/>
      <c r="X65" s="4545"/>
      <c r="Y65" s="4545"/>
      <c r="Z65" s="4545"/>
      <c r="AA65" s="4545"/>
      <c r="AB65" s="4545"/>
      <c r="AC65" s="4545"/>
      <c r="AD65" s="4545"/>
      <c r="AE65" s="4545"/>
      <c r="AF65" s="4545"/>
      <c r="AG65" s="4545"/>
      <c r="AH65" s="4545"/>
      <c r="AI65" s="4545"/>
      <c r="AJ65" s="4545"/>
      <c r="AK65" s="4545"/>
      <c r="AL65" s="4545"/>
      <c r="AM65" s="4545"/>
      <c r="AN65" s="4545"/>
      <c r="AO65" s="4545"/>
      <c r="AP65" s="4545"/>
      <c r="AQ65" s="4545"/>
      <c r="AR65" s="4545"/>
    </row>
    <row r="66" spans="1:44" s="4544" customFormat="1" ht="12.75" customHeight="1">
      <c r="A66" s="4717">
        <v>5.6</v>
      </c>
      <c r="B66" s="4718" t="s">
        <v>2362</v>
      </c>
      <c r="C66" s="4719">
        <v>4.32</v>
      </c>
      <c r="D66" s="4720" t="s">
        <v>2432</v>
      </c>
      <c r="E66" s="4641"/>
      <c r="F66" s="4975">
        <f t="shared" si="1"/>
        <v>0</v>
      </c>
      <c r="G66" s="4545"/>
      <c r="H66" s="4545"/>
      <c r="I66" s="4545"/>
      <c r="J66" s="4545"/>
      <c r="K66" s="4545"/>
      <c r="L66" s="4545"/>
      <c r="M66" s="4545"/>
      <c r="N66" s="4545"/>
      <c r="O66" s="4545"/>
      <c r="P66" s="4545"/>
      <c r="Q66" s="4545"/>
      <c r="R66" s="4545"/>
      <c r="S66" s="4545"/>
      <c r="T66" s="4545"/>
      <c r="U66" s="4545"/>
      <c r="V66" s="4545"/>
      <c r="W66" s="4545"/>
      <c r="X66" s="4545"/>
      <c r="Y66" s="4545"/>
      <c r="Z66" s="4545"/>
      <c r="AA66" s="4545"/>
      <c r="AB66" s="4545"/>
      <c r="AC66" s="4545"/>
      <c r="AD66" s="4545"/>
      <c r="AE66" s="4545"/>
      <c r="AF66" s="4545"/>
      <c r="AG66" s="4545"/>
      <c r="AH66" s="4545"/>
      <c r="AI66" s="4545"/>
      <c r="AJ66" s="4545"/>
      <c r="AK66" s="4545"/>
      <c r="AL66" s="4545"/>
      <c r="AM66" s="4545"/>
      <c r="AN66" s="4545"/>
      <c r="AO66" s="4545"/>
      <c r="AP66" s="4545"/>
      <c r="AQ66" s="4545"/>
      <c r="AR66" s="4545"/>
    </row>
    <row r="67" spans="1:44" s="4544" customFormat="1" ht="12.75" customHeight="1">
      <c r="A67" s="4708"/>
      <c r="B67" s="4701"/>
      <c r="C67" s="4711"/>
      <c r="D67" s="4707"/>
      <c r="E67" s="4587"/>
      <c r="F67" s="4965"/>
      <c r="G67" s="4545"/>
      <c r="H67" s="4545"/>
      <c r="I67" s="4545"/>
      <c r="J67" s="4545"/>
      <c r="K67" s="4545"/>
      <c r="L67" s="4545"/>
      <c r="M67" s="4545"/>
      <c r="N67" s="4545"/>
      <c r="O67" s="4545"/>
      <c r="P67" s="4545"/>
      <c r="Q67" s="4545"/>
      <c r="R67" s="4545"/>
      <c r="S67" s="4545"/>
      <c r="T67" s="4545"/>
      <c r="U67" s="4545"/>
      <c r="V67" s="4545"/>
      <c r="W67" s="4545"/>
      <c r="X67" s="4545"/>
      <c r="Y67" s="4545"/>
      <c r="Z67" s="4545"/>
      <c r="AA67" s="4545"/>
      <c r="AB67" s="4545"/>
      <c r="AC67" s="4545"/>
      <c r="AD67" s="4545"/>
      <c r="AE67" s="4545"/>
      <c r="AF67" s="4545"/>
      <c r="AG67" s="4545"/>
      <c r="AH67" s="4545"/>
      <c r="AI67" s="4545"/>
      <c r="AJ67" s="4545"/>
      <c r="AK67" s="4545"/>
      <c r="AL67" s="4545"/>
      <c r="AM67" s="4545"/>
      <c r="AN67" s="4545"/>
      <c r="AO67" s="4545"/>
      <c r="AP67" s="4545"/>
      <c r="AQ67" s="4545"/>
      <c r="AR67" s="4545"/>
    </row>
    <row r="68" spans="1:44" s="4544" customFormat="1" ht="16.5" customHeight="1">
      <c r="A68" s="4705">
        <v>6</v>
      </c>
      <c r="B68" s="4701" t="s">
        <v>4074</v>
      </c>
      <c r="C68" s="4711">
        <v>16</v>
      </c>
      <c r="D68" s="4707" t="s">
        <v>2432</v>
      </c>
      <c r="E68" s="4587"/>
      <c r="F68" s="4965">
        <f>ROUND(C68*E68,2)</f>
        <v>0</v>
      </c>
      <c r="G68" s="4545"/>
      <c r="H68" s="4545"/>
      <c r="I68" s="4545"/>
      <c r="J68" s="4545"/>
      <c r="K68" s="4545"/>
      <c r="L68" s="4545"/>
      <c r="M68" s="4545"/>
      <c r="N68" s="4545"/>
      <c r="O68" s="4545"/>
      <c r="P68" s="4545"/>
      <c r="Q68" s="4545"/>
      <c r="R68" s="4545"/>
      <c r="S68" s="4545"/>
      <c r="T68" s="4545"/>
      <c r="U68" s="4545"/>
      <c r="V68" s="4545"/>
      <c r="W68" s="4545"/>
      <c r="X68" s="4545"/>
      <c r="Y68" s="4545"/>
      <c r="Z68" s="4545"/>
      <c r="AA68" s="4545"/>
      <c r="AB68" s="4545"/>
      <c r="AC68" s="4545"/>
      <c r="AD68" s="4545"/>
      <c r="AE68" s="4545"/>
      <c r="AF68" s="4545"/>
      <c r="AG68" s="4545"/>
      <c r="AH68" s="4545"/>
      <c r="AI68" s="4545"/>
      <c r="AJ68" s="4545"/>
      <c r="AK68" s="4545"/>
      <c r="AL68" s="4545"/>
      <c r="AM68" s="4545"/>
      <c r="AN68" s="4545"/>
      <c r="AO68" s="4545"/>
      <c r="AP68" s="4545"/>
      <c r="AQ68" s="4545"/>
      <c r="AR68" s="4545"/>
    </row>
    <row r="69" spans="1:44" s="4544" customFormat="1" ht="7.5" customHeight="1">
      <c r="A69" s="4721"/>
      <c r="B69" s="4722"/>
      <c r="C69" s="4711"/>
      <c r="D69" s="4716"/>
      <c r="E69" s="4587"/>
      <c r="F69" s="4965"/>
      <c r="G69" s="4545"/>
      <c r="H69" s="4545"/>
      <c r="I69" s="4545"/>
      <c r="J69" s="4545"/>
      <c r="K69" s="4545"/>
      <c r="L69" s="4545"/>
      <c r="M69" s="4545"/>
      <c r="N69" s="4545"/>
      <c r="O69" s="4545"/>
      <c r="P69" s="4545"/>
      <c r="Q69" s="4545"/>
      <c r="R69" s="4545"/>
      <c r="S69" s="4545"/>
      <c r="T69" s="4545"/>
      <c r="U69" s="4545"/>
      <c r="V69" s="4545"/>
      <c r="W69" s="4545"/>
      <c r="X69" s="4545"/>
      <c r="Y69" s="4545"/>
      <c r="Z69" s="4545"/>
      <c r="AA69" s="4545"/>
      <c r="AB69" s="4545"/>
      <c r="AC69" s="4545"/>
      <c r="AD69" s="4545"/>
      <c r="AE69" s="4545"/>
      <c r="AF69" s="4545"/>
      <c r="AG69" s="4545"/>
      <c r="AH69" s="4545"/>
      <c r="AI69" s="4545"/>
      <c r="AJ69" s="4545"/>
      <c r="AK69" s="4545"/>
      <c r="AL69" s="4545"/>
      <c r="AM69" s="4545"/>
      <c r="AN69" s="4545"/>
      <c r="AO69" s="4545"/>
      <c r="AP69" s="4545"/>
      <c r="AQ69" s="4545"/>
      <c r="AR69" s="4545"/>
    </row>
    <row r="70" spans="1:44" s="4544" customFormat="1" ht="12.75" customHeight="1">
      <c r="A70" s="4705">
        <v>7</v>
      </c>
      <c r="B70" s="4706" t="s">
        <v>4075</v>
      </c>
      <c r="C70" s="4711"/>
      <c r="D70" s="4715"/>
      <c r="E70" s="4587"/>
      <c r="F70" s="4965"/>
      <c r="G70" s="4545"/>
      <c r="H70" s="4545"/>
      <c r="I70" s="4545"/>
      <c r="J70" s="4545"/>
      <c r="K70" s="4545"/>
      <c r="L70" s="4545"/>
      <c r="M70" s="4545"/>
      <c r="N70" s="4545"/>
      <c r="O70" s="4545"/>
      <c r="P70" s="4545"/>
      <c r="Q70" s="4545"/>
      <c r="R70" s="4545"/>
      <c r="S70" s="4545"/>
      <c r="T70" s="4545"/>
      <c r="U70" s="4545"/>
      <c r="V70" s="4545"/>
      <c r="W70" s="4545"/>
      <c r="X70" s="4545"/>
      <c r="Y70" s="4545"/>
      <c r="Z70" s="4545"/>
      <c r="AA70" s="4545"/>
      <c r="AB70" s="4545"/>
      <c r="AC70" s="4545"/>
      <c r="AD70" s="4545"/>
      <c r="AE70" s="4545"/>
      <c r="AF70" s="4545"/>
      <c r="AG70" s="4545"/>
      <c r="AH70" s="4545"/>
      <c r="AI70" s="4545"/>
      <c r="AJ70" s="4545"/>
      <c r="AK70" s="4545"/>
      <c r="AL70" s="4545"/>
      <c r="AM70" s="4545"/>
      <c r="AN70" s="4545"/>
      <c r="AO70" s="4545"/>
      <c r="AP70" s="4545"/>
      <c r="AQ70" s="4545"/>
      <c r="AR70" s="4545"/>
    </row>
    <row r="71" spans="1:44" s="4544" customFormat="1" ht="17.25" customHeight="1">
      <c r="A71" s="4708">
        <v>7.1</v>
      </c>
      <c r="B71" s="4701" t="s">
        <v>4076</v>
      </c>
      <c r="C71" s="4711">
        <v>21.16</v>
      </c>
      <c r="D71" s="4707" t="s">
        <v>2432</v>
      </c>
      <c r="E71" s="4587"/>
      <c r="F71" s="4965">
        <f>ROUND(C71*E71,2)</f>
        <v>0</v>
      </c>
      <c r="G71" s="4545"/>
      <c r="H71" s="4545"/>
      <c r="I71" s="4545"/>
      <c r="J71" s="4545"/>
      <c r="K71" s="4545"/>
      <c r="L71" s="4545"/>
      <c r="M71" s="4545"/>
      <c r="N71" s="4545"/>
      <c r="O71" s="4545"/>
      <c r="P71" s="4545"/>
      <c r="Q71" s="4545"/>
      <c r="R71" s="4545"/>
      <c r="S71" s="4545"/>
      <c r="T71" s="4545"/>
      <c r="U71" s="4545"/>
      <c r="V71" s="4545"/>
      <c r="W71" s="4545"/>
      <c r="X71" s="4545"/>
      <c r="Y71" s="4545"/>
      <c r="Z71" s="4545"/>
      <c r="AA71" s="4545"/>
      <c r="AB71" s="4545"/>
      <c r="AC71" s="4545"/>
      <c r="AD71" s="4545"/>
      <c r="AE71" s="4545"/>
      <c r="AF71" s="4545"/>
      <c r="AG71" s="4545"/>
      <c r="AH71" s="4545"/>
      <c r="AI71" s="4545"/>
      <c r="AJ71" s="4545"/>
      <c r="AK71" s="4545"/>
      <c r="AL71" s="4545"/>
      <c r="AM71" s="4545"/>
      <c r="AN71" s="4545"/>
      <c r="AO71" s="4545"/>
      <c r="AP71" s="4545"/>
      <c r="AQ71" s="4545"/>
      <c r="AR71" s="4545"/>
    </row>
    <row r="72" spans="1:44" s="4544" customFormat="1" ht="8.25" customHeight="1">
      <c r="A72" s="4721"/>
      <c r="B72" s="4701"/>
      <c r="C72" s="4711"/>
      <c r="D72" s="4716"/>
      <c r="E72" s="4587"/>
      <c r="F72" s="4965"/>
      <c r="G72" s="4545"/>
      <c r="H72" s="4545"/>
      <c r="I72" s="4545"/>
      <c r="J72" s="4545"/>
      <c r="K72" s="4545"/>
      <c r="L72" s="4545"/>
      <c r="M72" s="4545"/>
      <c r="N72" s="4545"/>
      <c r="O72" s="4545"/>
      <c r="P72" s="4545"/>
      <c r="Q72" s="4545"/>
      <c r="R72" s="4545"/>
      <c r="S72" s="4545"/>
      <c r="T72" s="4545"/>
      <c r="U72" s="4545"/>
      <c r="V72" s="4545"/>
      <c r="W72" s="4545"/>
      <c r="X72" s="4545"/>
      <c r="Y72" s="4545"/>
      <c r="Z72" s="4545"/>
      <c r="AA72" s="4545"/>
      <c r="AB72" s="4545"/>
      <c r="AC72" s="4545"/>
      <c r="AD72" s="4545"/>
      <c r="AE72" s="4545"/>
      <c r="AF72" s="4545"/>
      <c r="AG72" s="4545"/>
      <c r="AH72" s="4545"/>
      <c r="AI72" s="4545"/>
      <c r="AJ72" s="4545"/>
      <c r="AK72" s="4545"/>
      <c r="AL72" s="4545"/>
      <c r="AM72" s="4545"/>
      <c r="AN72" s="4545"/>
      <c r="AO72" s="4545"/>
      <c r="AP72" s="4545"/>
      <c r="AQ72" s="4545"/>
      <c r="AR72" s="4545"/>
    </row>
    <row r="73" spans="1:44" s="4544" customFormat="1" ht="31.5" customHeight="1">
      <c r="A73" s="4705">
        <v>8</v>
      </c>
      <c r="B73" s="4701" t="s">
        <v>4077</v>
      </c>
      <c r="C73" s="4711">
        <v>51.6</v>
      </c>
      <c r="D73" s="4716" t="s">
        <v>1</v>
      </c>
      <c r="E73" s="4587"/>
      <c r="F73" s="4965">
        <f>ROUND(C73*E73,2)</f>
        <v>0</v>
      </c>
      <c r="G73" s="4545"/>
      <c r="H73" s="4545"/>
      <c r="I73" s="4545"/>
      <c r="J73" s="4545"/>
      <c r="K73" s="4545"/>
      <c r="L73" s="4545"/>
      <c r="M73" s="4545"/>
      <c r="N73" s="4545"/>
      <c r="O73" s="4545"/>
      <c r="P73" s="4545"/>
      <c r="Q73" s="4545"/>
      <c r="R73" s="4545"/>
      <c r="S73" s="4545"/>
      <c r="T73" s="4545"/>
      <c r="U73" s="4545"/>
      <c r="V73" s="4545"/>
      <c r="W73" s="4545"/>
      <c r="X73" s="4545"/>
      <c r="Y73" s="4545"/>
      <c r="Z73" s="4545"/>
      <c r="AA73" s="4545"/>
      <c r="AB73" s="4545"/>
      <c r="AC73" s="4545"/>
      <c r="AD73" s="4545"/>
      <c r="AE73" s="4545"/>
      <c r="AF73" s="4545"/>
      <c r="AG73" s="4545"/>
      <c r="AH73" s="4545"/>
      <c r="AI73" s="4545"/>
      <c r="AJ73" s="4545"/>
      <c r="AK73" s="4545"/>
      <c r="AL73" s="4545"/>
      <c r="AM73" s="4545"/>
      <c r="AN73" s="4545"/>
      <c r="AO73" s="4545"/>
      <c r="AP73" s="4545"/>
      <c r="AQ73" s="4545"/>
      <c r="AR73" s="4545"/>
    </row>
    <row r="74" spans="1:44" s="4544" customFormat="1" ht="6.75" customHeight="1">
      <c r="A74" s="4705"/>
      <c r="B74" s="4713"/>
      <c r="C74" s="4711"/>
      <c r="D74" s="4716"/>
      <c r="E74" s="4587"/>
      <c r="F74" s="4965"/>
      <c r="G74" s="4545"/>
      <c r="H74" s="4545"/>
      <c r="I74" s="4545"/>
      <c r="J74" s="4545"/>
      <c r="K74" s="4545"/>
      <c r="L74" s="4545"/>
      <c r="M74" s="4545"/>
      <c r="N74" s="4545"/>
      <c r="O74" s="4545"/>
      <c r="P74" s="4545"/>
      <c r="Q74" s="4545"/>
      <c r="R74" s="4545"/>
      <c r="S74" s="4545"/>
      <c r="T74" s="4545"/>
      <c r="U74" s="4545"/>
      <c r="V74" s="4545"/>
      <c r="W74" s="4545"/>
      <c r="X74" s="4545"/>
      <c r="Y74" s="4545"/>
      <c r="Z74" s="4545"/>
      <c r="AA74" s="4545"/>
      <c r="AB74" s="4545"/>
      <c r="AC74" s="4545"/>
      <c r="AD74" s="4545"/>
      <c r="AE74" s="4545"/>
      <c r="AF74" s="4545"/>
      <c r="AG74" s="4545"/>
      <c r="AH74" s="4545"/>
      <c r="AI74" s="4545"/>
      <c r="AJ74" s="4545"/>
      <c r="AK74" s="4545"/>
      <c r="AL74" s="4545"/>
      <c r="AM74" s="4545"/>
      <c r="AN74" s="4545"/>
      <c r="AO74" s="4545"/>
      <c r="AP74" s="4545"/>
      <c r="AQ74" s="4545"/>
      <c r="AR74" s="4545"/>
    </row>
    <row r="75" spans="1:44" s="4544" customFormat="1" ht="12.75" customHeight="1">
      <c r="A75" s="4705">
        <v>9</v>
      </c>
      <c r="B75" s="4706" t="s">
        <v>2939</v>
      </c>
      <c r="C75" s="4711"/>
      <c r="D75" s="4600"/>
      <c r="E75" s="4587"/>
      <c r="F75" s="4965"/>
      <c r="G75" s="4545"/>
      <c r="H75" s="4545"/>
      <c r="I75" s="4545"/>
      <c r="J75" s="4545"/>
      <c r="K75" s="4545"/>
      <c r="L75" s="4545"/>
      <c r="M75" s="4545"/>
      <c r="N75" s="4545"/>
      <c r="O75" s="4545"/>
      <c r="P75" s="4545"/>
      <c r="Q75" s="4545"/>
      <c r="R75" s="4545"/>
      <c r="S75" s="4545"/>
      <c r="T75" s="4545"/>
      <c r="U75" s="4545"/>
      <c r="V75" s="4545"/>
      <c r="W75" s="4545"/>
      <c r="X75" s="4545"/>
      <c r="Y75" s="4545"/>
      <c r="Z75" s="4545"/>
      <c r="AA75" s="4545"/>
      <c r="AB75" s="4545"/>
      <c r="AC75" s="4545"/>
      <c r="AD75" s="4545"/>
      <c r="AE75" s="4545"/>
      <c r="AF75" s="4545"/>
      <c r="AG75" s="4545"/>
      <c r="AH75" s="4545"/>
      <c r="AI75" s="4545"/>
      <c r="AJ75" s="4545"/>
      <c r="AK75" s="4545"/>
      <c r="AL75" s="4545"/>
      <c r="AM75" s="4545"/>
      <c r="AN75" s="4545"/>
      <c r="AO75" s="4545"/>
      <c r="AP75" s="4545"/>
      <c r="AQ75" s="4545"/>
      <c r="AR75" s="4545"/>
    </row>
    <row r="76" spans="1:44" s="4544" customFormat="1" ht="13.5" customHeight="1">
      <c r="A76" s="4708">
        <v>9.1</v>
      </c>
      <c r="B76" s="4701" t="s">
        <v>4078</v>
      </c>
      <c r="C76" s="4711">
        <v>2</v>
      </c>
      <c r="D76" s="4600" t="s">
        <v>2433</v>
      </c>
      <c r="E76" s="4587"/>
      <c r="F76" s="4965">
        <f>ROUND(C76*E76,2)</f>
        <v>0</v>
      </c>
      <c r="G76" s="4545"/>
      <c r="H76" s="4545"/>
      <c r="I76" s="4545"/>
      <c r="J76" s="4545"/>
      <c r="K76" s="4545"/>
      <c r="L76" s="4545"/>
      <c r="M76" s="4545"/>
      <c r="N76" s="4545"/>
      <c r="O76" s="4545"/>
      <c r="P76" s="4545"/>
      <c r="Q76" s="4545"/>
      <c r="R76" s="4545"/>
      <c r="S76" s="4545"/>
      <c r="T76" s="4545"/>
      <c r="U76" s="4545"/>
      <c r="V76" s="4545"/>
      <c r="W76" s="4545"/>
      <c r="X76" s="4545"/>
      <c r="Y76" s="4545"/>
      <c r="Z76" s="4545"/>
      <c r="AA76" s="4545"/>
      <c r="AB76" s="4545"/>
      <c r="AC76" s="4545"/>
      <c r="AD76" s="4545"/>
      <c r="AE76" s="4545"/>
      <c r="AF76" s="4545"/>
      <c r="AG76" s="4545"/>
      <c r="AH76" s="4545"/>
      <c r="AI76" s="4545"/>
      <c r="AJ76" s="4545"/>
      <c r="AK76" s="4545"/>
      <c r="AL76" s="4545"/>
      <c r="AM76" s="4545"/>
      <c r="AN76" s="4545"/>
      <c r="AO76" s="4545"/>
      <c r="AP76" s="4545"/>
      <c r="AQ76" s="4545"/>
      <c r="AR76" s="4545"/>
    </row>
    <row r="77" spans="1:44" s="4544" customFormat="1" ht="14.25" customHeight="1">
      <c r="A77" s="4708">
        <v>9.1999999999999993</v>
      </c>
      <c r="B77" s="4701" t="s">
        <v>4079</v>
      </c>
      <c r="C77" s="4711">
        <v>1</v>
      </c>
      <c r="D77" s="4600" t="s">
        <v>2433</v>
      </c>
      <c r="E77" s="4587"/>
      <c r="F77" s="4965">
        <f>ROUND(C77*E77,2)</f>
        <v>0</v>
      </c>
      <c r="G77" s="4545"/>
      <c r="H77" s="4545"/>
      <c r="I77" s="4545"/>
      <c r="J77" s="4545"/>
      <c r="K77" s="4545"/>
      <c r="L77" s="4545"/>
      <c r="M77" s="4545"/>
      <c r="N77" s="4545"/>
      <c r="O77" s="4545"/>
      <c r="P77" s="4545"/>
      <c r="Q77" s="4545"/>
      <c r="R77" s="4545"/>
      <c r="S77" s="4545"/>
      <c r="T77" s="4545"/>
      <c r="U77" s="4545"/>
      <c r="V77" s="4545"/>
      <c r="W77" s="4545"/>
      <c r="X77" s="4545"/>
      <c r="Y77" s="4545"/>
      <c r="Z77" s="4545"/>
      <c r="AA77" s="4545"/>
      <c r="AB77" s="4545"/>
      <c r="AC77" s="4545"/>
      <c r="AD77" s="4545"/>
      <c r="AE77" s="4545"/>
      <c r="AF77" s="4545"/>
      <c r="AG77" s="4545"/>
      <c r="AH77" s="4545"/>
      <c r="AI77" s="4545"/>
      <c r="AJ77" s="4545"/>
      <c r="AK77" s="4545"/>
      <c r="AL77" s="4545"/>
      <c r="AM77" s="4545"/>
      <c r="AN77" s="4545"/>
      <c r="AO77" s="4545"/>
      <c r="AP77" s="4545"/>
      <c r="AQ77" s="4545"/>
      <c r="AR77" s="4545"/>
    </row>
    <row r="78" spans="1:44" s="4544" customFormat="1" ht="7.5" customHeight="1">
      <c r="A78" s="4723"/>
      <c r="B78" s="4724"/>
      <c r="C78" s="4711"/>
      <c r="D78" s="4707"/>
      <c r="E78" s="4587"/>
      <c r="F78" s="4965"/>
      <c r="G78" s="4545"/>
      <c r="H78" s="4545"/>
      <c r="I78" s="4545"/>
      <c r="J78" s="4545"/>
      <c r="K78" s="4545"/>
      <c r="L78" s="4545"/>
      <c r="M78" s="4545"/>
      <c r="N78" s="4545"/>
      <c r="O78" s="4545"/>
      <c r="P78" s="4545"/>
      <c r="Q78" s="4545"/>
      <c r="R78" s="4545"/>
      <c r="S78" s="4545"/>
      <c r="T78" s="4545"/>
      <c r="U78" s="4545"/>
      <c r="V78" s="4545"/>
      <c r="W78" s="4545"/>
      <c r="X78" s="4545"/>
      <c r="Y78" s="4545"/>
      <c r="Z78" s="4545"/>
      <c r="AA78" s="4545"/>
      <c r="AB78" s="4545"/>
      <c r="AC78" s="4545"/>
      <c r="AD78" s="4545"/>
      <c r="AE78" s="4545"/>
      <c r="AF78" s="4545"/>
      <c r="AG78" s="4545"/>
      <c r="AH78" s="4545"/>
      <c r="AI78" s="4545"/>
      <c r="AJ78" s="4545"/>
      <c r="AK78" s="4545"/>
      <c r="AL78" s="4545"/>
      <c r="AM78" s="4545"/>
      <c r="AN78" s="4545"/>
      <c r="AO78" s="4545"/>
      <c r="AP78" s="4545"/>
      <c r="AQ78" s="4545"/>
      <c r="AR78" s="4545"/>
    </row>
    <row r="79" spans="1:44" s="4544" customFormat="1" ht="12.75" customHeight="1">
      <c r="A79" s="4705">
        <v>10</v>
      </c>
      <c r="B79" s="4706" t="s">
        <v>3545</v>
      </c>
      <c r="C79" s="4711"/>
      <c r="D79" s="4707"/>
      <c r="E79" s="4587"/>
      <c r="F79" s="4965"/>
      <c r="G79" s="4545"/>
      <c r="H79" s="4545"/>
      <c r="I79" s="4545"/>
      <c r="J79" s="4545"/>
      <c r="K79" s="4545"/>
      <c r="L79" s="4545"/>
      <c r="M79" s="4545"/>
      <c r="N79" s="4545"/>
      <c r="O79" s="4545"/>
      <c r="P79" s="4545"/>
      <c r="Q79" s="4545"/>
      <c r="R79" s="4545"/>
      <c r="S79" s="4545"/>
      <c r="T79" s="4545"/>
      <c r="U79" s="4545"/>
      <c r="V79" s="4545"/>
      <c r="W79" s="4545"/>
      <c r="X79" s="4545"/>
      <c r="Y79" s="4545"/>
      <c r="Z79" s="4545"/>
      <c r="AA79" s="4545"/>
      <c r="AB79" s="4545"/>
      <c r="AC79" s="4545"/>
      <c r="AD79" s="4545"/>
      <c r="AE79" s="4545"/>
      <c r="AF79" s="4545"/>
      <c r="AG79" s="4545"/>
      <c r="AH79" s="4545"/>
      <c r="AI79" s="4545"/>
      <c r="AJ79" s="4545"/>
      <c r="AK79" s="4545"/>
      <c r="AL79" s="4545"/>
      <c r="AM79" s="4545"/>
      <c r="AN79" s="4545"/>
      <c r="AO79" s="4545"/>
      <c r="AP79" s="4545"/>
      <c r="AQ79" s="4545"/>
      <c r="AR79" s="4545"/>
    </row>
    <row r="80" spans="1:44" s="4544" customFormat="1" ht="13.5" customHeight="1">
      <c r="A80" s="4708">
        <v>10.1</v>
      </c>
      <c r="B80" s="4701" t="s">
        <v>4080</v>
      </c>
      <c r="C80" s="4711">
        <v>32.93</v>
      </c>
      <c r="D80" s="4707" t="s">
        <v>3970</v>
      </c>
      <c r="E80" s="4587"/>
      <c r="F80" s="4965">
        <f>ROUND(C80*E80,2)</f>
        <v>0</v>
      </c>
      <c r="G80" s="4545"/>
      <c r="H80" s="4545"/>
      <c r="I80" s="4545"/>
      <c r="J80" s="4545"/>
      <c r="K80" s="4545"/>
      <c r="L80" s="4545"/>
      <c r="M80" s="4545"/>
      <c r="N80" s="4545"/>
      <c r="O80" s="4545"/>
      <c r="P80" s="4545"/>
      <c r="Q80" s="4545"/>
      <c r="R80" s="4545"/>
      <c r="S80" s="4545"/>
      <c r="T80" s="4545"/>
      <c r="U80" s="4545"/>
      <c r="V80" s="4545"/>
      <c r="W80" s="4545"/>
      <c r="X80" s="4545"/>
      <c r="Y80" s="4545"/>
      <c r="Z80" s="4545"/>
      <c r="AA80" s="4545"/>
      <c r="AB80" s="4545"/>
      <c r="AC80" s="4545"/>
      <c r="AD80" s="4545"/>
      <c r="AE80" s="4545"/>
      <c r="AF80" s="4545"/>
      <c r="AG80" s="4545"/>
      <c r="AH80" s="4545"/>
      <c r="AI80" s="4545"/>
      <c r="AJ80" s="4545"/>
      <c r="AK80" s="4545"/>
      <c r="AL80" s="4545"/>
      <c r="AM80" s="4545"/>
      <c r="AN80" s="4545"/>
      <c r="AO80" s="4545"/>
      <c r="AP80" s="4545"/>
      <c r="AQ80" s="4545"/>
      <c r="AR80" s="4545"/>
    </row>
    <row r="81" spans="1:239" s="4544" customFormat="1" ht="16.5" customHeight="1">
      <c r="A81" s="4708">
        <v>10.199999999999999</v>
      </c>
      <c r="B81" s="4701" t="s">
        <v>4081</v>
      </c>
      <c r="C81" s="4711">
        <v>1</v>
      </c>
      <c r="D81" s="4600" t="s">
        <v>2433</v>
      </c>
      <c r="E81" s="4587"/>
      <c r="F81" s="4965">
        <f>ROUND(C81*E81,2)</f>
        <v>0</v>
      </c>
      <c r="G81" s="4545"/>
      <c r="H81" s="4545"/>
      <c r="I81" s="4545"/>
      <c r="J81" s="4545"/>
      <c r="K81" s="4545"/>
      <c r="L81" s="4545"/>
      <c r="M81" s="4545"/>
      <c r="N81" s="4545"/>
      <c r="O81" s="4545"/>
      <c r="P81" s="4545"/>
      <c r="Q81" s="4545"/>
      <c r="R81" s="4545"/>
      <c r="S81" s="4545"/>
      <c r="T81" s="4545"/>
      <c r="U81" s="4545"/>
      <c r="V81" s="4545"/>
      <c r="W81" s="4545"/>
      <c r="X81" s="4545"/>
      <c r="Y81" s="4545"/>
      <c r="Z81" s="4545"/>
      <c r="AA81" s="4545"/>
      <c r="AB81" s="4545"/>
      <c r="AC81" s="4545"/>
      <c r="AD81" s="4545"/>
      <c r="AE81" s="4545"/>
      <c r="AF81" s="4545"/>
      <c r="AG81" s="4545"/>
      <c r="AH81" s="4545"/>
      <c r="AI81" s="4545"/>
      <c r="AJ81" s="4545"/>
      <c r="AK81" s="4545"/>
      <c r="AL81" s="4545"/>
      <c r="AM81" s="4545"/>
      <c r="AN81" s="4545"/>
      <c r="AO81" s="4545"/>
      <c r="AP81" s="4545"/>
      <c r="AQ81" s="4545"/>
      <c r="AR81" s="4545"/>
    </row>
    <row r="82" spans="1:239" s="4546" customFormat="1" ht="15">
      <c r="A82" s="4691"/>
      <c r="B82" s="4690" t="s">
        <v>4369</v>
      </c>
      <c r="C82" s="4691"/>
      <c r="D82" s="4691"/>
      <c r="E82" s="4970"/>
      <c r="F82" s="4971">
        <f>ROUND(SUM(F39:F81),2)</f>
        <v>0</v>
      </c>
    </row>
    <row r="83" spans="1:239" s="4544" customFormat="1" ht="7.5" customHeight="1">
      <c r="A83" s="4723"/>
      <c r="B83" s="4724"/>
      <c r="C83" s="4711"/>
      <c r="D83" s="4707"/>
      <c r="E83" s="4587"/>
      <c r="F83" s="4965"/>
      <c r="G83" s="4545"/>
      <c r="H83" s="4545"/>
      <c r="I83" s="4545"/>
      <c r="J83" s="4545"/>
      <c r="K83" s="4545"/>
      <c r="L83" s="4545"/>
      <c r="M83" s="4545"/>
      <c r="N83" s="4545"/>
      <c r="O83" s="4545"/>
      <c r="P83" s="4545"/>
      <c r="Q83" s="4545"/>
      <c r="R83" s="4545"/>
      <c r="S83" s="4545"/>
      <c r="T83" s="4545"/>
      <c r="U83" s="4545"/>
      <c r="V83" s="4545"/>
      <c r="W83" s="4545"/>
      <c r="X83" s="4545"/>
      <c r="Y83" s="4545"/>
      <c r="Z83" s="4545"/>
      <c r="AA83" s="4545"/>
      <c r="AB83" s="4545"/>
      <c r="AC83" s="4545"/>
      <c r="AD83" s="4545"/>
      <c r="AE83" s="4545"/>
      <c r="AF83" s="4545"/>
      <c r="AG83" s="4545"/>
      <c r="AH83" s="4545"/>
      <c r="AI83" s="4545"/>
      <c r="AJ83" s="4545"/>
      <c r="AK83" s="4545"/>
      <c r="AL83" s="4545"/>
      <c r="AM83" s="4545"/>
      <c r="AN83" s="4545"/>
      <c r="AO83" s="4545"/>
      <c r="AP83" s="4545"/>
      <c r="AQ83" s="4545"/>
      <c r="AR83" s="4545"/>
    </row>
    <row r="84" spans="1:239" s="4544" customFormat="1" ht="15">
      <c r="A84" s="4725" t="s">
        <v>4370</v>
      </c>
      <c r="B84" s="4706" t="s">
        <v>4082</v>
      </c>
      <c r="C84" s="4711"/>
      <c r="D84" s="4707"/>
      <c r="E84" s="4587"/>
      <c r="F84" s="4976"/>
      <c r="G84" s="4545"/>
      <c r="H84" s="4545"/>
      <c r="I84" s="4545"/>
      <c r="J84" s="4545"/>
      <c r="K84" s="4545"/>
      <c r="L84" s="4545"/>
      <c r="M84" s="4545"/>
      <c r="N84" s="4545"/>
      <c r="O84" s="4545"/>
      <c r="P84" s="4545"/>
      <c r="Q84" s="4545"/>
      <c r="R84" s="4545"/>
      <c r="S84" s="4545"/>
      <c r="T84" s="4545"/>
      <c r="U84" s="4545"/>
      <c r="V84" s="4545"/>
      <c r="W84" s="4545"/>
      <c r="X84" s="4545"/>
      <c r="Y84" s="4545"/>
      <c r="Z84" s="4545"/>
      <c r="AA84" s="4545"/>
      <c r="AB84" s="4545"/>
      <c r="AC84" s="4545"/>
      <c r="AD84" s="4545"/>
      <c r="AE84" s="4545"/>
      <c r="AF84" s="4545"/>
      <c r="AG84" s="4545"/>
      <c r="AH84" s="4545"/>
      <c r="AI84" s="4545"/>
      <c r="AJ84" s="4545"/>
      <c r="AK84" s="4545"/>
      <c r="AL84" s="4545"/>
      <c r="AM84" s="4545"/>
      <c r="AN84" s="4545"/>
      <c r="AO84" s="4545"/>
      <c r="AP84" s="4545"/>
      <c r="AQ84" s="4545"/>
      <c r="AR84" s="4545"/>
    </row>
    <row r="85" spans="1:239" s="4550" customFormat="1" ht="5.25" customHeight="1">
      <c r="A85" s="4721"/>
      <c r="B85" s="4706"/>
      <c r="C85" s="4588"/>
      <c r="D85" s="4726"/>
      <c r="E85" s="4587"/>
      <c r="F85" s="4589"/>
      <c r="G85" s="4547"/>
      <c r="H85" s="4547"/>
      <c r="I85" s="4548"/>
      <c r="J85" s="4548"/>
      <c r="K85" s="4548"/>
      <c r="L85" s="4548"/>
      <c r="M85" s="4548"/>
      <c r="N85" s="4548"/>
      <c r="O85" s="4548"/>
      <c r="P85" s="4548"/>
      <c r="Q85" s="4548"/>
      <c r="R85" s="4548"/>
      <c r="S85" s="4548"/>
      <c r="T85" s="4548"/>
      <c r="U85" s="4548"/>
      <c r="V85" s="4548"/>
      <c r="W85" s="4548"/>
      <c r="X85" s="4548"/>
      <c r="Y85" s="4548"/>
      <c r="Z85" s="4548"/>
      <c r="AA85" s="4548"/>
      <c r="AB85" s="4548"/>
      <c r="AC85" s="4548"/>
      <c r="AD85" s="4548"/>
      <c r="AE85" s="4548"/>
      <c r="AF85" s="4548"/>
      <c r="AG85" s="4548"/>
      <c r="AH85" s="4548"/>
      <c r="AI85" s="4548"/>
      <c r="AJ85" s="4548"/>
      <c r="AK85" s="4548"/>
      <c r="AL85" s="4548"/>
      <c r="AM85" s="4548"/>
      <c r="AN85" s="4548"/>
      <c r="AO85" s="4548"/>
      <c r="AP85" s="4548"/>
      <c r="AQ85" s="4548"/>
      <c r="AR85" s="4548"/>
      <c r="AS85" s="4549"/>
      <c r="AT85" s="4549"/>
      <c r="AU85" s="4549"/>
      <c r="AV85" s="4549"/>
      <c r="AW85" s="4549"/>
      <c r="AX85" s="4549"/>
      <c r="AY85" s="4549"/>
      <c r="AZ85" s="4549"/>
      <c r="BA85" s="4549"/>
      <c r="BB85" s="4549"/>
      <c r="BC85" s="4549"/>
      <c r="BD85" s="4549"/>
      <c r="BE85" s="4549"/>
      <c r="BF85" s="4549"/>
      <c r="BG85" s="4549"/>
      <c r="BH85" s="4549"/>
      <c r="BI85" s="4549"/>
      <c r="BJ85" s="4549"/>
      <c r="BK85" s="4549"/>
      <c r="BL85" s="4549"/>
      <c r="BM85" s="4549"/>
      <c r="BN85" s="4549"/>
      <c r="BO85" s="4549"/>
      <c r="BP85" s="4549"/>
      <c r="BQ85" s="4549"/>
      <c r="BR85" s="4549"/>
      <c r="BS85" s="4549"/>
      <c r="BT85" s="4549"/>
      <c r="BU85" s="4549"/>
      <c r="BV85" s="4549"/>
      <c r="BW85" s="4549"/>
      <c r="BX85" s="4549"/>
      <c r="BY85" s="4549"/>
      <c r="BZ85" s="4549"/>
      <c r="CA85" s="4549"/>
      <c r="CB85" s="4549"/>
      <c r="CC85" s="4549"/>
      <c r="CD85" s="4549"/>
      <c r="CE85" s="4549"/>
      <c r="CF85" s="4549"/>
      <c r="CG85" s="4549"/>
      <c r="CH85" s="4549"/>
      <c r="CI85" s="4549"/>
      <c r="CJ85" s="4549"/>
      <c r="CK85" s="4549"/>
      <c r="CL85" s="4549"/>
      <c r="CM85" s="4549"/>
      <c r="CN85" s="4549"/>
      <c r="CO85" s="4549"/>
      <c r="CP85" s="4549"/>
      <c r="CQ85" s="4549"/>
      <c r="CR85" s="4549"/>
      <c r="CS85" s="4549"/>
      <c r="CT85" s="4549"/>
      <c r="CU85" s="4549"/>
      <c r="CV85" s="4549"/>
      <c r="CW85" s="4549"/>
      <c r="CX85" s="4549"/>
      <c r="CY85" s="4549"/>
      <c r="CZ85" s="4549"/>
      <c r="DA85" s="4549"/>
      <c r="DB85" s="4549"/>
      <c r="DC85" s="4549"/>
      <c r="DD85" s="4549"/>
      <c r="DE85" s="4549"/>
      <c r="DF85" s="4549"/>
      <c r="DG85" s="4549"/>
      <c r="DH85" s="4549"/>
      <c r="DI85" s="4549"/>
      <c r="DJ85" s="4549"/>
      <c r="DK85" s="4549"/>
      <c r="DL85" s="4549"/>
      <c r="DM85" s="4549"/>
      <c r="DN85" s="4549"/>
      <c r="DO85" s="4549"/>
      <c r="DP85" s="4549"/>
      <c r="DQ85" s="4549"/>
      <c r="DR85" s="4549"/>
      <c r="DS85" s="4549"/>
      <c r="DT85" s="4549"/>
      <c r="DU85" s="4549"/>
      <c r="DV85" s="4549"/>
      <c r="DW85" s="4549"/>
      <c r="DX85" s="4549"/>
      <c r="DY85" s="4549"/>
      <c r="DZ85" s="4549"/>
      <c r="EA85" s="4549"/>
      <c r="EB85" s="4549"/>
      <c r="EC85" s="4549"/>
      <c r="ED85" s="4549"/>
      <c r="EE85" s="4549"/>
      <c r="EF85" s="4549"/>
      <c r="EG85" s="4549"/>
      <c r="EH85" s="4549"/>
      <c r="EI85" s="4549"/>
      <c r="EJ85" s="4549"/>
      <c r="EK85" s="4549"/>
      <c r="EL85" s="4549"/>
      <c r="EM85" s="4549"/>
      <c r="EN85" s="4549"/>
      <c r="EO85" s="4549"/>
      <c r="EP85" s="4549"/>
      <c r="EQ85" s="4549"/>
      <c r="ER85" s="4549"/>
      <c r="ES85" s="4549"/>
      <c r="ET85" s="4549"/>
      <c r="EU85" s="4549"/>
      <c r="EV85" s="4549"/>
      <c r="EW85" s="4549"/>
      <c r="EX85" s="4549"/>
      <c r="EY85" s="4549"/>
      <c r="EZ85" s="4549"/>
      <c r="FA85" s="4549"/>
      <c r="FB85" s="4549"/>
      <c r="FC85" s="4549"/>
      <c r="FD85" s="4549"/>
      <c r="FE85" s="4549"/>
      <c r="FF85" s="4549"/>
      <c r="FG85" s="4549"/>
      <c r="FH85" s="4549"/>
      <c r="FI85" s="4549"/>
      <c r="FJ85" s="4549"/>
      <c r="FK85" s="4549"/>
      <c r="FL85" s="4549"/>
      <c r="FM85" s="4549"/>
      <c r="FN85" s="4549"/>
      <c r="FO85" s="4549"/>
      <c r="FP85" s="4549"/>
      <c r="FQ85" s="4549"/>
      <c r="FR85" s="4549"/>
      <c r="FS85" s="4549"/>
      <c r="FT85" s="4549"/>
      <c r="FU85" s="4549"/>
      <c r="FV85" s="4549"/>
      <c r="FW85" s="4549"/>
      <c r="FX85" s="4549"/>
      <c r="FY85" s="4549"/>
      <c r="FZ85" s="4549"/>
      <c r="GA85" s="4549"/>
      <c r="GB85" s="4549"/>
      <c r="GC85" s="4549"/>
      <c r="GD85" s="4549"/>
      <c r="GE85" s="4549"/>
      <c r="GF85" s="4549"/>
      <c r="GG85" s="4549"/>
      <c r="GH85" s="4549"/>
      <c r="GI85" s="4549"/>
      <c r="GJ85" s="4549"/>
      <c r="GK85" s="4549"/>
      <c r="GL85" s="4549"/>
      <c r="GM85" s="4549"/>
      <c r="GN85" s="4549"/>
      <c r="GO85" s="4549"/>
      <c r="GP85" s="4549"/>
      <c r="GQ85" s="4549"/>
      <c r="GR85" s="4549"/>
      <c r="GS85" s="4549"/>
      <c r="GT85" s="4549"/>
      <c r="GU85" s="4549"/>
      <c r="GV85" s="4549"/>
      <c r="GW85" s="4549"/>
      <c r="GX85" s="4549"/>
      <c r="GY85" s="4549"/>
      <c r="GZ85" s="4549"/>
      <c r="HA85" s="4549"/>
      <c r="HB85" s="4549"/>
      <c r="HC85" s="4549"/>
      <c r="HD85" s="4549"/>
      <c r="HE85" s="4549"/>
      <c r="HF85" s="4549"/>
      <c r="HG85" s="4549"/>
      <c r="HH85" s="4549"/>
      <c r="HI85" s="4549"/>
      <c r="HJ85" s="4549"/>
      <c r="HK85" s="4549"/>
      <c r="HL85" s="4549"/>
      <c r="HM85" s="4549"/>
      <c r="HN85" s="4549"/>
      <c r="HO85" s="4549"/>
      <c r="HP85" s="4549"/>
      <c r="HQ85" s="4549"/>
      <c r="HR85" s="4549"/>
      <c r="HS85" s="4549"/>
      <c r="HT85" s="4549"/>
      <c r="HU85" s="4549"/>
      <c r="HV85" s="4549"/>
      <c r="HW85" s="4549"/>
      <c r="HX85" s="4549"/>
      <c r="HY85" s="4549"/>
      <c r="HZ85" s="4549"/>
      <c r="IA85" s="4549"/>
      <c r="IB85" s="4549"/>
      <c r="IC85" s="4549"/>
      <c r="ID85" s="4549"/>
      <c r="IE85" s="4549"/>
    </row>
    <row r="86" spans="1:239" s="4549" customFormat="1" ht="15">
      <c r="A86" s="4168">
        <v>1</v>
      </c>
      <c r="B86" s="4706" t="s">
        <v>4083</v>
      </c>
      <c r="C86" s="4727"/>
      <c r="D86" s="4600"/>
      <c r="E86" s="4977"/>
      <c r="F86" s="4318"/>
      <c r="G86" s="4537"/>
      <c r="H86" s="4537"/>
      <c r="I86" s="4537"/>
      <c r="J86" s="4537"/>
      <c r="K86" s="4537"/>
      <c r="L86" s="4537"/>
      <c r="M86" s="4537"/>
      <c r="N86" s="4537"/>
      <c r="O86" s="4537"/>
      <c r="P86" s="4537"/>
      <c r="Q86" s="4537"/>
      <c r="R86" s="4537"/>
      <c r="S86" s="4537"/>
      <c r="T86" s="4537"/>
      <c r="U86" s="4537"/>
      <c r="V86" s="4537"/>
      <c r="W86" s="4537"/>
      <c r="X86" s="4537"/>
      <c r="Y86" s="4537"/>
      <c r="Z86" s="4537"/>
      <c r="AA86" s="4537"/>
      <c r="AB86" s="4537"/>
      <c r="AC86" s="4537"/>
      <c r="AD86" s="4537"/>
      <c r="AE86" s="4537"/>
      <c r="AF86" s="4537"/>
      <c r="AG86" s="4537"/>
      <c r="AH86" s="4537"/>
      <c r="AI86" s="4537"/>
      <c r="AJ86" s="4537"/>
      <c r="AK86" s="4537"/>
      <c r="AL86" s="4537"/>
      <c r="AM86" s="4537"/>
      <c r="AN86" s="4537"/>
      <c r="AO86" s="4537"/>
      <c r="AP86" s="4537"/>
      <c r="AQ86" s="4537"/>
      <c r="AR86" s="4537"/>
      <c r="AS86" s="4550"/>
      <c r="AT86" s="4550"/>
      <c r="AU86" s="4550"/>
      <c r="AV86" s="4550"/>
      <c r="AW86" s="4550"/>
      <c r="AX86" s="4550"/>
      <c r="AY86" s="4550"/>
      <c r="AZ86" s="4550"/>
      <c r="BA86" s="4550"/>
      <c r="BB86" s="4550"/>
      <c r="BC86" s="4550"/>
      <c r="BD86" s="4550"/>
      <c r="BE86" s="4550"/>
      <c r="BF86" s="4550"/>
      <c r="BG86" s="4550"/>
      <c r="BH86" s="4550"/>
      <c r="BI86" s="4550"/>
      <c r="BJ86" s="4550"/>
      <c r="BK86" s="4550"/>
      <c r="BL86" s="4550"/>
      <c r="BM86" s="4550"/>
      <c r="BN86" s="4550"/>
      <c r="BO86" s="4550"/>
      <c r="BP86" s="4550"/>
      <c r="BQ86" s="4550"/>
      <c r="BR86" s="4550"/>
      <c r="BS86" s="4550"/>
      <c r="BT86" s="4550"/>
      <c r="BU86" s="4550"/>
      <c r="BV86" s="4550"/>
      <c r="BW86" s="4550"/>
      <c r="BX86" s="4550"/>
      <c r="BY86" s="4550"/>
      <c r="BZ86" s="4550"/>
      <c r="CA86" s="4550"/>
      <c r="CB86" s="4550"/>
      <c r="CC86" s="4550"/>
      <c r="CD86" s="4550"/>
      <c r="CE86" s="4550"/>
      <c r="CF86" s="4550"/>
      <c r="CG86" s="4550"/>
      <c r="CH86" s="4550"/>
      <c r="CI86" s="4550"/>
      <c r="CJ86" s="4550"/>
      <c r="CK86" s="4550"/>
      <c r="CL86" s="4550"/>
      <c r="CM86" s="4550"/>
      <c r="CN86" s="4550"/>
      <c r="CO86" s="4550"/>
      <c r="CP86" s="4550"/>
      <c r="CQ86" s="4550"/>
      <c r="CR86" s="4550"/>
      <c r="CS86" s="4550"/>
      <c r="CT86" s="4550"/>
      <c r="CU86" s="4550"/>
      <c r="CV86" s="4550"/>
      <c r="CW86" s="4550"/>
      <c r="CX86" s="4550"/>
      <c r="CY86" s="4550"/>
      <c r="CZ86" s="4550"/>
      <c r="DA86" s="4550"/>
      <c r="DB86" s="4550"/>
      <c r="DC86" s="4550"/>
      <c r="DD86" s="4550"/>
      <c r="DE86" s="4550"/>
      <c r="DF86" s="4550"/>
      <c r="DG86" s="4550"/>
      <c r="DH86" s="4550"/>
      <c r="DI86" s="4550"/>
      <c r="DJ86" s="4550"/>
      <c r="DK86" s="4550"/>
      <c r="DL86" s="4550"/>
      <c r="DM86" s="4550"/>
      <c r="DN86" s="4550"/>
      <c r="DO86" s="4550"/>
      <c r="DP86" s="4550"/>
      <c r="DQ86" s="4550"/>
      <c r="DR86" s="4550"/>
      <c r="DS86" s="4550"/>
      <c r="DT86" s="4550"/>
      <c r="DU86" s="4550"/>
      <c r="DV86" s="4550"/>
      <c r="DW86" s="4550"/>
      <c r="DX86" s="4550"/>
      <c r="DY86" s="4550"/>
      <c r="DZ86" s="4550"/>
      <c r="EA86" s="4550"/>
      <c r="EB86" s="4550"/>
      <c r="EC86" s="4550"/>
      <c r="ED86" s="4550"/>
      <c r="EE86" s="4550"/>
      <c r="EF86" s="4550"/>
      <c r="EG86" s="4550"/>
      <c r="EH86" s="4550"/>
      <c r="EI86" s="4550"/>
      <c r="EJ86" s="4550"/>
      <c r="EK86" s="4550"/>
      <c r="EL86" s="4550"/>
      <c r="EM86" s="4550"/>
      <c r="EN86" s="4550"/>
      <c r="EO86" s="4550"/>
      <c r="EP86" s="4550"/>
      <c r="EQ86" s="4550"/>
      <c r="ER86" s="4550"/>
      <c r="ES86" s="4550"/>
      <c r="ET86" s="4550"/>
      <c r="EU86" s="4550"/>
      <c r="EV86" s="4550"/>
      <c r="EW86" s="4550"/>
      <c r="EX86" s="4550"/>
      <c r="EY86" s="4550"/>
      <c r="EZ86" s="4550"/>
      <c r="FA86" s="4550"/>
      <c r="FB86" s="4550"/>
      <c r="FC86" s="4550"/>
      <c r="FD86" s="4550"/>
      <c r="FE86" s="4550"/>
      <c r="FF86" s="4550"/>
      <c r="FG86" s="4550"/>
      <c r="FH86" s="4550"/>
      <c r="FI86" s="4550"/>
      <c r="FJ86" s="4550"/>
      <c r="FK86" s="4550"/>
      <c r="FL86" s="4550"/>
      <c r="FM86" s="4550"/>
      <c r="FN86" s="4550"/>
      <c r="FO86" s="4550"/>
      <c r="FP86" s="4550"/>
      <c r="FQ86" s="4550"/>
      <c r="FR86" s="4550"/>
      <c r="FS86" s="4550"/>
      <c r="FT86" s="4550"/>
      <c r="FU86" s="4550"/>
      <c r="FV86" s="4550"/>
      <c r="FW86" s="4550"/>
      <c r="FX86" s="4550"/>
      <c r="FY86" s="4550"/>
      <c r="FZ86" s="4550"/>
      <c r="GA86" s="4550"/>
      <c r="GB86" s="4550"/>
      <c r="GC86" s="4550"/>
      <c r="GD86" s="4550"/>
      <c r="GE86" s="4550"/>
      <c r="GF86" s="4550"/>
      <c r="GG86" s="4550"/>
      <c r="GH86" s="4550"/>
      <c r="GI86" s="4550"/>
      <c r="GJ86" s="4550"/>
      <c r="GK86" s="4550"/>
      <c r="GL86" s="4550"/>
      <c r="GM86" s="4550"/>
      <c r="GN86" s="4550"/>
      <c r="GO86" s="4550"/>
      <c r="GP86" s="4550"/>
      <c r="GQ86" s="4550"/>
      <c r="GR86" s="4550"/>
      <c r="GS86" s="4550"/>
      <c r="GT86" s="4550"/>
      <c r="GU86" s="4550"/>
      <c r="GV86" s="4550"/>
      <c r="GW86" s="4550"/>
      <c r="GX86" s="4550"/>
      <c r="GY86" s="4550"/>
      <c r="GZ86" s="4550"/>
      <c r="HA86" s="4550"/>
      <c r="HB86" s="4550"/>
      <c r="HC86" s="4550"/>
      <c r="HD86" s="4550"/>
      <c r="HE86" s="4550"/>
      <c r="HF86" s="4550"/>
      <c r="HG86" s="4550"/>
      <c r="HH86" s="4550"/>
      <c r="HI86" s="4550"/>
      <c r="HJ86" s="4550"/>
      <c r="HK86" s="4550"/>
      <c r="HL86" s="4550"/>
      <c r="HM86" s="4550"/>
      <c r="HN86" s="4550"/>
      <c r="HO86" s="4550"/>
      <c r="HP86" s="4550"/>
      <c r="HQ86" s="4550"/>
      <c r="HR86" s="4550"/>
      <c r="HS86" s="4550"/>
      <c r="HT86" s="4550"/>
      <c r="HU86" s="4550"/>
      <c r="HV86" s="4550"/>
      <c r="HW86" s="4550"/>
      <c r="HX86" s="4550"/>
      <c r="HY86" s="4550"/>
      <c r="HZ86" s="4550"/>
      <c r="IA86" s="4550"/>
      <c r="IB86" s="4550"/>
      <c r="IC86" s="4550"/>
      <c r="ID86" s="4550"/>
      <c r="IE86" s="4550"/>
    </row>
    <row r="87" spans="1:239" s="4549" customFormat="1" ht="15">
      <c r="A87" s="4167">
        <v>1.1000000000000001</v>
      </c>
      <c r="B87" s="4701" t="s">
        <v>4084</v>
      </c>
      <c r="C87" s="4727">
        <v>8</v>
      </c>
      <c r="D87" s="4600" t="s">
        <v>2433</v>
      </c>
      <c r="E87" s="4965"/>
      <c r="F87" s="4965">
        <f t="shared" ref="F87:F108" si="2">ROUND(C87*E87,2)</f>
        <v>0</v>
      </c>
      <c r="G87" s="4537"/>
      <c r="H87" s="4537"/>
      <c r="I87" s="4537"/>
      <c r="J87" s="4537"/>
      <c r="K87" s="4537"/>
      <c r="L87" s="4537"/>
      <c r="M87" s="4537"/>
      <c r="N87" s="4537"/>
      <c r="O87" s="4537"/>
      <c r="P87" s="4537"/>
      <c r="Q87" s="4537"/>
      <c r="R87" s="4537"/>
      <c r="S87" s="4537"/>
      <c r="T87" s="4537"/>
      <c r="U87" s="4537"/>
      <c r="V87" s="4537"/>
      <c r="W87" s="4537"/>
      <c r="X87" s="4537"/>
      <c r="Y87" s="4537"/>
      <c r="Z87" s="4537"/>
      <c r="AA87" s="4537"/>
      <c r="AB87" s="4537"/>
      <c r="AC87" s="4537"/>
      <c r="AD87" s="4537"/>
      <c r="AE87" s="4537"/>
      <c r="AF87" s="4537"/>
      <c r="AG87" s="4537"/>
      <c r="AH87" s="4537"/>
      <c r="AI87" s="4537"/>
      <c r="AJ87" s="4537"/>
      <c r="AK87" s="4537"/>
      <c r="AL87" s="4537"/>
      <c r="AM87" s="4537"/>
      <c r="AN87" s="4537"/>
      <c r="AO87" s="4537"/>
      <c r="AP87" s="4537"/>
      <c r="AQ87" s="4537"/>
      <c r="AR87" s="4537"/>
      <c r="AS87" s="4550"/>
      <c r="AT87" s="4550"/>
      <c r="AU87" s="4550"/>
      <c r="AV87" s="4550"/>
      <c r="AW87" s="4550"/>
      <c r="AX87" s="4550"/>
      <c r="AY87" s="4550"/>
      <c r="AZ87" s="4550"/>
      <c r="BA87" s="4550"/>
      <c r="BB87" s="4550"/>
      <c r="BC87" s="4550"/>
      <c r="BD87" s="4550"/>
      <c r="BE87" s="4550"/>
      <c r="BF87" s="4550"/>
      <c r="BG87" s="4550"/>
      <c r="BH87" s="4550"/>
      <c r="BI87" s="4550"/>
      <c r="BJ87" s="4550"/>
      <c r="BK87" s="4550"/>
      <c r="BL87" s="4550"/>
      <c r="BM87" s="4550"/>
      <c r="BN87" s="4550"/>
      <c r="BO87" s="4550"/>
      <c r="BP87" s="4550"/>
      <c r="BQ87" s="4550"/>
      <c r="BR87" s="4550"/>
      <c r="BS87" s="4550"/>
      <c r="BT87" s="4550"/>
      <c r="BU87" s="4550"/>
      <c r="BV87" s="4550"/>
      <c r="BW87" s="4550"/>
      <c r="BX87" s="4550"/>
      <c r="BY87" s="4550"/>
      <c r="BZ87" s="4550"/>
      <c r="CA87" s="4550"/>
      <c r="CB87" s="4550"/>
      <c r="CC87" s="4550"/>
      <c r="CD87" s="4550"/>
      <c r="CE87" s="4550"/>
      <c r="CF87" s="4550"/>
      <c r="CG87" s="4550"/>
      <c r="CH87" s="4550"/>
      <c r="CI87" s="4550"/>
      <c r="CJ87" s="4550"/>
      <c r="CK87" s="4550"/>
      <c r="CL87" s="4550"/>
      <c r="CM87" s="4550"/>
      <c r="CN87" s="4550"/>
      <c r="CO87" s="4550"/>
      <c r="CP87" s="4550"/>
      <c r="CQ87" s="4550"/>
      <c r="CR87" s="4550"/>
      <c r="CS87" s="4550"/>
      <c r="CT87" s="4550"/>
      <c r="CU87" s="4550"/>
      <c r="CV87" s="4550"/>
      <c r="CW87" s="4550"/>
      <c r="CX87" s="4550"/>
      <c r="CY87" s="4550"/>
      <c r="CZ87" s="4550"/>
      <c r="DA87" s="4550"/>
      <c r="DB87" s="4550"/>
      <c r="DC87" s="4550"/>
      <c r="DD87" s="4550"/>
      <c r="DE87" s="4550"/>
      <c r="DF87" s="4550"/>
      <c r="DG87" s="4550"/>
      <c r="DH87" s="4550"/>
      <c r="DI87" s="4550"/>
      <c r="DJ87" s="4550"/>
      <c r="DK87" s="4550"/>
      <c r="DL87" s="4550"/>
      <c r="DM87" s="4550"/>
      <c r="DN87" s="4550"/>
      <c r="DO87" s="4550"/>
      <c r="DP87" s="4550"/>
      <c r="DQ87" s="4550"/>
      <c r="DR87" s="4550"/>
      <c r="DS87" s="4550"/>
      <c r="DT87" s="4550"/>
      <c r="DU87" s="4550"/>
      <c r="DV87" s="4550"/>
      <c r="DW87" s="4550"/>
      <c r="DX87" s="4550"/>
      <c r="DY87" s="4550"/>
      <c r="DZ87" s="4550"/>
      <c r="EA87" s="4550"/>
      <c r="EB87" s="4550"/>
      <c r="EC87" s="4550"/>
      <c r="ED87" s="4550"/>
      <c r="EE87" s="4550"/>
      <c r="EF87" s="4550"/>
      <c r="EG87" s="4550"/>
      <c r="EH87" s="4550"/>
      <c r="EI87" s="4550"/>
      <c r="EJ87" s="4550"/>
      <c r="EK87" s="4550"/>
      <c r="EL87" s="4550"/>
      <c r="EM87" s="4550"/>
      <c r="EN87" s="4550"/>
      <c r="EO87" s="4550"/>
      <c r="EP87" s="4550"/>
      <c r="EQ87" s="4550"/>
      <c r="ER87" s="4550"/>
      <c r="ES87" s="4550"/>
      <c r="ET87" s="4550"/>
      <c r="EU87" s="4550"/>
      <c r="EV87" s="4550"/>
      <c r="EW87" s="4550"/>
      <c r="EX87" s="4550"/>
      <c r="EY87" s="4550"/>
      <c r="EZ87" s="4550"/>
      <c r="FA87" s="4550"/>
      <c r="FB87" s="4550"/>
      <c r="FC87" s="4550"/>
      <c r="FD87" s="4550"/>
      <c r="FE87" s="4550"/>
      <c r="FF87" s="4550"/>
      <c r="FG87" s="4550"/>
      <c r="FH87" s="4550"/>
      <c r="FI87" s="4550"/>
      <c r="FJ87" s="4550"/>
      <c r="FK87" s="4550"/>
      <c r="FL87" s="4550"/>
      <c r="FM87" s="4550"/>
      <c r="FN87" s="4550"/>
      <c r="FO87" s="4550"/>
      <c r="FP87" s="4550"/>
      <c r="FQ87" s="4550"/>
      <c r="FR87" s="4550"/>
      <c r="FS87" s="4550"/>
      <c r="FT87" s="4550"/>
      <c r="FU87" s="4550"/>
      <c r="FV87" s="4550"/>
      <c r="FW87" s="4550"/>
      <c r="FX87" s="4550"/>
      <c r="FY87" s="4550"/>
      <c r="FZ87" s="4550"/>
      <c r="GA87" s="4550"/>
      <c r="GB87" s="4550"/>
      <c r="GC87" s="4550"/>
      <c r="GD87" s="4550"/>
      <c r="GE87" s="4550"/>
      <c r="GF87" s="4550"/>
      <c r="GG87" s="4550"/>
      <c r="GH87" s="4550"/>
      <c r="GI87" s="4550"/>
      <c r="GJ87" s="4550"/>
      <c r="GK87" s="4550"/>
      <c r="GL87" s="4550"/>
      <c r="GM87" s="4550"/>
      <c r="GN87" s="4550"/>
      <c r="GO87" s="4550"/>
      <c r="GP87" s="4550"/>
      <c r="GQ87" s="4550"/>
      <c r="GR87" s="4550"/>
      <c r="GS87" s="4550"/>
      <c r="GT87" s="4550"/>
      <c r="GU87" s="4550"/>
      <c r="GV87" s="4550"/>
      <c r="GW87" s="4550"/>
      <c r="GX87" s="4550"/>
      <c r="GY87" s="4550"/>
      <c r="GZ87" s="4550"/>
      <c r="HA87" s="4550"/>
      <c r="HB87" s="4550"/>
      <c r="HC87" s="4550"/>
      <c r="HD87" s="4550"/>
      <c r="HE87" s="4550"/>
      <c r="HF87" s="4550"/>
      <c r="HG87" s="4550"/>
      <c r="HH87" s="4550"/>
      <c r="HI87" s="4550"/>
      <c r="HJ87" s="4550"/>
      <c r="HK87" s="4550"/>
      <c r="HL87" s="4550"/>
      <c r="HM87" s="4550"/>
      <c r="HN87" s="4550"/>
      <c r="HO87" s="4550"/>
      <c r="HP87" s="4550"/>
      <c r="HQ87" s="4550"/>
      <c r="HR87" s="4550"/>
      <c r="HS87" s="4550"/>
      <c r="HT87" s="4550"/>
      <c r="HU87" s="4550"/>
      <c r="HV87" s="4550"/>
      <c r="HW87" s="4550"/>
      <c r="HX87" s="4550"/>
      <c r="HY87" s="4550"/>
      <c r="HZ87" s="4550"/>
      <c r="IA87" s="4550"/>
      <c r="IB87" s="4550"/>
      <c r="IC87" s="4550"/>
      <c r="ID87" s="4550"/>
      <c r="IE87" s="4550"/>
    </row>
    <row r="88" spans="1:239" s="4549" customFormat="1" ht="15">
      <c r="A88" s="4167">
        <v>1.2</v>
      </c>
      <c r="B88" s="4701" t="s">
        <v>4085</v>
      </c>
      <c r="C88" s="4727">
        <v>14</v>
      </c>
      <c r="D88" s="4600" t="s">
        <v>2433</v>
      </c>
      <c r="E88" s="4965"/>
      <c r="F88" s="4965">
        <f t="shared" si="2"/>
        <v>0</v>
      </c>
      <c r="G88" s="4537"/>
      <c r="H88" s="4537"/>
      <c r="I88" s="4537"/>
      <c r="J88" s="4537"/>
      <c r="K88" s="4537"/>
      <c r="L88" s="4537"/>
      <c r="M88" s="4537"/>
      <c r="N88" s="4537"/>
      <c r="O88" s="4537"/>
      <c r="P88" s="4537"/>
      <c r="Q88" s="4537"/>
      <c r="R88" s="4537"/>
      <c r="S88" s="4537"/>
      <c r="T88" s="4537"/>
      <c r="U88" s="4537"/>
      <c r="V88" s="4537"/>
      <c r="W88" s="4537"/>
      <c r="X88" s="4537"/>
      <c r="Y88" s="4537"/>
      <c r="Z88" s="4537"/>
      <c r="AA88" s="4537"/>
      <c r="AB88" s="4537"/>
      <c r="AC88" s="4537"/>
      <c r="AD88" s="4537"/>
      <c r="AE88" s="4537"/>
      <c r="AF88" s="4537"/>
      <c r="AG88" s="4537"/>
      <c r="AH88" s="4537"/>
      <c r="AI88" s="4537"/>
      <c r="AJ88" s="4537"/>
      <c r="AK88" s="4537"/>
      <c r="AL88" s="4537"/>
      <c r="AM88" s="4537"/>
      <c r="AN88" s="4537"/>
      <c r="AO88" s="4537"/>
      <c r="AP88" s="4537"/>
      <c r="AQ88" s="4537"/>
      <c r="AR88" s="4537"/>
      <c r="AS88" s="4550"/>
      <c r="AT88" s="4550"/>
      <c r="AU88" s="4550"/>
      <c r="AV88" s="4550"/>
      <c r="AW88" s="4550"/>
      <c r="AX88" s="4550"/>
      <c r="AY88" s="4550"/>
      <c r="AZ88" s="4550"/>
      <c r="BA88" s="4550"/>
      <c r="BB88" s="4550"/>
      <c r="BC88" s="4550"/>
      <c r="BD88" s="4550"/>
      <c r="BE88" s="4550"/>
      <c r="BF88" s="4550"/>
      <c r="BG88" s="4550"/>
      <c r="BH88" s="4550"/>
      <c r="BI88" s="4550"/>
      <c r="BJ88" s="4550"/>
      <c r="BK88" s="4550"/>
      <c r="BL88" s="4550"/>
      <c r="BM88" s="4550"/>
      <c r="BN88" s="4550"/>
      <c r="BO88" s="4550"/>
      <c r="BP88" s="4550"/>
      <c r="BQ88" s="4550"/>
      <c r="BR88" s="4550"/>
      <c r="BS88" s="4550"/>
      <c r="BT88" s="4550"/>
      <c r="BU88" s="4550"/>
      <c r="BV88" s="4550"/>
      <c r="BW88" s="4550"/>
      <c r="BX88" s="4550"/>
      <c r="BY88" s="4550"/>
      <c r="BZ88" s="4550"/>
      <c r="CA88" s="4550"/>
      <c r="CB88" s="4550"/>
      <c r="CC88" s="4550"/>
      <c r="CD88" s="4550"/>
      <c r="CE88" s="4550"/>
      <c r="CF88" s="4550"/>
      <c r="CG88" s="4550"/>
      <c r="CH88" s="4550"/>
      <c r="CI88" s="4550"/>
      <c r="CJ88" s="4550"/>
      <c r="CK88" s="4550"/>
      <c r="CL88" s="4550"/>
      <c r="CM88" s="4550"/>
      <c r="CN88" s="4550"/>
      <c r="CO88" s="4550"/>
      <c r="CP88" s="4550"/>
      <c r="CQ88" s="4550"/>
      <c r="CR88" s="4550"/>
      <c r="CS88" s="4550"/>
      <c r="CT88" s="4550"/>
      <c r="CU88" s="4550"/>
      <c r="CV88" s="4550"/>
      <c r="CW88" s="4550"/>
      <c r="CX88" s="4550"/>
      <c r="CY88" s="4550"/>
      <c r="CZ88" s="4550"/>
      <c r="DA88" s="4550"/>
      <c r="DB88" s="4550"/>
      <c r="DC88" s="4550"/>
      <c r="DD88" s="4550"/>
      <c r="DE88" s="4550"/>
      <c r="DF88" s="4550"/>
      <c r="DG88" s="4550"/>
      <c r="DH88" s="4550"/>
      <c r="DI88" s="4550"/>
      <c r="DJ88" s="4550"/>
      <c r="DK88" s="4550"/>
      <c r="DL88" s="4550"/>
      <c r="DM88" s="4550"/>
      <c r="DN88" s="4550"/>
      <c r="DO88" s="4550"/>
      <c r="DP88" s="4550"/>
      <c r="DQ88" s="4550"/>
      <c r="DR88" s="4550"/>
      <c r="DS88" s="4550"/>
      <c r="DT88" s="4550"/>
      <c r="DU88" s="4550"/>
      <c r="DV88" s="4550"/>
      <c r="DW88" s="4550"/>
      <c r="DX88" s="4550"/>
      <c r="DY88" s="4550"/>
      <c r="DZ88" s="4550"/>
      <c r="EA88" s="4550"/>
      <c r="EB88" s="4550"/>
      <c r="EC88" s="4550"/>
      <c r="ED88" s="4550"/>
      <c r="EE88" s="4550"/>
      <c r="EF88" s="4550"/>
      <c r="EG88" s="4550"/>
      <c r="EH88" s="4550"/>
      <c r="EI88" s="4550"/>
      <c r="EJ88" s="4550"/>
      <c r="EK88" s="4550"/>
      <c r="EL88" s="4550"/>
      <c r="EM88" s="4550"/>
      <c r="EN88" s="4550"/>
      <c r="EO88" s="4550"/>
      <c r="EP88" s="4550"/>
      <c r="EQ88" s="4550"/>
      <c r="ER88" s="4550"/>
      <c r="ES88" s="4550"/>
      <c r="ET88" s="4550"/>
      <c r="EU88" s="4550"/>
      <c r="EV88" s="4550"/>
      <c r="EW88" s="4550"/>
      <c r="EX88" s="4550"/>
      <c r="EY88" s="4550"/>
      <c r="EZ88" s="4550"/>
      <c r="FA88" s="4550"/>
      <c r="FB88" s="4550"/>
      <c r="FC88" s="4550"/>
      <c r="FD88" s="4550"/>
      <c r="FE88" s="4550"/>
      <c r="FF88" s="4550"/>
      <c r="FG88" s="4550"/>
      <c r="FH88" s="4550"/>
      <c r="FI88" s="4550"/>
      <c r="FJ88" s="4550"/>
      <c r="FK88" s="4550"/>
      <c r="FL88" s="4550"/>
      <c r="FM88" s="4550"/>
      <c r="FN88" s="4550"/>
      <c r="FO88" s="4550"/>
      <c r="FP88" s="4550"/>
      <c r="FQ88" s="4550"/>
      <c r="FR88" s="4550"/>
      <c r="FS88" s="4550"/>
      <c r="FT88" s="4550"/>
      <c r="FU88" s="4550"/>
      <c r="FV88" s="4550"/>
      <c r="FW88" s="4550"/>
      <c r="FX88" s="4550"/>
      <c r="FY88" s="4550"/>
      <c r="FZ88" s="4550"/>
      <c r="GA88" s="4550"/>
      <c r="GB88" s="4550"/>
      <c r="GC88" s="4550"/>
      <c r="GD88" s="4550"/>
      <c r="GE88" s="4550"/>
      <c r="GF88" s="4550"/>
      <c r="GG88" s="4550"/>
      <c r="GH88" s="4550"/>
      <c r="GI88" s="4550"/>
      <c r="GJ88" s="4550"/>
      <c r="GK88" s="4550"/>
      <c r="GL88" s="4550"/>
      <c r="GM88" s="4550"/>
      <c r="GN88" s="4550"/>
      <c r="GO88" s="4550"/>
      <c r="GP88" s="4550"/>
      <c r="GQ88" s="4550"/>
      <c r="GR88" s="4550"/>
      <c r="GS88" s="4550"/>
      <c r="GT88" s="4550"/>
      <c r="GU88" s="4550"/>
      <c r="GV88" s="4550"/>
      <c r="GW88" s="4550"/>
      <c r="GX88" s="4550"/>
      <c r="GY88" s="4550"/>
      <c r="GZ88" s="4550"/>
      <c r="HA88" s="4550"/>
      <c r="HB88" s="4550"/>
      <c r="HC88" s="4550"/>
      <c r="HD88" s="4550"/>
      <c r="HE88" s="4550"/>
      <c r="HF88" s="4550"/>
      <c r="HG88" s="4550"/>
      <c r="HH88" s="4550"/>
      <c r="HI88" s="4550"/>
      <c r="HJ88" s="4550"/>
      <c r="HK88" s="4550"/>
      <c r="HL88" s="4550"/>
      <c r="HM88" s="4550"/>
      <c r="HN88" s="4550"/>
      <c r="HO88" s="4550"/>
      <c r="HP88" s="4550"/>
      <c r="HQ88" s="4550"/>
      <c r="HR88" s="4550"/>
      <c r="HS88" s="4550"/>
      <c r="HT88" s="4550"/>
      <c r="HU88" s="4550"/>
      <c r="HV88" s="4550"/>
      <c r="HW88" s="4550"/>
      <c r="HX88" s="4550"/>
      <c r="HY88" s="4550"/>
      <c r="HZ88" s="4550"/>
      <c r="IA88" s="4550"/>
      <c r="IB88" s="4550"/>
      <c r="IC88" s="4550"/>
      <c r="ID88" s="4550"/>
      <c r="IE88" s="4550"/>
    </row>
    <row r="89" spans="1:239" s="4549" customFormat="1" ht="15">
      <c r="A89" s="4167">
        <v>1.3</v>
      </c>
      <c r="B89" s="4701" t="s">
        <v>4086</v>
      </c>
      <c r="C89" s="4727">
        <v>12700</v>
      </c>
      <c r="D89" s="4600" t="s">
        <v>3970</v>
      </c>
      <c r="E89" s="4965"/>
      <c r="F89" s="4965">
        <f t="shared" si="2"/>
        <v>0</v>
      </c>
      <c r="G89" s="4537"/>
      <c r="H89" s="4537"/>
      <c r="I89" s="4537"/>
      <c r="J89" s="4537"/>
      <c r="K89" s="4537"/>
      <c r="L89" s="4537"/>
      <c r="M89" s="4537"/>
      <c r="N89" s="4537"/>
      <c r="O89" s="4537"/>
      <c r="P89" s="4537"/>
      <c r="Q89" s="4537"/>
      <c r="R89" s="4537"/>
      <c r="S89" s="4537"/>
      <c r="T89" s="4537"/>
      <c r="U89" s="4537"/>
      <c r="V89" s="4537"/>
      <c r="W89" s="4537"/>
      <c r="X89" s="4537"/>
      <c r="Y89" s="4537"/>
      <c r="Z89" s="4537"/>
      <c r="AA89" s="4537"/>
      <c r="AB89" s="4537"/>
      <c r="AC89" s="4537"/>
      <c r="AD89" s="4537"/>
      <c r="AE89" s="4537"/>
      <c r="AF89" s="4537"/>
      <c r="AG89" s="4537"/>
      <c r="AH89" s="4537"/>
      <c r="AI89" s="4537"/>
      <c r="AJ89" s="4537"/>
      <c r="AK89" s="4537"/>
      <c r="AL89" s="4537"/>
      <c r="AM89" s="4537"/>
      <c r="AN89" s="4537"/>
      <c r="AO89" s="4537"/>
      <c r="AP89" s="4537"/>
      <c r="AQ89" s="4537"/>
      <c r="AR89" s="4537"/>
      <c r="AS89" s="4550"/>
      <c r="AT89" s="4550"/>
      <c r="AU89" s="4550"/>
      <c r="AV89" s="4550"/>
      <c r="AW89" s="4550"/>
      <c r="AX89" s="4550"/>
      <c r="AY89" s="4550"/>
      <c r="AZ89" s="4550"/>
      <c r="BA89" s="4550"/>
      <c r="BB89" s="4550"/>
      <c r="BC89" s="4550"/>
      <c r="BD89" s="4550"/>
      <c r="BE89" s="4550"/>
      <c r="BF89" s="4550"/>
      <c r="BG89" s="4550"/>
      <c r="BH89" s="4550"/>
      <c r="BI89" s="4550"/>
      <c r="BJ89" s="4550"/>
      <c r="BK89" s="4550"/>
      <c r="BL89" s="4550"/>
      <c r="BM89" s="4550"/>
      <c r="BN89" s="4550"/>
      <c r="BO89" s="4550"/>
      <c r="BP89" s="4550"/>
      <c r="BQ89" s="4550"/>
      <c r="BR89" s="4550"/>
      <c r="BS89" s="4550"/>
      <c r="BT89" s="4550"/>
      <c r="BU89" s="4550"/>
      <c r="BV89" s="4550"/>
      <c r="BW89" s="4550"/>
      <c r="BX89" s="4550"/>
      <c r="BY89" s="4550"/>
      <c r="BZ89" s="4550"/>
      <c r="CA89" s="4550"/>
      <c r="CB89" s="4550"/>
      <c r="CC89" s="4550"/>
      <c r="CD89" s="4550"/>
      <c r="CE89" s="4550"/>
      <c r="CF89" s="4550"/>
      <c r="CG89" s="4550"/>
      <c r="CH89" s="4550"/>
      <c r="CI89" s="4550"/>
      <c r="CJ89" s="4550"/>
      <c r="CK89" s="4550"/>
      <c r="CL89" s="4550"/>
      <c r="CM89" s="4550"/>
      <c r="CN89" s="4550"/>
      <c r="CO89" s="4550"/>
      <c r="CP89" s="4550"/>
      <c r="CQ89" s="4550"/>
      <c r="CR89" s="4550"/>
      <c r="CS89" s="4550"/>
      <c r="CT89" s="4550"/>
      <c r="CU89" s="4550"/>
      <c r="CV89" s="4550"/>
      <c r="CW89" s="4550"/>
      <c r="CX89" s="4550"/>
      <c r="CY89" s="4550"/>
      <c r="CZ89" s="4550"/>
      <c r="DA89" s="4550"/>
      <c r="DB89" s="4550"/>
      <c r="DC89" s="4550"/>
      <c r="DD89" s="4550"/>
      <c r="DE89" s="4550"/>
      <c r="DF89" s="4550"/>
      <c r="DG89" s="4550"/>
      <c r="DH89" s="4550"/>
      <c r="DI89" s="4550"/>
      <c r="DJ89" s="4550"/>
      <c r="DK89" s="4550"/>
      <c r="DL89" s="4550"/>
      <c r="DM89" s="4550"/>
      <c r="DN89" s="4550"/>
      <c r="DO89" s="4550"/>
      <c r="DP89" s="4550"/>
      <c r="DQ89" s="4550"/>
      <c r="DR89" s="4550"/>
      <c r="DS89" s="4550"/>
      <c r="DT89" s="4550"/>
      <c r="DU89" s="4550"/>
      <c r="DV89" s="4550"/>
      <c r="DW89" s="4550"/>
      <c r="DX89" s="4550"/>
      <c r="DY89" s="4550"/>
      <c r="DZ89" s="4550"/>
      <c r="EA89" s="4550"/>
      <c r="EB89" s="4550"/>
      <c r="EC89" s="4550"/>
      <c r="ED89" s="4550"/>
      <c r="EE89" s="4550"/>
      <c r="EF89" s="4550"/>
      <c r="EG89" s="4550"/>
      <c r="EH89" s="4550"/>
      <c r="EI89" s="4550"/>
      <c r="EJ89" s="4550"/>
      <c r="EK89" s="4550"/>
      <c r="EL89" s="4550"/>
      <c r="EM89" s="4550"/>
      <c r="EN89" s="4550"/>
      <c r="EO89" s="4550"/>
      <c r="EP89" s="4550"/>
      <c r="EQ89" s="4550"/>
      <c r="ER89" s="4550"/>
      <c r="ES89" s="4550"/>
      <c r="ET89" s="4550"/>
      <c r="EU89" s="4550"/>
      <c r="EV89" s="4550"/>
      <c r="EW89" s="4550"/>
      <c r="EX89" s="4550"/>
      <c r="EY89" s="4550"/>
      <c r="EZ89" s="4550"/>
      <c r="FA89" s="4550"/>
      <c r="FB89" s="4550"/>
      <c r="FC89" s="4550"/>
      <c r="FD89" s="4550"/>
      <c r="FE89" s="4550"/>
      <c r="FF89" s="4550"/>
      <c r="FG89" s="4550"/>
      <c r="FH89" s="4550"/>
      <c r="FI89" s="4550"/>
      <c r="FJ89" s="4550"/>
      <c r="FK89" s="4550"/>
      <c r="FL89" s="4550"/>
      <c r="FM89" s="4550"/>
      <c r="FN89" s="4550"/>
      <c r="FO89" s="4550"/>
      <c r="FP89" s="4550"/>
      <c r="FQ89" s="4550"/>
      <c r="FR89" s="4550"/>
      <c r="FS89" s="4550"/>
      <c r="FT89" s="4550"/>
      <c r="FU89" s="4550"/>
      <c r="FV89" s="4550"/>
      <c r="FW89" s="4550"/>
      <c r="FX89" s="4550"/>
      <c r="FY89" s="4550"/>
      <c r="FZ89" s="4550"/>
      <c r="GA89" s="4550"/>
      <c r="GB89" s="4550"/>
      <c r="GC89" s="4550"/>
      <c r="GD89" s="4550"/>
      <c r="GE89" s="4550"/>
      <c r="GF89" s="4550"/>
      <c r="GG89" s="4550"/>
      <c r="GH89" s="4550"/>
      <c r="GI89" s="4550"/>
      <c r="GJ89" s="4550"/>
      <c r="GK89" s="4550"/>
      <c r="GL89" s="4550"/>
      <c r="GM89" s="4550"/>
      <c r="GN89" s="4550"/>
      <c r="GO89" s="4550"/>
      <c r="GP89" s="4550"/>
      <c r="GQ89" s="4550"/>
      <c r="GR89" s="4550"/>
      <c r="GS89" s="4550"/>
      <c r="GT89" s="4550"/>
      <c r="GU89" s="4550"/>
      <c r="GV89" s="4550"/>
      <c r="GW89" s="4550"/>
      <c r="GX89" s="4550"/>
      <c r="GY89" s="4550"/>
      <c r="GZ89" s="4550"/>
      <c r="HA89" s="4550"/>
      <c r="HB89" s="4550"/>
      <c r="HC89" s="4550"/>
      <c r="HD89" s="4550"/>
      <c r="HE89" s="4550"/>
      <c r="HF89" s="4550"/>
      <c r="HG89" s="4550"/>
      <c r="HH89" s="4550"/>
      <c r="HI89" s="4550"/>
      <c r="HJ89" s="4550"/>
      <c r="HK89" s="4550"/>
      <c r="HL89" s="4550"/>
      <c r="HM89" s="4550"/>
      <c r="HN89" s="4550"/>
      <c r="HO89" s="4550"/>
      <c r="HP89" s="4550"/>
      <c r="HQ89" s="4550"/>
      <c r="HR89" s="4550"/>
      <c r="HS89" s="4550"/>
      <c r="HT89" s="4550"/>
      <c r="HU89" s="4550"/>
      <c r="HV89" s="4550"/>
      <c r="HW89" s="4550"/>
      <c r="HX89" s="4550"/>
      <c r="HY89" s="4550"/>
      <c r="HZ89" s="4550"/>
      <c r="IA89" s="4550"/>
      <c r="IB89" s="4550"/>
      <c r="IC89" s="4550"/>
      <c r="ID89" s="4550"/>
      <c r="IE89" s="4550"/>
    </row>
    <row r="90" spans="1:239" s="4549" customFormat="1" ht="15">
      <c r="A90" s="4167">
        <v>1.4</v>
      </c>
      <c r="B90" s="4701" t="s">
        <v>3679</v>
      </c>
      <c r="C90" s="4727">
        <v>1</v>
      </c>
      <c r="D90" s="4600" t="s">
        <v>2433</v>
      </c>
      <c r="E90" s="4965"/>
      <c r="F90" s="4965">
        <f t="shared" si="2"/>
        <v>0</v>
      </c>
      <c r="G90" s="4537"/>
      <c r="H90" s="4537"/>
      <c r="I90" s="4537"/>
      <c r="J90" s="4537"/>
      <c r="K90" s="4537"/>
      <c r="L90" s="4537"/>
      <c r="M90" s="4537"/>
      <c r="N90" s="4537"/>
      <c r="O90" s="4537"/>
      <c r="P90" s="4537"/>
      <c r="Q90" s="4537"/>
      <c r="R90" s="4537"/>
      <c r="S90" s="4537"/>
      <c r="T90" s="4537"/>
      <c r="U90" s="4537"/>
      <c r="V90" s="4537"/>
      <c r="W90" s="4537"/>
      <c r="X90" s="4537"/>
      <c r="Y90" s="4537"/>
      <c r="Z90" s="4537"/>
      <c r="AA90" s="4537"/>
      <c r="AB90" s="4537"/>
      <c r="AC90" s="4537"/>
      <c r="AD90" s="4537"/>
      <c r="AE90" s="4537"/>
      <c r="AF90" s="4537"/>
      <c r="AG90" s="4537"/>
      <c r="AH90" s="4537"/>
      <c r="AI90" s="4537"/>
      <c r="AJ90" s="4537"/>
      <c r="AK90" s="4537"/>
      <c r="AL90" s="4537"/>
      <c r="AM90" s="4537"/>
      <c r="AN90" s="4537"/>
      <c r="AO90" s="4537"/>
      <c r="AP90" s="4537"/>
      <c r="AQ90" s="4537"/>
      <c r="AR90" s="4537"/>
      <c r="AS90" s="4550"/>
      <c r="AT90" s="4550"/>
      <c r="AU90" s="4550"/>
      <c r="AV90" s="4550"/>
      <c r="AW90" s="4550"/>
      <c r="AX90" s="4550"/>
      <c r="AY90" s="4550"/>
      <c r="AZ90" s="4550"/>
      <c r="BA90" s="4550"/>
      <c r="BB90" s="4550"/>
      <c r="BC90" s="4550"/>
      <c r="BD90" s="4550"/>
      <c r="BE90" s="4550"/>
      <c r="BF90" s="4550"/>
      <c r="BG90" s="4550"/>
      <c r="BH90" s="4550"/>
      <c r="BI90" s="4550"/>
      <c r="BJ90" s="4550"/>
      <c r="BK90" s="4550"/>
      <c r="BL90" s="4550"/>
      <c r="BM90" s="4550"/>
      <c r="BN90" s="4550"/>
      <c r="BO90" s="4550"/>
      <c r="BP90" s="4550"/>
      <c r="BQ90" s="4550"/>
      <c r="BR90" s="4550"/>
      <c r="BS90" s="4550"/>
      <c r="BT90" s="4550"/>
      <c r="BU90" s="4550"/>
      <c r="BV90" s="4550"/>
      <c r="BW90" s="4550"/>
      <c r="BX90" s="4550"/>
      <c r="BY90" s="4550"/>
      <c r="BZ90" s="4550"/>
      <c r="CA90" s="4550"/>
      <c r="CB90" s="4550"/>
      <c r="CC90" s="4550"/>
      <c r="CD90" s="4550"/>
      <c r="CE90" s="4550"/>
      <c r="CF90" s="4550"/>
      <c r="CG90" s="4550"/>
      <c r="CH90" s="4550"/>
      <c r="CI90" s="4550"/>
      <c r="CJ90" s="4550"/>
      <c r="CK90" s="4550"/>
      <c r="CL90" s="4550"/>
      <c r="CM90" s="4550"/>
      <c r="CN90" s="4550"/>
      <c r="CO90" s="4550"/>
      <c r="CP90" s="4550"/>
      <c r="CQ90" s="4550"/>
      <c r="CR90" s="4550"/>
      <c r="CS90" s="4550"/>
      <c r="CT90" s="4550"/>
      <c r="CU90" s="4550"/>
      <c r="CV90" s="4550"/>
      <c r="CW90" s="4550"/>
      <c r="CX90" s="4550"/>
      <c r="CY90" s="4550"/>
      <c r="CZ90" s="4550"/>
      <c r="DA90" s="4550"/>
      <c r="DB90" s="4550"/>
      <c r="DC90" s="4550"/>
      <c r="DD90" s="4550"/>
      <c r="DE90" s="4550"/>
      <c r="DF90" s="4550"/>
      <c r="DG90" s="4550"/>
      <c r="DH90" s="4550"/>
      <c r="DI90" s="4550"/>
      <c r="DJ90" s="4550"/>
      <c r="DK90" s="4550"/>
      <c r="DL90" s="4550"/>
      <c r="DM90" s="4550"/>
      <c r="DN90" s="4550"/>
      <c r="DO90" s="4550"/>
      <c r="DP90" s="4550"/>
      <c r="DQ90" s="4550"/>
      <c r="DR90" s="4550"/>
      <c r="DS90" s="4550"/>
      <c r="DT90" s="4550"/>
      <c r="DU90" s="4550"/>
      <c r="DV90" s="4550"/>
      <c r="DW90" s="4550"/>
      <c r="DX90" s="4550"/>
      <c r="DY90" s="4550"/>
      <c r="DZ90" s="4550"/>
      <c r="EA90" s="4550"/>
      <c r="EB90" s="4550"/>
      <c r="EC90" s="4550"/>
      <c r="ED90" s="4550"/>
      <c r="EE90" s="4550"/>
      <c r="EF90" s="4550"/>
      <c r="EG90" s="4550"/>
      <c r="EH90" s="4550"/>
      <c r="EI90" s="4550"/>
      <c r="EJ90" s="4550"/>
      <c r="EK90" s="4550"/>
      <c r="EL90" s="4550"/>
      <c r="EM90" s="4550"/>
      <c r="EN90" s="4550"/>
      <c r="EO90" s="4550"/>
      <c r="EP90" s="4550"/>
      <c r="EQ90" s="4550"/>
      <c r="ER90" s="4550"/>
      <c r="ES90" s="4550"/>
      <c r="ET90" s="4550"/>
      <c r="EU90" s="4550"/>
      <c r="EV90" s="4550"/>
      <c r="EW90" s="4550"/>
      <c r="EX90" s="4550"/>
      <c r="EY90" s="4550"/>
      <c r="EZ90" s="4550"/>
      <c r="FA90" s="4550"/>
      <c r="FB90" s="4550"/>
      <c r="FC90" s="4550"/>
      <c r="FD90" s="4550"/>
      <c r="FE90" s="4550"/>
      <c r="FF90" s="4550"/>
      <c r="FG90" s="4550"/>
      <c r="FH90" s="4550"/>
      <c r="FI90" s="4550"/>
      <c r="FJ90" s="4550"/>
      <c r="FK90" s="4550"/>
      <c r="FL90" s="4550"/>
      <c r="FM90" s="4550"/>
      <c r="FN90" s="4550"/>
      <c r="FO90" s="4550"/>
      <c r="FP90" s="4550"/>
      <c r="FQ90" s="4550"/>
      <c r="FR90" s="4550"/>
      <c r="FS90" s="4550"/>
      <c r="FT90" s="4550"/>
      <c r="FU90" s="4550"/>
      <c r="FV90" s="4550"/>
      <c r="FW90" s="4550"/>
      <c r="FX90" s="4550"/>
      <c r="FY90" s="4550"/>
      <c r="FZ90" s="4550"/>
      <c r="GA90" s="4550"/>
      <c r="GB90" s="4550"/>
      <c r="GC90" s="4550"/>
      <c r="GD90" s="4550"/>
      <c r="GE90" s="4550"/>
      <c r="GF90" s="4550"/>
      <c r="GG90" s="4550"/>
      <c r="GH90" s="4550"/>
      <c r="GI90" s="4550"/>
      <c r="GJ90" s="4550"/>
      <c r="GK90" s="4550"/>
      <c r="GL90" s="4550"/>
      <c r="GM90" s="4550"/>
      <c r="GN90" s="4550"/>
      <c r="GO90" s="4550"/>
      <c r="GP90" s="4550"/>
      <c r="GQ90" s="4550"/>
      <c r="GR90" s="4550"/>
      <c r="GS90" s="4550"/>
      <c r="GT90" s="4550"/>
      <c r="GU90" s="4550"/>
      <c r="GV90" s="4550"/>
      <c r="GW90" s="4550"/>
      <c r="GX90" s="4550"/>
      <c r="GY90" s="4550"/>
      <c r="GZ90" s="4550"/>
      <c r="HA90" s="4550"/>
      <c r="HB90" s="4550"/>
      <c r="HC90" s="4550"/>
      <c r="HD90" s="4550"/>
      <c r="HE90" s="4550"/>
      <c r="HF90" s="4550"/>
      <c r="HG90" s="4550"/>
      <c r="HH90" s="4550"/>
      <c r="HI90" s="4550"/>
      <c r="HJ90" s="4550"/>
      <c r="HK90" s="4550"/>
      <c r="HL90" s="4550"/>
      <c r="HM90" s="4550"/>
      <c r="HN90" s="4550"/>
      <c r="HO90" s="4550"/>
      <c r="HP90" s="4550"/>
      <c r="HQ90" s="4550"/>
      <c r="HR90" s="4550"/>
      <c r="HS90" s="4550"/>
      <c r="HT90" s="4550"/>
      <c r="HU90" s="4550"/>
      <c r="HV90" s="4550"/>
      <c r="HW90" s="4550"/>
      <c r="HX90" s="4550"/>
      <c r="HY90" s="4550"/>
      <c r="HZ90" s="4550"/>
      <c r="IA90" s="4550"/>
      <c r="IB90" s="4550"/>
      <c r="IC90" s="4550"/>
      <c r="ID90" s="4550"/>
      <c r="IE90" s="4550"/>
    </row>
    <row r="91" spans="1:239" s="4549" customFormat="1" ht="15">
      <c r="A91" s="4167">
        <v>1.5</v>
      </c>
      <c r="B91" s="4701" t="s">
        <v>4087</v>
      </c>
      <c r="C91" s="4727">
        <v>8</v>
      </c>
      <c r="D91" s="4600" t="s">
        <v>2433</v>
      </c>
      <c r="E91" s="4965"/>
      <c r="F91" s="4965">
        <f t="shared" si="2"/>
        <v>0</v>
      </c>
      <c r="G91" s="4537"/>
      <c r="H91" s="4537"/>
      <c r="I91" s="4537"/>
      <c r="J91" s="4537"/>
      <c r="K91" s="4537"/>
      <c r="L91" s="4537"/>
      <c r="M91" s="4537"/>
      <c r="N91" s="4537"/>
      <c r="O91" s="4537"/>
      <c r="P91" s="4537"/>
      <c r="Q91" s="4537"/>
      <c r="R91" s="4537"/>
      <c r="S91" s="4537"/>
      <c r="T91" s="4537"/>
      <c r="U91" s="4537"/>
      <c r="V91" s="4537"/>
      <c r="W91" s="4537"/>
      <c r="X91" s="4537"/>
      <c r="Y91" s="4537"/>
      <c r="Z91" s="4537"/>
      <c r="AA91" s="4537"/>
      <c r="AB91" s="4537"/>
      <c r="AC91" s="4537"/>
      <c r="AD91" s="4537"/>
      <c r="AE91" s="4537"/>
      <c r="AF91" s="4537"/>
      <c r="AG91" s="4537"/>
      <c r="AH91" s="4537"/>
      <c r="AI91" s="4537"/>
      <c r="AJ91" s="4537"/>
      <c r="AK91" s="4537"/>
      <c r="AL91" s="4537"/>
      <c r="AM91" s="4537"/>
      <c r="AN91" s="4537"/>
      <c r="AO91" s="4537"/>
      <c r="AP91" s="4537"/>
      <c r="AQ91" s="4537"/>
      <c r="AR91" s="4537"/>
      <c r="AS91" s="4550"/>
      <c r="AT91" s="4550"/>
      <c r="AU91" s="4550"/>
      <c r="AV91" s="4550"/>
      <c r="AW91" s="4550"/>
      <c r="AX91" s="4550"/>
      <c r="AY91" s="4550"/>
      <c r="AZ91" s="4550"/>
      <c r="BA91" s="4550"/>
      <c r="BB91" s="4550"/>
      <c r="BC91" s="4550"/>
      <c r="BD91" s="4550"/>
      <c r="BE91" s="4550"/>
      <c r="BF91" s="4550"/>
      <c r="BG91" s="4550"/>
      <c r="BH91" s="4550"/>
      <c r="BI91" s="4550"/>
      <c r="BJ91" s="4550"/>
      <c r="BK91" s="4550"/>
      <c r="BL91" s="4550"/>
      <c r="BM91" s="4550"/>
      <c r="BN91" s="4550"/>
      <c r="BO91" s="4550"/>
      <c r="BP91" s="4550"/>
      <c r="BQ91" s="4550"/>
      <c r="BR91" s="4550"/>
      <c r="BS91" s="4550"/>
      <c r="BT91" s="4550"/>
      <c r="BU91" s="4550"/>
      <c r="BV91" s="4550"/>
      <c r="BW91" s="4550"/>
      <c r="BX91" s="4550"/>
      <c r="BY91" s="4550"/>
      <c r="BZ91" s="4550"/>
      <c r="CA91" s="4550"/>
      <c r="CB91" s="4550"/>
      <c r="CC91" s="4550"/>
      <c r="CD91" s="4550"/>
      <c r="CE91" s="4550"/>
      <c r="CF91" s="4550"/>
      <c r="CG91" s="4550"/>
      <c r="CH91" s="4550"/>
      <c r="CI91" s="4550"/>
      <c r="CJ91" s="4550"/>
      <c r="CK91" s="4550"/>
      <c r="CL91" s="4550"/>
      <c r="CM91" s="4550"/>
      <c r="CN91" s="4550"/>
      <c r="CO91" s="4550"/>
      <c r="CP91" s="4550"/>
      <c r="CQ91" s="4550"/>
      <c r="CR91" s="4550"/>
      <c r="CS91" s="4550"/>
      <c r="CT91" s="4550"/>
      <c r="CU91" s="4550"/>
      <c r="CV91" s="4550"/>
      <c r="CW91" s="4550"/>
      <c r="CX91" s="4550"/>
      <c r="CY91" s="4550"/>
      <c r="CZ91" s="4550"/>
      <c r="DA91" s="4550"/>
      <c r="DB91" s="4550"/>
      <c r="DC91" s="4550"/>
      <c r="DD91" s="4550"/>
      <c r="DE91" s="4550"/>
      <c r="DF91" s="4550"/>
      <c r="DG91" s="4550"/>
      <c r="DH91" s="4550"/>
      <c r="DI91" s="4550"/>
      <c r="DJ91" s="4550"/>
      <c r="DK91" s="4550"/>
      <c r="DL91" s="4550"/>
      <c r="DM91" s="4550"/>
      <c r="DN91" s="4550"/>
      <c r="DO91" s="4550"/>
      <c r="DP91" s="4550"/>
      <c r="DQ91" s="4550"/>
      <c r="DR91" s="4550"/>
      <c r="DS91" s="4550"/>
      <c r="DT91" s="4550"/>
      <c r="DU91" s="4550"/>
      <c r="DV91" s="4550"/>
      <c r="DW91" s="4550"/>
      <c r="DX91" s="4550"/>
      <c r="DY91" s="4550"/>
      <c r="DZ91" s="4550"/>
      <c r="EA91" s="4550"/>
      <c r="EB91" s="4550"/>
      <c r="EC91" s="4550"/>
      <c r="ED91" s="4550"/>
      <c r="EE91" s="4550"/>
      <c r="EF91" s="4550"/>
      <c r="EG91" s="4550"/>
      <c r="EH91" s="4550"/>
      <c r="EI91" s="4550"/>
      <c r="EJ91" s="4550"/>
      <c r="EK91" s="4550"/>
      <c r="EL91" s="4550"/>
      <c r="EM91" s="4550"/>
      <c r="EN91" s="4550"/>
      <c r="EO91" s="4550"/>
      <c r="EP91" s="4550"/>
      <c r="EQ91" s="4550"/>
      <c r="ER91" s="4550"/>
      <c r="ES91" s="4550"/>
      <c r="ET91" s="4550"/>
      <c r="EU91" s="4550"/>
      <c r="EV91" s="4550"/>
      <c r="EW91" s="4550"/>
      <c r="EX91" s="4550"/>
      <c r="EY91" s="4550"/>
      <c r="EZ91" s="4550"/>
      <c r="FA91" s="4550"/>
      <c r="FB91" s="4550"/>
      <c r="FC91" s="4550"/>
      <c r="FD91" s="4550"/>
      <c r="FE91" s="4550"/>
      <c r="FF91" s="4550"/>
      <c r="FG91" s="4550"/>
      <c r="FH91" s="4550"/>
      <c r="FI91" s="4550"/>
      <c r="FJ91" s="4550"/>
      <c r="FK91" s="4550"/>
      <c r="FL91" s="4550"/>
      <c r="FM91" s="4550"/>
      <c r="FN91" s="4550"/>
      <c r="FO91" s="4550"/>
      <c r="FP91" s="4550"/>
      <c r="FQ91" s="4550"/>
      <c r="FR91" s="4550"/>
      <c r="FS91" s="4550"/>
      <c r="FT91" s="4550"/>
      <c r="FU91" s="4550"/>
      <c r="FV91" s="4550"/>
      <c r="FW91" s="4550"/>
      <c r="FX91" s="4550"/>
      <c r="FY91" s="4550"/>
      <c r="FZ91" s="4550"/>
      <c r="GA91" s="4550"/>
      <c r="GB91" s="4550"/>
      <c r="GC91" s="4550"/>
      <c r="GD91" s="4550"/>
      <c r="GE91" s="4550"/>
      <c r="GF91" s="4550"/>
      <c r="GG91" s="4550"/>
      <c r="GH91" s="4550"/>
      <c r="GI91" s="4550"/>
      <c r="GJ91" s="4550"/>
      <c r="GK91" s="4550"/>
      <c r="GL91" s="4550"/>
      <c r="GM91" s="4550"/>
      <c r="GN91" s="4550"/>
      <c r="GO91" s="4550"/>
      <c r="GP91" s="4550"/>
      <c r="GQ91" s="4550"/>
      <c r="GR91" s="4550"/>
      <c r="GS91" s="4550"/>
      <c r="GT91" s="4550"/>
      <c r="GU91" s="4550"/>
      <c r="GV91" s="4550"/>
      <c r="GW91" s="4550"/>
      <c r="GX91" s="4550"/>
      <c r="GY91" s="4550"/>
      <c r="GZ91" s="4550"/>
      <c r="HA91" s="4550"/>
      <c r="HB91" s="4550"/>
      <c r="HC91" s="4550"/>
      <c r="HD91" s="4550"/>
      <c r="HE91" s="4550"/>
      <c r="HF91" s="4550"/>
      <c r="HG91" s="4550"/>
      <c r="HH91" s="4550"/>
      <c r="HI91" s="4550"/>
      <c r="HJ91" s="4550"/>
      <c r="HK91" s="4550"/>
      <c r="HL91" s="4550"/>
      <c r="HM91" s="4550"/>
      <c r="HN91" s="4550"/>
      <c r="HO91" s="4550"/>
      <c r="HP91" s="4550"/>
      <c r="HQ91" s="4550"/>
      <c r="HR91" s="4550"/>
      <c r="HS91" s="4550"/>
      <c r="HT91" s="4550"/>
      <c r="HU91" s="4550"/>
      <c r="HV91" s="4550"/>
      <c r="HW91" s="4550"/>
      <c r="HX91" s="4550"/>
      <c r="HY91" s="4550"/>
      <c r="HZ91" s="4550"/>
      <c r="IA91" s="4550"/>
      <c r="IB91" s="4550"/>
      <c r="IC91" s="4550"/>
      <c r="ID91" s="4550"/>
      <c r="IE91" s="4550"/>
    </row>
    <row r="92" spans="1:239" s="4549" customFormat="1" ht="15">
      <c r="A92" s="4167">
        <v>1.6</v>
      </c>
      <c r="B92" s="4701" t="s">
        <v>4088</v>
      </c>
      <c r="C92" s="4727">
        <v>3</v>
      </c>
      <c r="D92" s="4600" t="s">
        <v>2433</v>
      </c>
      <c r="E92" s="4965"/>
      <c r="F92" s="4965">
        <f t="shared" si="2"/>
        <v>0</v>
      </c>
      <c r="G92" s="4537"/>
      <c r="H92" s="4537"/>
      <c r="I92" s="4537"/>
      <c r="J92" s="4537"/>
      <c r="K92" s="4537"/>
      <c r="L92" s="4537"/>
      <c r="M92" s="4537"/>
      <c r="N92" s="4537"/>
      <c r="O92" s="4537"/>
      <c r="P92" s="4537"/>
      <c r="Q92" s="4537"/>
      <c r="R92" s="4537"/>
      <c r="S92" s="4537"/>
      <c r="T92" s="4537"/>
      <c r="U92" s="4537"/>
      <c r="V92" s="4537"/>
      <c r="W92" s="4537"/>
      <c r="X92" s="4537"/>
      <c r="Y92" s="4537"/>
      <c r="Z92" s="4537"/>
      <c r="AA92" s="4537"/>
      <c r="AB92" s="4537"/>
      <c r="AC92" s="4537"/>
      <c r="AD92" s="4537"/>
      <c r="AE92" s="4537"/>
      <c r="AF92" s="4537"/>
      <c r="AG92" s="4537"/>
      <c r="AH92" s="4537"/>
      <c r="AI92" s="4537"/>
      <c r="AJ92" s="4537"/>
      <c r="AK92" s="4537"/>
      <c r="AL92" s="4537"/>
      <c r="AM92" s="4537"/>
      <c r="AN92" s="4537"/>
      <c r="AO92" s="4537"/>
      <c r="AP92" s="4537"/>
      <c r="AQ92" s="4537"/>
      <c r="AR92" s="4537"/>
      <c r="AS92" s="4550"/>
      <c r="AT92" s="4550"/>
      <c r="AU92" s="4550"/>
      <c r="AV92" s="4550"/>
      <c r="AW92" s="4550"/>
      <c r="AX92" s="4550"/>
      <c r="AY92" s="4550"/>
      <c r="AZ92" s="4550"/>
      <c r="BA92" s="4550"/>
      <c r="BB92" s="4550"/>
      <c r="BC92" s="4550"/>
      <c r="BD92" s="4550"/>
      <c r="BE92" s="4550"/>
      <c r="BF92" s="4550"/>
      <c r="BG92" s="4550"/>
      <c r="BH92" s="4550"/>
      <c r="BI92" s="4550"/>
      <c r="BJ92" s="4550"/>
      <c r="BK92" s="4550"/>
      <c r="BL92" s="4550"/>
      <c r="BM92" s="4550"/>
      <c r="BN92" s="4550"/>
      <c r="BO92" s="4550"/>
      <c r="BP92" s="4550"/>
      <c r="BQ92" s="4550"/>
      <c r="BR92" s="4550"/>
      <c r="BS92" s="4550"/>
      <c r="BT92" s="4550"/>
      <c r="BU92" s="4550"/>
      <c r="BV92" s="4550"/>
      <c r="BW92" s="4550"/>
      <c r="BX92" s="4550"/>
      <c r="BY92" s="4550"/>
      <c r="BZ92" s="4550"/>
      <c r="CA92" s="4550"/>
      <c r="CB92" s="4550"/>
      <c r="CC92" s="4550"/>
      <c r="CD92" s="4550"/>
      <c r="CE92" s="4550"/>
      <c r="CF92" s="4550"/>
      <c r="CG92" s="4550"/>
      <c r="CH92" s="4550"/>
      <c r="CI92" s="4550"/>
      <c r="CJ92" s="4550"/>
      <c r="CK92" s="4550"/>
      <c r="CL92" s="4550"/>
      <c r="CM92" s="4550"/>
      <c r="CN92" s="4550"/>
      <c r="CO92" s="4550"/>
      <c r="CP92" s="4550"/>
      <c r="CQ92" s="4550"/>
      <c r="CR92" s="4550"/>
      <c r="CS92" s="4550"/>
      <c r="CT92" s="4550"/>
      <c r="CU92" s="4550"/>
      <c r="CV92" s="4550"/>
      <c r="CW92" s="4550"/>
      <c r="CX92" s="4550"/>
      <c r="CY92" s="4550"/>
      <c r="CZ92" s="4550"/>
      <c r="DA92" s="4550"/>
      <c r="DB92" s="4550"/>
      <c r="DC92" s="4550"/>
      <c r="DD92" s="4550"/>
      <c r="DE92" s="4550"/>
      <c r="DF92" s="4550"/>
      <c r="DG92" s="4550"/>
      <c r="DH92" s="4550"/>
      <c r="DI92" s="4550"/>
      <c r="DJ92" s="4550"/>
      <c r="DK92" s="4550"/>
      <c r="DL92" s="4550"/>
      <c r="DM92" s="4550"/>
      <c r="DN92" s="4550"/>
      <c r="DO92" s="4550"/>
      <c r="DP92" s="4550"/>
      <c r="DQ92" s="4550"/>
      <c r="DR92" s="4550"/>
      <c r="DS92" s="4550"/>
      <c r="DT92" s="4550"/>
      <c r="DU92" s="4550"/>
      <c r="DV92" s="4550"/>
      <c r="DW92" s="4550"/>
      <c r="DX92" s="4550"/>
      <c r="DY92" s="4550"/>
      <c r="DZ92" s="4550"/>
      <c r="EA92" s="4550"/>
      <c r="EB92" s="4550"/>
      <c r="EC92" s="4550"/>
      <c r="ED92" s="4550"/>
      <c r="EE92" s="4550"/>
      <c r="EF92" s="4550"/>
      <c r="EG92" s="4550"/>
      <c r="EH92" s="4550"/>
      <c r="EI92" s="4550"/>
      <c r="EJ92" s="4550"/>
      <c r="EK92" s="4550"/>
      <c r="EL92" s="4550"/>
      <c r="EM92" s="4550"/>
      <c r="EN92" s="4550"/>
      <c r="EO92" s="4550"/>
      <c r="EP92" s="4550"/>
      <c r="EQ92" s="4550"/>
      <c r="ER92" s="4550"/>
      <c r="ES92" s="4550"/>
      <c r="ET92" s="4550"/>
      <c r="EU92" s="4550"/>
      <c r="EV92" s="4550"/>
      <c r="EW92" s="4550"/>
      <c r="EX92" s="4550"/>
      <c r="EY92" s="4550"/>
      <c r="EZ92" s="4550"/>
      <c r="FA92" s="4550"/>
      <c r="FB92" s="4550"/>
      <c r="FC92" s="4550"/>
      <c r="FD92" s="4550"/>
      <c r="FE92" s="4550"/>
      <c r="FF92" s="4550"/>
      <c r="FG92" s="4550"/>
      <c r="FH92" s="4550"/>
      <c r="FI92" s="4550"/>
      <c r="FJ92" s="4550"/>
      <c r="FK92" s="4550"/>
      <c r="FL92" s="4550"/>
      <c r="FM92" s="4550"/>
      <c r="FN92" s="4550"/>
      <c r="FO92" s="4550"/>
      <c r="FP92" s="4550"/>
      <c r="FQ92" s="4550"/>
      <c r="FR92" s="4550"/>
      <c r="FS92" s="4550"/>
      <c r="FT92" s="4550"/>
      <c r="FU92" s="4550"/>
      <c r="FV92" s="4550"/>
      <c r="FW92" s="4550"/>
      <c r="FX92" s="4550"/>
      <c r="FY92" s="4550"/>
      <c r="FZ92" s="4550"/>
      <c r="GA92" s="4550"/>
      <c r="GB92" s="4550"/>
      <c r="GC92" s="4550"/>
      <c r="GD92" s="4550"/>
      <c r="GE92" s="4550"/>
      <c r="GF92" s="4550"/>
      <c r="GG92" s="4550"/>
      <c r="GH92" s="4550"/>
      <c r="GI92" s="4550"/>
      <c r="GJ92" s="4550"/>
      <c r="GK92" s="4550"/>
      <c r="GL92" s="4550"/>
      <c r="GM92" s="4550"/>
      <c r="GN92" s="4550"/>
      <c r="GO92" s="4550"/>
      <c r="GP92" s="4550"/>
      <c r="GQ92" s="4550"/>
      <c r="GR92" s="4550"/>
      <c r="GS92" s="4550"/>
      <c r="GT92" s="4550"/>
      <c r="GU92" s="4550"/>
      <c r="GV92" s="4550"/>
      <c r="GW92" s="4550"/>
      <c r="GX92" s="4550"/>
      <c r="GY92" s="4550"/>
      <c r="GZ92" s="4550"/>
      <c r="HA92" s="4550"/>
      <c r="HB92" s="4550"/>
      <c r="HC92" s="4550"/>
      <c r="HD92" s="4550"/>
      <c r="HE92" s="4550"/>
      <c r="HF92" s="4550"/>
      <c r="HG92" s="4550"/>
      <c r="HH92" s="4550"/>
      <c r="HI92" s="4550"/>
      <c r="HJ92" s="4550"/>
      <c r="HK92" s="4550"/>
      <c r="HL92" s="4550"/>
      <c r="HM92" s="4550"/>
      <c r="HN92" s="4550"/>
      <c r="HO92" s="4550"/>
      <c r="HP92" s="4550"/>
      <c r="HQ92" s="4550"/>
      <c r="HR92" s="4550"/>
      <c r="HS92" s="4550"/>
      <c r="HT92" s="4550"/>
      <c r="HU92" s="4550"/>
      <c r="HV92" s="4550"/>
      <c r="HW92" s="4550"/>
      <c r="HX92" s="4550"/>
      <c r="HY92" s="4550"/>
      <c r="HZ92" s="4550"/>
      <c r="IA92" s="4550"/>
      <c r="IB92" s="4550"/>
      <c r="IC92" s="4550"/>
      <c r="ID92" s="4550"/>
      <c r="IE92" s="4550"/>
    </row>
    <row r="93" spans="1:239" s="4549" customFormat="1" ht="15">
      <c r="A93" s="4167">
        <v>1.7</v>
      </c>
      <c r="B93" s="4701" t="s">
        <v>4089</v>
      </c>
      <c r="C93" s="4727">
        <v>6</v>
      </c>
      <c r="D93" s="4600" t="s">
        <v>2433</v>
      </c>
      <c r="E93" s="4965"/>
      <c r="F93" s="4965">
        <f t="shared" si="2"/>
        <v>0</v>
      </c>
      <c r="G93" s="4537"/>
      <c r="H93" s="4537"/>
      <c r="I93" s="4537"/>
      <c r="J93" s="4537"/>
      <c r="K93" s="4537"/>
      <c r="L93" s="4537"/>
      <c r="M93" s="4537"/>
      <c r="N93" s="4537"/>
      <c r="O93" s="4537"/>
      <c r="P93" s="4537"/>
      <c r="Q93" s="4537"/>
      <c r="R93" s="4537"/>
      <c r="S93" s="4537"/>
      <c r="T93" s="4537"/>
      <c r="U93" s="4537"/>
      <c r="V93" s="4537"/>
      <c r="W93" s="4537"/>
      <c r="X93" s="4537"/>
      <c r="Y93" s="4537"/>
      <c r="Z93" s="4537"/>
      <c r="AA93" s="4537"/>
      <c r="AB93" s="4537"/>
      <c r="AC93" s="4537"/>
      <c r="AD93" s="4537"/>
      <c r="AE93" s="4537"/>
      <c r="AF93" s="4537"/>
      <c r="AG93" s="4537"/>
      <c r="AH93" s="4537"/>
      <c r="AI93" s="4537"/>
      <c r="AJ93" s="4537"/>
      <c r="AK93" s="4537"/>
      <c r="AL93" s="4537"/>
      <c r="AM93" s="4537"/>
      <c r="AN93" s="4537"/>
      <c r="AO93" s="4537"/>
      <c r="AP93" s="4537"/>
      <c r="AQ93" s="4537"/>
      <c r="AR93" s="4537"/>
      <c r="AS93" s="4550"/>
      <c r="AT93" s="4550"/>
      <c r="AU93" s="4550"/>
      <c r="AV93" s="4550"/>
      <c r="AW93" s="4550"/>
      <c r="AX93" s="4550"/>
      <c r="AY93" s="4550"/>
      <c r="AZ93" s="4550"/>
      <c r="BA93" s="4550"/>
      <c r="BB93" s="4550"/>
      <c r="BC93" s="4550"/>
      <c r="BD93" s="4550"/>
      <c r="BE93" s="4550"/>
      <c r="BF93" s="4550"/>
      <c r="BG93" s="4550"/>
      <c r="BH93" s="4550"/>
      <c r="BI93" s="4550"/>
      <c r="BJ93" s="4550"/>
      <c r="BK93" s="4550"/>
      <c r="BL93" s="4550"/>
      <c r="BM93" s="4550"/>
      <c r="BN93" s="4550"/>
      <c r="BO93" s="4550"/>
      <c r="BP93" s="4550"/>
      <c r="BQ93" s="4550"/>
      <c r="BR93" s="4550"/>
      <c r="BS93" s="4550"/>
      <c r="BT93" s="4550"/>
      <c r="BU93" s="4550"/>
      <c r="BV93" s="4550"/>
      <c r="BW93" s="4550"/>
      <c r="BX93" s="4550"/>
      <c r="BY93" s="4550"/>
      <c r="BZ93" s="4550"/>
      <c r="CA93" s="4550"/>
      <c r="CB93" s="4550"/>
      <c r="CC93" s="4550"/>
      <c r="CD93" s="4550"/>
      <c r="CE93" s="4550"/>
      <c r="CF93" s="4550"/>
      <c r="CG93" s="4550"/>
      <c r="CH93" s="4550"/>
      <c r="CI93" s="4550"/>
      <c r="CJ93" s="4550"/>
      <c r="CK93" s="4550"/>
      <c r="CL93" s="4550"/>
      <c r="CM93" s="4550"/>
      <c r="CN93" s="4550"/>
      <c r="CO93" s="4550"/>
      <c r="CP93" s="4550"/>
      <c r="CQ93" s="4550"/>
      <c r="CR93" s="4550"/>
      <c r="CS93" s="4550"/>
      <c r="CT93" s="4550"/>
      <c r="CU93" s="4550"/>
      <c r="CV93" s="4550"/>
      <c r="CW93" s="4550"/>
      <c r="CX93" s="4550"/>
      <c r="CY93" s="4550"/>
      <c r="CZ93" s="4550"/>
      <c r="DA93" s="4550"/>
      <c r="DB93" s="4550"/>
      <c r="DC93" s="4550"/>
      <c r="DD93" s="4550"/>
      <c r="DE93" s="4550"/>
      <c r="DF93" s="4550"/>
      <c r="DG93" s="4550"/>
      <c r="DH93" s="4550"/>
      <c r="DI93" s="4550"/>
      <c r="DJ93" s="4550"/>
      <c r="DK93" s="4550"/>
      <c r="DL93" s="4550"/>
      <c r="DM93" s="4550"/>
      <c r="DN93" s="4550"/>
      <c r="DO93" s="4550"/>
      <c r="DP93" s="4550"/>
      <c r="DQ93" s="4550"/>
      <c r="DR93" s="4550"/>
      <c r="DS93" s="4550"/>
      <c r="DT93" s="4550"/>
      <c r="DU93" s="4550"/>
      <c r="DV93" s="4550"/>
      <c r="DW93" s="4550"/>
      <c r="DX93" s="4550"/>
      <c r="DY93" s="4550"/>
      <c r="DZ93" s="4550"/>
      <c r="EA93" s="4550"/>
      <c r="EB93" s="4550"/>
      <c r="EC93" s="4550"/>
      <c r="ED93" s="4550"/>
      <c r="EE93" s="4550"/>
      <c r="EF93" s="4550"/>
      <c r="EG93" s="4550"/>
      <c r="EH93" s="4550"/>
      <c r="EI93" s="4550"/>
      <c r="EJ93" s="4550"/>
      <c r="EK93" s="4550"/>
      <c r="EL93" s="4550"/>
      <c r="EM93" s="4550"/>
      <c r="EN93" s="4550"/>
      <c r="EO93" s="4550"/>
      <c r="EP93" s="4550"/>
      <c r="EQ93" s="4550"/>
      <c r="ER93" s="4550"/>
      <c r="ES93" s="4550"/>
      <c r="ET93" s="4550"/>
      <c r="EU93" s="4550"/>
      <c r="EV93" s="4550"/>
      <c r="EW93" s="4550"/>
      <c r="EX93" s="4550"/>
      <c r="EY93" s="4550"/>
      <c r="EZ93" s="4550"/>
      <c r="FA93" s="4550"/>
      <c r="FB93" s="4550"/>
      <c r="FC93" s="4550"/>
      <c r="FD93" s="4550"/>
      <c r="FE93" s="4550"/>
      <c r="FF93" s="4550"/>
      <c r="FG93" s="4550"/>
      <c r="FH93" s="4550"/>
      <c r="FI93" s="4550"/>
      <c r="FJ93" s="4550"/>
      <c r="FK93" s="4550"/>
      <c r="FL93" s="4550"/>
      <c r="FM93" s="4550"/>
      <c r="FN93" s="4550"/>
      <c r="FO93" s="4550"/>
      <c r="FP93" s="4550"/>
      <c r="FQ93" s="4550"/>
      <c r="FR93" s="4550"/>
      <c r="FS93" s="4550"/>
      <c r="FT93" s="4550"/>
      <c r="FU93" s="4550"/>
      <c r="FV93" s="4550"/>
      <c r="FW93" s="4550"/>
      <c r="FX93" s="4550"/>
      <c r="FY93" s="4550"/>
      <c r="FZ93" s="4550"/>
      <c r="GA93" s="4550"/>
      <c r="GB93" s="4550"/>
      <c r="GC93" s="4550"/>
      <c r="GD93" s="4550"/>
      <c r="GE93" s="4550"/>
      <c r="GF93" s="4550"/>
      <c r="GG93" s="4550"/>
      <c r="GH93" s="4550"/>
      <c r="GI93" s="4550"/>
      <c r="GJ93" s="4550"/>
      <c r="GK93" s="4550"/>
      <c r="GL93" s="4550"/>
      <c r="GM93" s="4550"/>
      <c r="GN93" s="4550"/>
      <c r="GO93" s="4550"/>
      <c r="GP93" s="4550"/>
      <c r="GQ93" s="4550"/>
      <c r="GR93" s="4550"/>
      <c r="GS93" s="4550"/>
      <c r="GT93" s="4550"/>
      <c r="GU93" s="4550"/>
      <c r="GV93" s="4550"/>
      <c r="GW93" s="4550"/>
      <c r="GX93" s="4550"/>
      <c r="GY93" s="4550"/>
      <c r="GZ93" s="4550"/>
      <c r="HA93" s="4550"/>
      <c r="HB93" s="4550"/>
      <c r="HC93" s="4550"/>
      <c r="HD93" s="4550"/>
      <c r="HE93" s="4550"/>
      <c r="HF93" s="4550"/>
      <c r="HG93" s="4550"/>
      <c r="HH93" s="4550"/>
      <c r="HI93" s="4550"/>
      <c r="HJ93" s="4550"/>
      <c r="HK93" s="4550"/>
      <c r="HL93" s="4550"/>
      <c r="HM93" s="4550"/>
      <c r="HN93" s="4550"/>
      <c r="HO93" s="4550"/>
      <c r="HP93" s="4550"/>
      <c r="HQ93" s="4550"/>
      <c r="HR93" s="4550"/>
      <c r="HS93" s="4550"/>
      <c r="HT93" s="4550"/>
      <c r="HU93" s="4550"/>
      <c r="HV93" s="4550"/>
      <c r="HW93" s="4550"/>
      <c r="HX93" s="4550"/>
      <c r="HY93" s="4550"/>
      <c r="HZ93" s="4550"/>
      <c r="IA93" s="4550"/>
      <c r="IB93" s="4550"/>
      <c r="IC93" s="4550"/>
      <c r="ID93" s="4550"/>
      <c r="IE93" s="4550"/>
    </row>
    <row r="94" spans="1:239" s="4549" customFormat="1" ht="15">
      <c r="A94" s="4167">
        <v>1.8</v>
      </c>
      <c r="B94" s="4701" t="s">
        <v>4090</v>
      </c>
      <c r="C94" s="4727">
        <v>2</v>
      </c>
      <c r="D94" s="4600" t="s">
        <v>2433</v>
      </c>
      <c r="E94" s="4965"/>
      <c r="F94" s="4965">
        <f t="shared" si="2"/>
        <v>0</v>
      </c>
      <c r="G94" s="4537"/>
      <c r="H94" s="4537"/>
      <c r="I94" s="4537"/>
      <c r="J94" s="4537"/>
      <c r="K94" s="4537"/>
      <c r="L94" s="4537"/>
      <c r="M94" s="4537"/>
      <c r="N94" s="4537"/>
      <c r="O94" s="4537"/>
      <c r="P94" s="4537"/>
      <c r="Q94" s="4537"/>
      <c r="R94" s="4537"/>
      <c r="S94" s="4537"/>
      <c r="T94" s="4537"/>
      <c r="U94" s="4537"/>
      <c r="V94" s="4537"/>
      <c r="W94" s="4537"/>
      <c r="X94" s="4537"/>
      <c r="Y94" s="4537"/>
      <c r="Z94" s="4537"/>
      <c r="AA94" s="4537"/>
      <c r="AB94" s="4537"/>
      <c r="AC94" s="4537"/>
      <c r="AD94" s="4537"/>
      <c r="AE94" s="4537"/>
      <c r="AF94" s="4537"/>
      <c r="AG94" s="4537"/>
      <c r="AH94" s="4537"/>
      <c r="AI94" s="4537"/>
      <c r="AJ94" s="4537"/>
      <c r="AK94" s="4537"/>
      <c r="AL94" s="4537"/>
      <c r="AM94" s="4537"/>
      <c r="AN94" s="4537"/>
      <c r="AO94" s="4537"/>
      <c r="AP94" s="4537"/>
      <c r="AQ94" s="4537"/>
      <c r="AR94" s="4537"/>
      <c r="AS94" s="4550"/>
      <c r="AT94" s="4550"/>
      <c r="AU94" s="4550"/>
      <c r="AV94" s="4550"/>
      <c r="AW94" s="4550"/>
      <c r="AX94" s="4550"/>
      <c r="AY94" s="4550"/>
      <c r="AZ94" s="4550"/>
      <c r="BA94" s="4550"/>
      <c r="BB94" s="4550"/>
      <c r="BC94" s="4550"/>
      <c r="BD94" s="4550"/>
      <c r="BE94" s="4550"/>
      <c r="BF94" s="4550"/>
      <c r="BG94" s="4550"/>
      <c r="BH94" s="4550"/>
      <c r="BI94" s="4550"/>
      <c r="BJ94" s="4550"/>
      <c r="BK94" s="4550"/>
      <c r="BL94" s="4550"/>
      <c r="BM94" s="4550"/>
      <c r="BN94" s="4550"/>
      <c r="BO94" s="4550"/>
      <c r="BP94" s="4550"/>
      <c r="BQ94" s="4550"/>
      <c r="BR94" s="4550"/>
      <c r="BS94" s="4550"/>
      <c r="BT94" s="4550"/>
      <c r="BU94" s="4550"/>
      <c r="BV94" s="4550"/>
      <c r="BW94" s="4550"/>
      <c r="BX94" s="4550"/>
      <c r="BY94" s="4550"/>
      <c r="BZ94" s="4550"/>
      <c r="CA94" s="4550"/>
      <c r="CB94" s="4550"/>
      <c r="CC94" s="4550"/>
      <c r="CD94" s="4550"/>
      <c r="CE94" s="4550"/>
      <c r="CF94" s="4550"/>
      <c r="CG94" s="4550"/>
      <c r="CH94" s="4550"/>
      <c r="CI94" s="4550"/>
      <c r="CJ94" s="4550"/>
      <c r="CK94" s="4550"/>
      <c r="CL94" s="4550"/>
      <c r="CM94" s="4550"/>
      <c r="CN94" s="4550"/>
      <c r="CO94" s="4550"/>
      <c r="CP94" s="4550"/>
      <c r="CQ94" s="4550"/>
      <c r="CR94" s="4550"/>
      <c r="CS94" s="4550"/>
      <c r="CT94" s="4550"/>
      <c r="CU94" s="4550"/>
      <c r="CV94" s="4550"/>
      <c r="CW94" s="4550"/>
      <c r="CX94" s="4550"/>
      <c r="CY94" s="4550"/>
      <c r="CZ94" s="4550"/>
      <c r="DA94" s="4550"/>
      <c r="DB94" s="4550"/>
      <c r="DC94" s="4550"/>
      <c r="DD94" s="4550"/>
      <c r="DE94" s="4550"/>
      <c r="DF94" s="4550"/>
      <c r="DG94" s="4550"/>
      <c r="DH94" s="4550"/>
      <c r="DI94" s="4550"/>
      <c r="DJ94" s="4550"/>
      <c r="DK94" s="4550"/>
      <c r="DL94" s="4550"/>
      <c r="DM94" s="4550"/>
      <c r="DN94" s="4550"/>
      <c r="DO94" s="4550"/>
      <c r="DP94" s="4550"/>
      <c r="DQ94" s="4550"/>
      <c r="DR94" s="4550"/>
      <c r="DS94" s="4550"/>
      <c r="DT94" s="4550"/>
      <c r="DU94" s="4550"/>
      <c r="DV94" s="4550"/>
      <c r="DW94" s="4550"/>
      <c r="DX94" s="4550"/>
      <c r="DY94" s="4550"/>
      <c r="DZ94" s="4550"/>
      <c r="EA94" s="4550"/>
      <c r="EB94" s="4550"/>
      <c r="EC94" s="4550"/>
      <c r="ED94" s="4550"/>
      <c r="EE94" s="4550"/>
      <c r="EF94" s="4550"/>
      <c r="EG94" s="4550"/>
      <c r="EH94" s="4550"/>
      <c r="EI94" s="4550"/>
      <c r="EJ94" s="4550"/>
      <c r="EK94" s="4550"/>
      <c r="EL94" s="4550"/>
      <c r="EM94" s="4550"/>
      <c r="EN94" s="4550"/>
      <c r="EO94" s="4550"/>
      <c r="EP94" s="4550"/>
      <c r="EQ94" s="4550"/>
      <c r="ER94" s="4550"/>
      <c r="ES94" s="4550"/>
      <c r="ET94" s="4550"/>
      <c r="EU94" s="4550"/>
      <c r="EV94" s="4550"/>
      <c r="EW94" s="4550"/>
      <c r="EX94" s="4550"/>
      <c r="EY94" s="4550"/>
      <c r="EZ94" s="4550"/>
      <c r="FA94" s="4550"/>
      <c r="FB94" s="4550"/>
      <c r="FC94" s="4550"/>
      <c r="FD94" s="4550"/>
      <c r="FE94" s="4550"/>
      <c r="FF94" s="4550"/>
      <c r="FG94" s="4550"/>
      <c r="FH94" s="4550"/>
      <c r="FI94" s="4550"/>
      <c r="FJ94" s="4550"/>
      <c r="FK94" s="4550"/>
      <c r="FL94" s="4550"/>
      <c r="FM94" s="4550"/>
      <c r="FN94" s="4550"/>
      <c r="FO94" s="4550"/>
      <c r="FP94" s="4550"/>
      <c r="FQ94" s="4550"/>
      <c r="FR94" s="4550"/>
      <c r="FS94" s="4550"/>
      <c r="FT94" s="4550"/>
      <c r="FU94" s="4550"/>
      <c r="FV94" s="4550"/>
      <c r="FW94" s="4550"/>
      <c r="FX94" s="4550"/>
      <c r="FY94" s="4550"/>
      <c r="FZ94" s="4550"/>
      <c r="GA94" s="4550"/>
      <c r="GB94" s="4550"/>
      <c r="GC94" s="4550"/>
      <c r="GD94" s="4550"/>
      <c r="GE94" s="4550"/>
      <c r="GF94" s="4550"/>
      <c r="GG94" s="4550"/>
      <c r="GH94" s="4550"/>
      <c r="GI94" s="4550"/>
      <c r="GJ94" s="4550"/>
      <c r="GK94" s="4550"/>
      <c r="GL94" s="4550"/>
      <c r="GM94" s="4550"/>
      <c r="GN94" s="4550"/>
      <c r="GO94" s="4550"/>
      <c r="GP94" s="4550"/>
      <c r="GQ94" s="4550"/>
      <c r="GR94" s="4550"/>
      <c r="GS94" s="4550"/>
      <c r="GT94" s="4550"/>
      <c r="GU94" s="4550"/>
      <c r="GV94" s="4550"/>
      <c r="GW94" s="4550"/>
      <c r="GX94" s="4550"/>
      <c r="GY94" s="4550"/>
      <c r="GZ94" s="4550"/>
      <c r="HA94" s="4550"/>
      <c r="HB94" s="4550"/>
      <c r="HC94" s="4550"/>
      <c r="HD94" s="4550"/>
      <c r="HE94" s="4550"/>
      <c r="HF94" s="4550"/>
      <c r="HG94" s="4550"/>
      <c r="HH94" s="4550"/>
      <c r="HI94" s="4550"/>
      <c r="HJ94" s="4550"/>
      <c r="HK94" s="4550"/>
      <c r="HL94" s="4550"/>
      <c r="HM94" s="4550"/>
      <c r="HN94" s="4550"/>
      <c r="HO94" s="4550"/>
      <c r="HP94" s="4550"/>
      <c r="HQ94" s="4550"/>
      <c r="HR94" s="4550"/>
      <c r="HS94" s="4550"/>
      <c r="HT94" s="4550"/>
      <c r="HU94" s="4550"/>
      <c r="HV94" s="4550"/>
      <c r="HW94" s="4550"/>
      <c r="HX94" s="4550"/>
      <c r="HY94" s="4550"/>
      <c r="HZ94" s="4550"/>
      <c r="IA94" s="4550"/>
      <c r="IB94" s="4550"/>
      <c r="IC94" s="4550"/>
      <c r="ID94" s="4550"/>
      <c r="IE94" s="4550"/>
    </row>
    <row r="95" spans="1:239" s="4549" customFormat="1" ht="15">
      <c r="A95" s="4167">
        <v>1.9</v>
      </c>
      <c r="B95" s="4701" t="s">
        <v>4091</v>
      </c>
      <c r="C95" s="4727">
        <v>1</v>
      </c>
      <c r="D95" s="4600" t="s">
        <v>2433</v>
      </c>
      <c r="E95" s="4965"/>
      <c r="F95" s="4965">
        <f t="shared" si="2"/>
        <v>0</v>
      </c>
      <c r="G95" s="4537"/>
      <c r="H95" s="4537"/>
      <c r="I95" s="4537"/>
      <c r="J95" s="4537"/>
      <c r="K95" s="4537"/>
      <c r="L95" s="4537"/>
      <c r="M95" s="4537"/>
      <c r="N95" s="4537"/>
      <c r="O95" s="4537"/>
      <c r="P95" s="4537"/>
      <c r="Q95" s="4537"/>
      <c r="R95" s="4537"/>
      <c r="S95" s="4537"/>
      <c r="T95" s="4537"/>
      <c r="U95" s="4537"/>
      <c r="V95" s="4537"/>
      <c r="W95" s="4537"/>
      <c r="X95" s="4537"/>
      <c r="Y95" s="4537"/>
      <c r="Z95" s="4537"/>
      <c r="AA95" s="4537"/>
      <c r="AB95" s="4537"/>
      <c r="AC95" s="4537"/>
      <c r="AD95" s="4537"/>
      <c r="AE95" s="4537"/>
      <c r="AF95" s="4537"/>
      <c r="AG95" s="4537"/>
      <c r="AH95" s="4537"/>
      <c r="AI95" s="4537"/>
      <c r="AJ95" s="4537"/>
      <c r="AK95" s="4537"/>
      <c r="AL95" s="4537"/>
      <c r="AM95" s="4537"/>
      <c r="AN95" s="4537"/>
      <c r="AO95" s="4537"/>
      <c r="AP95" s="4537"/>
      <c r="AQ95" s="4537"/>
      <c r="AR95" s="4537"/>
      <c r="AS95" s="4550"/>
      <c r="AT95" s="4550"/>
      <c r="AU95" s="4550"/>
      <c r="AV95" s="4550"/>
      <c r="AW95" s="4550"/>
      <c r="AX95" s="4550"/>
      <c r="AY95" s="4550"/>
      <c r="AZ95" s="4550"/>
      <c r="BA95" s="4550"/>
      <c r="BB95" s="4550"/>
      <c r="BC95" s="4550"/>
      <c r="BD95" s="4550"/>
      <c r="BE95" s="4550"/>
      <c r="BF95" s="4550"/>
      <c r="BG95" s="4550"/>
      <c r="BH95" s="4550"/>
      <c r="BI95" s="4550"/>
      <c r="BJ95" s="4550"/>
      <c r="BK95" s="4550"/>
      <c r="BL95" s="4550"/>
      <c r="BM95" s="4550"/>
      <c r="BN95" s="4550"/>
      <c r="BO95" s="4550"/>
      <c r="BP95" s="4550"/>
      <c r="BQ95" s="4550"/>
      <c r="BR95" s="4550"/>
      <c r="BS95" s="4550"/>
      <c r="BT95" s="4550"/>
      <c r="BU95" s="4550"/>
      <c r="BV95" s="4550"/>
      <c r="BW95" s="4550"/>
      <c r="BX95" s="4550"/>
      <c r="BY95" s="4550"/>
      <c r="BZ95" s="4550"/>
      <c r="CA95" s="4550"/>
      <c r="CB95" s="4550"/>
      <c r="CC95" s="4550"/>
      <c r="CD95" s="4550"/>
      <c r="CE95" s="4550"/>
      <c r="CF95" s="4550"/>
      <c r="CG95" s="4550"/>
      <c r="CH95" s="4550"/>
      <c r="CI95" s="4550"/>
      <c r="CJ95" s="4550"/>
      <c r="CK95" s="4550"/>
      <c r="CL95" s="4550"/>
      <c r="CM95" s="4550"/>
      <c r="CN95" s="4550"/>
      <c r="CO95" s="4550"/>
      <c r="CP95" s="4550"/>
      <c r="CQ95" s="4550"/>
      <c r="CR95" s="4550"/>
      <c r="CS95" s="4550"/>
      <c r="CT95" s="4550"/>
      <c r="CU95" s="4550"/>
      <c r="CV95" s="4550"/>
      <c r="CW95" s="4550"/>
      <c r="CX95" s="4550"/>
      <c r="CY95" s="4550"/>
      <c r="CZ95" s="4550"/>
      <c r="DA95" s="4550"/>
      <c r="DB95" s="4550"/>
      <c r="DC95" s="4550"/>
      <c r="DD95" s="4550"/>
      <c r="DE95" s="4550"/>
      <c r="DF95" s="4550"/>
      <c r="DG95" s="4550"/>
      <c r="DH95" s="4550"/>
      <c r="DI95" s="4550"/>
      <c r="DJ95" s="4550"/>
      <c r="DK95" s="4550"/>
      <c r="DL95" s="4550"/>
      <c r="DM95" s="4550"/>
      <c r="DN95" s="4550"/>
      <c r="DO95" s="4550"/>
      <c r="DP95" s="4550"/>
      <c r="DQ95" s="4550"/>
      <c r="DR95" s="4550"/>
      <c r="DS95" s="4550"/>
      <c r="DT95" s="4550"/>
      <c r="DU95" s="4550"/>
      <c r="DV95" s="4550"/>
      <c r="DW95" s="4550"/>
      <c r="DX95" s="4550"/>
      <c r="DY95" s="4550"/>
      <c r="DZ95" s="4550"/>
      <c r="EA95" s="4550"/>
      <c r="EB95" s="4550"/>
      <c r="EC95" s="4550"/>
      <c r="ED95" s="4550"/>
      <c r="EE95" s="4550"/>
      <c r="EF95" s="4550"/>
      <c r="EG95" s="4550"/>
      <c r="EH95" s="4550"/>
      <c r="EI95" s="4550"/>
      <c r="EJ95" s="4550"/>
      <c r="EK95" s="4550"/>
      <c r="EL95" s="4550"/>
      <c r="EM95" s="4550"/>
      <c r="EN95" s="4550"/>
      <c r="EO95" s="4550"/>
      <c r="EP95" s="4550"/>
      <c r="EQ95" s="4550"/>
      <c r="ER95" s="4550"/>
      <c r="ES95" s="4550"/>
      <c r="ET95" s="4550"/>
      <c r="EU95" s="4550"/>
      <c r="EV95" s="4550"/>
      <c r="EW95" s="4550"/>
      <c r="EX95" s="4550"/>
      <c r="EY95" s="4550"/>
      <c r="EZ95" s="4550"/>
      <c r="FA95" s="4550"/>
      <c r="FB95" s="4550"/>
      <c r="FC95" s="4550"/>
      <c r="FD95" s="4550"/>
      <c r="FE95" s="4550"/>
      <c r="FF95" s="4550"/>
      <c r="FG95" s="4550"/>
      <c r="FH95" s="4550"/>
      <c r="FI95" s="4550"/>
      <c r="FJ95" s="4550"/>
      <c r="FK95" s="4550"/>
      <c r="FL95" s="4550"/>
      <c r="FM95" s="4550"/>
      <c r="FN95" s="4550"/>
      <c r="FO95" s="4550"/>
      <c r="FP95" s="4550"/>
      <c r="FQ95" s="4550"/>
      <c r="FR95" s="4550"/>
      <c r="FS95" s="4550"/>
      <c r="FT95" s="4550"/>
      <c r="FU95" s="4550"/>
      <c r="FV95" s="4550"/>
      <c r="FW95" s="4550"/>
      <c r="FX95" s="4550"/>
      <c r="FY95" s="4550"/>
      <c r="FZ95" s="4550"/>
      <c r="GA95" s="4550"/>
      <c r="GB95" s="4550"/>
      <c r="GC95" s="4550"/>
      <c r="GD95" s="4550"/>
      <c r="GE95" s="4550"/>
      <c r="GF95" s="4550"/>
      <c r="GG95" s="4550"/>
      <c r="GH95" s="4550"/>
      <c r="GI95" s="4550"/>
      <c r="GJ95" s="4550"/>
      <c r="GK95" s="4550"/>
      <c r="GL95" s="4550"/>
      <c r="GM95" s="4550"/>
      <c r="GN95" s="4550"/>
      <c r="GO95" s="4550"/>
      <c r="GP95" s="4550"/>
      <c r="GQ95" s="4550"/>
      <c r="GR95" s="4550"/>
      <c r="GS95" s="4550"/>
      <c r="GT95" s="4550"/>
      <c r="GU95" s="4550"/>
      <c r="GV95" s="4550"/>
      <c r="GW95" s="4550"/>
      <c r="GX95" s="4550"/>
      <c r="GY95" s="4550"/>
      <c r="GZ95" s="4550"/>
      <c r="HA95" s="4550"/>
      <c r="HB95" s="4550"/>
      <c r="HC95" s="4550"/>
      <c r="HD95" s="4550"/>
      <c r="HE95" s="4550"/>
      <c r="HF95" s="4550"/>
      <c r="HG95" s="4550"/>
      <c r="HH95" s="4550"/>
      <c r="HI95" s="4550"/>
      <c r="HJ95" s="4550"/>
      <c r="HK95" s="4550"/>
      <c r="HL95" s="4550"/>
      <c r="HM95" s="4550"/>
      <c r="HN95" s="4550"/>
      <c r="HO95" s="4550"/>
      <c r="HP95" s="4550"/>
      <c r="HQ95" s="4550"/>
      <c r="HR95" s="4550"/>
      <c r="HS95" s="4550"/>
      <c r="HT95" s="4550"/>
      <c r="HU95" s="4550"/>
      <c r="HV95" s="4550"/>
      <c r="HW95" s="4550"/>
      <c r="HX95" s="4550"/>
      <c r="HY95" s="4550"/>
      <c r="HZ95" s="4550"/>
      <c r="IA95" s="4550"/>
      <c r="IB95" s="4550"/>
      <c r="IC95" s="4550"/>
      <c r="ID95" s="4550"/>
      <c r="IE95" s="4550"/>
    </row>
    <row r="96" spans="1:239" s="4549" customFormat="1" ht="15">
      <c r="A96" s="4677">
        <v>1.1000000000000001</v>
      </c>
      <c r="B96" s="4701" t="s">
        <v>3946</v>
      </c>
      <c r="C96" s="4727">
        <v>23</v>
      </c>
      <c r="D96" s="4600" t="s">
        <v>2433</v>
      </c>
      <c r="E96" s="4965"/>
      <c r="F96" s="4965">
        <f t="shared" si="2"/>
        <v>0</v>
      </c>
      <c r="G96" s="4537"/>
      <c r="H96" s="4537"/>
      <c r="I96" s="4537"/>
      <c r="J96" s="4537"/>
      <c r="K96" s="4537"/>
      <c r="L96" s="4537"/>
      <c r="M96" s="4537"/>
      <c r="N96" s="4537"/>
      <c r="O96" s="4537"/>
      <c r="P96" s="4537"/>
      <c r="Q96" s="4537"/>
      <c r="R96" s="4537"/>
      <c r="S96" s="4537"/>
      <c r="T96" s="4537"/>
      <c r="U96" s="4537"/>
      <c r="V96" s="4537"/>
      <c r="W96" s="4537"/>
      <c r="X96" s="4537"/>
      <c r="Y96" s="4537"/>
      <c r="Z96" s="4537"/>
      <c r="AA96" s="4537"/>
      <c r="AB96" s="4537"/>
      <c r="AC96" s="4537"/>
      <c r="AD96" s="4537"/>
      <c r="AE96" s="4537"/>
      <c r="AF96" s="4537"/>
      <c r="AG96" s="4537"/>
      <c r="AH96" s="4537"/>
      <c r="AI96" s="4537"/>
      <c r="AJ96" s="4537"/>
      <c r="AK96" s="4537"/>
      <c r="AL96" s="4537"/>
      <c r="AM96" s="4537"/>
      <c r="AN96" s="4537"/>
      <c r="AO96" s="4537"/>
      <c r="AP96" s="4537"/>
      <c r="AQ96" s="4537"/>
      <c r="AR96" s="4537"/>
      <c r="AS96" s="4550"/>
      <c r="AT96" s="4550"/>
      <c r="AU96" s="4550"/>
      <c r="AV96" s="4550"/>
      <c r="AW96" s="4550"/>
      <c r="AX96" s="4550"/>
      <c r="AY96" s="4550"/>
      <c r="AZ96" s="4550"/>
      <c r="BA96" s="4550"/>
      <c r="BB96" s="4550"/>
      <c r="BC96" s="4550"/>
      <c r="BD96" s="4550"/>
      <c r="BE96" s="4550"/>
      <c r="BF96" s="4550"/>
      <c r="BG96" s="4550"/>
      <c r="BH96" s="4550"/>
      <c r="BI96" s="4550"/>
      <c r="BJ96" s="4550"/>
      <c r="BK96" s="4550"/>
      <c r="BL96" s="4550"/>
      <c r="BM96" s="4550"/>
      <c r="BN96" s="4550"/>
      <c r="BO96" s="4550"/>
      <c r="BP96" s="4550"/>
      <c r="BQ96" s="4550"/>
      <c r="BR96" s="4550"/>
      <c r="BS96" s="4550"/>
      <c r="BT96" s="4550"/>
      <c r="BU96" s="4550"/>
      <c r="BV96" s="4550"/>
      <c r="BW96" s="4550"/>
      <c r="BX96" s="4550"/>
      <c r="BY96" s="4550"/>
      <c r="BZ96" s="4550"/>
      <c r="CA96" s="4550"/>
      <c r="CB96" s="4550"/>
      <c r="CC96" s="4550"/>
      <c r="CD96" s="4550"/>
      <c r="CE96" s="4550"/>
      <c r="CF96" s="4550"/>
      <c r="CG96" s="4550"/>
      <c r="CH96" s="4550"/>
      <c r="CI96" s="4550"/>
      <c r="CJ96" s="4550"/>
      <c r="CK96" s="4550"/>
      <c r="CL96" s="4550"/>
      <c r="CM96" s="4550"/>
      <c r="CN96" s="4550"/>
      <c r="CO96" s="4550"/>
      <c r="CP96" s="4550"/>
      <c r="CQ96" s="4550"/>
      <c r="CR96" s="4550"/>
      <c r="CS96" s="4550"/>
      <c r="CT96" s="4550"/>
      <c r="CU96" s="4550"/>
      <c r="CV96" s="4550"/>
      <c r="CW96" s="4550"/>
      <c r="CX96" s="4550"/>
      <c r="CY96" s="4550"/>
      <c r="CZ96" s="4550"/>
      <c r="DA96" s="4550"/>
      <c r="DB96" s="4550"/>
      <c r="DC96" s="4550"/>
      <c r="DD96" s="4550"/>
      <c r="DE96" s="4550"/>
      <c r="DF96" s="4550"/>
      <c r="DG96" s="4550"/>
      <c r="DH96" s="4550"/>
      <c r="DI96" s="4550"/>
      <c r="DJ96" s="4550"/>
      <c r="DK96" s="4550"/>
      <c r="DL96" s="4550"/>
      <c r="DM96" s="4550"/>
      <c r="DN96" s="4550"/>
      <c r="DO96" s="4550"/>
      <c r="DP96" s="4550"/>
      <c r="DQ96" s="4550"/>
      <c r="DR96" s="4550"/>
      <c r="DS96" s="4550"/>
      <c r="DT96" s="4550"/>
      <c r="DU96" s="4550"/>
      <c r="DV96" s="4550"/>
      <c r="DW96" s="4550"/>
      <c r="DX96" s="4550"/>
      <c r="DY96" s="4550"/>
      <c r="DZ96" s="4550"/>
      <c r="EA96" s="4550"/>
      <c r="EB96" s="4550"/>
      <c r="EC96" s="4550"/>
      <c r="ED96" s="4550"/>
      <c r="EE96" s="4550"/>
      <c r="EF96" s="4550"/>
      <c r="EG96" s="4550"/>
      <c r="EH96" s="4550"/>
      <c r="EI96" s="4550"/>
      <c r="EJ96" s="4550"/>
      <c r="EK96" s="4550"/>
      <c r="EL96" s="4550"/>
      <c r="EM96" s="4550"/>
      <c r="EN96" s="4550"/>
      <c r="EO96" s="4550"/>
      <c r="EP96" s="4550"/>
      <c r="EQ96" s="4550"/>
      <c r="ER96" s="4550"/>
      <c r="ES96" s="4550"/>
      <c r="ET96" s="4550"/>
      <c r="EU96" s="4550"/>
      <c r="EV96" s="4550"/>
      <c r="EW96" s="4550"/>
      <c r="EX96" s="4550"/>
      <c r="EY96" s="4550"/>
      <c r="EZ96" s="4550"/>
      <c r="FA96" s="4550"/>
      <c r="FB96" s="4550"/>
      <c r="FC96" s="4550"/>
      <c r="FD96" s="4550"/>
      <c r="FE96" s="4550"/>
      <c r="FF96" s="4550"/>
      <c r="FG96" s="4550"/>
      <c r="FH96" s="4550"/>
      <c r="FI96" s="4550"/>
      <c r="FJ96" s="4550"/>
      <c r="FK96" s="4550"/>
      <c r="FL96" s="4550"/>
      <c r="FM96" s="4550"/>
      <c r="FN96" s="4550"/>
      <c r="FO96" s="4550"/>
      <c r="FP96" s="4550"/>
      <c r="FQ96" s="4550"/>
      <c r="FR96" s="4550"/>
      <c r="FS96" s="4550"/>
      <c r="FT96" s="4550"/>
      <c r="FU96" s="4550"/>
      <c r="FV96" s="4550"/>
      <c r="FW96" s="4550"/>
      <c r="FX96" s="4550"/>
      <c r="FY96" s="4550"/>
      <c r="FZ96" s="4550"/>
      <c r="GA96" s="4550"/>
      <c r="GB96" s="4550"/>
      <c r="GC96" s="4550"/>
      <c r="GD96" s="4550"/>
      <c r="GE96" s="4550"/>
      <c r="GF96" s="4550"/>
      <c r="GG96" s="4550"/>
      <c r="GH96" s="4550"/>
      <c r="GI96" s="4550"/>
      <c r="GJ96" s="4550"/>
      <c r="GK96" s="4550"/>
      <c r="GL96" s="4550"/>
      <c r="GM96" s="4550"/>
      <c r="GN96" s="4550"/>
      <c r="GO96" s="4550"/>
      <c r="GP96" s="4550"/>
      <c r="GQ96" s="4550"/>
      <c r="GR96" s="4550"/>
      <c r="GS96" s="4550"/>
      <c r="GT96" s="4550"/>
      <c r="GU96" s="4550"/>
      <c r="GV96" s="4550"/>
      <c r="GW96" s="4550"/>
      <c r="GX96" s="4550"/>
      <c r="GY96" s="4550"/>
      <c r="GZ96" s="4550"/>
      <c r="HA96" s="4550"/>
      <c r="HB96" s="4550"/>
      <c r="HC96" s="4550"/>
      <c r="HD96" s="4550"/>
      <c r="HE96" s="4550"/>
      <c r="HF96" s="4550"/>
      <c r="HG96" s="4550"/>
      <c r="HH96" s="4550"/>
      <c r="HI96" s="4550"/>
      <c r="HJ96" s="4550"/>
      <c r="HK96" s="4550"/>
      <c r="HL96" s="4550"/>
      <c r="HM96" s="4550"/>
      <c r="HN96" s="4550"/>
      <c r="HO96" s="4550"/>
      <c r="HP96" s="4550"/>
      <c r="HQ96" s="4550"/>
      <c r="HR96" s="4550"/>
      <c r="HS96" s="4550"/>
      <c r="HT96" s="4550"/>
      <c r="HU96" s="4550"/>
      <c r="HV96" s="4550"/>
      <c r="HW96" s="4550"/>
      <c r="HX96" s="4550"/>
      <c r="HY96" s="4550"/>
      <c r="HZ96" s="4550"/>
      <c r="IA96" s="4550"/>
      <c r="IB96" s="4550"/>
      <c r="IC96" s="4550"/>
      <c r="ID96" s="4550"/>
      <c r="IE96" s="4550"/>
    </row>
    <row r="97" spans="1:239" s="4549" customFormat="1" ht="15">
      <c r="A97" s="4167">
        <v>1.1100000000000001</v>
      </c>
      <c r="B97" s="4701" t="s">
        <v>3680</v>
      </c>
      <c r="C97" s="4727">
        <v>22</v>
      </c>
      <c r="D97" s="4600" t="s">
        <v>2433</v>
      </c>
      <c r="E97" s="4965"/>
      <c r="F97" s="4965">
        <f t="shared" si="2"/>
        <v>0</v>
      </c>
      <c r="G97" s="4537"/>
      <c r="H97" s="4537"/>
      <c r="I97" s="4537"/>
      <c r="J97" s="4537"/>
      <c r="K97" s="4537"/>
      <c r="L97" s="4537"/>
      <c r="M97" s="4537"/>
      <c r="N97" s="4537"/>
      <c r="O97" s="4537"/>
      <c r="P97" s="4537"/>
      <c r="Q97" s="4537"/>
      <c r="R97" s="4537"/>
      <c r="S97" s="4537"/>
      <c r="T97" s="4537"/>
      <c r="U97" s="4537"/>
      <c r="V97" s="4537"/>
      <c r="W97" s="4537"/>
      <c r="X97" s="4537"/>
      <c r="Y97" s="4537"/>
      <c r="Z97" s="4537"/>
      <c r="AA97" s="4537"/>
      <c r="AB97" s="4537"/>
      <c r="AC97" s="4537"/>
      <c r="AD97" s="4537"/>
      <c r="AE97" s="4537"/>
      <c r="AF97" s="4537"/>
      <c r="AG97" s="4537"/>
      <c r="AH97" s="4537"/>
      <c r="AI97" s="4537"/>
      <c r="AJ97" s="4537"/>
      <c r="AK97" s="4537"/>
      <c r="AL97" s="4537"/>
      <c r="AM97" s="4537"/>
      <c r="AN97" s="4537"/>
      <c r="AO97" s="4537"/>
      <c r="AP97" s="4537"/>
      <c r="AQ97" s="4537"/>
      <c r="AR97" s="4537"/>
      <c r="AS97" s="4550"/>
      <c r="AT97" s="4550"/>
      <c r="AU97" s="4550"/>
      <c r="AV97" s="4550"/>
      <c r="AW97" s="4550"/>
      <c r="AX97" s="4550"/>
      <c r="AY97" s="4550"/>
      <c r="AZ97" s="4550"/>
      <c r="BA97" s="4550"/>
      <c r="BB97" s="4550"/>
      <c r="BC97" s="4550"/>
      <c r="BD97" s="4550"/>
      <c r="BE97" s="4550"/>
      <c r="BF97" s="4550"/>
      <c r="BG97" s="4550"/>
      <c r="BH97" s="4550"/>
      <c r="BI97" s="4550"/>
      <c r="BJ97" s="4550"/>
      <c r="BK97" s="4550"/>
      <c r="BL97" s="4550"/>
      <c r="BM97" s="4550"/>
      <c r="BN97" s="4550"/>
      <c r="BO97" s="4550"/>
      <c r="BP97" s="4550"/>
      <c r="BQ97" s="4550"/>
      <c r="BR97" s="4550"/>
      <c r="BS97" s="4550"/>
      <c r="BT97" s="4550"/>
      <c r="BU97" s="4550"/>
      <c r="BV97" s="4550"/>
      <c r="BW97" s="4550"/>
      <c r="BX97" s="4550"/>
      <c r="BY97" s="4550"/>
      <c r="BZ97" s="4550"/>
      <c r="CA97" s="4550"/>
      <c r="CB97" s="4550"/>
      <c r="CC97" s="4550"/>
      <c r="CD97" s="4550"/>
      <c r="CE97" s="4550"/>
      <c r="CF97" s="4550"/>
      <c r="CG97" s="4550"/>
      <c r="CH97" s="4550"/>
      <c r="CI97" s="4550"/>
      <c r="CJ97" s="4550"/>
      <c r="CK97" s="4550"/>
      <c r="CL97" s="4550"/>
      <c r="CM97" s="4550"/>
      <c r="CN97" s="4550"/>
      <c r="CO97" s="4550"/>
      <c r="CP97" s="4550"/>
      <c r="CQ97" s="4550"/>
      <c r="CR97" s="4550"/>
      <c r="CS97" s="4550"/>
      <c r="CT97" s="4550"/>
      <c r="CU97" s="4550"/>
      <c r="CV97" s="4550"/>
      <c r="CW97" s="4550"/>
      <c r="CX97" s="4550"/>
      <c r="CY97" s="4550"/>
      <c r="CZ97" s="4550"/>
      <c r="DA97" s="4550"/>
      <c r="DB97" s="4550"/>
      <c r="DC97" s="4550"/>
      <c r="DD97" s="4550"/>
      <c r="DE97" s="4550"/>
      <c r="DF97" s="4550"/>
      <c r="DG97" s="4550"/>
      <c r="DH97" s="4550"/>
      <c r="DI97" s="4550"/>
      <c r="DJ97" s="4550"/>
      <c r="DK97" s="4550"/>
      <c r="DL97" s="4550"/>
      <c r="DM97" s="4550"/>
      <c r="DN97" s="4550"/>
      <c r="DO97" s="4550"/>
      <c r="DP97" s="4550"/>
      <c r="DQ97" s="4550"/>
      <c r="DR97" s="4550"/>
      <c r="DS97" s="4550"/>
      <c r="DT97" s="4550"/>
      <c r="DU97" s="4550"/>
      <c r="DV97" s="4550"/>
      <c r="DW97" s="4550"/>
      <c r="DX97" s="4550"/>
      <c r="DY97" s="4550"/>
      <c r="DZ97" s="4550"/>
      <c r="EA97" s="4550"/>
      <c r="EB97" s="4550"/>
      <c r="EC97" s="4550"/>
      <c r="ED97" s="4550"/>
      <c r="EE97" s="4550"/>
      <c r="EF97" s="4550"/>
      <c r="EG97" s="4550"/>
      <c r="EH97" s="4550"/>
      <c r="EI97" s="4550"/>
      <c r="EJ97" s="4550"/>
      <c r="EK97" s="4550"/>
      <c r="EL97" s="4550"/>
      <c r="EM97" s="4550"/>
      <c r="EN97" s="4550"/>
      <c r="EO97" s="4550"/>
      <c r="EP97" s="4550"/>
      <c r="EQ97" s="4550"/>
      <c r="ER97" s="4550"/>
      <c r="ES97" s="4550"/>
      <c r="ET97" s="4550"/>
      <c r="EU97" s="4550"/>
      <c r="EV97" s="4550"/>
      <c r="EW97" s="4550"/>
      <c r="EX97" s="4550"/>
      <c r="EY97" s="4550"/>
      <c r="EZ97" s="4550"/>
      <c r="FA97" s="4550"/>
      <c r="FB97" s="4550"/>
      <c r="FC97" s="4550"/>
      <c r="FD97" s="4550"/>
      <c r="FE97" s="4550"/>
      <c r="FF97" s="4550"/>
      <c r="FG97" s="4550"/>
      <c r="FH97" s="4550"/>
      <c r="FI97" s="4550"/>
      <c r="FJ97" s="4550"/>
      <c r="FK97" s="4550"/>
      <c r="FL97" s="4550"/>
      <c r="FM97" s="4550"/>
      <c r="FN97" s="4550"/>
      <c r="FO97" s="4550"/>
      <c r="FP97" s="4550"/>
      <c r="FQ97" s="4550"/>
      <c r="FR97" s="4550"/>
      <c r="FS97" s="4550"/>
      <c r="FT97" s="4550"/>
      <c r="FU97" s="4550"/>
      <c r="FV97" s="4550"/>
      <c r="FW97" s="4550"/>
      <c r="FX97" s="4550"/>
      <c r="FY97" s="4550"/>
      <c r="FZ97" s="4550"/>
      <c r="GA97" s="4550"/>
      <c r="GB97" s="4550"/>
      <c r="GC97" s="4550"/>
      <c r="GD97" s="4550"/>
      <c r="GE97" s="4550"/>
      <c r="GF97" s="4550"/>
      <c r="GG97" s="4550"/>
      <c r="GH97" s="4550"/>
      <c r="GI97" s="4550"/>
      <c r="GJ97" s="4550"/>
      <c r="GK97" s="4550"/>
      <c r="GL97" s="4550"/>
      <c r="GM97" s="4550"/>
      <c r="GN97" s="4550"/>
      <c r="GO97" s="4550"/>
      <c r="GP97" s="4550"/>
      <c r="GQ97" s="4550"/>
      <c r="GR97" s="4550"/>
      <c r="GS97" s="4550"/>
      <c r="GT97" s="4550"/>
      <c r="GU97" s="4550"/>
      <c r="GV97" s="4550"/>
      <c r="GW97" s="4550"/>
      <c r="GX97" s="4550"/>
      <c r="GY97" s="4550"/>
      <c r="GZ97" s="4550"/>
      <c r="HA97" s="4550"/>
      <c r="HB97" s="4550"/>
      <c r="HC97" s="4550"/>
      <c r="HD97" s="4550"/>
      <c r="HE97" s="4550"/>
      <c r="HF97" s="4550"/>
      <c r="HG97" s="4550"/>
      <c r="HH97" s="4550"/>
      <c r="HI97" s="4550"/>
      <c r="HJ97" s="4550"/>
      <c r="HK97" s="4550"/>
      <c r="HL97" s="4550"/>
      <c r="HM97" s="4550"/>
      <c r="HN97" s="4550"/>
      <c r="HO97" s="4550"/>
      <c r="HP97" s="4550"/>
      <c r="HQ97" s="4550"/>
      <c r="HR97" s="4550"/>
      <c r="HS97" s="4550"/>
      <c r="HT97" s="4550"/>
      <c r="HU97" s="4550"/>
      <c r="HV97" s="4550"/>
      <c r="HW97" s="4550"/>
      <c r="HX97" s="4550"/>
      <c r="HY97" s="4550"/>
      <c r="HZ97" s="4550"/>
      <c r="IA97" s="4550"/>
      <c r="IB97" s="4550"/>
      <c r="IC97" s="4550"/>
      <c r="ID97" s="4550"/>
      <c r="IE97" s="4550"/>
    </row>
    <row r="98" spans="1:239" s="4549" customFormat="1" ht="15">
      <c r="A98" s="4677">
        <v>1.1200000000000001</v>
      </c>
      <c r="B98" s="4701" t="s">
        <v>4092</v>
      </c>
      <c r="C98" s="4727">
        <v>1</v>
      </c>
      <c r="D98" s="4600" t="s">
        <v>2433</v>
      </c>
      <c r="E98" s="4965"/>
      <c r="F98" s="4965">
        <f t="shared" si="2"/>
        <v>0</v>
      </c>
      <c r="G98" s="4537"/>
      <c r="H98" s="4537"/>
      <c r="I98" s="4537"/>
      <c r="J98" s="4537"/>
      <c r="K98" s="4537"/>
      <c r="L98" s="4537"/>
      <c r="M98" s="4537"/>
      <c r="N98" s="4537"/>
      <c r="O98" s="4537"/>
      <c r="P98" s="4537"/>
      <c r="Q98" s="4537"/>
      <c r="R98" s="4537"/>
      <c r="S98" s="4537"/>
      <c r="T98" s="4537"/>
      <c r="U98" s="4537"/>
      <c r="V98" s="4537"/>
      <c r="W98" s="4537"/>
      <c r="X98" s="4537"/>
      <c r="Y98" s="4537"/>
      <c r="Z98" s="4537"/>
      <c r="AA98" s="4537"/>
      <c r="AB98" s="4537"/>
      <c r="AC98" s="4537"/>
      <c r="AD98" s="4537"/>
      <c r="AE98" s="4537"/>
      <c r="AF98" s="4537"/>
      <c r="AG98" s="4537"/>
      <c r="AH98" s="4537"/>
      <c r="AI98" s="4537"/>
      <c r="AJ98" s="4537"/>
      <c r="AK98" s="4537"/>
      <c r="AL98" s="4537"/>
      <c r="AM98" s="4537"/>
      <c r="AN98" s="4537"/>
      <c r="AO98" s="4537"/>
      <c r="AP98" s="4537"/>
      <c r="AQ98" s="4537"/>
      <c r="AR98" s="4537"/>
      <c r="AS98" s="4550"/>
      <c r="AT98" s="4550"/>
      <c r="AU98" s="4550"/>
      <c r="AV98" s="4550"/>
      <c r="AW98" s="4550"/>
      <c r="AX98" s="4550"/>
      <c r="AY98" s="4550"/>
      <c r="AZ98" s="4550"/>
      <c r="BA98" s="4550"/>
      <c r="BB98" s="4550"/>
      <c r="BC98" s="4550"/>
      <c r="BD98" s="4550"/>
      <c r="BE98" s="4550"/>
      <c r="BF98" s="4550"/>
      <c r="BG98" s="4550"/>
      <c r="BH98" s="4550"/>
      <c r="BI98" s="4550"/>
      <c r="BJ98" s="4550"/>
      <c r="BK98" s="4550"/>
      <c r="BL98" s="4550"/>
      <c r="BM98" s="4550"/>
      <c r="BN98" s="4550"/>
      <c r="BO98" s="4550"/>
      <c r="BP98" s="4550"/>
      <c r="BQ98" s="4550"/>
      <c r="BR98" s="4550"/>
      <c r="BS98" s="4550"/>
      <c r="BT98" s="4550"/>
      <c r="BU98" s="4550"/>
      <c r="BV98" s="4550"/>
      <c r="BW98" s="4550"/>
      <c r="BX98" s="4550"/>
      <c r="BY98" s="4550"/>
      <c r="BZ98" s="4550"/>
      <c r="CA98" s="4550"/>
      <c r="CB98" s="4550"/>
      <c r="CC98" s="4550"/>
      <c r="CD98" s="4550"/>
      <c r="CE98" s="4550"/>
      <c r="CF98" s="4550"/>
      <c r="CG98" s="4550"/>
      <c r="CH98" s="4550"/>
      <c r="CI98" s="4550"/>
      <c r="CJ98" s="4550"/>
      <c r="CK98" s="4550"/>
      <c r="CL98" s="4550"/>
      <c r="CM98" s="4550"/>
      <c r="CN98" s="4550"/>
      <c r="CO98" s="4550"/>
      <c r="CP98" s="4550"/>
      <c r="CQ98" s="4550"/>
      <c r="CR98" s="4550"/>
      <c r="CS98" s="4550"/>
      <c r="CT98" s="4550"/>
      <c r="CU98" s="4550"/>
      <c r="CV98" s="4550"/>
      <c r="CW98" s="4550"/>
      <c r="CX98" s="4550"/>
      <c r="CY98" s="4550"/>
      <c r="CZ98" s="4550"/>
      <c r="DA98" s="4550"/>
      <c r="DB98" s="4550"/>
      <c r="DC98" s="4550"/>
      <c r="DD98" s="4550"/>
      <c r="DE98" s="4550"/>
      <c r="DF98" s="4550"/>
      <c r="DG98" s="4550"/>
      <c r="DH98" s="4550"/>
      <c r="DI98" s="4550"/>
      <c r="DJ98" s="4550"/>
      <c r="DK98" s="4550"/>
      <c r="DL98" s="4550"/>
      <c r="DM98" s="4550"/>
      <c r="DN98" s="4550"/>
      <c r="DO98" s="4550"/>
      <c r="DP98" s="4550"/>
      <c r="DQ98" s="4550"/>
      <c r="DR98" s="4550"/>
      <c r="DS98" s="4550"/>
      <c r="DT98" s="4550"/>
      <c r="DU98" s="4550"/>
      <c r="DV98" s="4550"/>
      <c r="DW98" s="4550"/>
      <c r="DX98" s="4550"/>
      <c r="DY98" s="4550"/>
      <c r="DZ98" s="4550"/>
      <c r="EA98" s="4550"/>
      <c r="EB98" s="4550"/>
      <c r="EC98" s="4550"/>
      <c r="ED98" s="4550"/>
      <c r="EE98" s="4550"/>
      <c r="EF98" s="4550"/>
      <c r="EG98" s="4550"/>
      <c r="EH98" s="4550"/>
      <c r="EI98" s="4550"/>
      <c r="EJ98" s="4550"/>
      <c r="EK98" s="4550"/>
      <c r="EL98" s="4550"/>
      <c r="EM98" s="4550"/>
      <c r="EN98" s="4550"/>
      <c r="EO98" s="4550"/>
      <c r="EP98" s="4550"/>
      <c r="EQ98" s="4550"/>
      <c r="ER98" s="4550"/>
      <c r="ES98" s="4550"/>
      <c r="ET98" s="4550"/>
      <c r="EU98" s="4550"/>
      <c r="EV98" s="4550"/>
      <c r="EW98" s="4550"/>
      <c r="EX98" s="4550"/>
      <c r="EY98" s="4550"/>
      <c r="EZ98" s="4550"/>
      <c r="FA98" s="4550"/>
      <c r="FB98" s="4550"/>
      <c r="FC98" s="4550"/>
      <c r="FD98" s="4550"/>
      <c r="FE98" s="4550"/>
      <c r="FF98" s="4550"/>
      <c r="FG98" s="4550"/>
      <c r="FH98" s="4550"/>
      <c r="FI98" s="4550"/>
      <c r="FJ98" s="4550"/>
      <c r="FK98" s="4550"/>
      <c r="FL98" s="4550"/>
      <c r="FM98" s="4550"/>
      <c r="FN98" s="4550"/>
      <c r="FO98" s="4550"/>
      <c r="FP98" s="4550"/>
      <c r="FQ98" s="4550"/>
      <c r="FR98" s="4550"/>
      <c r="FS98" s="4550"/>
      <c r="FT98" s="4550"/>
      <c r="FU98" s="4550"/>
      <c r="FV98" s="4550"/>
      <c r="FW98" s="4550"/>
      <c r="FX98" s="4550"/>
      <c r="FY98" s="4550"/>
      <c r="FZ98" s="4550"/>
      <c r="GA98" s="4550"/>
      <c r="GB98" s="4550"/>
      <c r="GC98" s="4550"/>
      <c r="GD98" s="4550"/>
      <c r="GE98" s="4550"/>
      <c r="GF98" s="4550"/>
      <c r="GG98" s="4550"/>
      <c r="GH98" s="4550"/>
      <c r="GI98" s="4550"/>
      <c r="GJ98" s="4550"/>
      <c r="GK98" s="4550"/>
      <c r="GL98" s="4550"/>
      <c r="GM98" s="4550"/>
      <c r="GN98" s="4550"/>
      <c r="GO98" s="4550"/>
      <c r="GP98" s="4550"/>
      <c r="GQ98" s="4550"/>
      <c r="GR98" s="4550"/>
      <c r="GS98" s="4550"/>
      <c r="GT98" s="4550"/>
      <c r="GU98" s="4550"/>
      <c r="GV98" s="4550"/>
      <c r="GW98" s="4550"/>
      <c r="GX98" s="4550"/>
      <c r="GY98" s="4550"/>
      <c r="GZ98" s="4550"/>
      <c r="HA98" s="4550"/>
      <c r="HB98" s="4550"/>
      <c r="HC98" s="4550"/>
      <c r="HD98" s="4550"/>
      <c r="HE98" s="4550"/>
      <c r="HF98" s="4550"/>
      <c r="HG98" s="4550"/>
      <c r="HH98" s="4550"/>
      <c r="HI98" s="4550"/>
      <c r="HJ98" s="4550"/>
      <c r="HK98" s="4550"/>
      <c r="HL98" s="4550"/>
      <c r="HM98" s="4550"/>
      <c r="HN98" s="4550"/>
      <c r="HO98" s="4550"/>
      <c r="HP98" s="4550"/>
      <c r="HQ98" s="4550"/>
      <c r="HR98" s="4550"/>
      <c r="HS98" s="4550"/>
      <c r="HT98" s="4550"/>
      <c r="HU98" s="4550"/>
      <c r="HV98" s="4550"/>
      <c r="HW98" s="4550"/>
      <c r="HX98" s="4550"/>
      <c r="HY98" s="4550"/>
      <c r="HZ98" s="4550"/>
      <c r="IA98" s="4550"/>
      <c r="IB98" s="4550"/>
      <c r="IC98" s="4550"/>
      <c r="ID98" s="4550"/>
      <c r="IE98" s="4550"/>
    </row>
    <row r="99" spans="1:239" s="4549" customFormat="1" ht="15">
      <c r="A99" s="4167">
        <v>1.1299999999999999</v>
      </c>
      <c r="B99" s="4701" t="s">
        <v>4093</v>
      </c>
      <c r="C99" s="4727">
        <v>1</v>
      </c>
      <c r="D99" s="4600" t="s">
        <v>2433</v>
      </c>
      <c r="E99" s="4965"/>
      <c r="F99" s="4965">
        <f t="shared" si="2"/>
        <v>0</v>
      </c>
      <c r="G99" s="4537"/>
      <c r="H99" s="4537"/>
      <c r="I99" s="4537"/>
      <c r="J99" s="4537"/>
      <c r="K99" s="4537"/>
      <c r="L99" s="4537"/>
      <c r="M99" s="4537"/>
      <c r="N99" s="4537"/>
      <c r="O99" s="4537"/>
      <c r="P99" s="4537"/>
      <c r="Q99" s="4537"/>
      <c r="R99" s="4537"/>
      <c r="S99" s="4537"/>
      <c r="T99" s="4537"/>
      <c r="U99" s="4537"/>
      <c r="V99" s="4537"/>
      <c r="W99" s="4537"/>
      <c r="X99" s="4537"/>
      <c r="Y99" s="4537"/>
      <c r="Z99" s="4537"/>
      <c r="AA99" s="4537"/>
      <c r="AB99" s="4537"/>
      <c r="AC99" s="4537"/>
      <c r="AD99" s="4537"/>
      <c r="AE99" s="4537"/>
      <c r="AF99" s="4537"/>
      <c r="AG99" s="4537"/>
      <c r="AH99" s="4537"/>
      <c r="AI99" s="4537"/>
      <c r="AJ99" s="4537"/>
      <c r="AK99" s="4537"/>
      <c r="AL99" s="4537"/>
      <c r="AM99" s="4537"/>
      <c r="AN99" s="4537"/>
      <c r="AO99" s="4537"/>
      <c r="AP99" s="4537"/>
      <c r="AQ99" s="4537"/>
      <c r="AR99" s="4537"/>
      <c r="AS99" s="4550"/>
      <c r="AT99" s="4550"/>
      <c r="AU99" s="4550"/>
      <c r="AV99" s="4550"/>
      <c r="AW99" s="4550"/>
      <c r="AX99" s="4550"/>
      <c r="AY99" s="4550"/>
      <c r="AZ99" s="4550"/>
      <c r="BA99" s="4550"/>
      <c r="BB99" s="4550"/>
      <c r="BC99" s="4550"/>
      <c r="BD99" s="4550"/>
      <c r="BE99" s="4550"/>
      <c r="BF99" s="4550"/>
      <c r="BG99" s="4550"/>
      <c r="BH99" s="4550"/>
      <c r="BI99" s="4550"/>
      <c r="BJ99" s="4550"/>
      <c r="BK99" s="4550"/>
      <c r="BL99" s="4550"/>
      <c r="BM99" s="4550"/>
      <c r="BN99" s="4550"/>
      <c r="BO99" s="4550"/>
      <c r="BP99" s="4550"/>
      <c r="BQ99" s="4550"/>
      <c r="BR99" s="4550"/>
      <c r="BS99" s="4550"/>
      <c r="BT99" s="4550"/>
      <c r="BU99" s="4550"/>
      <c r="BV99" s="4550"/>
      <c r="BW99" s="4550"/>
      <c r="BX99" s="4550"/>
      <c r="BY99" s="4550"/>
      <c r="BZ99" s="4550"/>
      <c r="CA99" s="4550"/>
      <c r="CB99" s="4550"/>
      <c r="CC99" s="4550"/>
      <c r="CD99" s="4550"/>
      <c r="CE99" s="4550"/>
      <c r="CF99" s="4550"/>
      <c r="CG99" s="4550"/>
      <c r="CH99" s="4550"/>
      <c r="CI99" s="4550"/>
      <c r="CJ99" s="4550"/>
      <c r="CK99" s="4550"/>
      <c r="CL99" s="4550"/>
      <c r="CM99" s="4550"/>
      <c r="CN99" s="4550"/>
      <c r="CO99" s="4550"/>
      <c r="CP99" s="4550"/>
      <c r="CQ99" s="4550"/>
      <c r="CR99" s="4550"/>
      <c r="CS99" s="4550"/>
      <c r="CT99" s="4550"/>
      <c r="CU99" s="4550"/>
      <c r="CV99" s="4550"/>
      <c r="CW99" s="4550"/>
      <c r="CX99" s="4550"/>
      <c r="CY99" s="4550"/>
      <c r="CZ99" s="4550"/>
      <c r="DA99" s="4550"/>
      <c r="DB99" s="4550"/>
      <c r="DC99" s="4550"/>
      <c r="DD99" s="4550"/>
      <c r="DE99" s="4550"/>
      <c r="DF99" s="4550"/>
      <c r="DG99" s="4550"/>
      <c r="DH99" s="4550"/>
      <c r="DI99" s="4550"/>
      <c r="DJ99" s="4550"/>
      <c r="DK99" s="4550"/>
      <c r="DL99" s="4550"/>
      <c r="DM99" s="4550"/>
      <c r="DN99" s="4550"/>
      <c r="DO99" s="4550"/>
      <c r="DP99" s="4550"/>
      <c r="DQ99" s="4550"/>
      <c r="DR99" s="4550"/>
      <c r="DS99" s="4550"/>
      <c r="DT99" s="4550"/>
      <c r="DU99" s="4550"/>
      <c r="DV99" s="4550"/>
      <c r="DW99" s="4550"/>
      <c r="DX99" s="4550"/>
      <c r="DY99" s="4550"/>
      <c r="DZ99" s="4550"/>
      <c r="EA99" s="4550"/>
      <c r="EB99" s="4550"/>
      <c r="EC99" s="4550"/>
      <c r="ED99" s="4550"/>
      <c r="EE99" s="4550"/>
      <c r="EF99" s="4550"/>
      <c r="EG99" s="4550"/>
      <c r="EH99" s="4550"/>
      <c r="EI99" s="4550"/>
      <c r="EJ99" s="4550"/>
      <c r="EK99" s="4550"/>
      <c r="EL99" s="4550"/>
      <c r="EM99" s="4550"/>
      <c r="EN99" s="4550"/>
      <c r="EO99" s="4550"/>
      <c r="EP99" s="4550"/>
      <c r="EQ99" s="4550"/>
      <c r="ER99" s="4550"/>
      <c r="ES99" s="4550"/>
      <c r="ET99" s="4550"/>
      <c r="EU99" s="4550"/>
      <c r="EV99" s="4550"/>
      <c r="EW99" s="4550"/>
      <c r="EX99" s="4550"/>
      <c r="EY99" s="4550"/>
      <c r="EZ99" s="4550"/>
      <c r="FA99" s="4550"/>
      <c r="FB99" s="4550"/>
      <c r="FC99" s="4550"/>
      <c r="FD99" s="4550"/>
      <c r="FE99" s="4550"/>
      <c r="FF99" s="4550"/>
      <c r="FG99" s="4550"/>
      <c r="FH99" s="4550"/>
      <c r="FI99" s="4550"/>
      <c r="FJ99" s="4550"/>
      <c r="FK99" s="4550"/>
      <c r="FL99" s="4550"/>
      <c r="FM99" s="4550"/>
      <c r="FN99" s="4550"/>
      <c r="FO99" s="4550"/>
      <c r="FP99" s="4550"/>
      <c r="FQ99" s="4550"/>
      <c r="FR99" s="4550"/>
      <c r="FS99" s="4550"/>
      <c r="FT99" s="4550"/>
      <c r="FU99" s="4550"/>
      <c r="FV99" s="4550"/>
      <c r="FW99" s="4550"/>
      <c r="FX99" s="4550"/>
      <c r="FY99" s="4550"/>
      <c r="FZ99" s="4550"/>
      <c r="GA99" s="4550"/>
      <c r="GB99" s="4550"/>
      <c r="GC99" s="4550"/>
      <c r="GD99" s="4550"/>
      <c r="GE99" s="4550"/>
      <c r="GF99" s="4550"/>
      <c r="GG99" s="4550"/>
      <c r="GH99" s="4550"/>
      <c r="GI99" s="4550"/>
      <c r="GJ99" s="4550"/>
      <c r="GK99" s="4550"/>
      <c r="GL99" s="4550"/>
      <c r="GM99" s="4550"/>
      <c r="GN99" s="4550"/>
      <c r="GO99" s="4550"/>
      <c r="GP99" s="4550"/>
      <c r="GQ99" s="4550"/>
      <c r="GR99" s="4550"/>
      <c r="GS99" s="4550"/>
      <c r="GT99" s="4550"/>
      <c r="GU99" s="4550"/>
      <c r="GV99" s="4550"/>
      <c r="GW99" s="4550"/>
      <c r="GX99" s="4550"/>
      <c r="GY99" s="4550"/>
      <c r="GZ99" s="4550"/>
      <c r="HA99" s="4550"/>
      <c r="HB99" s="4550"/>
      <c r="HC99" s="4550"/>
      <c r="HD99" s="4550"/>
      <c r="HE99" s="4550"/>
      <c r="HF99" s="4550"/>
      <c r="HG99" s="4550"/>
      <c r="HH99" s="4550"/>
      <c r="HI99" s="4550"/>
      <c r="HJ99" s="4550"/>
      <c r="HK99" s="4550"/>
      <c r="HL99" s="4550"/>
      <c r="HM99" s="4550"/>
      <c r="HN99" s="4550"/>
      <c r="HO99" s="4550"/>
      <c r="HP99" s="4550"/>
      <c r="HQ99" s="4550"/>
      <c r="HR99" s="4550"/>
      <c r="HS99" s="4550"/>
      <c r="HT99" s="4550"/>
      <c r="HU99" s="4550"/>
      <c r="HV99" s="4550"/>
      <c r="HW99" s="4550"/>
      <c r="HX99" s="4550"/>
      <c r="HY99" s="4550"/>
      <c r="HZ99" s="4550"/>
      <c r="IA99" s="4550"/>
      <c r="IB99" s="4550"/>
      <c r="IC99" s="4550"/>
      <c r="ID99" s="4550"/>
      <c r="IE99" s="4550"/>
    </row>
    <row r="100" spans="1:239" s="4549" customFormat="1" ht="15">
      <c r="A100" s="4677">
        <v>1.1399999999999999</v>
      </c>
      <c r="B100" s="4701" t="s">
        <v>3681</v>
      </c>
      <c r="C100" s="4727">
        <v>4</v>
      </c>
      <c r="D100" s="4600" t="s">
        <v>2433</v>
      </c>
      <c r="E100" s="4965"/>
      <c r="F100" s="4965">
        <f t="shared" si="2"/>
        <v>0</v>
      </c>
      <c r="G100" s="4537"/>
      <c r="H100" s="4537"/>
      <c r="I100" s="4537"/>
      <c r="J100" s="4537"/>
      <c r="K100" s="4537"/>
      <c r="L100" s="4537"/>
      <c r="M100" s="4537"/>
      <c r="N100" s="4537"/>
      <c r="O100" s="4537"/>
      <c r="P100" s="4537"/>
      <c r="Q100" s="4537"/>
      <c r="R100" s="4537"/>
      <c r="S100" s="4537"/>
      <c r="T100" s="4537"/>
      <c r="U100" s="4537"/>
      <c r="V100" s="4537"/>
      <c r="W100" s="4537"/>
      <c r="X100" s="4537"/>
      <c r="Y100" s="4537"/>
      <c r="Z100" s="4537"/>
      <c r="AA100" s="4537"/>
      <c r="AB100" s="4537"/>
      <c r="AC100" s="4537"/>
      <c r="AD100" s="4537"/>
      <c r="AE100" s="4537"/>
      <c r="AF100" s="4537"/>
      <c r="AG100" s="4537"/>
      <c r="AH100" s="4537"/>
      <c r="AI100" s="4537"/>
      <c r="AJ100" s="4537"/>
      <c r="AK100" s="4537"/>
      <c r="AL100" s="4537"/>
      <c r="AM100" s="4537"/>
      <c r="AN100" s="4537"/>
      <c r="AO100" s="4537"/>
      <c r="AP100" s="4537"/>
      <c r="AQ100" s="4537"/>
      <c r="AR100" s="4537"/>
      <c r="AS100" s="4550"/>
      <c r="AT100" s="4550"/>
      <c r="AU100" s="4550"/>
      <c r="AV100" s="4550"/>
      <c r="AW100" s="4550"/>
      <c r="AX100" s="4550"/>
      <c r="AY100" s="4550"/>
      <c r="AZ100" s="4550"/>
      <c r="BA100" s="4550"/>
      <c r="BB100" s="4550"/>
      <c r="BC100" s="4550"/>
      <c r="BD100" s="4550"/>
      <c r="BE100" s="4550"/>
      <c r="BF100" s="4550"/>
      <c r="BG100" s="4550"/>
      <c r="BH100" s="4550"/>
      <c r="BI100" s="4550"/>
      <c r="BJ100" s="4550"/>
      <c r="BK100" s="4550"/>
      <c r="BL100" s="4550"/>
      <c r="BM100" s="4550"/>
      <c r="BN100" s="4550"/>
      <c r="BO100" s="4550"/>
      <c r="BP100" s="4550"/>
      <c r="BQ100" s="4550"/>
      <c r="BR100" s="4550"/>
      <c r="BS100" s="4550"/>
      <c r="BT100" s="4550"/>
      <c r="BU100" s="4550"/>
      <c r="BV100" s="4550"/>
      <c r="BW100" s="4550"/>
      <c r="BX100" s="4550"/>
      <c r="BY100" s="4550"/>
      <c r="BZ100" s="4550"/>
      <c r="CA100" s="4550"/>
      <c r="CB100" s="4550"/>
      <c r="CC100" s="4550"/>
      <c r="CD100" s="4550"/>
      <c r="CE100" s="4550"/>
      <c r="CF100" s="4550"/>
      <c r="CG100" s="4550"/>
      <c r="CH100" s="4550"/>
      <c r="CI100" s="4550"/>
      <c r="CJ100" s="4550"/>
      <c r="CK100" s="4550"/>
      <c r="CL100" s="4550"/>
      <c r="CM100" s="4550"/>
      <c r="CN100" s="4550"/>
      <c r="CO100" s="4550"/>
      <c r="CP100" s="4550"/>
      <c r="CQ100" s="4550"/>
      <c r="CR100" s="4550"/>
      <c r="CS100" s="4550"/>
      <c r="CT100" s="4550"/>
      <c r="CU100" s="4550"/>
      <c r="CV100" s="4550"/>
      <c r="CW100" s="4550"/>
      <c r="CX100" s="4550"/>
      <c r="CY100" s="4550"/>
      <c r="CZ100" s="4550"/>
      <c r="DA100" s="4550"/>
      <c r="DB100" s="4550"/>
      <c r="DC100" s="4550"/>
      <c r="DD100" s="4550"/>
      <c r="DE100" s="4550"/>
      <c r="DF100" s="4550"/>
      <c r="DG100" s="4550"/>
      <c r="DH100" s="4550"/>
      <c r="DI100" s="4550"/>
      <c r="DJ100" s="4550"/>
      <c r="DK100" s="4550"/>
      <c r="DL100" s="4550"/>
      <c r="DM100" s="4550"/>
      <c r="DN100" s="4550"/>
      <c r="DO100" s="4550"/>
      <c r="DP100" s="4550"/>
      <c r="DQ100" s="4550"/>
      <c r="DR100" s="4550"/>
      <c r="DS100" s="4550"/>
      <c r="DT100" s="4550"/>
      <c r="DU100" s="4550"/>
      <c r="DV100" s="4550"/>
      <c r="DW100" s="4550"/>
      <c r="DX100" s="4550"/>
      <c r="DY100" s="4550"/>
      <c r="DZ100" s="4550"/>
      <c r="EA100" s="4550"/>
      <c r="EB100" s="4550"/>
      <c r="EC100" s="4550"/>
      <c r="ED100" s="4550"/>
      <c r="EE100" s="4550"/>
      <c r="EF100" s="4550"/>
      <c r="EG100" s="4550"/>
      <c r="EH100" s="4550"/>
      <c r="EI100" s="4550"/>
      <c r="EJ100" s="4550"/>
      <c r="EK100" s="4550"/>
      <c r="EL100" s="4550"/>
      <c r="EM100" s="4550"/>
      <c r="EN100" s="4550"/>
      <c r="EO100" s="4550"/>
      <c r="EP100" s="4550"/>
      <c r="EQ100" s="4550"/>
      <c r="ER100" s="4550"/>
      <c r="ES100" s="4550"/>
      <c r="ET100" s="4550"/>
      <c r="EU100" s="4550"/>
      <c r="EV100" s="4550"/>
      <c r="EW100" s="4550"/>
      <c r="EX100" s="4550"/>
      <c r="EY100" s="4550"/>
      <c r="EZ100" s="4550"/>
      <c r="FA100" s="4550"/>
      <c r="FB100" s="4550"/>
      <c r="FC100" s="4550"/>
      <c r="FD100" s="4550"/>
      <c r="FE100" s="4550"/>
      <c r="FF100" s="4550"/>
      <c r="FG100" s="4550"/>
      <c r="FH100" s="4550"/>
      <c r="FI100" s="4550"/>
      <c r="FJ100" s="4550"/>
      <c r="FK100" s="4550"/>
      <c r="FL100" s="4550"/>
      <c r="FM100" s="4550"/>
      <c r="FN100" s="4550"/>
      <c r="FO100" s="4550"/>
      <c r="FP100" s="4550"/>
      <c r="FQ100" s="4550"/>
      <c r="FR100" s="4550"/>
      <c r="FS100" s="4550"/>
      <c r="FT100" s="4550"/>
      <c r="FU100" s="4550"/>
      <c r="FV100" s="4550"/>
      <c r="FW100" s="4550"/>
      <c r="FX100" s="4550"/>
      <c r="FY100" s="4550"/>
      <c r="FZ100" s="4550"/>
      <c r="GA100" s="4550"/>
      <c r="GB100" s="4550"/>
      <c r="GC100" s="4550"/>
      <c r="GD100" s="4550"/>
      <c r="GE100" s="4550"/>
      <c r="GF100" s="4550"/>
      <c r="GG100" s="4550"/>
      <c r="GH100" s="4550"/>
      <c r="GI100" s="4550"/>
      <c r="GJ100" s="4550"/>
      <c r="GK100" s="4550"/>
      <c r="GL100" s="4550"/>
      <c r="GM100" s="4550"/>
      <c r="GN100" s="4550"/>
      <c r="GO100" s="4550"/>
      <c r="GP100" s="4550"/>
      <c r="GQ100" s="4550"/>
      <c r="GR100" s="4550"/>
      <c r="GS100" s="4550"/>
      <c r="GT100" s="4550"/>
      <c r="GU100" s="4550"/>
      <c r="GV100" s="4550"/>
      <c r="GW100" s="4550"/>
      <c r="GX100" s="4550"/>
      <c r="GY100" s="4550"/>
      <c r="GZ100" s="4550"/>
      <c r="HA100" s="4550"/>
      <c r="HB100" s="4550"/>
      <c r="HC100" s="4550"/>
      <c r="HD100" s="4550"/>
      <c r="HE100" s="4550"/>
      <c r="HF100" s="4550"/>
      <c r="HG100" s="4550"/>
      <c r="HH100" s="4550"/>
      <c r="HI100" s="4550"/>
      <c r="HJ100" s="4550"/>
      <c r="HK100" s="4550"/>
      <c r="HL100" s="4550"/>
      <c r="HM100" s="4550"/>
      <c r="HN100" s="4550"/>
      <c r="HO100" s="4550"/>
      <c r="HP100" s="4550"/>
      <c r="HQ100" s="4550"/>
      <c r="HR100" s="4550"/>
      <c r="HS100" s="4550"/>
      <c r="HT100" s="4550"/>
      <c r="HU100" s="4550"/>
      <c r="HV100" s="4550"/>
      <c r="HW100" s="4550"/>
      <c r="HX100" s="4550"/>
      <c r="HY100" s="4550"/>
      <c r="HZ100" s="4550"/>
      <c r="IA100" s="4550"/>
      <c r="IB100" s="4550"/>
      <c r="IC100" s="4550"/>
      <c r="ID100" s="4550"/>
      <c r="IE100" s="4550"/>
    </row>
    <row r="101" spans="1:239" s="4549" customFormat="1" ht="15">
      <c r="A101" s="4167">
        <v>1.1499999999999999</v>
      </c>
      <c r="B101" s="4701" t="s">
        <v>4094</v>
      </c>
      <c r="C101" s="4727">
        <v>1</v>
      </c>
      <c r="D101" s="4600" t="s">
        <v>2433</v>
      </c>
      <c r="E101" s="4965"/>
      <c r="F101" s="4965">
        <f t="shared" si="2"/>
        <v>0</v>
      </c>
      <c r="G101" s="4537"/>
      <c r="H101" s="4537"/>
      <c r="I101" s="4537"/>
      <c r="J101" s="4537"/>
      <c r="K101" s="4537"/>
      <c r="L101" s="4537"/>
      <c r="M101" s="4537"/>
      <c r="N101" s="4537"/>
      <c r="O101" s="4537"/>
      <c r="P101" s="4537"/>
      <c r="Q101" s="4537"/>
      <c r="R101" s="4537"/>
      <c r="S101" s="4537"/>
      <c r="T101" s="4537"/>
      <c r="U101" s="4537"/>
      <c r="V101" s="4537"/>
      <c r="W101" s="4537"/>
      <c r="X101" s="4537"/>
      <c r="Y101" s="4537"/>
      <c r="Z101" s="4537"/>
      <c r="AA101" s="4537"/>
      <c r="AB101" s="4537"/>
      <c r="AC101" s="4537"/>
      <c r="AD101" s="4537"/>
      <c r="AE101" s="4537"/>
      <c r="AF101" s="4537"/>
      <c r="AG101" s="4537"/>
      <c r="AH101" s="4537"/>
      <c r="AI101" s="4537"/>
      <c r="AJ101" s="4537"/>
      <c r="AK101" s="4537"/>
      <c r="AL101" s="4537"/>
      <c r="AM101" s="4537"/>
      <c r="AN101" s="4537"/>
      <c r="AO101" s="4537"/>
      <c r="AP101" s="4537"/>
      <c r="AQ101" s="4537"/>
      <c r="AR101" s="4537"/>
      <c r="AS101" s="4550"/>
      <c r="AT101" s="4550"/>
      <c r="AU101" s="4550"/>
      <c r="AV101" s="4550"/>
      <c r="AW101" s="4550"/>
      <c r="AX101" s="4550"/>
      <c r="AY101" s="4550"/>
      <c r="AZ101" s="4550"/>
      <c r="BA101" s="4550"/>
      <c r="BB101" s="4550"/>
      <c r="BC101" s="4550"/>
      <c r="BD101" s="4550"/>
      <c r="BE101" s="4550"/>
      <c r="BF101" s="4550"/>
      <c r="BG101" s="4550"/>
      <c r="BH101" s="4550"/>
      <c r="BI101" s="4550"/>
      <c r="BJ101" s="4550"/>
      <c r="BK101" s="4550"/>
      <c r="BL101" s="4550"/>
      <c r="BM101" s="4550"/>
      <c r="BN101" s="4550"/>
      <c r="BO101" s="4550"/>
      <c r="BP101" s="4550"/>
      <c r="BQ101" s="4550"/>
      <c r="BR101" s="4550"/>
      <c r="BS101" s="4550"/>
      <c r="BT101" s="4550"/>
      <c r="BU101" s="4550"/>
      <c r="BV101" s="4550"/>
      <c r="BW101" s="4550"/>
      <c r="BX101" s="4550"/>
      <c r="BY101" s="4550"/>
      <c r="BZ101" s="4550"/>
      <c r="CA101" s="4550"/>
      <c r="CB101" s="4550"/>
      <c r="CC101" s="4550"/>
      <c r="CD101" s="4550"/>
      <c r="CE101" s="4550"/>
      <c r="CF101" s="4550"/>
      <c r="CG101" s="4550"/>
      <c r="CH101" s="4550"/>
      <c r="CI101" s="4550"/>
      <c r="CJ101" s="4550"/>
      <c r="CK101" s="4550"/>
      <c r="CL101" s="4550"/>
      <c r="CM101" s="4550"/>
      <c r="CN101" s="4550"/>
      <c r="CO101" s="4550"/>
      <c r="CP101" s="4550"/>
      <c r="CQ101" s="4550"/>
      <c r="CR101" s="4550"/>
      <c r="CS101" s="4550"/>
      <c r="CT101" s="4550"/>
      <c r="CU101" s="4550"/>
      <c r="CV101" s="4550"/>
      <c r="CW101" s="4550"/>
      <c r="CX101" s="4550"/>
      <c r="CY101" s="4550"/>
      <c r="CZ101" s="4550"/>
      <c r="DA101" s="4550"/>
      <c r="DB101" s="4550"/>
      <c r="DC101" s="4550"/>
      <c r="DD101" s="4550"/>
      <c r="DE101" s="4550"/>
      <c r="DF101" s="4550"/>
      <c r="DG101" s="4550"/>
      <c r="DH101" s="4550"/>
      <c r="DI101" s="4550"/>
      <c r="DJ101" s="4550"/>
      <c r="DK101" s="4550"/>
      <c r="DL101" s="4550"/>
      <c r="DM101" s="4550"/>
      <c r="DN101" s="4550"/>
      <c r="DO101" s="4550"/>
      <c r="DP101" s="4550"/>
      <c r="DQ101" s="4550"/>
      <c r="DR101" s="4550"/>
      <c r="DS101" s="4550"/>
      <c r="DT101" s="4550"/>
      <c r="DU101" s="4550"/>
      <c r="DV101" s="4550"/>
      <c r="DW101" s="4550"/>
      <c r="DX101" s="4550"/>
      <c r="DY101" s="4550"/>
      <c r="DZ101" s="4550"/>
      <c r="EA101" s="4550"/>
      <c r="EB101" s="4550"/>
      <c r="EC101" s="4550"/>
      <c r="ED101" s="4550"/>
      <c r="EE101" s="4550"/>
      <c r="EF101" s="4550"/>
      <c r="EG101" s="4550"/>
      <c r="EH101" s="4550"/>
      <c r="EI101" s="4550"/>
      <c r="EJ101" s="4550"/>
      <c r="EK101" s="4550"/>
      <c r="EL101" s="4550"/>
      <c r="EM101" s="4550"/>
      <c r="EN101" s="4550"/>
      <c r="EO101" s="4550"/>
      <c r="EP101" s="4550"/>
      <c r="EQ101" s="4550"/>
      <c r="ER101" s="4550"/>
      <c r="ES101" s="4550"/>
      <c r="ET101" s="4550"/>
      <c r="EU101" s="4550"/>
      <c r="EV101" s="4550"/>
      <c r="EW101" s="4550"/>
      <c r="EX101" s="4550"/>
      <c r="EY101" s="4550"/>
      <c r="EZ101" s="4550"/>
      <c r="FA101" s="4550"/>
      <c r="FB101" s="4550"/>
      <c r="FC101" s="4550"/>
      <c r="FD101" s="4550"/>
      <c r="FE101" s="4550"/>
      <c r="FF101" s="4550"/>
      <c r="FG101" s="4550"/>
      <c r="FH101" s="4550"/>
      <c r="FI101" s="4550"/>
      <c r="FJ101" s="4550"/>
      <c r="FK101" s="4550"/>
      <c r="FL101" s="4550"/>
      <c r="FM101" s="4550"/>
      <c r="FN101" s="4550"/>
      <c r="FO101" s="4550"/>
      <c r="FP101" s="4550"/>
      <c r="FQ101" s="4550"/>
      <c r="FR101" s="4550"/>
      <c r="FS101" s="4550"/>
      <c r="FT101" s="4550"/>
      <c r="FU101" s="4550"/>
      <c r="FV101" s="4550"/>
      <c r="FW101" s="4550"/>
      <c r="FX101" s="4550"/>
      <c r="FY101" s="4550"/>
      <c r="FZ101" s="4550"/>
      <c r="GA101" s="4550"/>
      <c r="GB101" s="4550"/>
      <c r="GC101" s="4550"/>
      <c r="GD101" s="4550"/>
      <c r="GE101" s="4550"/>
      <c r="GF101" s="4550"/>
      <c r="GG101" s="4550"/>
      <c r="GH101" s="4550"/>
      <c r="GI101" s="4550"/>
      <c r="GJ101" s="4550"/>
      <c r="GK101" s="4550"/>
      <c r="GL101" s="4550"/>
      <c r="GM101" s="4550"/>
      <c r="GN101" s="4550"/>
      <c r="GO101" s="4550"/>
      <c r="GP101" s="4550"/>
      <c r="GQ101" s="4550"/>
      <c r="GR101" s="4550"/>
      <c r="GS101" s="4550"/>
      <c r="GT101" s="4550"/>
      <c r="GU101" s="4550"/>
      <c r="GV101" s="4550"/>
      <c r="GW101" s="4550"/>
      <c r="GX101" s="4550"/>
      <c r="GY101" s="4550"/>
      <c r="GZ101" s="4550"/>
      <c r="HA101" s="4550"/>
      <c r="HB101" s="4550"/>
      <c r="HC101" s="4550"/>
      <c r="HD101" s="4550"/>
      <c r="HE101" s="4550"/>
      <c r="HF101" s="4550"/>
      <c r="HG101" s="4550"/>
      <c r="HH101" s="4550"/>
      <c r="HI101" s="4550"/>
      <c r="HJ101" s="4550"/>
      <c r="HK101" s="4550"/>
      <c r="HL101" s="4550"/>
      <c r="HM101" s="4550"/>
      <c r="HN101" s="4550"/>
      <c r="HO101" s="4550"/>
      <c r="HP101" s="4550"/>
      <c r="HQ101" s="4550"/>
      <c r="HR101" s="4550"/>
      <c r="HS101" s="4550"/>
      <c r="HT101" s="4550"/>
      <c r="HU101" s="4550"/>
      <c r="HV101" s="4550"/>
      <c r="HW101" s="4550"/>
      <c r="HX101" s="4550"/>
      <c r="HY101" s="4550"/>
      <c r="HZ101" s="4550"/>
      <c r="IA101" s="4550"/>
      <c r="IB101" s="4550"/>
      <c r="IC101" s="4550"/>
      <c r="ID101" s="4550"/>
      <c r="IE101" s="4550"/>
    </row>
    <row r="102" spans="1:239" s="4549" customFormat="1" ht="15">
      <c r="A102" s="4677">
        <v>1.1599999999999999</v>
      </c>
      <c r="B102" s="4701" t="s">
        <v>4095</v>
      </c>
      <c r="C102" s="4727">
        <v>1</v>
      </c>
      <c r="D102" s="4600" t="s">
        <v>2433</v>
      </c>
      <c r="E102" s="4965"/>
      <c r="F102" s="4965">
        <f t="shared" si="2"/>
        <v>0</v>
      </c>
      <c r="G102" s="4537"/>
      <c r="H102" s="4537"/>
      <c r="I102" s="4537"/>
      <c r="J102" s="4537"/>
      <c r="K102" s="4537"/>
      <c r="L102" s="4537"/>
      <c r="M102" s="4537"/>
      <c r="N102" s="4537"/>
      <c r="O102" s="4537"/>
      <c r="P102" s="4537"/>
      <c r="Q102" s="4537"/>
      <c r="R102" s="4537"/>
      <c r="S102" s="4537"/>
      <c r="T102" s="4537"/>
      <c r="U102" s="4537"/>
      <c r="V102" s="4537"/>
      <c r="W102" s="4537"/>
      <c r="X102" s="4537"/>
      <c r="Y102" s="4537"/>
      <c r="Z102" s="4537"/>
      <c r="AA102" s="4537"/>
      <c r="AB102" s="4537"/>
      <c r="AC102" s="4537"/>
      <c r="AD102" s="4537"/>
      <c r="AE102" s="4537"/>
      <c r="AF102" s="4537"/>
      <c r="AG102" s="4537"/>
      <c r="AH102" s="4537"/>
      <c r="AI102" s="4537"/>
      <c r="AJ102" s="4537"/>
      <c r="AK102" s="4537"/>
      <c r="AL102" s="4537"/>
      <c r="AM102" s="4537"/>
      <c r="AN102" s="4537"/>
      <c r="AO102" s="4537"/>
      <c r="AP102" s="4537"/>
      <c r="AQ102" s="4537"/>
      <c r="AR102" s="4537"/>
      <c r="AS102" s="4550"/>
      <c r="AT102" s="4550"/>
      <c r="AU102" s="4550"/>
      <c r="AV102" s="4550"/>
      <c r="AW102" s="4550"/>
      <c r="AX102" s="4550"/>
      <c r="AY102" s="4550"/>
      <c r="AZ102" s="4550"/>
      <c r="BA102" s="4550"/>
      <c r="BB102" s="4550"/>
      <c r="BC102" s="4550"/>
      <c r="BD102" s="4550"/>
      <c r="BE102" s="4550"/>
      <c r="BF102" s="4550"/>
      <c r="BG102" s="4550"/>
      <c r="BH102" s="4550"/>
      <c r="BI102" s="4550"/>
      <c r="BJ102" s="4550"/>
      <c r="BK102" s="4550"/>
      <c r="BL102" s="4550"/>
      <c r="BM102" s="4550"/>
      <c r="BN102" s="4550"/>
      <c r="BO102" s="4550"/>
      <c r="BP102" s="4550"/>
      <c r="BQ102" s="4550"/>
      <c r="BR102" s="4550"/>
      <c r="BS102" s="4550"/>
      <c r="BT102" s="4550"/>
      <c r="BU102" s="4550"/>
      <c r="BV102" s="4550"/>
      <c r="BW102" s="4550"/>
      <c r="BX102" s="4550"/>
      <c r="BY102" s="4550"/>
      <c r="BZ102" s="4550"/>
      <c r="CA102" s="4550"/>
      <c r="CB102" s="4550"/>
      <c r="CC102" s="4550"/>
      <c r="CD102" s="4550"/>
      <c r="CE102" s="4550"/>
      <c r="CF102" s="4550"/>
      <c r="CG102" s="4550"/>
      <c r="CH102" s="4550"/>
      <c r="CI102" s="4550"/>
      <c r="CJ102" s="4550"/>
      <c r="CK102" s="4550"/>
      <c r="CL102" s="4550"/>
      <c r="CM102" s="4550"/>
      <c r="CN102" s="4550"/>
      <c r="CO102" s="4550"/>
      <c r="CP102" s="4550"/>
      <c r="CQ102" s="4550"/>
      <c r="CR102" s="4550"/>
      <c r="CS102" s="4550"/>
      <c r="CT102" s="4550"/>
      <c r="CU102" s="4550"/>
      <c r="CV102" s="4550"/>
      <c r="CW102" s="4550"/>
      <c r="CX102" s="4550"/>
      <c r="CY102" s="4550"/>
      <c r="CZ102" s="4550"/>
      <c r="DA102" s="4550"/>
      <c r="DB102" s="4550"/>
      <c r="DC102" s="4550"/>
      <c r="DD102" s="4550"/>
      <c r="DE102" s="4550"/>
      <c r="DF102" s="4550"/>
      <c r="DG102" s="4550"/>
      <c r="DH102" s="4550"/>
      <c r="DI102" s="4550"/>
      <c r="DJ102" s="4550"/>
      <c r="DK102" s="4550"/>
      <c r="DL102" s="4550"/>
      <c r="DM102" s="4550"/>
      <c r="DN102" s="4550"/>
      <c r="DO102" s="4550"/>
      <c r="DP102" s="4550"/>
      <c r="DQ102" s="4550"/>
      <c r="DR102" s="4550"/>
      <c r="DS102" s="4550"/>
      <c r="DT102" s="4550"/>
      <c r="DU102" s="4550"/>
      <c r="DV102" s="4550"/>
      <c r="DW102" s="4550"/>
      <c r="DX102" s="4550"/>
      <c r="DY102" s="4550"/>
      <c r="DZ102" s="4550"/>
      <c r="EA102" s="4550"/>
      <c r="EB102" s="4550"/>
      <c r="EC102" s="4550"/>
      <c r="ED102" s="4550"/>
      <c r="EE102" s="4550"/>
      <c r="EF102" s="4550"/>
      <c r="EG102" s="4550"/>
      <c r="EH102" s="4550"/>
      <c r="EI102" s="4550"/>
      <c r="EJ102" s="4550"/>
      <c r="EK102" s="4550"/>
      <c r="EL102" s="4550"/>
      <c r="EM102" s="4550"/>
      <c r="EN102" s="4550"/>
      <c r="EO102" s="4550"/>
      <c r="EP102" s="4550"/>
      <c r="EQ102" s="4550"/>
      <c r="ER102" s="4550"/>
      <c r="ES102" s="4550"/>
      <c r="ET102" s="4550"/>
      <c r="EU102" s="4550"/>
      <c r="EV102" s="4550"/>
      <c r="EW102" s="4550"/>
      <c r="EX102" s="4550"/>
      <c r="EY102" s="4550"/>
      <c r="EZ102" s="4550"/>
      <c r="FA102" s="4550"/>
      <c r="FB102" s="4550"/>
      <c r="FC102" s="4550"/>
      <c r="FD102" s="4550"/>
      <c r="FE102" s="4550"/>
      <c r="FF102" s="4550"/>
      <c r="FG102" s="4550"/>
      <c r="FH102" s="4550"/>
      <c r="FI102" s="4550"/>
      <c r="FJ102" s="4550"/>
      <c r="FK102" s="4550"/>
      <c r="FL102" s="4550"/>
      <c r="FM102" s="4550"/>
      <c r="FN102" s="4550"/>
      <c r="FO102" s="4550"/>
      <c r="FP102" s="4550"/>
      <c r="FQ102" s="4550"/>
      <c r="FR102" s="4550"/>
      <c r="FS102" s="4550"/>
      <c r="FT102" s="4550"/>
      <c r="FU102" s="4550"/>
      <c r="FV102" s="4550"/>
      <c r="FW102" s="4550"/>
      <c r="FX102" s="4550"/>
      <c r="FY102" s="4550"/>
      <c r="FZ102" s="4550"/>
      <c r="GA102" s="4550"/>
      <c r="GB102" s="4550"/>
      <c r="GC102" s="4550"/>
      <c r="GD102" s="4550"/>
      <c r="GE102" s="4550"/>
      <c r="GF102" s="4550"/>
      <c r="GG102" s="4550"/>
      <c r="GH102" s="4550"/>
      <c r="GI102" s="4550"/>
      <c r="GJ102" s="4550"/>
      <c r="GK102" s="4550"/>
      <c r="GL102" s="4550"/>
      <c r="GM102" s="4550"/>
      <c r="GN102" s="4550"/>
      <c r="GO102" s="4550"/>
      <c r="GP102" s="4550"/>
      <c r="GQ102" s="4550"/>
      <c r="GR102" s="4550"/>
      <c r="GS102" s="4550"/>
      <c r="GT102" s="4550"/>
      <c r="GU102" s="4550"/>
      <c r="GV102" s="4550"/>
      <c r="GW102" s="4550"/>
      <c r="GX102" s="4550"/>
      <c r="GY102" s="4550"/>
      <c r="GZ102" s="4550"/>
      <c r="HA102" s="4550"/>
      <c r="HB102" s="4550"/>
      <c r="HC102" s="4550"/>
      <c r="HD102" s="4550"/>
      <c r="HE102" s="4550"/>
      <c r="HF102" s="4550"/>
      <c r="HG102" s="4550"/>
      <c r="HH102" s="4550"/>
      <c r="HI102" s="4550"/>
      <c r="HJ102" s="4550"/>
      <c r="HK102" s="4550"/>
      <c r="HL102" s="4550"/>
      <c r="HM102" s="4550"/>
      <c r="HN102" s="4550"/>
      <c r="HO102" s="4550"/>
      <c r="HP102" s="4550"/>
      <c r="HQ102" s="4550"/>
      <c r="HR102" s="4550"/>
      <c r="HS102" s="4550"/>
      <c r="HT102" s="4550"/>
      <c r="HU102" s="4550"/>
      <c r="HV102" s="4550"/>
      <c r="HW102" s="4550"/>
      <c r="HX102" s="4550"/>
      <c r="HY102" s="4550"/>
      <c r="HZ102" s="4550"/>
      <c r="IA102" s="4550"/>
      <c r="IB102" s="4550"/>
      <c r="IC102" s="4550"/>
      <c r="ID102" s="4550"/>
      <c r="IE102" s="4550"/>
    </row>
    <row r="103" spans="1:239" s="4549" customFormat="1" ht="15">
      <c r="A103" s="4167">
        <v>1.17</v>
      </c>
      <c r="B103" s="4701" t="s">
        <v>3683</v>
      </c>
      <c r="C103" s="4727">
        <v>2</v>
      </c>
      <c r="D103" s="4600" t="s">
        <v>2433</v>
      </c>
      <c r="E103" s="4965"/>
      <c r="F103" s="4965">
        <f t="shared" si="2"/>
        <v>0</v>
      </c>
      <c r="G103" s="4537"/>
      <c r="H103" s="4537"/>
      <c r="I103" s="4537"/>
      <c r="J103" s="4537"/>
      <c r="K103" s="4537"/>
      <c r="L103" s="4537"/>
      <c r="M103" s="4537"/>
      <c r="N103" s="4537"/>
      <c r="O103" s="4537"/>
      <c r="P103" s="4537"/>
      <c r="Q103" s="4537"/>
      <c r="R103" s="4537"/>
      <c r="S103" s="4537"/>
      <c r="T103" s="4537"/>
      <c r="U103" s="4537"/>
      <c r="V103" s="4537"/>
      <c r="W103" s="4537"/>
      <c r="X103" s="4537"/>
      <c r="Y103" s="4537"/>
      <c r="Z103" s="4537"/>
      <c r="AA103" s="4537"/>
      <c r="AB103" s="4537"/>
      <c r="AC103" s="4537"/>
      <c r="AD103" s="4537"/>
      <c r="AE103" s="4537"/>
      <c r="AF103" s="4537"/>
      <c r="AG103" s="4537"/>
      <c r="AH103" s="4537"/>
      <c r="AI103" s="4537"/>
      <c r="AJ103" s="4537"/>
      <c r="AK103" s="4537"/>
      <c r="AL103" s="4537"/>
      <c r="AM103" s="4537"/>
      <c r="AN103" s="4537"/>
      <c r="AO103" s="4537"/>
      <c r="AP103" s="4537"/>
      <c r="AQ103" s="4537"/>
      <c r="AR103" s="4537"/>
      <c r="AS103" s="4550"/>
      <c r="AT103" s="4550"/>
      <c r="AU103" s="4550"/>
      <c r="AV103" s="4550"/>
      <c r="AW103" s="4550"/>
      <c r="AX103" s="4550"/>
      <c r="AY103" s="4550"/>
      <c r="AZ103" s="4550"/>
      <c r="BA103" s="4550"/>
      <c r="BB103" s="4550"/>
      <c r="BC103" s="4550"/>
      <c r="BD103" s="4550"/>
      <c r="BE103" s="4550"/>
      <c r="BF103" s="4550"/>
      <c r="BG103" s="4550"/>
      <c r="BH103" s="4550"/>
      <c r="BI103" s="4550"/>
      <c r="BJ103" s="4550"/>
      <c r="BK103" s="4550"/>
      <c r="BL103" s="4550"/>
      <c r="BM103" s="4550"/>
      <c r="BN103" s="4550"/>
      <c r="BO103" s="4550"/>
      <c r="BP103" s="4550"/>
      <c r="BQ103" s="4550"/>
      <c r="BR103" s="4550"/>
      <c r="BS103" s="4550"/>
      <c r="BT103" s="4550"/>
      <c r="BU103" s="4550"/>
      <c r="BV103" s="4550"/>
      <c r="BW103" s="4550"/>
      <c r="BX103" s="4550"/>
      <c r="BY103" s="4550"/>
      <c r="BZ103" s="4550"/>
      <c r="CA103" s="4550"/>
      <c r="CB103" s="4550"/>
      <c r="CC103" s="4550"/>
      <c r="CD103" s="4550"/>
      <c r="CE103" s="4550"/>
      <c r="CF103" s="4550"/>
      <c r="CG103" s="4550"/>
      <c r="CH103" s="4550"/>
      <c r="CI103" s="4550"/>
      <c r="CJ103" s="4550"/>
      <c r="CK103" s="4550"/>
      <c r="CL103" s="4550"/>
      <c r="CM103" s="4550"/>
      <c r="CN103" s="4550"/>
      <c r="CO103" s="4550"/>
      <c r="CP103" s="4550"/>
      <c r="CQ103" s="4550"/>
      <c r="CR103" s="4550"/>
      <c r="CS103" s="4550"/>
      <c r="CT103" s="4550"/>
      <c r="CU103" s="4550"/>
      <c r="CV103" s="4550"/>
      <c r="CW103" s="4550"/>
      <c r="CX103" s="4550"/>
      <c r="CY103" s="4550"/>
      <c r="CZ103" s="4550"/>
      <c r="DA103" s="4550"/>
      <c r="DB103" s="4550"/>
      <c r="DC103" s="4550"/>
      <c r="DD103" s="4550"/>
      <c r="DE103" s="4550"/>
      <c r="DF103" s="4550"/>
      <c r="DG103" s="4550"/>
      <c r="DH103" s="4550"/>
      <c r="DI103" s="4550"/>
      <c r="DJ103" s="4550"/>
      <c r="DK103" s="4550"/>
      <c r="DL103" s="4550"/>
      <c r="DM103" s="4550"/>
      <c r="DN103" s="4550"/>
      <c r="DO103" s="4550"/>
      <c r="DP103" s="4550"/>
      <c r="DQ103" s="4550"/>
      <c r="DR103" s="4550"/>
      <c r="DS103" s="4550"/>
      <c r="DT103" s="4550"/>
      <c r="DU103" s="4550"/>
      <c r="DV103" s="4550"/>
      <c r="DW103" s="4550"/>
      <c r="DX103" s="4550"/>
      <c r="DY103" s="4550"/>
      <c r="DZ103" s="4550"/>
      <c r="EA103" s="4550"/>
      <c r="EB103" s="4550"/>
      <c r="EC103" s="4550"/>
      <c r="ED103" s="4550"/>
      <c r="EE103" s="4550"/>
      <c r="EF103" s="4550"/>
      <c r="EG103" s="4550"/>
      <c r="EH103" s="4550"/>
      <c r="EI103" s="4550"/>
      <c r="EJ103" s="4550"/>
      <c r="EK103" s="4550"/>
      <c r="EL103" s="4550"/>
      <c r="EM103" s="4550"/>
      <c r="EN103" s="4550"/>
      <c r="EO103" s="4550"/>
      <c r="EP103" s="4550"/>
      <c r="EQ103" s="4550"/>
      <c r="ER103" s="4550"/>
      <c r="ES103" s="4550"/>
      <c r="ET103" s="4550"/>
      <c r="EU103" s="4550"/>
      <c r="EV103" s="4550"/>
      <c r="EW103" s="4550"/>
      <c r="EX103" s="4550"/>
      <c r="EY103" s="4550"/>
      <c r="EZ103" s="4550"/>
      <c r="FA103" s="4550"/>
      <c r="FB103" s="4550"/>
      <c r="FC103" s="4550"/>
      <c r="FD103" s="4550"/>
      <c r="FE103" s="4550"/>
      <c r="FF103" s="4550"/>
      <c r="FG103" s="4550"/>
      <c r="FH103" s="4550"/>
      <c r="FI103" s="4550"/>
      <c r="FJ103" s="4550"/>
      <c r="FK103" s="4550"/>
      <c r="FL103" s="4550"/>
      <c r="FM103" s="4550"/>
      <c r="FN103" s="4550"/>
      <c r="FO103" s="4550"/>
      <c r="FP103" s="4550"/>
      <c r="FQ103" s="4550"/>
      <c r="FR103" s="4550"/>
      <c r="FS103" s="4550"/>
      <c r="FT103" s="4550"/>
      <c r="FU103" s="4550"/>
      <c r="FV103" s="4550"/>
      <c r="FW103" s="4550"/>
      <c r="FX103" s="4550"/>
      <c r="FY103" s="4550"/>
      <c r="FZ103" s="4550"/>
      <c r="GA103" s="4550"/>
      <c r="GB103" s="4550"/>
      <c r="GC103" s="4550"/>
      <c r="GD103" s="4550"/>
      <c r="GE103" s="4550"/>
      <c r="GF103" s="4550"/>
      <c r="GG103" s="4550"/>
      <c r="GH103" s="4550"/>
      <c r="GI103" s="4550"/>
      <c r="GJ103" s="4550"/>
      <c r="GK103" s="4550"/>
      <c r="GL103" s="4550"/>
      <c r="GM103" s="4550"/>
      <c r="GN103" s="4550"/>
      <c r="GO103" s="4550"/>
      <c r="GP103" s="4550"/>
      <c r="GQ103" s="4550"/>
      <c r="GR103" s="4550"/>
      <c r="GS103" s="4550"/>
      <c r="GT103" s="4550"/>
      <c r="GU103" s="4550"/>
      <c r="GV103" s="4550"/>
      <c r="GW103" s="4550"/>
      <c r="GX103" s="4550"/>
      <c r="GY103" s="4550"/>
      <c r="GZ103" s="4550"/>
      <c r="HA103" s="4550"/>
      <c r="HB103" s="4550"/>
      <c r="HC103" s="4550"/>
      <c r="HD103" s="4550"/>
      <c r="HE103" s="4550"/>
      <c r="HF103" s="4550"/>
      <c r="HG103" s="4550"/>
      <c r="HH103" s="4550"/>
      <c r="HI103" s="4550"/>
      <c r="HJ103" s="4550"/>
      <c r="HK103" s="4550"/>
      <c r="HL103" s="4550"/>
      <c r="HM103" s="4550"/>
      <c r="HN103" s="4550"/>
      <c r="HO103" s="4550"/>
      <c r="HP103" s="4550"/>
      <c r="HQ103" s="4550"/>
      <c r="HR103" s="4550"/>
      <c r="HS103" s="4550"/>
      <c r="HT103" s="4550"/>
      <c r="HU103" s="4550"/>
      <c r="HV103" s="4550"/>
      <c r="HW103" s="4550"/>
      <c r="HX103" s="4550"/>
      <c r="HY103" s="4550"/>
      <c r="HZ103" s="4550"/>
      <c r="IA103" s="4550"/>
      <c r="IB103" s="4550"/>
      <c r="IC103" s="4550"/>
      <c r="ID103" s="4550"/>
      <c r="IE103" s="4550"/>
    </row>
    <row r="104" spans="1:239" s="4549" customFormat="1" ht="15">
      <c r="A104" s="4677">
        <v>1.18</v>
      </c>
      <c r="B104" s="4701" t="s">
        <v>3685</v>
      </c>
      <c r="C104" s="4727">
        <v>2</v>
      </c>
      <c r="D104" s="4600" t="s">
        <v>2433</v>
      </c>
      <c r="E104" s="4978"/>
      <c r="F104" s="4965">
        <f t="shared" si="2"/>
        <v>0</v>
      </c>
      <c r="G104" s="4537"/>
      <c r="H104" s="4537"/>
      <c r="I104" s="4537"/>
      <c r="J104" s="4537"/>
      <c r="K104" s="4537"/>
      <c r="L104" s="4537"/>
      <c r="M104" s="4537"/>
      <c r="N104" s="4537"/>
      <c r="O104" s="4537"/>
      <c r="P104" s="4537"/>
      <c r="Q104" s="4537"/>
      <c r="R104" s="4537"/>
      <c r="S104" s="4537"/>
      <c r="T104" s="4537"/>
      <c r="U104" s="4537"/>
      <c r="V104" s="4537"/>
      <c r="W104" s="4537"/>
      <c r="X104" s="4537"/>
      <c r="Y104" s="4537"/>
      <c r="Z104" s="4537"/>
      <c r="AA104" s="4537"/>
      <c r="AB104" s="4537"/>
      <c r="AC104" s="4537"/>
      <c r="AD104" s="4537"/>
      <c r="AE104" s="4537"/>
      <c r="AF104" s="4537"/>
      <c r="AG104" s="4537"/>
      <c r="AH104" s="4537"/>
      <c r="AI104" s="4537"/>
      <c r="AJ104" s="4537"/>
      <c r="AK104" s="4537"/>
      <c r="AL104" s="4537"/>
      <c r="AM104" s="4537"/>
      <c r="AN104" s="4537"/>
      <c r="AO104" s="4537"/>
      <c r="AP104" s="4537"/>
      <c r="AQ104" s="4537"/>
      <c r="AR104" s="4537"/>
      <c r="AS104" s="4550"/>
      <c r="AT104" s="4550"/>
      <c r="AU104" s="4550"/>
      <c r="AV104" s="4550"/>
      <c r="AW104" s="4550"/>
      <c r="AX104" s="4550"/>
      <c r="AY104" s="4550"/>
      <c r="AZ104" s="4550"/>
      <c r="BA104" s="4550"/>
      <c r="BB104" s="4550"/>
      <c r="BC104" s="4550"/>
      <c r="BD104" s="4550"/>
      <c r="BE104" s="4550"/>
      <c r="BF104" s="4550"/>
      <c r="BG104" s="4550"/>
      <c r="BH104" s="4550"/>
      <c r="BI104" s="4550"/>
      <c r="BJ104" s="4550"/>
      <c r="BK104" s="4550"/>
      <c r="BL104" s="4550"/>
      <c r="BM104" s="4550"/>
      <c r="BN104" s="4550"/>
      <c r="BO104" s="4550"/>
      <c r="BP104" s="4550"/>
      <c r="BQ104" s="4550"/>
      <c r="BR104" s="4550"/>
      <c r="BS104" s="4550"/>
      <c r="BT104" s="4550"/>
      <c r="BU104" s="4550"/>
      <c r="BV104" s="4550"/>
      <c r="BW104" s="4550"/>
      <c r="BX104" s="4550"/>
      <c r="BY104" s="4550"/>
      <c r="BZ104" s="4550"/>
      <c r="CA104" s="4550"/>
      <c r="CB104" s="4550"/>
      <c r="CC104" s="4550"/>
      <c r="CD104" s="4550"/>
      <c r="CE104" s="4550"/>
      <c r="CF104" s="4550"/>
      <c r="CG104" s="4550"/>
      <c r="CH104" s="4550"/>
      <c r="CI104" s="4550"/>
      <c r="CJ104" s="4550"/>
      <c r="CK104" s="4550"/>
      <c r="CL104" s="4550"/>
      <c r="CM104" s="4550"/>
      <c r="CN104" s="4550"/>
      <c r="CO104" s="4550"/>
      <c r="CP104" s="4550"/>
      <c r="CQ104" s="4550"/>
      <c r="CR104" s="4550"/>
      <c r="CS104" s="4550"/>
      <c r="CT104" s="4550"/>
      <c r="CU104" s="4550"/>
      <c r="CV104" s="4550"/>
      <c r="CW104" s="4550"/>
      <c r="CX104" s="4550"/>
      <c r="CY104" s="4550"/>
      <c r="CZ104" s="4550"/>
      <c r="DA104" s="4550"/>
      <c r="DB104" s="4550"/>
      <c r="DC104" s="4550"/>
      <c r="DD104" s="4550"/>
      <c r="DE104" s="4550"/>
      <c r="DF104" s="4550"/>
      <c r="DG104" s="4550"/>
      <c r="DH104" s="4550"/>
      <c r="DI104" s="4550"/>
      <c r="DJ104" s="4550"/>
      <c r="DK104" s="4550"/>
      <c r="DL104" s="4550"/>
      <c r="DM104" s="4550"/>
      <c r="DN104" s="4550"/>
      <c r="DO104" s="4550"/>
      <c r="DP104" s="4550"/>
      <c r="DQ104" s="4550"/>
      <c r="DR104" s="4550"/>
      <c r="DS104" s="4550"/>
      <c r="DT104" s="4550"/>
      <c r="DU104" s="4550"/>
      <c r="DV104" s="4550"/>
      <c r="DW104" s="4550"/>
      <c r="DX104" s="4550"/>
      <c r="DY104" s="4550"/>
      <c r="DZ104" s="4550"/>
      <c r="EA104" s="4550"/>
      <c r="EB104" s="4550"/>
      <c r="EC104" s="4550"/>
      <c r="ED104" s="4550"/>
      <c r="EE104" s="4550"/>
      <c r="EF104" s="4550"/>
      <c r="EG104" s="4550"/>
      <c r="EH104" s="4550"/>
      <c r="EI104" s="4550"/>
      <c r="EJ104" s="4550"/>
      <c r="EK104" s="4550"/>
      <c r="EL104" s="4550"/>
      <c r="EM104" s="4550"/>
      <c r="EN104" s="4550"/>
      <c r="EO104" s="4550"/>
      <c r="EP104" s="4550"/>
      <c r="EQ104" s="4550"/>
      <c r="ER104" s="4550"/>
      <c r="ES104" s="4550"/>
      <c r="ET104" s="4550"/>
      <c r="EU104" s="4550"/>
      <c r="EV104" s="4550"/>
      <c r="EW104" s="4550"/>
      <c r="EX104" s="4550"/>
      <c r="EY104" s="4550"/>
      <c r="EZ104" s="4550"/>
      <c r="FA104" s="4550"/>
      <c r="FB104" s="4550"/>
      <c r="FC104" s="4550"/>
      <c r="FD104" s="4550"/>
      <c r="FE104" s="4550"/>
      <c r="FF104" s="4550"/>
      <c r="FG104" s="4550"/>
      <c r="FH104" s="4550"/>
      <c r="FI104" s="4550"/>
      <c r="FJ104" s="4550"/>
      <c r="FK104" s="4550"/>
      <c r="FL104" s="4550"/>
      <c r="FM104" s="4550"/>
      <c r="FN104" s="4550"/>
      <c r="FO104" s="4550"/>
      <c r="FP104" s="4550"/>
      <c r="FQ104" s="4550"/>
      <c r="FR104" s="4550"/>
      <c r="FS104" s="4550"/>
      <c r="FT104" s="4550"/>
      <c r="FU104" s="4550"/>
      <c r="FV104" s="4550"/>
      <c r="FW104" s="4550"/>
      <c r="FX104" s="4550"/>
      <c r="FY104" s="4550"/>
      <c r="FZ104" s="4550"/>
      <c r="GA104" s="4550"/>
      <c r="GB104" s="4550"/>
      <c r="GC104" s="4550"/>
      <c r="GD104" s="4550"/>
      <c r="GE104" s="4550"/>
      <c r="GF104" s="4550"/>
      <c r="GG104" s="4550"/>
      <c r="GH104" s="4550"/>
      <c r="GI104" s="4550"/>
      <c r="GJ104" s="4550"/>
      <c r="GK104" s="4550"/>
      <c r="GL104" s="4550"/>
      <c r="GM104" s="4550"/>
      <c r="GN104" s="4550"/>
      <c r="GO104" s="4550"/>
      <c r="GP104" s="4550"/>
      <c r="GQ104" s="4550"/>
      <c r="GR104" s="4550"/>
      <c r="GS104" s="4550"/>
      <c r="GT104" s="4550"/>
      <c r="GU104" s="4550"/>
      <c r="GV104" s="4550"/>
      <c r="GW104" s="4550"/>
      <c r="GX104" s="4550"/>
      <c r="GY104" s="4550"/>
      <c r="GZ104" s="4550"/>
      <c r="HA104" s="4550"/>
      <c r="HB104" s="4550"/>
      <c r="HC104" s="4550"/>
      <c r="HD104" s="4550"/>
      <c r="HE104" s="4550"/>
      <c r="HF104" s="4550"/>
      <c r="HG104" s="4550"/>
      <c r="HH104" s="4550"/>
      <c r="HI104" s="4550"/>
      <c r="HJ104" s="4550"/>
      <c r="HK104" s="4550"/>
      <c r="HL104" s="4550"/>
      <c r="HM104" s="4550"/>
      <c r="HN104" s="4550"/>
      <c r="HO104" s="4550"/>
      <c r="HP104" s="4550"/>
      <c r="HQ104" s="4550"/>
      <c r="HR104" s="4550"/>
      <c r="HS104" s="4550"/>
      <c r="HT104" s="4550"/>
      <c r="HU104" s="4550"/>
      <c r="HV104" s="4550"/>
      <c r="HW104" s="4550"/>
      <c r="HX104" s="4550"/>
      <c r="HY104" s="4550"/>
      <c r="HZ104" s="4550"/>
      <c r="IA104" s="4550"/>
      <c r="IB104" s="4550"/>
      <c r="IC104" s="4550"/>
      <c r="ID104" s="4550"/>
      <c r="IE104" s="4550"/>
    </row>
    <row r="105" spans="1:239" s="4549" customFormat="1" ht="15">
      <c r="A105" s="4167">
        <v>1.19</v>
      </c>
      <c r="B105" s="4701" t="s">
        <v>3687</v>
      </c>
      <c r="C105" s="4727">
        <v>22</v>
      </c>
      <c r="D105" s="4600" t="s">
        <v>2433</v>
      </c>
      <c r="E105" s="4965"/>
      <c r="F105" s="4965">
        <f t="shared" si="2"/>
        <v>0</v>
      </c>
      <c r="G105" s="4537"/>
      <c r="H105" s="4537"/>
      <c r="I105" s="4537"/>
      <c r="J105" s="4537"/>
      <c r="K105" s="4537"/>
      <c r="L105" s="4537"/>
      <c r="M105" s="4537"/>
      <c r="N105" s="4537"/>
      <c r="O105" s="4537"/>
      <c r="P105" s="4537"/>
      <c r="Q105" s="4537"/>
      <c r="R105" s="4537"/>
      <c r="S105" s="4537"/>
      <c r="T105" s="4537"/>
      <c r="U105" s="4537"/>
      <c r="V105" s="4537"/>
      <c r="W105" s="4537"/>
      <c r="X105" s="4537"/>
      <c r="Y105" s="4537"/>
      <c r="Z105" s="4537"/>
      <c r="AA105" s="4537"/>
      <c r="AB105" s="4537"/>
      <c r="AC105" s="4537"/>
      <c r="AD105" s="4537"/>
      <c r="AE105" s="4537"/>
      <c r="AF105" s="4537"/>
      <c r="AG105" s="4537"/>
      <c r="AH105" s="4537"/>
      <c r="AI105" s="4537"/>
      <c r="AJ105" s="4537"/>
      <c r="AK105" s="4537"/>
      <c r="AL105" s="4537"/>
      <c r="AM105" s="4537"/>
      <c r="AN105" s="4537"/>
      <c r="AO105" s="4537"/>
      <c r="AP105" s="4537"/>
      <c r="AQ105" s="4537"/>
      <c r="AR105" s="4537"/>
      <c r="AS105" s="4550"/>
      <c r="AT105" s="4550"/>
      <c r="AU105" s="4550"/>
      <c r="AV105" s="4550"/>
      <c r="AW105" s="4550"/>
      <c r="AX105" s="4550"/>
      <c r="AY105" s="4550"/>
      <c r="AZ105" s="4550"/>
      <c r="BA105" s="4550"/>
      <c r="BB105" s="4550"/>
      <c r="BC105" s="4550"/>
      <c r="BD105" s="4550"/>
      <c r="BE105" s="4550"/>
      <c r="BF105" s="4550"/>
      <c r="BG105" s="4550"/>
      <c r="BH105" s="4550"/>
      <c r="BI105" s="4550"/>
      <c r="BJ105" s="4550"/>
      <c r="BK105" s="4550"/>
      <c r="BL105" s="4550"/>
      <c r="BM105" s="4550"/>
      <c r="BN105" s="4550"/>
      <c r="BO105" s="4550"/>
      <c r="BP105" s="4550"/>
      <c r="BQ105" s="4550"/>
      <c r="BR105" s="4550"/>
      <c r="BS105" s="4550"/>
      <c r="BT105" s="4550"/>
      <c r="BU105" s="4550"/>
      <c r="BV105" s="4550"/>
      <c r="BW105" s="4550"/>
      <c r="BX105" s="4550"/>
      <c r="BY105" s="4550"/>
      <c r="BZ105" s="4550"/>
      <c r="CA105" s="4550"/>
      <c r="CB105" s="4550"/>
      <c r="CC105" s="4550"/>
      <c r="CD105" s="4550"/>
      <c r="CE105" s="4550"/>
      <c r="CF105" s="4550"/>
      <c r="CG105" s="4550"/>
      <c r="CH105" s="4550"/>
      <c r="CI105" s="4550"/>
      <c r="CJ105" s="4550"/>
      <c r="CK105" s="4550"/>
      <c r="CL105" s="4550"/>
      <c r="CM105" s="4550"/>
      <c r="CN105" s="4550"/>
      <c r="CO105" s="4550"/>
      <c r="CP105" s="4550"/>
      <c r="CQ105" s="4550"/>
      <c r="CR105" s="4550"/>
      <c r="CS105" s="4550"/>
      <c r="CT105" s="4550"/>
      <c r="CU105" s="4550"/>
      <c r="CV105" s="4550"/>
      <c r="CW105" s="4550"/>
      <c r="CX105" s="4550"/>
      <c r="CY105" s="4550"/>
      <c r="CZ105" s="4550"/>
      <c r="DA105" s="4550"/>
      <c r="DB105" s="4550"/>
      <c r="DC105" s="4550"/>
      <c r="DD105" s="4550"/>
      <c r="DE105" s="4550"/>
      <c r="DF105" s="4550"/>
      <c r="DG105" s="4550"/>
      <c r="DH105" s="4550"/>
      <c r="DI105" s="4550"/>
      <c r="DJ105" s="4550"/>
      <c r="DK105" s="4550"/>
      <c r="DL105" s="4550"/>
      <c r="DM105" s="4550"/>
      <c r="DN105" s="4550"/>
      <c r="DO105" s="4550"/>
      <c r="DP105" s="4550"/>
      <c r="DQ105" s="4550"/>
      <c r="DR105" s="4550"/>
      <c r="DS105" s="4550"/>
      <c r="DT105" s="4550"/>
      <c r="DU105" s="4550"/>
      <c r="DV105" s="4550"/>
      <c r="DW105" s="4550"/>
      <c r="DX105" s="4550"/>
      <c r="DY105" s="4550"/>
      <c r="DZ105" s="4550"/>
      <c r="EA105" s="4550"/>
      <c r="EB105" s="4550"/>
      <c r="EC105" s="4550"/>
      <c r="ED105" s="4550"/>
      <c r="EE105" s="4550"/>
      <c r="EF105" s="4550"/>
      <c r="EG105" s="4550"/>
      <c r="EH105" s="4550"/>
      <c r="EI105" s="4550"/>
      <c r="EJ105" s="4550"/>
      <c r="EK105" s="4550"/>
      <c r="EL105" s="4550"/>
      <c r="EM105" s="4550"/>
      <c r="EN105" s="4550"/>
      <c r="EO105" s="4550"/>
      <c r="EP105" s="4550"/>
      <c r="EQ105" s="4550"/>
      <c r="ER105" s="4550"/>
      <c r="ES105" s="4550"/>
      <c r="ET105" s="4550"/>
      <c r="EU105" s="4550"/>
      <c r="EV105" s="4550"/>
      <c r="EW105" s="4550"/>
      <c r="EX105" s="4550"/>
      <c r="EY105" s="4550"/>
      <c r="EZ105" s="4550"/>
      <c r="FA105" s="4550"/>
      <c r="FB105" s="4550"/>
      <c r="FC105" s="4550"/>
      <c r="FD105" s="4550"/>
      <c r="FE105" s="4550"/>
      <c r="FF105" s="4550"/>
      <c r="FG105" s="4550"/>
      <c r="FH105" s="4550"/>
      <c r="FI105" s="4550"/>
      <c r="FJ105" s="4550"/>
      <c r="FK105" s="4550"/>
      <c r="FL105" s="4550"/>
      <c r="FM105" s="4550"/>
      <c r="FN105" s="4550"/>
      <c r="FO105" s="4550"/>
      <c r="FP105" s="4550"/>
      <c r="FQ105" s="4550"/>
      <c r="FR105" s="4550"/>
      <c r="FS105" s="4550"/>
      <c r="FT105" s="4550"/>
      <c r="FU105" s="4550"/>
      <c r="FV105" s="4550"/>
      <c r="FW105" s="4550"/>
      <c r="FX105" s="4550"/>
      <c r="FY105" s="4550"/>
      <c r="FZ105" s="4550"/>
      <c r="GA105" s="4550"/>
      <c r="GB105" s="4550"/>
      <c r="GC105" s="4550"/>
      <c r="GD105" s="4550"/>
      <c r="GE105" s="4550"/>
      <c r="GF105" s="4550"/>
      <c r="GG105" s="4550"/>
      <c r="GH105" s="4550"/>
      <c r="GI105" s="4550"/>
      <c r="GJ105" s="4550"/>
      <c r="GK105" s="4550"/>
      <c r="GL105" s="4550"/>
      <c r="GM105" s="4550"/>
      <c r="GN105" s="4550"/>
      <c r="GO105" s="4550"/>
      <c r="GP105" s="4550"/>
      <c r="GQ105" s="4550"/>
      <c r="GR105" s="4550"/>
      <c r="GS105" s="4550"/>
      <c r="GT105" s="4550"/>
      <c r="GU105" s="4550"/>
      <c r="GV105" s="4550"/>
      <c r="GW105" s="4550"/>
      <c r="GX105" s="4550"/>
      <c r="GY105" s="4550"/>
      <c r="GZ105" s="4550"/>
      <c r="HA105" s="4550"/>
      <c r="HB105" s="4550"/>
      <c r="HC105" s="4550"/>
      <c r="HD105" s="4550"/>
      <c r="HE105" s="4550"/>
      <c r="HF105" s="4550"/>
      <c r="HG105" s="4550"/>
      <c r="HH105" s="4550"/>
      <c r="HI105" s="4550"/>
      <c r="HJ105" s="4550"/>
      <c r="HK105" s="4550"/>
      <c r="HL105" s="4550"/>
      <c r="HM105" s="4550"/>
      <c r="HN105" s="4550"/>
      <c r="HO105" s="4550"/>
      <c r="HP105" s="4550"/>
      <c r="HQ105" s="4550"/>
      <c r="HR105" s="4550"/>
      <c r="HS105" s="4550"/>
      <c r="HT105" s="4550"/>
      <c r="HU105" s="4550"/>
      <c r="HV105" s="4550"/>
      <c r="HW105" s="4550"/>
      <c r="HX105" s="4550"/>
      <c r="HY105" s="4550"/>
      <c r="HZ105" s="4550"/>
      <c r="IA105" s="4550"/>
      <c r="IB105" s="4550"/>
      <c r="IC105" s="4550"/>
      <c r="ID105" s="4550"/>
      <c r="IE105" s="4550"/>
    </row>
    <row r="106" spans="1:239" s="4549" customFormat="1" ht="15">
      <c r="A106" s="4677">
        <v>1.2</v>
      </c>
      <c r="B106" s="4701" t="s">
        <v>3688</v>
      </c>
      <c r="C106" s="4727">
        <v>22</v>
      </c>
      <c r="D106" s="4600" t="s">
        <v>2433</v>
      </c>
      <c r="E106" s="4965"/>
      <c r="F106" s="4965">
        <f t="shared" si="2"/>
        <v>0</v>
      </c>
      <c r="G106" s="4537"/>
      <c r="H106" s="4537"/>
      <c r="I106" s="4537"/>
      <c r="J106" s="4537"/>
      <c r="K106" s="4537"/>
      <c r="L106" s="4537"/>
      <c r="M106" s="4537"/>
      <c r="N106" s="4537"/>
      <c r="O106" s="4537"/>
      <c r="P106" s="4537"/>
      <c r="Q106" s="4537"/>
      <c r="R106" s="4537"/>
      <c r="S106" s="4537"/>
      <c r="T106" s="4537"/>
      <c r="U106" s="4537"/>
      <c r="V106" s="4537"/>
      <c r="W106" s="4537"/>
      <c r="X106" s="4537"/>
      <c r="Y106" s="4537"/>
      <c r="Z106" s="4537"/>
      <c r="AA106" s="4537"/>
      <c r="AB106" s="4537"/>
      <c r="AC106" s="4537"/>
      <c r="AD106" s="4537"/>
      <c r="AE106" s="4537"/>
      <c r="AF106" s="4537"/>
      <c r="AG106" s="4537"/>
      <c r="AH106" s="4537"/>
      <c r="AI106" s="4537"/>
      <c r="AJ106" s="4537"/>
      <c r="AK106" s="4537"/>
      <c r="AL106" s="4537"/>
      <c r="AM106" s="4537"/>
      <c r="AN106" s="4537"/>
      <c r="AO106" s="4537"/>
      <c r="AP106" s="4537"/>
      <c r="AQ106" s="4537"/>
      <c r="AR106" s="4537"/>
      <c r="AS106" s="4550"/>
      <c r="AT106" s="4550"/>
      <c r="AU106" s="4550"/>
      <c r="AV106" s="4550"/>
      <c r="AW106" s="4550"/>
      <c r="AX106" s="4550"/>
      <c r="AY106" s="4550"/>
      <c r="AZ106" s="4550"/>
      <c r="BA106" s="4550"/>
      <c r="BB106" s="4550"/>
      <c r="BC106" s="4550"/>
      <c r="BD106" s="4550"/>
      <c r="BE106" s="4550"/>
      <c r="BF106" s="4550"/>
      <c r="BG106" s="4550"/>
      <c r="BH106" s="4550"/>
      <c r="BI106" s="4550"/>
      <c r="BJ106" s="4550"/>
      <c r="BK106" s="4550"/>
      <c r="BL106" s="4550"/>
      <c r="BM106" s="4550"/>
      <c r="BN106" s="4550"/>
      <c r="BO106" s="4550"/>
      <c r="BP106" s="4550"/>
      <c r="BQ106" s="4550"/>
      <c r="BR106" s="4550"/>
      <c r="BS106" s="4550"/>
      <c r="BT106" s="4550"/>
      <c r="BU106" s="4550"/>
      <c r="BV106" s="4550"/>
      <c r="BW106" s="4550"/>
      <c r="BX106" s="4550"/>
      <c r="BY106" s="4550"/>
      <c r="BZ106" s="4550"/>
      <c r="CA106" s="4550"/>
      <c r="CB106" s="4550"/>
      <c r="CC106" s="4550"/>
      <c r="CD106" s="4550"/>
      <c r="CE106" s="4550"/>
      <c r="CF106" s="4550"/>
      <c r="CG106" s="4550"/>
      <c r="CH106" s="4550"/>
      <c r="CI106" s="4550"/>
      <c r="CJ106" s="4550"/>
      <c r="CK106" s="4550"/>
      <c r="CL106" s="4550"/>
      <c r="CM106" s="4550"/>
      <c r="CN106" s="4550"/>
      <c r="CO106" s="4550"/>
      <c r="CP106" s="4550"/>
      <c r="CQ106" s="4550"/>
      <c r="CR106" s="4550"/>
      <c r="CS106" s="4550"/>
      <c r="CT106" s="4550"/>
      <c r="CU106" s="4550"/>
      <c r="CV106" s="4550"/>
      <c r="CW106" s="4550"/>
      <c r="CX106" s="4550"/>
      <c r="CY106" s="4550"/>
      <c r="CZ106" s="4550"/>
      <c r="DA106" s="4550"/>
      <c r="DB106" s="4550"/>
      <c r="DC106" s="4550"/>
      <c r="DD106" s="4550"/>
      <c r="DE106" s="4550"/>
      <c r="DF106" s="4550"/>
      <c r="DG106" s="4550"/>
      <c r="DH106" s="4550"/>
      <c r="DI106" s="4550"/>
      <c r="DJ106" s="4550"/>
      <c r="DK106" s="4550"/>
      <c r="DL106" s="4550"/>
      <c r="DM106" s="4550"/>
      <c r="DN106" s="4550"/>
      <c r="DO106" s="4550"/>
      <c r="DP106" s="4550"/>
      <c r="DQ106" s="4550"/>
      <c r="DR106" s="4550"/>
      <c r="DS106" s="4550"/>
      <c r="DT106" s="4550"/>
      <c r="DU106" s="4550"/>
      <c r="DV106" s="4550"/>
      <c r="DW106" s="4550"/>
      <c r="DX106" s="4550"/>
      <c r="DY106" s="4550"/>
      <c r="DZ106" s="4550"/>
      <c r="EA106" s="4550"/>
      <c r="EB106" s="4550"/>
      <c r="EC106" s="4550"/>
      <c r="ED106" s="4550"/>
      <c r="EE106" s="4550"/>
      <c r="EF106" s="4550"/>
      <c r="EG106" s="4550"/>
      <c r="EH106" s="4550"/>
      <c r="EI106" s="4550"/>
      <c r="EJ106" s="4550"/>
      <c r="EK106" s="4550"/>
      <c r="EL106" s="4550"/>
      <c r="EM106" s="4550"/>
      <c r="EN106" s="4550"/>
      <c r="EO106" s="4550"/>
      <c r="EP106" s="4550"/>
      <c r="EQ106" s="4550"/>
      <c r="ER106" s="4550"/>
      <c r="ES106" s="4550"/>
      <c r="ET106" s="4550"/>
      <c r="EU106" s="4550"/>
      <c r="EV106" s="4550"/>
      <c r="EW106" s="4550"/>
      <c r="EX106" s="4550"/>
      <c r="EY106" s="4550"/>
      <c r="EZ106" s="4550"/>
      <c r="FA106" s="4550"/>
      <c r="FB106" s="4550"/>
      <c r="FC106" s="4550"/>
      <c r="FD106" s="4550"/>
      <c r="FE106" s="4550"/>
      <c r="FF106" s="4550"/>
      <c r="FG106" s="4550"/>
      <c r="FH106" s="4550"/>
      <c r="FI106" s="4550"/>
      <c r="FJ106" s="4550"/>
      <c r="FK106" s="4550"/>
      <c r="FL106" s="4550"/>
      <c r="FM106" s="4550"/>
      <c r="FN106" s="4550"/>
      <c r="FO106" s="4550"/>
      <c r="FP106" s="4550"/>
      <c r="FQ106" s="4550"/>
      <c r="FR106" s="4550"/>
      <c r="FS106" s="4550"/>
      <c r="FT106" s="4550"/>
      <c r="FU106" s="4550"/>
      <c r="FV106" s="4550"/>
      <c r="FW106" s="4550"/>
      <c r="FX106" s="4550"/>
      <c r="FY106" s="4550"/>
      <c r="FZ106" s="4550"/>
      <c r="GA106" s="4550"/>
      <c r="GB106" s="4550"/>
      <c r="GC106" s="4550"/>
      <c r="GD106" s="4550"/>
      <c r="GE106" s="4550"/>
      <c r="GF106" s="4550"/>
      <c r="GG106" s="4550"/>
      <c r="GH106" s="4550"/>
      <c r="GI106" s="4550"/>
      <c r="GJ106" s="4550"/>
      <c r="GK106" s="4550"/>
      <c r="GL106" s="4550"/>
      <c r="GM106" s="4550"/>
      <c r="GN106" s="4550"/>
      <c r="GO106" s="4550"/>
      <c r="GP106" s="4550"/>
      <c r="GQ106" s="4550"/>
      <c r="GR106" s="4550"/>
      <c r="GS106" s="4550"/>
      <c r="GT106" s="4550"/>
      <c r="GU106" s="4550"/>
      <c r="GV106" s="4550"/>
      <c r="GW106" s="4550"/>
      <c r="GX106" s="4550"/>
      <c r="GY106" s="4550"/>
      <c r="GZ106" s="4550"/>
      <c r="HA106" s="4550"/>
      <c r="HB106" s="4550"/>
      <c r="HC106" s="4550"/>
      <c r="HD106" s="4550"/>
      <c r="HE106" s="4550"/>
      <c r="HF106" s="4550"/>
      <c r="HG106" s="4550"/>
      <c r="HH106" s="4550"/>
      <c r="HI106" s="4550"/>
      <c r="HJ106" s="4550"/>
      <c r="HK106" s="4550"/>
      <c r="HL106" s="4550"/>
      <c r="HM106" s="4550"/>
      <c r="HN106" s="4550"/>
      <c r="HO106" s="4550"/>
      <c r="HP106" s="4550"/>
      <c r="HQ106" s="4550"/>
      <c r="HR106" s="4550"/>
      <c r="HS106" s="4550"/>
      <c r="HT106" s="4550"/>
      <c r="HU106" s="4550"/>
      <c r="HV106" s="4550"/>
      <c r="HW106" s="4550"/>
      <c r="HX106" s="4550"/>
      <c r="HY106" s="4550"/>
      <c r="HZ106" s="4550"/>
      <c r="IA106" s="4550"/>
      <c r="IB106" s="4550"/>
      <c r="IC106" s="4550"/>
      <c r="ID106" s="4550"/>
      <c r="IE106" s="4550"/>
    </row>
    <row r="107" spans="1:239" s="4549" customFormat="1" ht="15">
      <c r="A107" s="4167">
        <v>1.21</v>
      </c>
      <c r="B107" s="4701" t="s">
        <v>4096</v>
      </c>
      <c r="C107" s="4727">
        <v>23</v>
      </c>
      <c r="D107" s="4600" t="s">
        <v>2433</v>
      </c>
      <c r="E107" s="4965"/>
      <c r="F107" s="4965">
        <f t="shared" si="2"/>
        <v>0</v>
      </c>
      <c r="G107" s="4537"/>
      <c r="H107" s="4537"/>
      <c r="I107" s="4537"/>
      <c r="J107" s="4537"/>
      <c r="K107" s="4537"/>
      <c r="L107" s="4537"/>
      <c r="M107" s="4537"/>
      <c r="N107" s="4537"/>
      <c r="O107" s="4537"/>
      <c r="P107" s="4537"/>
      <c r="Q107" s="4537"/>
      <c r="R107" s="4537"/>
      <c r="S107" s="4537"/>
      <c r="T107" s="4537"/>
      <c r="U107" s="4537"/>
      <c r="V107" s="4537"/>
      <c r="W107" s="4537"/>
      <c r="X107" s="4537"/>
      <c r="Y107" s="4537"/>
      <c r="Z107" s="4537"/>
      <c r="AA107" s="4537"/>
      <c r="AB107" s="4537"/>
      <c r="AC107" s="4537"/>
      <c r="AD107" s="4537"/>
      <c r="AE107" s="4537"/>
      <c r="AF107" s="4537"/>
      <c r="AG107" s="4537"/>
      <c r="AH107" s="4537"/>
      <c r="AI107" s="4537"/>
      <c r="AJ107" s="4537"/>
      <c r="AK107" s="4537"/>
      <c r="AL107" s="4537"/>
      <c r="AM107" s="4537"/>
      <c r="AN107" s="4537"/>
      <c r="AO107" s="4537"/>
      <c r="AP107" s="4537"/>
      <c r="AQ107" s="4537"/>
      <c r="AR107" s="4537"/>
      <c r="AS107" s="4550"/>
      <c r="AT107" s="4550"/>
      <c r="AU107" s="4550"/>
      <c r="AV107" s="4550"/>
      <c r="AW107" s="4550"/>
      <c r="AX107" s="4550"/>
      <c r="AY107" s="4550"/>
      <c r="AZ107" s="4550"/>
      <c r="BA107" s="4550"/>
      <c r="BB107" s="4550"/>
      <c r="BC107" s="4550"/>
      <c r="BD107" s="4550"/>
      <c r="BE107" s="4550"/>
      <c r="BF107" s="4550"/>
      <c r="BG107" s="4550"/>
      <c r="BH107" s="4550"/>
      <c r="BI107" s="4550"/>
      <c r="BJ107" s="4550"/>
      <c r="BK107" s="4550"/>
      <c r="BL107" s="4550"/>
      <c r="BM107" s="4550"/>
      <c r="BN107" s="4550"/>
      <c r="BO107" s="4550"/>
      <c r="BP107" s="4550"/>
      <c r="BQ107" s="4550"/>
      <c r="BR107" s="4550"/>
      <c r="BS107" s="4550"/>
      <c r="BT107" s="4550"/>
      <c r="BU107" s="4550"/>
      <c r="BV107" s="4550"/>
      <c r="BW107" s="4550"/>
      <c r="BX107" s="4550"/>
      <c r="BY107" s="4550"/>
      <c r="BZ107" s="4550"/>
      <c r="CA107" s="4550"/>
      <c r="CB107" s="4550"/>
      <c r="CC107" s="4550"/>
      <c r="CD107" s="4550"/>
      <c r="CE107" s="4550"/>
      <c r="CF107" s="4550"/>
      <c r="CG107" s="4550"/>
      <c r="CH107" s="4550"/>
      <c r="CI107" s="4550"/>
      <c r="CJ107" s="4550"/>
      <c r="CK107" s="4550"/>
      <c r="CL107" s="4550"/>
      <c r="CM107" s="4550"/>
      <c r="CN107" s="4550"/>
      <c r="CO107" s="4550"/>
      <c r="CP107" s="4550"/>
      <c r="CQ107" s="4550"/>
      <c r="CR107" s="4550"/>
      <c r="CS107" s="4550"/>
      <c r="CT107" s="4550"/>
      <c r="CU107" s="4550"/>
      <c r="CV107" s="4550"/>
      <c r="CW107" s="4550"/>
      <c r="CX107" s="4550"/>
      <c r="CY107" s="4550"/>
      <c r="CZ107" s="4550"/>
      <c r="DA107" s="4550"/>
      <c r="DB107" s="4550"/>
      <c r="DC107" s="4550"/>
      <c r="DD107" s="4550"/>
      <c r="DE107" s="4550"/>
      <c r="DF107" s="4550"/>
      <c r="DG107" s="4550"/>
      <c r="DH107" s="4550"/>
      <c r="DI107" s="4550"/>
      <c r="DJ107" s="4550"/>
      <c r="DK107" s="4550"/>
      <c r="DL107" s="4550"/>
      <c r="DM107" s="4550"/>
      <c r="DN107" s="4550"/>
      <c r="DO107" s="4550"/>
      <c r="DP107" s="4550"/>
      <c r="DQ107" s="4550"/>
      <c r="DR107" s="4550"/>
      <c r="DS107" s="4550"/>
      <c r="DT107" s="4550"/>
      <c r="DU107" s="4550"/>
      <c r="DV107" s="4550"/>
      <c r="DW107" s="4550"/>
      <c r="DX107" s="4550"/>
      <c r="DY107" s="4550"/>
      <c r="DZ107" s="4550"/>
      <c r="EA107" s="4550"/>
      <c r="EB107" s="4550"/>
      <c r="EC107" s="4550"/>
      <c r="ED107" s="4550"/>
      <c r="EE107" s="4550"/>
      <c r="EF107" s="4550"/>
      <c r="EG107" s="4550"/>
      <c r="EH107" s="4550"/>
      <c r="EI107" s="4550"/>
      <c r="EJ107" s="4550"/>
      <c r="EK107" s="4550"/>
      <c r="EL107" s="4550"/>
      <c r="EM107" s="4550"/>
      <c r="EN107" s="4550"/>
      <c r="EO107" s="4550"/>
      <c r="EP107" s="4550"/>
      <c r="EQ107" s="4550"/>
      <c r="ER107" s="4550"/>
      <c r="ES107" s="4550"/>
      <c r="ET107" s="4550"/>
      <c r="EU107" s="4550"/>
      <c r="EV107" s="4550"/>
      <c r="EW107" s="4550"/>
      <c r="EX107" s="4550"/>
      <c r="EY107" s="4550"/>
      <c r="EZ107" s="4550"/>
      <c r="FA107" s="4550"/>
      <c r="FB107" s="4550"/>
      <c r="FC107" s="4550"/>
      <c r="FD107" s="4550"/>
      <c r="FE107" s="4550"/>
      <c r="FF107" s="4550"/>
      <c r="FG107" s="4550"/>
      <c r="FH107" s="4550"/>
      <c r="FI107" s="4550"/>
      <c r="FJ107" s="4550"/>
      <c r="FK107" s="4550"/>
      <c r="FL107" s="4550"/>
      <c r="FM107" s="4550"/>
      <c r="FN107" s="4550"/>
      <c r="FO107" s="4550"/>
      <c r="FP107" s="4550"/>
      <c r="FQ107" s="4550"/>
      <c r="FR107" s="4550"/>
      <c r="FS107" s="4550"/>
      <c r="FT107" s="4550"/>
      <c r="FU107" s="4550"/>
      <c r="FV107" s="4550"/>
      <c r="FW107" s="4550"/>
      <c r="FX107" s="4550"/>
      <c r="FY107" s="4550"/>
      <c r="FZ107" s="4550"/>
      <c r="GA107" s="4550"/>
      <c r="GB107" s="4550"/>
      <c r="GC107" s="4550"/>
      <c r="GD107" s="4550"/>
      <c r="GE107" s="4550"/>
      <c r="GF107" s="4550"/>
      <c r="GG107" s="4550"/>
      <c r="GH107" s="4550"/>
      <c r="GI107" s="4550"/>
      <c r="GJ107" s="4550"/>
      <c r="GK107" s="4550"/>
      <c r="GL107" s="4550"/>
      <c r="GM107" s="4550"/>
      <c r="GN107" s="4550"/>
      <c r="GO107" s="4550"/>
      <c r="GP107" s="4550"/>
      <c r="GQ107" s="4550"/>
      <c r="GR107" s="4550"/>
      <c r="GS107" s="4550"/>
      <c r="GT107" s="4550"/>
      <c r="GU107" s="4550"/>
      <c r="GV107" s="4550"/>
      <c r="GW107" s="4550"/>
      <c r="GX107" s="4550"/>
      <c r="GY107" s="4550"/>
      <c r="GZ107" s="4550"/>
      <c r="HA107" s="4550"/>
      <c r="HB107" s="4550"/>
      <c r="HC107" s="4550"/>
      <c r="HD107" s="4550"/>
      <c r="HE107" s="4550"/>
      <c r="HF107" s="4550"/>
      <c r="HG107" s="4550"/>
      <c r="HH107" s="4550"/>
      <c r="HI107" s="4550"/>
      <c r="HJ107" s="4550"/>
      <c r="HK107" s="4550"/>
      <c r="HL107" s="4550"/>
      <c r="HM107" s="4550"/>
      <c r="HN107" s="4550"/>
      <c r="HO107" s="4550"/>
      <c r="HP107" s="4550"/>
      <c r="HQ107" s="4550"/>
      <c r="HR107" s="4550"/>
      <c r="HS107" s="4550"/>
      <c r="HT107" s="4550"/>
      <c r="HU107" s="4550"/>
      <c r="HV107" s="4550"/>
      <c r="HW107" s="4550"/>
      <c r="HX107" s="4550"/>
      <c r="HY107" s="4550"/>
      <c r="HZ107" s="4550"/>
      <c r="IA107" s="4550"/>
      <c r="IB107" s="4550"/>
      <c r="IC107" s="4550"/>
      <c r="ID107" s="4550"/>
      <c r="IE107" s="4550"/>
    </row>
    <row r="108" spans="1:239" s="4549" customFormat="1" ht="15">
      <c r="A108" s="4677">
        <v>1.22</v>
      </c>
      <c r="B108" s="4701" t="s">
        <v>4097</v>
      </c>
      <c r="C108" s="4727">
        <v>1</v>
      </c>
      <c r="D108" s="4600" t="s">
        <v>2433</v>
      </c>
      <c r="E108" s="4965"/>
      <c r="F108" s="4965">
        <f t="shared" si="2"/>
        <v>0</v>
      </c>
      <c r="G108" s="4537"/>
      <c r="H108" s="4537"/>
      <c r="I108" s="4537"/>
      <c r="J108" s="4537"/>
      <c r="K108" s="4537"/>
      <c r="L108" s="4537"/>
      <c r="M108" s="4537"/>
      <c r="N108" s="4537"/>
      <c r="O108" s="4537"/>
      <c r="P108" s="4537"/>
      <c r="Q108" s="4537"/>
      <c r="R108" s="4537"/>
      <c r="S108" s="4537"/>
      <c r="T108" s="4537"/>
      <c r="U108" s="4537"/>
      <c r="V108" s="4537"/>
      <c r="W108" s="4537"/>
      <c r="X108" s="4537"/>
      <c r="Y108" s="4537"/>
      <c r="Z108" s="4537"/>
      <c r="AA108" s="4537"/>
      <c r="AB108" s="4537"/>
      <c r="AC108" s="4537"/>
      <c r="AD108" s="4537"/>
      <c r="AE108" s="4537"/>
      <c r="AF108" s="4537"/>
      <c r="AG108" s="4537"/>
      <c r="AH108" s="4537"/>
      <c r="AI108" s="4537"/>
      <c r="AJ108" s="4537"/>
      <c r="AK108" s="4537"/>
      <c r="AL108" s="4537"/>
      <c r="AM108" s="4537"/>
      <c r="AN108" s="4537"/>
      <c r="AO108" s="4537"/>
      <c r="AP108" s="4537"/>
      <c r="AQ108" s="4537"/>
      <c r="AR108" s="4537"/>
      <c r="AS108" s="4550"/>
      <c r="AT108" s="4550"/>
      <c r="AU108" s="4550"/>
      <c r="AV108" s="4550"/>
      <c r="AW108" s="4550"/>
      <c r="AX108" s="4550"/>
      <c r="AY108" s="4550"/>
      <c r="AZ108" s="4550"/>
      <c r="BA108" s="4550"/>
      <c r="BB108" s="4550"/>
      <c r="BC108" s="4550"/>
      <c r="BD108" s="4550"/>
      <c r="BE108" s="4550"/>
      <c r="BF108" s="4550"/>
      <c r="BG108" s="4550"/>
      <c r="BH108" s="4550"/>
      <c r="BI108" s="4550"/>
      <c r="BJ108" s="4550"/>
      <c r="BK108" s="4550"/>
      <c r="BL108" s="4550"/>
      <c r="BM108" s="4550"/>
      <c r="BN108" s="4550"/>
      <c r="BO108" s="4550"/>
      <c r="BP108" s="4550"/>
      <c r="BQ108" s="4550"/>
      <c r="BR108" s="4550"/>
      <c r="BS108" s="4550"/>
      <c r="BT108" s="4550"/>
      <c r="BU108" s="4550"/>
      <c r="BV108" s="4550"/>
      <c r="BW108" s="4550"/>
      <c r="BX108" s="4550"/>
      <c r="BY108" s="4550"/>
      <c r="BZ108" s="4550"/>
      <c r="CA108" s="4550"/>
      <c r="CB108" s="4550"/>
      <c r="CC108" s="4550"/>
      <c r="CD108" s="4550"/>
      <c r="CE108" s="4550"/>
      <c r="CF108" s="4550"/>
      <c r="CG108" s="4550"/>
      <c r="CH108" s="4550"/>
      <c r="CI108" s="4550"/>
      <c r="CJ108" s="4550"/>
      <c r="CK108" s="4550"/>
      <c r="CL108" s="4550"/>
      <c r="CM108" s="4550"/>
      <c r="CN108" s="4550"/>
      <c r="CO108" s="4550"/>
      <c r="CP108" s="4550"/>
      <c r="CQ108" s="4550"/>
      <c r="CR108" s="4550"/>
      <c r="CS108" s="4550"/>
      <c r="CT108" s="4550"/>
      <c r="CU108" s="4550"/>
      <c r="CV108" s="4550"/>
      <c r="CW108" s="4550"/>
      <c r="CX108" s="4550"/>
      <c r="CY108" s="4550"/>
      <c r="CZ108" s="4550"/>
      <c r="DA108" s="4550"/>
      <c r="DB108" s="4550"/>
      <c r="DC108" s="4550"/>
      <c r="DD108" s="4550"/>
      <c r="DE108" s="4550"/>
      <c r="DF108" s="4550"/>
      <c r="DG108" s="4550"/>
      <c r="DH108" s="4550"/>
      <c r="DI108" s="4550"/>
      <c r="DJ108" s="4550"/>
      <c r="DK108" s="4550"/>
      <c r="DL108" s="4550"/>
      <c r="DM108" s="4550"/>
      <c r="DN108" s="4550"/>
      <c r="DO108" s="4550"/>
      <c r="DP108" s="4550"/>
      <c r="DQ108" s="4550"/>
      <c r="DR108" s="4550"/>
      <c r="DS108" s="4550"/>
      <c r="DT108" s="4550"/>
      <c r="DU108" s="4550"/>
      <c r="DV108" s="4550"/>
      <c r="DW108" s="4550"/>
      <c r="DX108" s="4550"/>
      <c r="DY108" s="4550"/>
      <c r="DZ108" s="4550"/>
      <c r="EA108" s="4550"/>
      <c r="EB108" s="4550"/>
      <c r="EC108" s="4550"/>
      <c r="ED108" s="4550"/>
      <c r="EE108" s="4550"/>
      <c r="EF108" s="4550"/>
      <c r="EG108" s="4550"/>
      <c r="EH108" s="4550"/>
      <c r="EI108" s="4550"/>
      <c r="EJ108" s="4550"/>
      <c r="EK108" s="4550"/>
      <c r="EL108" s="4550"/>
      <c r="EM108" s="4550"/>
      <c r="EN108" s="4550"/>
      <c r="EO108" s="4550"/>
      <c r="EP108" s="4550"/>
      <c r="EQ108" s="4550"/>
      <c r="ER108" s="4550"/>
      <c r="ES108" s="4550"/>
      <c r="ET108" s="4550"/>
      <c r="EU108" s="4550"/>
      <c r="EV108" s="4550"/>
      <c r="EW108" s="4550"/>
      <c r="EX108" s="4550"/>
      <c r="EY108" s="4550"/>
      <c r="EZ108" s="4550"/>
      <c r="FA108" s="4550"/>
      <c r="FB108" s="4550"/>
      <c r="FC108" s="4550"/>
      <c r="FD108" s="4550"/>
      <c r="FE108" s="4550"/>
      <c r="FF108" s="4550"/>
      <c r="FG108" s="4550"/>
      <c r="FH108" s="4550"/>
      <c r="FI108" s="4550"/>
      <c r="FJ108" s="4550"/>
      <c r="FK108" s="4550"/>
      <c r="FL108" s="4550"/>
      <c r="FM108" s="4550"/>
      <c r="FN108" s="4550"/>
      <c r="FO108" s="4550"/>
      <c r="FP108" s="4550"/>
      <c r="FQ108" s="4550"/>
      <c r="FR108" s="4550"/>
      <c r="FS108" s="4550"/>
      <c r="FT108" s="4550"/>
      <c r="FU108" s="4550"/>
      <c r="FV108" s="4550"/>
      <c r="FW108" s="4550"/>
      <c r="FX108" s="4550"/>
      <c r="FY108" s="4550"/>
      <c r="FZ108" s="4550"/>
      <c r="GA108" s="4550"/>
      <c r="GB108" s="4550"/>
      <c r="GC108" s="4550"/>
      <c r="GD108" s="4550"/>
      <c r="GE108" s="4550"/>
      <c r="GF108" s="4550"/>
      <c r="GG108" s="4550"/>
      <c r="GH108" s="4550"/>
      <c r="GI108" s="4550"/>
      <c r="GJ108" s="4550"/>
      <c r="GK108" s="4550"/>
      <c r="GL108" s="4550"/>
      <c r="GM108" s="4550"/>
      <c r="GN108" s="4550"/>
      <c r="GO108" s="4550"/>
      <c r="GP108" s="4550"/>
      <c r="GQ108" s="4550"/>
      <c r="GR108" s="4550"/>
      <c r="GS108" s="4550"/>
      <c r="GT108" s="4550"/>
      <c r="GU108" s="4550"/>
      <c r="GV108" s="4550"/>
      <c r="GW108" s="4550"/>
      <c r="GX108" s="4550"/>
      <c r="GY108" s="4550"/>
      <c r="GZ108" s="4550"/>
      <c r="HA108" s="4550"/>
      <c r="HB108" s="4550"/>
      <c r="HC108" s="4550"/>
      <c r="HD108" s="4550"/>
      <c r="HE108" s="4550"/>
      <c r="HF108" s="4550"/>
      <c r="HG108" s="4550"/>
      <c r="HH108" s="4550"/>
      <c r="HI108" s="4550"/>
      <c r="HJ108" s="4550"/>
      <c r="HK108" s="4550"/>
      <c r="HL108" s="4550"/>
      <c r="HM108" s="4550"/>
      <c r="HN108" s="4550"/>
      <c r="HO108" s="4550"/>
      <c r="HP108" s="4550"/>
      <c r="HQ108" s="4550"/>
      <c r="HR108" s="4550"/>
      <c r="HS108" s="4550"/>
      <c r="HT108" s="4550"/>
      <c r="HU108" s="4550"/>
      <c r="HV108" s="4550"/>
      <c r="HW108" s="4550"/>
      <c r="HX108" s="4550"/>
      <c r="HY108" s="4550"/>
      <c r="HZ108" s="4550"/>
      <c r="IA108" s="4550"/>
      <c r="IB108" s="4550"/>
      <c r="IC108" s="4550"/>
      <c r="ID108" s="4550"/>
      <c r="IE108" s="4550"/>
    </row>
    <row r="109" spans="1:239" s="4549" customFormat="1" ht="9" customHeight="1">
      <c r="A109" s="4167"/>
      <c r="B109" s="4676"/>
      <c r="C109" s="4168"/>
      <c r="D109" s="4168"/>
      <c r="E109" s="4318"/>
      <c r="F109" s="4979"/>
      <c r="G109" s="4537"/>
      <c r="H109" s="4537"/>
      <c r="I109" s="4537"/>
      <c r="J109" s="4537"/>
      <c r="K109" s="4537"/>
      <c r="L109" s="4537"/>
      <c r="M109" s="4537"/>
      <c r="N109" s="4537"/>
      <c r="O109" s="4537"/>
      <c r="P109" s="4537"/>
      <c r="Q109" s="4537"/>
      <c r="R109" s="4537"/>
      <c r="S109" s="4537"/>
      <c r="T109" s="4537"/>
      <c r="U109" s="4537"/>
      <c r="V109" s="4537"/>
      <c r="W109" s="4537"/>
      <c r="X109" s="4537"/>
      <c r="Y109" s="4537"/>
      <c r="Z109" s="4537"/>
      <c r="AA109" s="4537"/>
      <c r="AB109" s="4537"/>
      <c r="AC109" s="4537"/>
      <c r="AD109" s="4537"/>
      <c r="AE109" s="4537"/>
      <c r="AF109" s="4537"/>
      <c r="AG109" s="4537"/>
      <c r="AH109" s="4537"/>
      <c r="AI109" s="4537"/>
      <c r="AJ109" s="4537"/>
      <c r="AK109" s="4537"/>
      <c r="AL109" s="4537"/>
      <c r="AM109" s="4537"/>
      <c r="AN109" s="4537"/>
      <c r="AO109" s="4537"/>
      <c r="AP109" s="4537"/>
      <c r="AQ109" s="4537"/>
      <c r="AR109" s="4537"/>
      <c r="AS109" s="4550"/>
      <c r="AT109" s="4550"/>
      <c r="AU109" s="4550"/>
      <c r="AV109" s="4550"/>
      <c r="AW109" s="4550"/>
      <c r="AX109" s="4550"/>
      <c r="AY109" s="4550"/>
      <c r="AZ109" s="4550"/>
      <c r="BA109" s="4550"/>
      <c r="BB109" s="4550"/>
      <c r="BC109" s="4550"/>
      <c r="BD109" s="4550"/>
      <c r="BE109" s="4550"/>
      <c r="BF109" s="4550"/>
      <c r="BG109" s="4550"/>
      <c r="BH109" s="4550"/>
      <c r="BI109" s="4550"/>
      <c r="BJ109" s="4550"/>
      <c r="BK109" s="4550"/>
      <c r="BL109" s="4550"/>
      <c r="BM109" s="4550"/>
      <c r="BN109" s="4550"/>
      <c r="BO109" s="4550"/>
      <c r="BP109" s="4550"/>
      <c r="BQ109" s="4550"/>
      <c r="BR109" s="4550"/>
      <c r="BS109" s="4550"/>
      <c r="BT109" s="4550"/>
      <c r="BU109" s="4550"/>
      <c r="BV109" s="4550"/>
      <c r="BW109" s="4550"/>
      <c r="BX109" s="4550"/>
      <c r="BY109" s="4550"/>
      <c r="BZ109" s="4550"/>
      <c r="CA109" s="4550"/>
      <c r="CB109" s="4550"/>
      <c r="CC109" s="4550"/>
      <c r="CD109" s="4550"/>
      <c r="CE109" s="4550"/>
      <c r="CF109" s="4550"/>
      <c r="CG109" s="4550"/>
      <c r="CH109" s="4550"/>
      <c r="CI109" s="4550"/>
      <c r="CJ109" s="4550"/>
      <c r="CK109" s="4550"/>
      <c r="CL109" s="4550"/>
      <c r="CM109" s="4550"/>
      <c r="CN109" s="4550"/>
      <c r="CO109" s="4550"/>
      <c r="CP109" s="4550"/>
      <c r="CQ109" s="4550"/>
      <c r="CR109" s="4550"/>
      <c r="CS109" s="4550"/>
      <c r="CT109" s="4550"/>
      <c r="CU109" s="4550"/>
      <c r="CV109" s="4550"/>
      <c r="CW109" s="4550"/>
      <c r="CX109" s="4550"/>
      <c r="CY109" s="4550"/>
      <c r="CZ109" s="4550"/>
      <c r="DA109" s="4550"/>
      <c r="DB109" s="4550"/>
      <c r="DC109" s="4550"/>
      <c r="DD109" s="4550"/>
      <c r="DE109" s="4550"/>
      <c r="DF109" s="4550"/>
      <c r="DG109" s="4550"/>
      <c r="DH109" s="4550"/>
      <c r="DI109" s="4550"/>
      <c r="DJ109" s="4550"/>
      <c r="DK109" s="4550"/>
      <c r="DL109" s="4550"/>
      <c r="DM109" s="4550"/>
      <c r="DN109" s="4550"/>
      <c r="DO109" s="4550"/>
      <c r="DP109" s="4550"/>
      <c r="DQ109" s="4550"/>
      <c r="DR109" s="4550"/>
      <c r="DS109" s="4550"/>
      <c r="DT109" s="4550"/>
      <c r="DU109" s="4550"/>
      <c r="DV109" s="4550"/>
      <c r="DW109" s="4550"/>
      <c r="DX109" s="4550"/>
      <c r="DY109" s="4550"/>
      <c r="DZ109" s="4550"/>
      <c r="EA109" s="4550"/>
      <c r="EB109" s="4550"/>
      <c r="EC109" s="4550"/>
      <c r="ED109" s="4550"/>
      <c r="EE109" s="4550"/>
      <c r="EF109" s="4550"/>
      <c r="EG109" s="4550"/>
      <c r="EH109" s="4550"/>
      <c r="EI109" s="4550"/>
      <c r="EJ109" s="4550"/>
      <c r="EK109" s="4550"/>
      <c r="EL109" s="4550"/>
      <c r="EM109" s="4550"/>
      <c r="EN109" s="4550"/>
      <c r="EO109" s="4550"/>
      <c r="EP109" s="4550"/>
      <c r="EQ109" s="4550"/>
      <c r="ER109" s="4550"/>
      <c r="ES109" s="4550"/>
      <c r="ET109" s="4550"/>
      <c r="EU109" s="4550"/>
      <c r="EV109" s="4550"/>
      <c r="EW109" s="4550"/>
      <c r="EX109" s="4550"/>
      <c r="EY109" s="4550"/>
      <c r="EZ109" s="4550"/>
      <c r="FA109" s="4550"/>
      <c r="FB109" s="4550"/>
      <c r="FC109" s="4550"/>
      <c r="FD109" s="4550"/>
      <c r="FE109" s="4550"/>
      <c r="FF109" s="4550"/>
      <c r="FG109" s="4550"/>
      <c r="FH109" s="4550"/>
      <c r="FI109" s="4550"/>
      <c r="FJ109" s="4550"/>
      <c r="FK109" s="4550"/>
      <c r="FL109" s="4550"/>
      <c r="FM109" s="4550"/>
      <c r="FN109" s="4550"/>
      <c r="FO109" s="4550"/>
      <c r="FP109" s="4550"/>
      <c r="FQ109" s="4550"/>
      <c r="FR109" s="4550"/>
      <c r="FS109" s="4550"/>
      <c r="FT109" s="4550"/>
      <c r="FU109" s="4550"/>
      <c r="FV109" s="4550"/>
      <c r="FW109" s="4550"/>
      <c r="FX109" s="4550"/>
      <c r="FY109" s="4550"/>
      <c r="FZ109" s="4550"/>
      <c r="GA109" s="4550"/>
      <c r="GB109" s="4550"/>
      <c r="GC109" s="4550"/>
      <c r="GD109" s="4550"/>
      <c r="GE109" s="4550"/>
      <c r="GF109" s="4550"/>
      <c r="GG109" s="4550"/>
      <c r="GH109" s="4550"/>
      <c r="GI109" s="4550"/>
      <c r="GJ109" s="4550"/>
      <c r="GK109" s="4550"/>
      <c r="GL109" s="4550"/>
      <c r="GM109" s="4550"/>
      <c r="GN109" s="4550"/>
      <c r="GO109" s="4550"/>
      <c r="GP109" s="4550"/>
      <c r="GQ109" s="4550"/>
      <c r="GR109" s="4550"/>
      <c r="GS109" s="4550"/>
      <c r="GT109" s="4550"/>
      <c r="GU109" s="4550"/>
      <c r="GV109" s="4550"/>
      <c r="GW109" s="4550"/>
      <c r="GX109" s="4550"/>
      <c r="GY109" s="4550"/>
      <c r="GZ109" s="4550"/>
      <c r="HA109" s="4550"/>
      <c r="HB109" s="4550"/>
      <c r="HC109" s="4550"/>
      <c r="HD109" s="4550"/>
      <c r="HE109" s="4550"/>
      <c r="HF109" s="4550"/>
      <c r="HG109" s="4550"/>
      <c r="HH109" s="4550"/>
      <c r="HI109" s="4550"/>
      <c r="HJ109" s="4550"/>
      <c r="HK109" s="4550"/>
      <c r="HL109" s="4550"/>
      <c r="HM109" s="4550"/>
      <c r="HN109" s="4550"/>
      <c r="HO109" s="4550"/>
      <c r="HP109" s="4550"/>
      <c r="HQ109" s="4550"/>
      <c r="HR109" s="4550"/>
      <c r="HS109" s="4550"/>
      <c r="HT109" s="4550"/>
      <c r="HU109" s="4550"/>
      <c r="HV109" s="4550"/>
      <c r="HW109" s="4550"/>
      <c r="HX109" s="4550"/>
      <c r="HY109" s="4550"/>
      <c r="HZ109" s="4550"/>
      <c r="IA109" s="4550"/>
      <c r="IB109" s="4550"/>
      <c r="IC109" s="4550"/>
      <c r="ID109" s="4550"/>
      <c r="IE109" s="4550"/>
    </row>
    <row r="110" spans="1:239" s="4549" customFormat="1" ht="15">
      <c r="A110" s="4168">
        <v>2</v>
      </c>
      <c r="B110" s="4706" t="s">
        <v>4098</v>
      </c>
      <c r="C110" s="4727"/>
      <c r="D110" s="4600"/>
      <c r="E110" s="4965"/>
      <c r="F110" s="4979"/>
      <c r="G110" s="4537"/>
      <c r="H110" s="4537"/>
      <c r="I110" s="4537"/>
      <c r="J110" s="4537"/>
      <c r="K110" s="4537"/>
      <c r="L110" s="4537"/>
      <c r="M110" s="4537"/>
      <c r="N110" s="4537"/>
      <c r="O110" s="4537"/>
      <c r="P110" s="4537"/>
      <c r="Q110" s="4537"/>
      <c r="R110" s="4537"/>
      <c r="S110" s="4537"/>
      <c r="T110" s="4537"/>
      <c r="U110" s="4537"/>
      <c r="V110" s="4537"/>
      <c r="W110" s="4537"/>
      <c r="X110" s="4537"/>
      <c r="Y110" s="4537"/>
      <c r="Z110" s="4537"/>
      <c r="AA110" s="4537"/>
      <c r="AB110" s="4537"/>
      <c r="AC110" s="4537"/>
      <c r="AD110" s="4537"/>
      <c r="AE110" s="4537"/>
      <c r="AF110" s="4537"/>
      <c r="AG110" s="4537"/>
      <c r="AH110" s="4537"/>
      <c r="AI110" s="4537"/>
      <c r="AJ110" s="4537"/>
      <c r="AK110" s="4537"/>
      <c r="AL110" s="4537"/>
      <c r="AM110" s="4537"/>
      <c r="AN110" s="4537"/>
      <c r="AO110" s="4537"/>
      <c r="AP110" s="4537"/>
      <c r="AQ110" s="4537"/>
      <c r="AR110" s="4537"/>
      <c r="AS110" s="4550"/>
      <c r="AT110" s="4550"/>
      <c r="AU110" s="4550"/>
      <c r="AV110" s="4550"/>
      <c r="AW110" s="4550"/>
      <c r="AX110" s="4550"/>
      <c r="AY110" s="4550"/>
      <c r="AZ110" s="4550"/>
      <c r="BA110" s="4550"/>
      <c r="BB110" s="4550"/>
      <c r="BC110" s="4550"/>
      <c r="BD110" s="4550"/>
      <c r="BE110" s="4550"/>
      <c r="BF110" s="4550"/>
      <c r="BG110" s="4550"/>
      <c r="BH110" s="4550"/>
      <c r="BI110" s="4550"/>
      <c r="BJ110" s="4550"/>
      <c r="BK110" s="4550"/>
      <c r="BL110" s="4550"/>
      <c r="BM110" s="4550"/>
      <c r="BN110" s="4550"/>
      <c r="BO110" s="4550"/>
      <c r="BP110" s="4550"/>
      <c r="BQ110" s="4550"/>
      <c r="BR110" s="4550"/>
      <c r="BS110" s="4550"/>
      <c r="BT110" s="4550"/>
      <c r="BU110" s="4550"/>
      <c r="BV110" s="4550"/>
      <c r="BW110" s="4550"/>
      <c r="BX110" s="4550"/>
      <c r="BY110" s="4550"/>
      <c r="BZ110" s="4550"/>
      <c r="CA110" s="4550"/>
      <c r="CB110" s="4550"/>
      <c r="CC110" s="4550"/>
      <c r="CD110" s="4550"/>
      <c r="CE110" s="4550"/>
      <c r="CF110" s="4550"/>
      <c r="CG110" s="4550"/>
      <c r="CH110" s="4550"/>
      <c r="CI110" s="4550"/>
      <c r="CJ110" s="4550"/>
      <c r="CK110" s="4550"/>
      <c r="CL110" s="4550"/>
      <c r="CM110" s="4550"/>
      <c r="CN110" s="4550"/>
      <c r="CO110" s="4550"/>
      <c r="CP110" s="4550"/>
      <c r="CQ110" s="4550"/>
      <c r="CR110" s="4550"/>
      <c r="CS110" s="4550"/>
      <c r="CT110" s="4550"/>
      <c r="CU110" s="4550"/>
      <c r="CV110" s="4550"/>
      <c r="CW110" s="4550"/>
      <c r="CX110" s="4550"/>
      <c r="CY110" s="4550"/>
      <c r="CZ110" s="4550"/>
      <c r="DA110" s="4550"/>
      <c r="DB110" s="4550"/>
      <c r="DC110" s="4550"/>
      <c r="DD110" s="4550"/>
      <c r="DE110" s="4550"/>
      <c r="DF110" s="4550"/>
      <c r="DG110" s="4550"/>
      <c r="DH110" s="4550"/>
      <c r="DI110" s="4550"/>
      <c r="DJ110" s="4550"/>
      <c r="DK110" s="4550"/>
      <c r="DL110" s="4550"/>
      <c r="DM110" s="4550"/>
      <c r="DN110" s="4550"/>
      <c r="DO110" s="4550"/>
      <c r="DP110" s="4550"/>
      <c r="DQ110" s="4550"/>
      <c r="DR110" s="4550"/>
      <c r="DS110" s="4550"/>
      <c r="DT110" s="4550"/>
      <c r="DU110" s="4550"/>
      <c r="DV110" s="4550"/>
      <c r="DW110" s="4550"/>
      <c r="DX110" s="4550"/>
      <c r="DY110" s="4550"/>
      <c r="DZ110" s="4550"/>
      <c r="EA110" s="4550"/>
      <c r="EB110" s="4550"/>
      <c r="EC110" s="4550"/>
      <c r="ED110" s="4550"/>
      <c r="EE110" s="4550"/>
      <c r="EF110" s="4550"/>
      <c r="EG110" s="4550"/>
      <c r="EH110" s="4550"/>
      <c r="EI110" s="4550"/>
      <c r="EJ110" s="4550"/>
      <c r="EK110" s="4550"/>
      <c r="EL110" s="4550"/>
      <c r="EM110" s="4550"/>
      <c r="EN110" s="4550"/>
      <c r="EO110" s="4550"/>
      <c r="EP110" s="4550"/>
      <c r="EQ110" s="4550"/>
      <c r="ER110" s="4550"/>
      <c r="ES110" s="4550"/>
      <c r="ET110" s="4550"/>
      <c r="EU110" s="4550"/>
      <c r="EV110" s="4550"/>
      <c r="EW110" s="4550"/>
      <c r="EX110" s="4550"/>
      <c r="EY110" s="4550"/>
      <c r="EZ110" s="4550"/>
      <c r="FA110" s="4550"/>
      <c r="FB110" s="4550"/>
      <c r="FC110" s="4550"/>
      <c r="FD110" s="4550"/>
      <c r="FE110" s="4550"/>
      <c r="FF110" s="4550"/>
      <c r="FG110" s="4550"/>
      <c r="FH110" s="4550"/>
      <c r="FI110" s="4550"/>
      <c r="FJ110" s="4550"/>
      <c r="FK110" s="4550"/>
      <c r="FL110" s="4550"/>
      <c r="FM110" s="4550"/>
      <c r="FN110" s="4550"/>
      <c r="FO110" s="4550"/>
      <c r="FP110" s="4550"/>
      <c r="FQ110" s="4550"/>
      <c r="FR110" s="4550"/>
      <c r="FS110" s="4550"/>
      <c r="FT110" s="4550"/>
      <c r="FU110" s="4550"/>
      <c r="FV110" s="4550"/>
      <c r="FW110" s="4550"/>
      <c r="FX110" s="4550"/>
      <c r="FY110" s="4550"/>
      <c r="FZ110" s="4550"/>
      <c r="GA110" s="4550"/>
      <c r="GB110" s="4550"/>
      <c r="GC110" s="4550"/>
      <c r="GD110" s="4550"/>
      <c r="GE110" s="4550"/>
      <c r="GF110" s="4550"/>
      <c r="GG110" s="4550"/>
      <c r="GH110" s="4550"/>
      <c r="GI110" s="4550"/>
      <c r="GJ110" s="4550"/>
      <c r="GK110" s="4550"/>
      <c r="GL110" s="4550"/>
      <c r="GM110" s="4550"/>
      <c r="GN110" s="4550"/>
      <c r="GO110" s="4550"/>
      <c r="GP110" s="4550"/>
      <c r="GQ110" s="4550"/>
      <c r="GR110" s="4550"/>
      <c r="GS110" s="4550"/>
      <c r="GT110" s="4550"/>
      <c r="GU110" s="4550"/>
      <c r="GV110" s="4550"/>
      <c r="GW110" s="4550"/>
      <c r="GX110" s="4550"/>
      <c r="GY110" s="4550"/>
      <c r="GZ110" s="4550"/>
      <c r="HA110" s="4550"/>
      <c r="HB110" s="4550"/>
      <c r="HC110" s="4550"/>
      <c r="HD110" s="4550"/>
      <c r="HE110" s="4550"/>
      <c r="HF110" s="4550"/>
      <c r="HG110" s="4550"/>
      <c r="HH110" s="4550"/>
      <c r="HI110" s="4550"/>
      <c r="HJ110" s="4550"/>
      <c r="HK110" s="4550"/>
      <c r="HL110" s="4550"/>
      <c r="HM110" s="4550"/>
      <c r="HN110" s="4550"/>
      <c r="HO110" s="4550"/>
      <c r="HP110" s="4550"/>
      <c r="HQ110" s="4550"/>
      <c r="HR110" s="4550"/>
      <c r="HS110" s="4550"/>
      <c r="HT110" s="4550"/>
      <c r="HU110" s="4550"/>
      <c r="HV110" s="4550"/>
      <c r="HW110" s="4550"/>
      <c r="HX110" s="4550"/>
      <c r="HY110" s="4550"/>
      <c r="HZ110" s="4550"/>
      <c r="IA110" s="4550"/>
      <c r="IB110" s="4550"/>
      <c r="IC110" s="4550"/>
      <c r="ID110" s="4550"/>
      <c r="IE110" s="4550"/>
    </row>
    <row r="111" spans="1:239" s="4549" customFormat="1" ht="63" customHeight="1">
      <c r="A111" s="4654">
        <v>2.1</v>
      </c>
      <c r="B111" s="4728" t="s">
        <v>4099</v>
      </c>
      <c r="C111" s="4727">
        <v>30</v>
      </c>
      <c r="D111" s="4600" t="s">
        <v>1</v>
      </c>
      <c r="E111" s="4965"/>
      <c r="F111" s="4965">
        <f t="shared" ref="F111:F143" si="3">ROUND(C111*E111,2)</f>
        <v>0</v>
      </c>
      <c r="G111" s="4537"/>
      <c r="H111" s="4537"/>
      <c r="I111" s="4537"/>
      <c r="J111" s="4537"/>
      <c r="K111" s="4537"/>
      <c r="L111" s="4537"/>
      <c r="M111" s="4537"/>
      <c r="N111" s="4537"/>
      <c r="O111" s="4537"/>
      <c r="P111" s="4537"/>
      <c r="Q111" s="4537"/>
      <c r="R111" s="4537"/>
      <c r="S111" s="4537"/>
      <c r="T111" s="4537"/>
      <c r="U111" s="4537"/>
      <c r="V111" s="4537"/>
      <c r="W111" s="4537"/>
      <c r="X111" s="4537"/>
      <c r="Y111" s="4537"/>
      <c r="Z111" s="4537"/>
      <c r="AA111" s="4537"/>
      <c r="AB111" s="4537"/>
      <c r="AC111" s="4537"/>
      <c r="AD111" s="4537"/>
      <c r="AE111" s="4537"/>
      <c r="AF111" s="4537"/>
      <c r="AG111" s="4537"/>
      <c r="AH111" s="4537"/>
      <c r="AI111" s="4537"/>
      <c r="AJ111" s="4537"/>
      <c r="AK111" s="4537"/>
      <c r="AL111" s="4537"/>
      <c r="AM111" s="4537"/>
      <c r="AN111" s="4537"/>
      <c r="AO111" s="4537"/>
      <c r="AP111" s="4537"/>
      <c r="AQ111" s="4537"/>
      <c r="AR111" s="4537"/>
      <c r="AS111" s="4550"/>
      <c r="AT111" s="4550"/>
      <c r="AU111" s="4550"/>
      <c r="AV111" s="4550"/>
      <c r="AW111" s="4550"/>
      <c r="AX111" s="4550"/>
      <c r="AY111" s="4550"/>
      <c r="AZ111" s="4550"/>
      <c r="BA111" s="4550"/>
      <c r="BB111" s="4550"/>
      <c r="BC111" s="4550"/>
      <c r="BD111" s="4550"/>
      <c r="BE111" s="4550"/>
      <c r="BF111" s="4550"/>
      <c r="BG111" s="4550"/>
      <c r="BH111" s="4550"/>
      <c r="BI111" s="4550"/>
      <c r="BJ111" s="4550"/>
      <c r="BK111" s="4550"/>
      <c r="BL111" s="4550"/>
      <c r="BM111" s="4550"/>
      <c r="BN111" s="4550"/>
      <c r="BO111" s="4550"/>
      <c r="BP111" s="4550"/>
      <c r="BQ111" s="4550"/>
      <c r="BR111" s="4550"/>
      <c r="BS111" s="4550"/>
      <c r="BT111" s="4550"/>
      <c r="BU111" s="4550"/>
      <c r="BV111" s="4550"/>
      <c r="BW111" s="4550"/>
      <c r="BX111" s="4550"/>
      <c r="BY111" s="4550"/>
      <c r="BZ111" s="4550"/>
      <c r="CA111" s="4550"/>
      <c r="CB111" s="4550"/>
      <c r="CC111" s="4550"/>
      <c r="CD111" s="4550"/>
      <c r="CE111" s="4550"/>
      <c r="CF111" s="4550"/>
      <c r="CG111" s="4550"/>
      <c r="CH111" s="4550"/>
      <c r="CI111" s="4550"/>
      <c r="CJ111" s="4550"/>
      <c r="CK111" s="4550"/>
      <c r="CL111" s="4550"/>
      <c r="CM111" s="4550"/>
      <c r="CN111" s="4550"/>
      <c r="CO111" s="4550"/>
      <c r="CP111" s="4550"/>
      <c r="CQ111" s="4550"/>
      <c r="CR111" s="4550"/>
      <c r="CS111" s="4550"/>
      <c r="CT111" s="4550"/>
      <c r="CU111" s="4550"/>
      <c r="CV111" s="4550"/>
      <c r="CW111" s="4550"/>
      <c r="CX111" s="4550"/>
      <c r="CY111" s="4550"/>
      <c r="CZ111" s="4550"/>
      <c r="DA111" s="4550"/>
      <c r="DB111" s="4550"/>
      <c r="DC111" s="4550"/>
      <c r="DD111" s="4550"/>
      <c r="DE111" s="4550"/>
      <c r="DF111" s="4550"/>
      <c r="DG111" s="4550"/>
      <c r="DH111" s="4550"/>
      <c r="DI111" s="4550"/>
      <c r="DJ111" s="4550"/>
      <c r="DK111" s="4550"/>
      <c r="DL111" s="4550"/>
      <c r="DM111" s="4550"/>
      <c r="DN111" s="4550"/>
      <c r="DO111" s="4550"/>
      <c r="DP111" s="4550"/>
      <c r="DQ111" s="4550"/>
      <c r="DR111" s="4550"/>
      <c r="DS111" s="4550"/>
      <c r="DT111" s="4550"/>
      <c r="DU111" s="4550"/>
      <c r="DV111" s="4550"/>
      <c r="DW111" s="4550"/>
      <c r="DX111" s="4550"/>
      <c r="DY111" s="4550"/>
      <c r="DZ111" s="4550"/>
      <c r="EA111" s="4550"/>
      <c r="EB111" s="4550"/>
      <c r="EC111" s="4550"/>
      <c r="ED111" s="4550"/>
      <c r="EE111" s="4550"/>
      <c r="EF111" s="4550"/>
      <c r="EG111" s="4550"/>
      <c r="EH111" s="4550"/>
      <c r="EI111" s="4550"/>
      <c r="EJ111" s="4550"/>
      <c r="EK111" s="4550"/>
      <c r="EL111" s="4550"/>
      <c r="EM111" s="4550"/>
      <c r="EN111" s="4550"/>
      <c r="EO111" s="4550"/>
      <c r="EP111" s="4550"/>
      <c r="EQ111" s="4550"/>
      <c r="ER111" s="4550"/>
      <c r="ES111" s="4550"/>
      <c r="ET111" s="4550"/>
      <c r="EU111" s="4550"/>
      <c r="EV111" s="4550"/>
      <c r="EW111" s="4550"/>
      <c r="EX111" s="4550"/>
      <c r="EY111" s="4550"/>
      <c r="EZ111" s="4550"/>
      <c r="FA111" s="4550"/>
      <c r="FB111" s="4550"/>
      <c r="FC111" s="4550"/>
      <c r="FD111" s="4550"/>
      <c r="FE111" s="4550"/>
      <c r="FF111" s="4550"/>
      <c r="FG111" s="4550"/>
      <c r="FH111" s="4550"/>
      <c r="FI111" s="4550"/>
      <c r="FJ111" s="4550"/>
      <c r="FK111" s="4550"/>
      <c r="FL111" s="4550"/>
      <c r="FM111" s="4550"/>
      <c r="FN111" s="4550"/>
      <c r="FO111" s="4550"/>
      <c r="FP111" s="4550"/>
      <c r="FQ111" s="4550"/>
      <c r="FR111" s="4550"/>
      <c r="FS111" s="4550"/>
      <c r="FT111" s="4550"/>
      <c r="FU111" s="4550"/>
      <c r="FV111" s="4550"/>
      <c r="FW111" s="4550"/>
      <c r="FX111" s="4550"/>
      <c r="FY111" s="4550"/>
      <c r="FZ111" s="4550"/>
      <c r="GA111" s="4550"/>
      <c r="GB111" s="4550"/>
      <c r="GC111" s="4550"/>
      <c r="GD111" s="4550"/>
      <c r="GE111" s="4550"/>
      <c r="GF111" s="4550"/>
      <c r="GG111" s="4550"/>
      <c r="GH111" s="4550"/>
      <c r="GI111" s="4550"/>
      <c r="GJ111" s="4550"/>
      <c r="GK111" s="4550"/>
      <c r="GL111" s="4550"/>
      <c r="GM111" s="4550"/>
      <c r="GN111" s="4550"/>
      <c r="GO111" s="4550"/>
      <c r="GP111" s="4550"/>
      <c r="GQ111" s="4550"/>
      <c r="GR111" s="4550"/>
      <c r="GS111" s="4550"/>
      <c r="GT111" s="4550"/>
      <c r="GU111" s="4550"/>
      <c r="GV111" s="4550"/>
      <c r="GW111" s="4550"/>
      <c r="GX111" s="4550"/>
      <c r="GY111" s="4550"/>
      <c r="GZ111" s="4550"/>
      <c r="HA111" s="4550"/>
      <c r="HB111" s="4550"/>
      <c r="HC111" s="4550"/>
      <c r="HD111" s="4550"/>
      <c r="HE111" s="4550"/>
      <c r="HF111" s="4550"/>
      <c r="HG111" s="4550"/>
      <c r="HH111" s="4550"/>
      <c r="HI111" s="4550"/>
      <c r="HJ111" s="4550"/>
      <c r="HK111" s="4550"/>
      <c r="HL111" s="4550"/>
      <c r="HM111" s="4550"/>
      <c r="HN111" s="4550"/>
      <c r="HO111" s="4550"/>
      <c r="HP111" s="4550"/>
      <c r="HQ111" s="4550"/>
      <c r="HR111" s="4550"/>
      <c r="HS111" s="4550"/>
      <c r="HT111" s="4550"/>
      <c r="HU111" s="4550"/>
      <c r="HV111" s="4550"/>
      <c r="HW111" s="4550"/>
      <c r="HX111" s="4550"/>
      <c r="HY111" s="4550"/>
      <c r="HZ111" s="4550"/>
      <c r="IA111" s="4550"/>
      <c r="IB111" s="4550"/>
      <c r="IC111" s="4550"/>
      <c r="ID111" s="4550"/>
      <c r="IE111" s="4550"/>
    </row>
    <row r="112" spans="1:239" s="4549" customFormat="1" ht="60" customHeight="1">
      <c r="A112" s="4654">
        <v>2.2000000000000002</v>
      </c>
      <c r="B112" s="4728" t="s">
        <v>4100</v>
      </c>
      <c r="C112" s="4727">
        <v>4</v>
      </c>
      <c r="D112" s="4600" t="s">
        <v>1</v>
      </c>
      <c r="E112" s="4965"/>
      <c r="F112" s="4965">
        <f t="shared" si="3"/>
        <v>0</v>
      </c>
      <c r="G112" s="4537"/>
      <c r="H112" s="4537"/>
      <c r="I112" s="4537"/>
      <c r="J112" s="4537"/>
      <c r="K112" s="4537"/>
      <c r="L112" s="4537"/>
      <c r="M112" s="4537"/>
      <c r="N112" s="4537"/>
      <c r="O112" s="4537"/>
      <c r="P112" s="4537"/>
      <c r="Q112" s="4537"/>
      <c r="R112" s="4537"/>
      <c r="S112" s="4537"/>
      <c r="T112" s="4537"/>
      <c r="U112" s="4537"/>
      <c r="V112" s="4537"/>
      <c r="W112" s="4537"/>
      <c r="X112" s="4537"/>
      <c r="Y112" s="4537"/>
      <c r="Z112" s="4537"/>
      <c r="AA112" s="4537"/>
      <c r="AB112" s="4537"/>
      <c r="AC112" s="4537"/>
      <c r="AD112" s="4537"/>
      <c r="AE112" s="4537"/>
      <c r="AF112" s="4537"/>
      <c r="AG112" s="4537"/>
      <c r="AH112" s="4537"/>
      <c r="AI112" s="4537"/>
      <c r="AJ112" s="4537"/>
      <c r="AK112" s="4537"/>
      <c r="AL112" s="4537"/>
      <c r="AM112" s="4537"/>
      <c r="AN112" s="4537"/>
      <c r="AO112" s="4537"/>
      <c r="AP112" s="4537"/>
      <c r="AQ112" s="4537"/>
      <c r="AR112" s="4537"/>
      <c r="AS112" s="4550"/>
      <c r="AT112" s="4550"/>
      <c r="AU112" s="4550"/>
      <c r="AV112" s="4550"/>
      <c r="AW112" s="4550"/>
      <c r="AX112" s="4550"/>
      <c r="AY112" s="4550"/>
      <c r="AZ112" s="4550"/>
      <c r="BA112" s="4550"/>
      <c r="BB112" s="4550"/>
      <c r="BC112" s="4550"/>
      <c r="BD112" s="4550"/>
      <c r="BE112" s="4550"/>
      <c r="BF112" s="4550"/>
      <c r="BG112" s="4550"/>
      <c r="BH112" s="4550"/>
      <c r="BI112" s="4550"/>
      <c r="BJ112" s="4550"/>
      <c r="BK112" s="4550"/>
      <c r="BL112" s="4550"/>
      <c r="BM112" s="4550"/>
      <c r="BN112" s="4550"/>
      <c r="BO112" s="4550"/>
      <c r="BP112" s="4550"/>
      <c r="BQ112" s="4550"/>
      <c r="BR112" s="4550"/>
      <c r="BS112" s="4550"/>
      <c r="BT112" s="4550"/>
      <c r="BU112" s="4550"/>
      <c r="BV112" s="4550"/>
      <c r="BW112" s="4550"/>
      <c r="BX112" s="4550"/>
      <c r="BY112" s="4550"/>
      <c r="BZ112" s="4550"/>
      <c r="CA112" s="4550"/>
      <c r="CB112" s="4550"/>
      <c r="CC112" s="4550"/>
      <c r="CD112" s="4550"/>
      <c r="CE112" s="4550"/>
      <c r="CF112" s="4550"/>
      <c r="CG112" s="4550"/>
      <c r="CH112" s="4550"/>
      <c r="CI112" s="4550"/>
      <c r="CJ112" s="4550"/>
      <c r="CK112" s="4550"/>
      <c r="CL112" s="4550"/>
      <c r="CM112" s="4550"/>
      <c r="CN112" s="4550"/>
      <c r="CO112" s="4550"/>
      <c r="CP112" s="4550"/>
      <c r="CQ112" s="4550"/>
      <c r="CR112" s="4550"/>
      <c r="CS112" s="4550"/>
      <c r="CT112" s="4550"/>
      <c r="CU112" s="4550"/>
      <c r="CV112" s="4550"/>
      <c r="CW112" s="4550"/>
      <c r="CX112" s="4550"/>
      <c r="CY112" s="4550"/>
      <c r="CZ112" s="4550"/>
      <c r="DA112" s="4550"/>
      <c r="DB112" s="4550"/>
      <c r="DC112" s="4550"/>
      <c r="DD112" s="4550"/>
      <c r="DE112" s="4550"/>
      <c r="DF112" s="4550"/>
      <c r="DG112" s="4550"/>
      <c r="DH112" s="4550"/>
      <c r="DI112" s="4550"/>
      <c r="DJ112" s="4550"/>
      <c r="DK112" s="4550"/>
      <c r="DL112" s="4550"/>
      <c r="DM112" s="4550"/>
      <c r="DN112" s="4550"/>
      <c r="DO112" s="4550"/>
      <c r="DP112" s="4550"/>
      <c r="DQ112" s="4550"/>
      <c r="DR112" s="4550"/>
      <c r="DS112" s="4550"/>
      <c r="DT112" s="4550"/>
      <c r="DU112" s="4550"/>
      <c r="DV112" s="4550"/>
      <c r="DW112" s="4550"/>
      <c r="DX112" s="4550"/>
      <c r="DY112" s="4550"/>
      <c r="DZ112" s="4550"/>
      <c r="EA112" s="4550"/>
      <c r="EB112" s="4550"/>
      <c r="EC112" s="4550"/>
      <c r="ED112" s="4550"/>
      <c r="EE112" s="4550"/>
      <c r="EF112" s="4550"/>
      <c r="EG112" s="4550"/>
      <c r="EH112" s="4550"/>
      <c r="EI112" s="4550"/>
      <c r="EJ112" s="4550"/>
      <c r="EK112" s="4550"/>
      <c r="EL112" s="4550"/>
      <c r="EM112" s="4550"/>
      <c r="EN112" s="4550"/>
      <c r="EO112" s="4550"/>
      <c r="EP112" s="4550"/>
      <c r="EQ112" s="4550"/>
      <c r="ER112" s="4550"/>
      <c r="ES112" s="4550"/>
      <c r="ET112" s="4550"/>
      <c r="EU112" s="4550"/>
      <c r="EV112" s="4550"/>
      <c r="EW112" s="4550"/>
      <c r="EX112" s="4550"/>
      <c r="EY112" s="4550"/>
      <c r="EZ112" s="4550"/>
      <c r="FA112" s="4550"/>
      <c r="FB112" s="4550"/>
      <c r="FC112" s="4550"/>
      <c r="FD112" s="4550"/>
      <c r="FE112" s="4550"/>
      <c r="FF112" s="4550"/>
      <c r="FG112" s="4550"/>
      <c r="FH112" s="4550"/>
      <c r="FI112" s="4550"/>
      <c r="FJ112" s="4550"/>
      <c r="FK112" s="4550"/>
      <c r="FL112" s="4550"/>
      <c r="FM112" s="4550"/>
      <c r="FN112" s="4550"/>
      <c r="FO112" s="4550"/>
      <c r="FP112" s="4550"/>
      <c r="FQ112" s="4550"/>
      <c r="FR112" s="4550"/>
      <c r="FS112" s="4550"/>
      <c r="FT112" s="4550"/>
      <c r="FU112" s="4550"/>
      <c r="FV112" s="4550"/>
      <c r="FW112" s="4550"/>
      <c r="FX112" s="4550"/>
      <c r="FY112" s="4550"/>
      <c r="FZ112" s="4550"/>
      <c r="GA112" s="4550"/>
      <c r="GB112" s="4550"/>
      <c r="GC112" s="4550"/>
      <c r="GD112" s="4550"/>
      <c r="GE112" s="4550"/>
      <c r="GF112" s="4550"/>
      <c r="GG112" s="4550"/>
      <c r="GH112" s="4550"/>
      <c r="GI112" s="4550"/>
      <c r="GJ112" s="4550"/>
      <c r="GK112" s="4550"/>
      <c r="GL112" s="4550"/>
      <c r="GM112" s="4550"/>
      <c r="GN112" s="4550"/>
      <c r="GO112" s="4550"/>
      <c r="GP112" s="4550"/>
      <c r="GQ112" s="4550"/>
      <c r="GR112" s="4550"/>
      <c r="GS112" s="4550"/>
      <c r="GT112" s="4550"/>
      <c r="GU112" s="4550"/>
      <c r="GV112" s="4550"/>
      <c r="GW112" s="4550"/>
      <c r="GX112" s="4550"/>
      <c r="GY112" s="4550"/>
      <c r="GZ112" s="4550"/>
      <c r="HA112" s="4550"/>
      <c r="HB112" s="4550"/>
      <c r="HC112" s="4550"/>
      <c r="HD112" s="4550"/>
      <c r="HE112" s="4550"/>
      <c r="HF112" s="4550"/>
      <c r="HG112" s="4550"/>
      <c r="HH112" s="4550"/>
      <c r="HI112" s="4550"/>
      <c r="HJ112" s="4550"/>
      <c r="HK112" s="4550"/>
      <c r="HL112" s="4550"/>
      <c r="HM112" s="4550"/>
      <c r="HN112" s="4550"/>
      <c r="HO112" s="4550"/>
      <c r="HP112" s="4550"/>
      <c r="HQ112" s="4550"/>
      <c r="HR112" s="4550"/>
      <c r="HS112" s="4550"/>
      <c r="HT112" s="4550"/>
      <c r="HU112" s="4550"/>
      <c r="HV112" s="4550"/>
      <c r="HW112" s="4550"/>
      <c r="HX112" s="4550"/>
      <c r="HY112" s="4550"/>
      <c r="HZ112" s="4550"/>
      <c r="IA112" s="4550"/>
      <c r="IB112" s="4550"/>
      <c r="IC112" s="4550"/>
      <c r="ID112" s="4550"/>
      <c r="IE112" s="4550"/>
    </row>
    <row r="113" spans="1:239" s="4549" customFormat="1" ht="57">
      <c r="A113" s="4729">
        <v>2.2999999999999998</v>
      </c>
      <c r="B113" s="4730" t="s">
        <v>4101</v>
      </c>
      <c r="C113" s="4731">
        <v>4</v>
      </c>
      <c r="D113" s="4732" t="s">
        <v>1</v>
      </c>
      <c r="E113" s="4980"/>
      <c r="F113" s="4975">
        <f t="shared" si="3"/>
        <v>0</v>
      </c>
      <c r="G113" s="4537"/>
      <c r="H113" s="4537"/>
      <c r="I113" s="4537"/>
      <c r="J113" s="4537"/>
      <c r="K113" s="4537"/>
      <c r="L113" s="4537"/>
      <c r="M113" s="4537"/>
      <c r="N113" s="4537"/>
      <c r="O113" s="4537"/>
      <c r="P113" s="4537"/>
      <c r="Q113" s="4537"/>
      <c r="R113" s="4537"/>
      <c r="S113" s="4537"/>
      <c r="T113" s="4537"/>
      <c r="U113" s="4537"/>
      <c r="V113" s="4537"/>
      <c r="W113" s="4537"/>
      <c r="X113" s="4537"/>
      <c r="Y113" s="4537"/>
      <c r="Z113" s="4537"/>
      <c r="AA113" s="4537"/>
      <c r="AB113" s="4537"/>
      <c r="AC113" s="4537"/>
      <c r="AD113" s="4537"/>
      <c r="AE113" s="4537"/>
      <c r="AF113" s="4537"/>
      <c r="AG113" s="4537"/>
      <c r="AH113" s="4537"/>
      <c r="AI113" s="4537"/>
      <c r="AJ113" s="4537"/>
      <c r="AK113" s="4537"/>
      <c r="AL113" s="4537"/>
      <c r="AM113" s="4537"/>
      <c r="AN113" s="4537"/>
      <c r="AO113" s="4537"/>
      <c r="AP113" s="4537"/>
      <c r="AQ113" s="4537"/>
      <c r="AR113" s="4537"/>
      <c r="AS113" s="4550"/>
      <c r="AT113" s="4550"/>
      <c r="AU113" s="4550"/>
      <c r="AV113" s="4550"/>
      <c r="AW113" s="4550"/>
      <c r="AX113" s="4550"/>
      <c r="AY113" s="4550"/>
      <c r="AZ113" s="4550"/>
      <c r="BA113" s="4550"/>
      <c r="BB113" s="4550"/>
      <c r="BC113" s="4550"/>
      <c r="BD113" s="4550"/>
      <c r="BE113" s="4550"/>
      <c r="BF113" s="4550"/>
      <c r="BG113" s="4550"/>
      <c r="BH113" s="4550"/>
      <c r="BI113" s="4550"/>
      <c r="BJ113" s="4550"/>
      <c r="BK113" s="4550"/>
      <c r="BL113" s="4550"/>
      <c r="BM113" s="4550"/>
      <c r="BN113" s="4550"/>
      <c r="BO113" s="4550"/>
      <c r="BP113" s="4550"/>
      <c r="BQ113" s="4550"/>
      <c r="BR113" s="4550"/>
      <c r="BS113" s="4550"/>
      <c r="BT113" s="4550"/>
      <c r="BU113" s="4550"/>
      <c r="BV113" s="4550"/>
      <c r="BW113" s="4550"/>
      <c r="BX113" s="4550"/>
      <c r="BY113" s="4550"/>
      <c r="BZ113" s="4550"/>
      <c r="CA113" s="4550"/>
      <c r="CB113" s="4550"/>
      <c r="CC113" s="4550"/>
      <c r="CD113" s="4550"/>
      <c r="CE113" s="4550"/>
      <c r="CF113" s="4550"/>
      <c r="CG113" s="4550"/>
      <c r="CH113" s="4550"/>
      <c r="CI113" s="4550"/>
      <c r="CJ113" s="4550"/>
      <c r="CK113" s="4550"/>
      <c r="CL113" s="4550"/>
      <c r="CM113" s="4550"/>
      <c r="CN113" s="4550"/>
      <c r="CO113" s="4550"/>
      <c r="CP113" s="4550"/>
      <c r="CQ113" s="4550"/>
      <c r="CR113" s="4550"/>
      <c r="CS113" s="4550"/>
      <c r="CT113" s="4550"/>
      <c r="CU113" s="4550"/>
      <c r="CV113" s="4550"/>
      <c r="CW113" s="4550"/>
      <c r="CX113" s="4550"/>
      <c r="CY113" s="4550"/>
      <c r="CZ113" s="4550"/>
      <c r="DA113" s="4550"/>
      <c r="DB113" s="4550"/>
      <c r="DC113" s="4550"/>
      <c r="DD113" s="4550"/>
      <c r="DE113" s="4550"/>
      <c r="DF113" s="4550"/>
      <c r="DG113" s="4550"/>
      <c r="DH113" s="4550"/>
      <c r="DI113" s="4550"/>
      <c r="DJ113" s="4550"/>
      <c r="DK113" s="4550"/>
      <c r="DL113" s="4550"/>
      <c r="DM113" s="4550"/>
      <c r="DN113" s="4550"/>
      <c r="DO113" s="4550"/>
      <c r="DP113" s="4550"/>
      <c r="DQ113" s="4550"/>
      <c r="DR113" s="4550"/>
      <c r="DS113" s="4550"/>
      <c r="DT113" s="4550"/>
      <c r="DU113" s="4550"/>
      <c r="DV113" s="4550"/>
      <c r="DW113" s="4550"/>
      <c r="DX113" s="4550"/>
      <c r="DY113" s="4550"/>
      <c r="DZ113" s="4550"/>
      <c r="EA113" s="4550"/>
      <c r="EB113" s="4550"/>
      <c r="EC113" s="4550"/>
      <c r="ED113" s="4550"/>
      <c r="EE113" s="4550"/>
      <c r="EF113" s="4550"/>
      <c r="EG113" s="4550"/>
      <c r="EH113" s="4550"/>
      <c r="EI113" s="4550"/>
      <c r="EJ113" s="4550"/>
      <c r="EK113" s="4550"/>
      <c r="EL113" s="4550"/>
      <c r="EM113" s="4550"/>
      <c r="EN113" s="4550"/>
      <c r="EO113" s="4550"/>
      <c r="EP113" s="4550"/>
      <c r="EQ113" s="4550"/>
      <c r="ER113" s="4550"/>
      <c r="ES113" s="4550"/>
      <c r="ET113" s="4550"/>
      <c r="EU113" s="4550"/>
      <c r="EV113" s="4550"/>
      <c r="EW113" s="4550"/>
      <c r="EX113" s="4550"/>
      <c r="EY113" s="4550"/>
      <c r="EZ113" s="4550"/>
      <c r="FA113" s="4550"/>
      <c r="FB113" s="4550"/>
      <c r="FC113" s="4550"/>
      <c r="FD113" s="4550"/>
      <c r="FE113" s="4550"/>
      <c r="FF113" s="4550"/>
      <c r="FG113" s="4550"/>
      <c r="FH113" s="4550"/>
      <c r="FI113" s="4550"/>
      <c r="FJ113" s="4550"/>
      <c r="FK113" s="4550"/>
      <c r="FL113" s="4550"/>
      <c r="FM113" s="4550"/>
      <c r="FN113" s="4550"/>
      <c r="FO113" s="4550"/>
      <c r="FP113" s="4550"/>
      <c r="FQ113" s="4550"/>
      <c r="FR113" s="4550"/>
      <c r="FS113" s="4550"/>
      <c r="FT113" s="4550"/>
      <c r="FU113" s="4550"/>
      <c r="FV113" s="4550"/>
      <c r="FW113" s="4550"/>
      <c r="FX113" s="4550"/>
      <c r="FY113" s="4550"/>
      <c r="FZ113" s="4550"/>
      <c r="GA113" s="4550"/>
      <c r="GB113" s="4550"/>
      <c r="GC113" s="4550"/>
      <c r="GD113" s="4550"/>
      <c r="GE113" s="4550"/>
      <c r="GF113" s="4550"/>
      <c r="GG113" s="4550"/>
      <c r="GH113" s="4550"/>
      <c r="GI113" s="4550"/>
      <c r="GJ113" s="4550"/>
      <c r="GK113" s="4550"/>
      <c r="GL113" s="4550"/>
      <c r="GM113" s="4550"/>
      <c r="GN113" s="4550"/>
      <c r="GO113" s="4550"/>
      <c r="GP113" s="4550"/>
      <c r="GQ113" s="4550"/>
      <c r="GR113" s="4550"/>
      <c r="GS113" s="4550"/>
      <c r="GT113" s="4550"/>
      <c r="GU113" s="4550"/>
      <c r="GV113" s="4550"/>
      <c r="GW113" s="4550"/>
      <c r="GX113" s="4550"/>
      <c r="GY113" s="4550"/>
      <c r="GZ113" s="4550"/>
      <c r="HA113" s="4550"/>
      <c r="HB113" s="4550"/>
      <c r="HC113" s="4550"/>
      <c r="HD113" s="4550"/>
      <c r="HE113" s="4550"/>
      <c r="HF113" s="4550"/>
      <c r="HG113" s="4550"/>
      <c r="HH113" s="4550"/>
      <c r="HI113" s="4550"/>
      <c r="HJ113" s="4550"/>
      <c r="HK113" s="4550"/>
      <c r="HL113" s="4550"/>
      <c r="HM113" s="4550"/>
      <c r="HN113" s="4550"/>
      <c r="HO113" s="4550"/>
      <c r="HP113" s="4550"/>
      <c r="HQ113" s="4550"/>
      <c r="HR113" s="4550"/>
      <c r="HS113" s="4550"/>
      <c r="HT113" s="4550"/>
      <c r="HU113" s="4550"/>
      <c r="HV113" s="4550"/>
      <c r="HW113" s="4550"/>
      <c r="HX113" s="4550"/>
      <c r="HY113" s="4550"/>
      <c r="HZ113" s="4550"/>
      <c r="IA113" s="4550"/>
      <c r="IB113" s="4550"/>
      <c r="IC113" s="4550"/>
      <c r="ID113" s="4550"/>
      <c r="IE113" s="4550"/>
    </row>
    <row r="114" spans="1:239" s="4549" customFormat="1" ht="60" customHeight="1">
      <c r="A114" s="4654">
        <v>2.4</v>
      </c>
      <c r="B114" s="4728" t="s">
        <v>4102</v>
      </c>
      <c r="C114" s="4727">
        <v>10</v>
      </c>
      <c r="D114" s="4600" t="s">
        <v>1</v>
      </c>
      <c r="E114" s="4965"/>
      <c r="F114" s="4965">
        <f t="shared" si="3"/>
        <v>0</v>
      </c>
      <c r="G114" s="4537"/>
      <c r="H114" s="4537"/>
      <c r="I114" s="4537"/>
      <c r="J114" s="4537"/>
      <c r="K114" s="4537"/>
      <c r="L114" s="4537"/>
      <c r="M114" s="4537"/>
      <c r="N114" s="4537"/>
      <c r="O114" s="4537"/>
      <c r="P114" s="4537"/>
      <c r="Q114" s="4537"/>
      <c r="R114" s="4537"/>
      <c r="S114" s="4537"/>
      <c r="T114" s="4537"/>
      <c r="U114" s="4537"/>
      <c r="V114" s="4537"/>
      <c r="W114" s="4537"/>
      <c r="X114" s="4537"/>
      <c r="Y114" s="4537"/>
      <c r="Z114" s="4537"/>
      <c r="AA114" s="4537"/>
      <c r="AB114" s="4537"/>
      <c r="AC114" s="4537"/>
      <c r="AD114" s="4537"/>
      <c r="AE114" s="4537"/>
      <c r="AF114" s="4537"/>
      <c r="AG114" s="4537"/>
      <c r="AH114" s="4537"/>
      <c r="AI114" s="4537"/>
      <c r="AJ114" s="4537"/>
      <c r="AK114" s="4537"/>
      <c r="AL114" s="4537"/>
      <c r="AM114" s="4537"/>
      <c r="AN114" s="4537"/>
      <c r="AO114" s="4537"/>
      <c r="AP114" s="4537"/>
      <c r="AQ114" s="4537"/>
      <c r="AR114" s="4537"/>
      <c r="AS114" s="4550"/>
      <c r="AT114" s="4550"/>
      <c r="AU114" s="4550"/>
      <c r="AV114" s="4550"/>
      <c r="AW114" s="4550"/>
      <c r="AX114" s="4550"/>
      <c r="AY114" s="4550"/>
      <c r="AZ114" s="4550"/>
      <c r="BA114" s="4550"/>
      <c r="BB114" s="4550"/>
      <c r="BC114" s="4550"/>
      <c r="BD114" s="4550"/>
      <c r="BE114" s="4550"/>
      <c r="BF114" s="4550"/>
      <c r="BG114" s="4550"/>
      <c r="BH114" s="4550"/>
      <c r="BI114" s="4550"/>
      <c r="BJ114" s="4550"/>
      <c r="BK114" s="4550"/>
      <c r="BL114" s="4550"/>
      <c r="BM114" s="4550"/>
      <c r="BN114" s="4550"/>
      <c r="BO114" s="4550"/>
      <c r="BP114" s="4550"/>
      <c r="BQ114" s="4550"/>
      <c r="BR114" s="4550"/>
      <c r="BS114" s="4550"/>
      <c r="BT114" s="4550"/>
      <c r="BU114" s="4550"/>
      <c r="BV114" s="4550"/>
      <c r="BW114" s="4550"/>
      <c r="BX114" s="4550"/>
      <c r="BY114" s="4550"/>
      <c r="BZ114" s="4550"/>
      <c r="CA114" s="4550"/>
      <c r="CB114" s="4550"/>
      <c r="CC114" s="4550"/>
      <c r="CD114" s="4550"/>
      <c r="CE114" s="4550"/>
      <c r="CF114" s="4550"/>
      <c r="CG114" s="4550"/>
      <c r="CH114" s="4550"/>
      <c r="CI114" s="4550"/>
      <c r="CJ114" s="4550"/>
      <c r="CK114" s="4550"/>
      <c r="CL114" s="4550"/>
      <c r="CM114" s="4550"/>
      <c r="CN114" s="4550"/>
      <c r="CO114" s="4550"/>
      <c r="CP114" s="4550"/>
      <c r="CQ114" s="4550"/>
      <c r="CR114" s="4550"/>
      <c r="CS114" s="4550"/>
      <c r="CT114" s="4550"/>
      <c r="CU114" s="4550"/>
      <c r="CV114" s="4550"/>
      <c r="CW114" s="4550"/>
      <c r="CX114" s="4550"/>
      <c r="CY114" s="4550"/>
      <c r="CZ114" s="4550"/>
      <c r="DA114" s="4550"/>
      <c r="DB114" s="4550"/>
      <c r="DC114" s="4550"/>
      <c r="DD114" s="4550"/>
      <c r="DE114" s="4550"/>
      <c r="DF114" s="4550"/>
      <c r="DG114" s="4550"/>
      <c r="DH114" s="4550"/>
      <c r="DI114" s="4550"/>
      <c r="DJ114" s="4550"/>
      <c r="DK114" s="4550"/>
      <c r="DL114" s="4550"/>
      <c r="DM114" s="4550"/>
      <c r="DN114" s="4550"/>
      <c r="DO114" s="4550"/>
      <c r="DP114" s="4550"/>
      <c r="DQ114" s="4550"/>
      <c r="DR114" s="4550"/>
      <c r="DS114" s="4550"/>
      <c r="DT114" s="4550"/>
      <c r="DU114" s="4550"/>
      <c r="DV114" s="4550"/>
      <c r="DW114" s="4550"/>
      <c r="DX114" s="4550"/>
      <c r="DY114" s="4550"/>
      <c r="DZ114" s="4550"/>
      <c r="EA114" s="4550"/>
      <c r="EB114" s="4550"/>
      <c r="EC114" s="4550"/>
      <c r="ED114" s="4550"/>
      <c r="EE114" s="4550"/>
      <c r="EF114" s="4550"/>
      <c r="EG114" s="4550"/>
      <c r="EH114" s="4550"/>
      <c r="EI114" s="4550"/>
      <c r="EJ114" s="4550"/>
      <c r="EK114" s="4550"/>
      <c r="EL114" s="4550"/>
      <c r="EM114" s="4550"/>
      <c r="EN114" s="4550"/>
      <c r="EO114" s="4550"/>
      <c r="EP114" s="4550"/>
      <c r="EQ114" s="4550"/>
      <c r="ER114" s="4550"/>
      <c r="ES114" s="4550"/>
      <c r="ET114" s="4550"/>
      <c r="EU114" s="4550"/>
      <c r="EV114" s="4550"/>
      <c r="EW114" s="4550"/>
      <c r="EX114" s="4550"/>
      <c r="EY114" s="4550"/>
      <c r="EZ114" s="4550"/>
      <c r="FA114" s="4550"/>
      <c r="FB114" s="4550"/>
      <c r="FC114" s="4550"/>
      <c r="FD114" s="4550"/>
      <c r="FE114" s="4550"/>
      <c r="FF114" s="4550"/>
      <c r="FG114" s="4550"/>
      <c r="FH114" s="4550"/>
      <c r="FI114" s="4550"/>
      <c r="FJ114" s="4550"/>
      <c r="FK114" s="4550"/>
      <c r="FL114" s="4550"/>
      <c r="FM114" s="4550"/>
      <c r="FN114" s="4550"/>
      <c r="FO114" s="4550"/>
      <c r="FP114" s="4550"/>
      <c r="FQ114" s="4550"/>
      <c r="FR114" s="4550"/>
      <c r="FS114" s="4550"/>
      <c r="FT114" s="4550"/>
      <c r="FU114" s="4550"/>
      <c r="FV114" s="4550"/>
      <c r="FW114" s="4550"/>
      <c r="FX114" s="4550"/>
      <c r="FY114" s="4550"/>
      <c r="FZ114" s="4550"/>
      <c r="GA114" s="4550"/>
      <c r="GB114" s="4550"/>
      <c r="GC114" s="4550"/>
      <c r="GD114" s="4550"/>
      <c r="GE114" s="4550"/>
      <c r="GF114" s="4550"/>
      <c r="GG114" s="4550"/>
      <c r="GH114" s="4550"/>
      <c r="GI114" s="4550"/>
      <c r="GJ114" s="4550"/>
      <c r="GK114" s="4550"/>
      <c r="GL114" s="4550"/>
      <c r="GM114" s="4550"/>
      <c r="GN114" s="4550"/>
      <c r="GO114" s="4550"/>
      <c r="GP114" s="4550"/>
      <c r="GQ114" s="4550"/>
      <c r="GR114" s="4550"/>
      <c r="GS114" s="4550"/>
      <c r="GT114" s="4550"/>
      <c r="GU114" s="4550"/>
      <c r="GV114" s="4550"/>
      <c r="GW114" s="4550"/>
      <c r="GX114" s="4550"/>
      <c r="GY114" s="4550"/>
      <c r="GZ114" s="4550"/>
      <c r="HA114" s="4550"/>
      <c r="HB114" s="4550"/>
      <c r="HC114" s="4550"/>
      <c r="HD114" s="4550"/>
      <c r="HE114" s="4550"/>
      <c r="HF114" s="4550"/>
      <c r="HG114" s="4550"/>
      <c r="HH114" s="4550"/>
      <c r="HI114" s="4550"/>
      <c r="HJ114" s="4550"/>
      <c r="HK114" s="4550"/>
      <c r="HL114" s="4550"/>
      <c r="HM114" s="4550"/>
      <c r="HN114" s="4550"/>
      <c r="HO114" s="4550"/>
      <c r="HP114" s="4550"/>
      <c r="HQ114" s="4550"/>
      <c r="HR114" s="4550"/>
      <c r="HS114" s="4550"/>
      <c r="HT114" s="4550"/>
      <c r="HU114" s="4550"/>
      <c r="HV114" s="4550"/>
      <c r="HW114" s="4550"/>
      <c r="HX114" s="4550"/>
      <c r="HY114" s="4550"/>
      <c r="HZ114" s="4550"/>
      <c r="IA114" s="4550"/>
      <c r="IB114" s="4550"/>
      <c r="IC114" s="4550"/>
      <c r="ID114" s="4550"/>
      <c r="IE114" s="4550"/>
    </row>
    <row r="115" spans="1:239" s="4549" customFormat="1" ht="62.25" customHeight="1">
      <c r="A115" s="4654">
        <v>2.5</v>
      </c>
      <c r="B115" s="4728" t="s">
        <v>4103</v>
      </c>
      <c r="C115" s="4677">
        <v>4</v>
      </c>
      <c r="D115" s="4593" t="s">
        <v>1</v>
      </c>
      <c r="E115" s="4318"/>
      <c r="F115" s="4965">
        <f t="shared" si="3"/>
        <v>0</v>
      </c>
      <c r="G115" s="4537"/>
      <c r="H115" s="4537"/>
      <c r="I115" s="4537"/>
      <c r="J115" s="4537"/>
      <c r="K115" s="4537"/>
      <c r="L115" s="4537"/>
      <c r="M115" s="4537"/>
      <c r="N115" s="4537"/>
      <c r="O115" s="4537"/>
      <c r="P115" s="4537"/>
      <c r="Q115" s="4537"/>
      <c r="R115" s="4537"/>
      <c r="S115" s="4537"/>
      <c r="T115" s="4537"/>
      <c r="U115" s="4537"/>
      <c r="V115" s="4537"/>
      <c r="W115" s="4537"/>
      <c r="X115" s="4537"/>
      <c r="Y115" s="4537"/>
      <c r="Z115" s="4537"/>
      <c r="AA115" s="4537"/>
      <c r="AB115" s="4537"/>
      <c r="AC115" s="4537"/>
      <c r="AD115" s="4537"/>
      <c r="AE115" s="4537"/>
      <c r="AF115" s="4537"/>
      <c r="AG115" s="4537"/>
      <c r="AH115" s="4537"/>
      <c r="AI115" s="4537"/>
      <c r="AJ115" s="4537"/>
      <c r="AK115" s="4537"/>
      <c r="AL115" s="4537"/>
      <c r="AM115" s="4537"/>
      <c r="AN115" s="4537"/>
      <c r="AO115" s="4537"/>
      <c r="AP115" s="4537"/>
      <c r="AQ115" s="4537"/>
      <c r="AR115" s="4537"/>
      <c r="AS115" s="4550"/>
      <c r="AT115" s="4550"/>
      <c r="AU115" s="4550"/>
      <c r="AV115" s="4550"/>
      <c r="AW115" s="4550"/>
      <c r="AX115" s="4550"/>
      <c r="AY115" s="4550"/>
      <c r="AZ115" s="4550"/>
      <c r="BA115" s="4550"/>
      <c r="BB115" s="4550"/>
      <c r="BC115" s="4550"/>
      <c r="BD115" s="4550"/>
      <c r="BE115" s="4550"/>
      <c r="BF115" s="4550"/>
      <c r="BG115" s="4550"/>
      <c r="BH115" s="4550"/>
      <c r="BI115" s="4550"/>
      <c r="BJ115" s="4550"/>
      <c r="BK115" s="4550"/>
      <c r="BL115" s="4550"/>
      <c r="BM115" s="4550"/>
      <c r="BN115" s="4550"/>
      <c r="BO115" s="4550"/>
      <c r="BP115" s="4550"/>
      <c r="BQ115" s="4550"/>
      <c r="BR115" s="4550"/>
      <c r="BS115" s="4550"/>
      <c r="BT115" s="4550"/>
      <c r="BU115" s="4550"/>
      <c r="BV115" s="4550"/>
      <c r="BW115" s="4550"/>
      <c r="BX115" s="4550"/>
      <c r="BY115" s="4550"/>
      <c r="BZ115" s="4550"/>
      <c r="CA115" s="4550"/>
      <c r="CB115" s="4550"/>
      <c r="CC115" s="4550"/>
      <c r="CD115" s="4550"/>
      <c r="CE115" s="4550"/>
      <c r="CF115" s="4550"/>
      <c r="CG115" s="4550"/>
      <c r="CH115" s="4550"/>
      <c r="CI115" s="4550"/>
      <c r="CJ115" s="4550"/>
      <c r="CK115" s="4550"/>
      <c r="CL115" s="4550"/>
      <c r="CM115" s="4550"/>
      <c r="CN115" s="4550"/>
      <c r="CO115" s="4550"/>
      <c r="CP115" s="4550"/>
      <c r="CQ115" s="4550"/>
      <c r="CR115" s="4550"/>
      <c r="CS115" s="4550"/>
      <c r="CT115" s="4550"/>
      <c r="CU115" s="4550"/>
      <c r="CV115" s="4550"/>
      <c r="CW115" s="4550"/>
      <c r="CX115" s="4550"/>
      <c r="CY115" s="4550"/>
      <c r="CZ115" s="4550"/>
      <c r="DA115" s="4550"/>
      <c r="DB115" s="4550"/>
      <c r="DC115" s="4550"/>
      <c r="DD115" s="4550"/>
      <c r="DE115" s="4550"/>
      <c r="DF115" s="4550"/>
      <c r="DG115" s="4550"/>
      <c r="DH115" s="4550"/>
      <c r="DI115" s="4550"/>
      <c r="DJ115" s="4550"/>
      <c r="DK115" s="4550"/>
      <c r="DL115" s="4550"/>
      <c r="DM115" s="4550"/>
      <c r="DN115" s="4550"/>
      <c r="DO115" s="4550"/>
      <c r="DP115" s="4550"/>
      <c r="DQ115" s="4550"/>
      <c r="DR115" s="4550"/>
      <c r="DS115" s="4550"/>
      <c r="DT115" s="4550"/>
      <c r="DU115" s="4550"/>
      <c r="DV115" s="4550"/>
      <c r="DW115" s="4550"/>
      <c r="DX115" s="4550"/>
      <c r="DY115" s="4550"/>
      <c r="DZ115" s="4550"/>
      <c r="EA115" s="4550"/>
      <c r="EB115" s="4550"/>
      <c r="EC115" s="4550"/>
      <c r="ED115" s="4550"/>
      <c r="EE115" s="4550"/>
      <c r="EF115" s="4550"/>
      <c r="EG115" s="4550"/>
      <c r="EH115" s="4550"/>
      <c r="EI115" s="4550"/>
      <c r="EJ115" s="4550"/>
      <c r="EK115" s="4550"/>
      <c r="EL115" s="4550"/>
      <c r="EM115" s="4550"/>
      <c r="EN115" s="4550"/>
      <c r="EO115" s="4550"/>
      <c r="EP115" s="4550"/>
      <c r="EQ115" s="4550"/>
      <c r="ER115" s="4550"/>
      <c r="ES115" s="4550"/>
      <c r="ET115" s="4550"/>
      <c r="EU115" s="4550"/>
      <c r="EV115" s="4550"/>
      <c r="EW115" s="4550"/>
      <c r="EX115" s="4550"/>
      <c r="EY115" s="4550"/>
      <c r="EZ115" s="4550"/>
      <c r="FA115" s="4550"/>
      <c r="FB115" s="4550"/>
      <c r="FC115" s="4550"/>
      <c r="FD115" s="4550"/>
      <c r="FE115" s="4550"/>
      <c r="FF115" s="4550"/>
      <c r="FG115" s="4550"/>
      <c r="FH115" s="4550"/>
      <c r="FI115" s="4550"/>
      <c r="FJ115" s="4550"/>
      <c r="FK115" s="4550"/>
      <c r="FL115" s="4550"/>
      <c r="FM115" s="4550"/>
      <c r="FN115" s="4550"/>
      <c r="FO115" s="4550"/>
      <c r="FP115" s="4550"/>
      <c r="FQ115" s="4550"/>
      <c r="FR115" s="4550"/>
      <c r="FS115" s="4550"/>
      <c r="FT115" s="4550"/>
      <c r="FU115" s="4550"/>
      <c r="FV115" s="4550"/>
      <c r="FW115" s="4550"/>
      <c r="FX115" s="4550"/>
      <c r="FY115" s="4550"/>
      <c r="FZ115" s="4550"/>
      <c r="GA115" s="4550"/>
      <c r="GB115" s="4550"/>
      <c r="GC115" s="4550"/>
      <c r="GD115" s="4550"/>
      <c r="GE115" s="4550"/>
      <c r="GF115" s="4550"/>
      <c r="GG115" s="4550"/>
      <c r="GH115" s="4550"/>
      <c r="GI115" s="4550"/>
      <c r="GJ115" s="4550"/>
      <c r="GK115" s="4550"/>
      <c r="GL115" s="4550"/>
      <c r="GM115" s="4550"/>
      <c r="GN115" s="4550"/>
      <c r="GO115" s="4550"/>
      <c r="GP115" s="4550"/>
      <c r="GQ115" s="4550"/>
      <c r="GR115" s="4550"/>
      <c r="GS115" s="4550"/>
      <c r="GT115" s="4550"/>
      <c r="GU115" s="4550"/>
      <c r="GV115" s="4550"/>
      <c r="GW115" s="4550"/>
      <c r="GX115" s="4550"/>
      <c r="GY115" s="4550"/>
      <c r="GZ115" s="4550"/>
      <c r="HA115" s="4550"/>
      <c r="HB115" s="4550"/>
      <c r="HC115" s="4550"/>
      <c r="HD115" s="4550"/>
      <c r="HE115" s="4550"/>
      <c r="HF115" s="4550"/>
      <c r="HG115" s="4550"/>
      <c r="HH115" s="4550"/>
      <c r="HI115" s="4550"/>
      <c r="HJ115" s="4550"/>
      <c r="HK115" s="4550"/>
      <c r="HL115" s="4550"/>
      <c r="HM115" s="4550"/>
      <c r="HN115" s="4550"/>
      <c r="HO115" s="4550"/>
      <c r="HP115" s="4550"/>
      <c r="HQ115" s="4550"/>
      <c r="HR115" s="4550"/>
      <c r="HS115" s="4550"/>
      <c r="HT115" s="4550"/>
      <c r="HU115" s="4550"/>
      <c r="HV115" s="4550"/>
      <c r="HW115" s="4550"/>
      <c r="HX115" s="4550"/>
      <c r="HY115" s="4550"/>
      <c r="HZ115" s="4550"/>
      <c r="IA115" s="4550"/>
      <c r="IB115" s="4550"/>
      <c r="IC115" s="4550"/>
      <c r="ID115" s="4550"/>
      <c r="IE115" s="4550"/>
    </row>
    <row r="116" spans="1:239" s="4549" customFormat="1" ht="60.75" customHeight="1">
      <c r="A116" s="4654">
        <v>2.6</v>
      </c>
      <c r="B116" s="4728" t="s">
        <v>4104</v>
      </c>
      <c r="C116" s="4727">
        <v>10</v>
      </c>
      <c r="D116" s="4600" t="s">
        <v>1</v>
      </c>
      <c r="E116" s="4965"/>
      <c r="F116" s="4965">
        <f t="shared" si="3"/>
        <v>0</v>
      </c>
      <c r="G116" s="4537"/>
      <c r="H116" s="4537"/>
      <c r="I116" s="4537"/>
      <c r="J116" s="4537"/>
      <c r="K116" s="4537"/>
      <c r="L116" s="4537"/>
      <c r="M116" s="4537"/>
      <c r="N116" s="4537"/>
      <c r="O116" s="4537"/>
      <c r="P116" s="4537"/>
      <c r="Q116" s="4537"/>
      <c r="R116" s="4537"/>
      <c r="S116" s="4537"/>
      <c r="T116" s="4537"/>
      <c r="U116" s="4537"/>
      <c r="V116" s="4537"/>
      <c r="W116" s="4537"/>
      <c r="X116" s="4537"/>
      <c r="Y116" s="4537"/>
      <c r="Z116" s="4537"/>
      <c r="AA116" s="4537"/>
      <c r="AB116" s="4537"/>
      <c r="AC116" s="4537"/>
      <c r="AD116" s="4537"/>
      <c r="AE116" s="4537"/>
      <c r="AF116" s="4537"/>
      <c r="AG116" s="4537"/>
      <c r="AH116" s="4537"/>
      <c r="AI116" s="4537"/>
      <c r="AJ116" s="4537"/>
      <c r="AK116" s="4537"/>
      <c r="AL116" s="4537"/>
      <c r="AM116" s="4537"/>
      <c r="AN116" s="4537"/>
      <c r="AO116" s="4537"/>
      <c r="AP116" s="4537"/>
      <c r="AQ116" s="4537"/>
      <c r="AR116" s="4537"/>
      <c r="AS116" s="4550"/>
      <c r="AT116" s="4550"/>
      <c r="AU116" s="4550"/>
      <c r="AV116" s="4550"/>
      <c r="AW116" s="4550"/>
      <c r="AX116" s="4550"/>
      <c r="AY116" s="4550"/>
      <c r="AZ116" s="4550"/>
      <c r="BA116" s="4550"/>
      <c r="BB116" s="4550"/>
      <c r="BC116" s="4550"/>
      <c r="BD116" s="4550"/>
      <c r="BE116" s="4550"/>
      <c r="BF116" s="4550"/>
      <c r="BG116" s="4550"/>
      <c r="BH116" s="4550"/>
      <c r="BI116" s="4550"/>
      <c r="BJ116" s="4550"/>
      <c r="BK116" s="4550"/>
      <c r="BL116" s="4550"/>
      <c r="BM116" s="4550"/>
      <c r="BN116" s="4550"/>
      <c r="BO116" s="4550"/>
      <c r="BP116" s="4550"/>
      <c r="BQ116" s="4550"/>
      <c r="BR116" s="4550"/>
      <c r="BS116" s="4550"/>
      <c r="BT116" s="4550"/>
      <c r="BU116" s="4550"/>
      <c r="BV116" s="4550"/>
      <c r="BW116" s="4550"/>
      <c r="BX116" s="4550"/>
      <c r="BY116" s="4550"/>
      <c r="BZ116" s="4550"/>
      <c r="CA116" s="4550"/>
      <c r="CB116" s="4550"/>
      <c r="CC116" s="4550"/>
      <c r="CD116" s="4550"/>
      <c r="CE116" s="4550"/>
      <c r="CF116" s="4550"/>
      <c r="CG116" s="4550"/>
      <c r="CH116" s="4550"/>
      <c r="CI116" s="4550"/>
      <c r="CJ116" s="4550"/>
      <c r="CK116" s="4550"/>
      <c r="CL116" s="4550"/>
      <c r="CM116" s="4550"/>
      <c r="CN116" s="4550"/>
      <c r="CO116" s="4550"/>
      <c r="CP116" s="4550"/>
      <c r="CQ116" s="4550"/>
      <c r="CR116" s="4550"/>
      <c r="CS116" s="4550"/>
      <c r="CT116" s="4550"/>
      <c r="CU116" s="4550"/>
      <c r="CV116" s="4550"/>
      <c r="CW116" s="4550"/>
      <c r="CX116" s="4550"/>
      <c r="CY116" s="4550"/>
      <c r="CZ116" s="4550"/>
      <c r="DA116" s="4550"/>
      <c r="DB116" s="4550"/>
      <c r="DC116" s="4550"/>
      <c r="DD116" s="4550"/>
      <c r="DE116" s="4550"/>
      <c r="DF116" s="4550"/>
      <c r="DG116" s="4550"/>
      <c r="DH116" s="4550"/>
      <c r="DI116" s="4550"/>
      <c r="DJ116" s="4550"/>
      <c r="DK116" s="4550"/>
      <c r="DL116" s="4550"/>
      <c r="DM116" s="4550"/>
      <c r="DN116" s="4550"/>
      <c r="DO116" s="4550"/>
      <c r="DP116" s="4550"/>
      <c r="DQ116" s="4550"/>
      <c r="DR116" s="4550"/>
      <c r="DS116" s="4550"/>
      <c r="DT116" s="4550"/>
      <c r="DU116" s="4550"/>
      <c r="DV116" s="4550"/>
      <c r="DW116" s="4550"/>
      <c r="DX116" s="4550"/>
      <c r="DY116" s="4550"/>
      <c r="DZ116" s="4550"/>
      <c r="EA116" s="4550"/>
      <c r="EB116" s="4550"/>
      <c r="EC116" s="4550"/>
      <c r="ED116" s="4550"/>
      <c r="EE116" s="4550"/>
      <c r="EF116" s="4550"/>
      <c r="EG116" s="4550"/>
      <c r="EH116" s="4550"/>
      <c r="EI116" s="4550"/>
      <c r="EJ116" s="4550"/>
      <c r="EK116" s="4550"/>
      <c r="EL116" s="4550"/>
      <c r="EM116" s="4550"/>
      <c r="EN116" s="4550"/>
      <c r="EO116" s="4550"/>
      <c r="EP116" s="4550"/>
      <c r="EQ116" s="4550"/>
      <c r="ER116" s="4550"/>
      <c r="ES116" s="4550"/>
      <c r="ET116" s="4550"/>
      <c r="EU116" s="4550"/>
      <c r="EV116" s="4550"/>
      <c r="EW116" s="4550"/>
      <c r="EX116" s="4550"/>
      <c r="EY116" s="4550"/>
      <c r="EZ116" s="4550"/>
      <c r="FA116" s="4550"/>
      <c r="FB116" s="4550"/>
      <c r="FC116" s="4550"/>
      <c r="FD116" s="4550"/>
      <c r="FE116" s="4550"/>
      <c r="FF116" s="4550"/>
      <c r="FG116" s="4550"/>
      <c r="FH116" s="4550"/>
      <c r="FI116" s="4550"/>
      <c r="FJ116" s="4550"/>
      <c r="FK116" s="4550"/>
      <c r="FL116" s="4550"/>
      <c r="FM116" s="4550"/>
      <c r="FN116" s="4550"/>
      <c r="FO116" s="4550"/>
      <c r="FP116" s="4550"/>
      <c r="FQ116" s="4550"/>
      <c r="FR116" s="4550"/>
      <c r="FS116" s="4550"/>
      <c r="FT116" s="4550"/>
      <c r="FU116" s="4550"/>
      <c r="FV116" s="4550"/>
      <c r="FW116" s="4550"/>
      <c r="FX116" s="4550"/>
      <c r="FY116" s="4550"/>
      <c r="FZ116" s="4550"/>
      <c r="GA116" s="4550"/>
      <c r="GB116" s="4550"/>
      <c r="GC116" s="4550"/>
      <c r="GD116" s="4550"/>
      <c r="GE116" s="4550"/>
      <c r="GF116" s="4550"/>
      <c r="GG116" s="4550"/>
      <c r="GH116" s="4550"/>
      <c r="GI116" s="4550"/>
      <c r="GJ116" s="4550"/>
      <c r="GK116" s="4550"/>
      <c r="GL116" s="4550"/>
      <c r="GM116" s="4550"/>
      <c r="GN116" s="4550"/>
      <c r="GO116" s="4550"/>
      <c r="GP116" s="4550"/>
      <c r="GQ116" s="4550"/>
      <c r="GR116" s="4550"/>
      <c r="GS116" s="4550"/>
      <c r="GT116" s="4550"/>
      <c r="GU116" s="4550"/>
      <c r="GV116" s="4550"/>
      <c r="GW116" s="4550"/>
      <c r="GX116" s="4550"/>
      <c r="GY116" s="4550"/>
      <c r="GZ116" s="4550"/>
      <c r="HA116" s="4550"/>
      <c r="HB116" s="4550"/>
      <c r="HC116" s="4550"/>
      <c r="HD116" s="4550"/>
      <c r="HE116" s="4550"/>
      <c r="HF116" s="4550"/>
      <c r="HG116" s="4550"/>
      <c r="HH116" s="4550"/>
      <c r="HI116" s="4550"/>
      <c r="HJ116" s="4550"/>
      <c r="HK116" s="4550"/>
      <c r="HL116" s="4550"/>
      <c r="HM116" s="4550"/>
      <c r="HN116" s="4550"/>
      <c r="HO116" s="4550"/>
      <c r="HP116" s="4550"/>
      <c r="HQ116" s="4550"/>
      <c r="HR116" s="4550"/>
      <c r="HS116" s="4550"/>
      <c r="HT116" s="4550"/>
      <c r="HU116" s="4550"/>
      <c r="HV116" s="4550"/>
      <c r="HW116" s="4550"/>
      <c r="HX116" s="4550"/>
      <c r="HY116" s="4550"/>
      <c r="HZ116" s="4550"/>
      <c r="IA116" s="4550"/>
      <c r="IB116" s="4550"/>
      <c r="IC116" s="4550"/>
      <c r="ID116" s="4550"/>
      <c r="IE116" s="4550"/>
    </row>
    <row r="117" spans="1:239" s="4549" customFormat="1" ht="16.5" customHeight="1">
      <c r="A117" s="4654">
        <v>2.7</v>
      </c>
      <c r="B117" s="4734" t="s">
        <v>4105</v>
      </c>
      <c r="C117" s="4677">
        <v>1</v>
      </c>
      <c r="D117" s="4600" t="s">
        <v>2433</v>
      </c>
      <c r="E117" s="4318"/>
      <c r="F117" s="4965">
        <f t="shared" si="3"/>
        <v>0</v>
      </c>
      <c r="G117" s="4537"/>
      <c r="H117" s="4537"/>
      <c r="I117" s="4537"/>
      <c r="J117" s="4537"/>
      <c r="K117" s="4537"/>
      <c r="L117" s="4537"/>
      <c r="M117" s="4537"/>
      <c r="N117" s="4537"/>
      <c r="O117" s="4537"/>
      <c r="P117" s="4537"/>
      <c r="Q117" s="4537"/>
      <c r="R117" s="4537"/>
      <c r="S117" s="4537"/>
      <c r="T117" s="4537"/>
      <c r="U117" s="4537"/>
      <c r="V117" s="4537"/>
      <c r="W117" s="4537"/>
      <c r="X117" s="4537"/>
      <c r="Y117" s="4537"/>
      <c r="Z117" s="4537"/>
      <c r="AA117" s="4537"/>
      <c r="AB117" s="4537"/>
      <c r="AC117" s="4537"/>
      <c r="AD117" s="4537"/>
      <c r="AE117" s="4537"/>
      <c r="AF117" s="4537"/>
      <c r="AG117" s="4537"/>
      <c r="AH117" s="4537"/>
      <c r="AI117" s="4537"/>
      <c r="AJ117" s="4537"/>
      <c r="AK117" s="4537"/>
      <c r="AL117" s="4537"/>
      <c r="AM117" s="4537"/>
      <c r="AN117" s="4537"/>
      <c r="AO117" s="4537"/>
      <c r="AP117" s="4537"/>
      <c r="AQ117" s="4537"/>
      <c r="AR117" s="4537"/>
      <c r="AS117" s="4550"/>
      <c r="AT117" s="4550"/>
      <c r="AU117" s="4550"/>
      <c r="AV117" s="4550"/>
      <c r="AW117" s="4550"/>
      <c r="AX117" s="4550"/>
      <c r="AY117" s="4550"/>
      <c r="AZ117" s="4550"/>
      <c r="BA117" s="4550"/>
      <c r="BB117" s="4550"/>
      <c r="BC117" s="4550"/>
      <c r="BD117" s="4550"/>
      <c r="BE117" s="4550"/>
      <c r="BF117" s="4550"/>
      <c r="BG117" s="4550"/>
      <c r="BH117" s="4550"/>
      <c r="BI117" s="4550"/>
      <c r="BJ117" s="4550"/>
      <c r="BK117" s="4550"/>
      <c r="BL117" s="4550"/>
      <c r="BM117" s="4550"/>
      <c r="BN117" s="4550"/>
      <c r="BO117" s="4550"/>
      <c r="BP117" s="4550"/>
      <c r="BQ117" s="4550"/>
      <c r="BR117" s="4550"/>
      <c r="BS117" s="4550"/>
      <c r="BT117" s="4550"/>
      <c r="BU117" s="4550"/>
      <c r="BV117" s="4550"/>
      <c r="BW117" s="4550"/>
      <c r="BX117" s="4550"/>
      <c r="BY117" s="4550"/>
      <c r="BZ117" s="4550"/>
      <c r="CA117" s="4550"/>
      <c r="CB117" s="4550"/>
      <c r="CC117" s="4550"/>
      <c r="CD117" s="4550"/>
      <c r="CE117" s="4550"/>
      <c r="CF117" s="4550"/>
      <c r="CG117" s="4550"/>
      <c r="CH117" s="4550"/>
      <c r="CI117" s="4550"/>
      <c r="CJ117" s="4550"/>
      <c r="CK117" s="4550"/>
      <c r="CL117" s="4550"/>
      <c r="CM117" s="4550"/>
      <c r="CN117" s="4550"/>
      <c r="CO117" s="4550"/>
      <c r="CP117" s="4550"/>
      <c r="CQ117" s="4550"/>
      <c r="CR117" s="4550"/>
      <c r="CS117" s="4550"/>
      <c r="CT117" s="4550"/>
      <c r="CU117" s="4550"/>
      <c r="CV117" s="4550"/>
      <c r="CW117" s="4550"/>
      <c r="CX117" s="4550"/>
      <c r="CY117" s="4550"/>
      <c r="CZ117" s="4550"/>
      <c r="DA117" s="4550"/>
      <c r="DB117" s="4550"/>
      <c r="DC117" s="4550"/>
      <c r="DD117" s="4550"/>
      <c r="DE117" s="4550"/>
      <c r="DF117" s="4550"/>
      <c r="DG117" s="4550"/>
      <c r="DH117" s="4550"/>
      <c r="DI117" s="4550"/>
      <c r="DJ117" s="4550"/>
      <c r="DK117" s="4550"/>
      <c r="DL117" s="4550"/>
      <c r="DM117" s="4550"/>
      <c r="DN117" s="4550"/>
      <c r="DO117" s="4550"/>
      <c r="DP117" s="4550"/>
      <c r="DQ117" s="4550"/>
      <c r="DR117" s="4550"/>
      <c r="DS117" s="4550"/>
      <c r="DT117" s="4550"/>
      <c r="DU117" s="4550"/>
      <c r="DV117" s="4550"/>
      <c r="DW117" s="4550"/>
      <c r="DX117" s="4550"/>
      <c r="DY117" s="4550"/>
      <c r="DZ117" s="4550"/>
      <c r="EA117" s="4550"/>
      <c r="EB117" s="4550"/>
      <c r="EC117" s="4550"/>
      <c r="ED117" s="4550"/>
      <c r="EE117" s="4550"/>
      <c r="EF117" s="4550"/>
      <c r="EG117" s="4550"/>
      <c r="EH117" s="4550"/>
      <c r="EI117" s="4550"/>
      <c r="EJ117" s="4550"/>
      <c r="EK117" s="4550"/>
      <c r="EL117" s="4550"/>
      <c r="EM117" s="4550"/>
      <c r="EN117" s="4550"/>
      <c r="EO117" s="4550"/>
      <c r="EP117" s="4550"/>
      <c r="EQ117" s="4550"/>
      <c r="ER117" s="4550"/>
      <c r="ES117" s="4550"/>
      <c r="ET117" s="4550"/>
      <c r="EU117" s="4550"/>
      <c r="EV117" s="4550"/>
      <c r="EW117" s="4550"/>
      <c r="EX117" s="4550"/>
      <c r="EY117" s="4550"/>
      <c r="EZ117" s="4550"/>
      <c r="FA117" s="4550"/>
      <c r="FB117" s="4550"/>
      <c r="FC117" s="4550"/>
      <c r="FD117" s="4550"/>
      <c r="FE117" s="4550"/>
      <c r="FF117" s="4550"/>
      <c r="FG117" s="4550"/>
      <c r="FH117" s="4550"/>
      <c r="FI117" s="4550"/>
      <c r="FJ117" s="4550"/>
      <c r="FK117" s="4550"/>
      <c r="FL117" s="4550"/>
      <c r="FM117" s="4550"/>
      <c r="FN117" s="4550"/>
      <c r="FO117" s="4550"/>
      <c r="FP117" s="4550"/>
      <c r="FQ117" s="4550"/>
      <c r="FR117" s="4550"/>
      <c r="FS117" s="4550"/>
      <c r="FT117" s="4550"/>
      <c r="FU117" s="4550"/>
      <c r="FV117" s="4550"/>
      <c r="FW117" s="4550"/>
      <c r="FX117" s="4550"/>
      <c r="FY117" s="4550"/>
      <c r="FZ117" s="4550"/>
      <c r="GA117" s="4550"/>
      <c r="GB117" s="4550"/>
      <c r="GC117" s="4550"/>
      <c r="GD117" s="4550"/>
      <c r="GE117" s="4550"/>
      <c r="GF117" s="4550"/>
      <c r="GG117" s="4550"/>
      <c r="GH117" s="4550"/>
      <c r="GI117" s="4550"/>
      <c r="GJ117" s="4550"/>
      <c r="GK117" s="4550"/>
      <c r="GL117" s="4550"/>
      <c r="GM117" s="4550"/>
      <c r="GN117" s="4550"/>
      <c r="GO117" s="4550"/>
      <c r="GP117" s="4550"/>
      <c r="GQ117" s="4550"/>
      <c r="GR117" s="4550"/>
      <c r="GS117" s="4550"/>
      <c r="GT117" s="4550"/>
      <c r="GU117" s="4550"/>
      <c r="GV117" s="4550"/>
      <c r="GW117" s="4550"/>
      <c r="GX117" s="4550"/>
      <c r="GY117" s="4550"/>
      <c r="GZ117" s="4550"/>
      <c r="HA117" s="4550"/>
      <c r="HB117" s="4550"/>
      <c r="HC117" s="4550"/>
      <c r="HD117" s="4550"/>
      <c r="HE117" s="4550"/>
      <c r="HF117" s="4550"/>
      <c r="HG117" s="4550"/>
      <c r="HH117" s="4550"/>
      <c r="HI117" s="4550"/>
      <c r="HJ117" s="4550"/>
      <c r="HK117" s="4550"/>
      <c r="HL117" s="4550"/>
      <c r="HM117" s="4550"/>
      <c r="HN117" s="4550"/>
      <c r="HO117" s="4550"/>
      <c r="HP117" s="4550"/>
      <c r="HQ117" s="4550"/>
      <c r="HR117" s="4550"/>
      <c r="HS117" s="4550"/>
      <c r="HT117" s="4550"/>
      <c r="HU117" s="4550"/>
      <c r="HV117" s="4550"/>
      <c r="HW117" s="4550"/>
      <c r="HX117" s="4550"/>
      <c r="HY117" s="4550"/>
      <c r="HZ117" s="4550"/>
      <c r="IA117" s="4550"/>
      <c r="IB117" s="4550"/>
      <c r="IC117" s="4550"/>
      <c r="ID117" s="4550"/>
      <c r="IE117" s="4550"/>
    </row>
    <row r="118" spans="1:239" s="4549" customFormat="1" ht="42.75">
      <c r="A118" s="4654">
        <v>2.8</v>
      </c>
      <c r="B118" s="4728" t="s">
        <v>4106</v>
      </c>
      <c r="C118" s="4727">
        <v>1</v>
      </c>
      <c r="D118" s="4600" t="s">
        <v>2433</v>
      </c>
      <c r="E118" s="4965"/>
      <c r="F118" s="4965">
        <f t="shared" si="3"/>
        <v>0</v>
      </c>
      <c r="G118" s="4537"/>
      <c r="H118" s="4537"/>
      <c r="I118" s="4537"/>
      <c r="J118" s="4537"/>
      <c r="K118" s="4537"/>
      <c r="L118" s="4537"/>
      <c r="M118" s="4537"/>
      <c r="N118" s="4537"/>
      <c r="O118" s="4537"/>
      <c r="P118" s="4537"/>
      <c r="Q118" s="4537"/>
      <c r="R118" s="4537"/>
      <c r="S118" s="4537"/>
      <c r="T118" s="4537"/>
      <c r="U118" s="4537"/>
      <c r="V118" s="4537"/>
      <c r="W118" s="4537"/>
      <c r="X118" s="4537"/>
      <c r="Y118" s="4537"/>
      <c r="Z118" s="4537"/>
      <c r="AA118" s="4537"/>
      <c r="AB118" s="4537"/>
      <c r="AC118" s="4537"/>
      <c r="AD118" s="4537"/>
      <c r="AE118" s="4537"/>
      <c r="AF118" s="4537"/>
      <c r="AG118" s="4537"/>
      <c r="AH118" s="4537"/>
      <c r="AI118" s="4537"/>
      <c r="AJ118" s="4537"/>
      <c r="AK118" s="4537"/>
      <c r="AL118" s="4537"/>
      <c r="AM118" s="4537"/>
      <c r="AN118" s="4537"/>
      <c r="AO118" s="4537"/>
      <c r="AP118" s="4537"/>
      <c r="AQ118" s="4537"/>
      <c r="AR118" s="4537"/>
      <c r="AS118" s="4550"/>
      <c r="AT118" s="4550"/>
      <c r="AU118" s="4550"/>
      <c r="AV118" s="4550"/>
      <c r="AW118" s="4550"/>
      <c r="AX118" s="4550"/>
      <c r="AY118" s="4550"/>
      <c r="AZ118" s="4550"/>
      <c r="BA118" s="4550"/>
      <c r="BB118" s="4550"/>
      <c r="BC118" s="4550"/>
      <c r="BD118" s="4550"/>
      <c r="BE118" s="4550"/>
      <c r="BF118" s="4550"/>
      <c r="BG118" s="4550"/>
      <c r="BH118" s="4550"/>
      <c r="BI118" s="4550"/>
      <c r="BJ118" s="4550"/>
      <c r="BK118" s="4550"/>
      <c r="BL118" s="4550"/>
      <c r="BM118" s="4550"/>
      <c r="BN118" s="4550"/>
      <c r="BO118" s="4550"/>
      <c r="BP118" s="4550"/>
      <c r="BQ118" s="4550"/>
      <c r="BR118" s="4550"/>
      <c r="BS118" s="4550"/>
      <c r="BT118" s="4550"/>
      <c r="BU118" s="4550"/>
      <c r="BV118" s="4550"/>
      <c r="BW118" s="4550"/>
      <c r="BX118" s="4550"/>
      <c r="BY118" s="4550"/>
      <c r="BZ118" s="4550"/>
      <c r="CA118" s="4550"/>
      <c r="CB118" s="4550"/>
      <c r="CC118" s="4550"/>
      <c r="CD118" s="4550"/>
      <c r="CE118" s="4550"/>
      <c r="CF118" s="4550"/>
      <c r="CG118" s="4550"/>
      <c r="CH118" s="4550"/>
      <c r="CI118" s="4550"/>
      <c r="CJ118" s="4550"/>
      <c r="CK118" s="4550"/>
      <c r="CL118" s="4550"/>
      <c r="CM118" s="4550"/>
      <c r="CN118" s="4550"/>
      <c r="CO118" s="4550"/>
      <c r="CP118" s="4550"/>
      <c r="CQ118" s="4550"/>
      <c r="CR118" s="4550"/>
      <c r="CS118" s="4550"/>
      <c r="CT118" s="4550"/>
      <c r="CU118" s="4550"/>
      <c r="CV118" s="4550"/>
      <c r="CW118" s="4550"/>
      <c r="CX118" s="4550"/>
      <c r="CY118" s="4550"/>
      <c r="CZ118" s="4550"/>
      <c r="DA118" s="4550"/>
      <c r="DB118" s="4550"/>
      <c r="DC118" s="4550"/>
      <c r="DD118" s="4550"/>
      <c r="DE118" s="4550"/>
      <c r="DF118" s="4550"/>
      <c r="DG118" s="4550"/>
      <c r="DH118" s="4550"/>
      <c r="DI118" s="4550"/>
      <c r="DJ118" s="4550"/>
      <c r="DK118" s="4550"/>
      <c r="DL118" s="4550"/>
      <c r="DM118" s="4550"/>
      <c r="DN118" s="4550"/>
      <c r="DO118" s="4550"/>
      <c r="DP118" s="4550"/>
      <c r="DQ118" s="4550"/>
      <c r="DR118" s="4550"/>
      <c r="DS118" s="4550"/>
      <c r="DT118" s="4550"/>
      <c r="DU118" s="4550"/>
      <c r="DV118" s="4550"/>
      <c r="DW118" s="4550"/>
      <c r="DX118" s="4550"/>
      <c r="DY118" s="4550"/>
      <c r="DZ118" s="4550"/>
      <c r="EA118" s="4550"/>
      <c r="EB118" s="4550"/>
      <c r="EC118" s="4550"/>
      <c r="ED118" s="4550"/>
      <c r="EE118" s="4550"/>
      <c r="EF118" s="4550"/>
      <c r="EG118" s="4550"/>
      <c r="EH118" s="4550"/>
      <c r="EI118" s="4550"/>
      <c r="EJ118" s="4550"/>
      <c r="EK118" s="4550"/>
      <c r="EL118" s="4550"/>
      <c r="EM118" s="4550"/>
      <c r="EN118" s="4550"/>
      <c r="EO118" s="4550"/>
      <c r="EP118" s="4550"/>
      <c r="EQ118" s="4550"/>
      <c r="ER118" s="4550"/>
      <c r="ES118" s="4550"/>
      <c r="ET118" s="4550"/>
      <c r="EU118" s="4550"/>
      <c r="EV118" s="4550"/>
      <c r="EW118" s="4550"/>
      <c r="EX118" s="4550"/>
      <c r="EY118" s="4550"/>
      <c r="EZ118" s="4550"/>
      <c r="FA118" s="4550"/>
      <c r="FB118" s="4550"/>
      <c r="FC118" s="4550"/>
      <c r="FD118" s="4550"/>
      <c r="FE118" s="4550"/>
      <c r="FF118" s="4550"/>
      <c r="FG118" s="4550"/>
      <c r="FH118" s="4550"/>
      <c r="FI118" s="4550"/>
      <c r="FJ118" s="4550"/>
      <c r="FK118" s="4550"/>
      <c r="FL118" s="4550"/>
      <c r="FM118" s="4550"/>
      <c r="FN118" s="4550"/>
      <c r="FO118" s="4550"/>
      <c r="FP118" s="4550"/>
      <c r="FQ118" s="4550"/>
      <c r="FR118" s="4550"/>
      <c r="FS118" s="4550"/>
      <c r="FT118" s="4550"/>
      <c r="FU118" s="4550"/>
      <c r="FV118" s="4550"/>
      <c r="FW118" s="4550"/>
      <c r="FX118" s="4550"/>
      <c r="FY118" s="4550"/>
      <c r="FZ118" s="4550"/>
      <c r="GA118" s="4550"/>
      <c r="GB118" s="4550"/>
      <c r="GC118" s="4550"/>
      <c r="GD118" s="4550"/>
      <c r="GE118" s="4550"/>
      <c r="GF118" s="4550"/>
      <c r="GG118" s="4550"/>
      <c r="GH118" s="4550"/>
      <c r="GI118" s="4550"/>
      <c r="GJ118" s="4550"/>
      <c r="GK118" s="4550"/>
      <c r="GL118" s="4550"/>
      <c r="GM118" s="4550"/>
      <c r="GN118" s="4550"/>
      <c r="GO118" s="4550"/>
      <c r="GP118" s="4550"/>
      <c r="GQ118" s="4550"/>
      <c r="GR118" s="4550"/>
      <c r="GS118" s="4550"/>
      <c r="GT118" s="4550"/>
      <c r="GU118" s="4550"/>
      <c r="GV118" s="4550"/>
      <c r="GW118" s="4550"/>
      <c r="GX118" s="4550"/>
      <c r="GY118" s="4550"/>
      <c r="GZ118" s="4550"/>
      <c r="HA118" s="4550"/>
      <c r="HB118" s="4550"/>
      <c r="HC118" s="4550"/>
      <c r="HD118" s="4550"/>
      <c r="HE118" s="4550"/>
      <c r="HF118" s="4550"/>
      <c r="HG118" s="4550"/>
      <c r="HH118" s="4550"/>
      <c r="HI118" s="4550"/>
      <c r="HJ118" s="4550"/>
      <c r="HK118" s="4550"/>
      <c r="HL118" s="4550"/>
      <c r="HM118" s="4550"/>
      <c r="HN118" s="4550"/>
      <c r="HO118" s="4550"/>
      <c r="HP118" s="4550"/>
      <c r="HQ118" s="4550"/>
      <c r="HR118" s="4550"/>
      <c r="HS118" s="4550"/>
      <c r="HT118" s="4550"/>
      <c r="HU118" s="4550"/>
      <c r="HV118" s="4550"/>
      <c r="HW118" s="4550"/>
      <c r="HX118" s="4550"/>
      <c r="HY118" s="4550"/>
      <c r="HZ118" s="4550"/>
      <c r="IA118" s="4550"/>
      <c r="IB118" s="4550"/>
      <c r="IC118" s="4550"/>
      <c r="ID118" s="4550"/>
      <c r="IE118" s="4550"/>
    </row>
    <row r="119" spans="1:239" s="4549" customFormat="1" ht="13.5" customHeight="1">
      <c r="A119" s="4654">
        <v>2.9</v>
      </c>
      <c r="B119" s="4728" t="s">
        <v>4107</v>
      </c>
      <c r="C119" s="4727">
        <v>1</v>
      </c>
      <c r="D119" s="4600" t="s">
        <v>2433</v>
      </c>
      <c r="E119" s="4965"/>
      <c r="F119" s="4965">
        <f t="shared" si="3"/>
        <v>0</v>
      </c>
      <c r="G119" s="4537"/>
      <c r="H119" s="4537"/>
      <c r="I119" s="4537"/>
      <c r="J119" s="4537"/>
      <c r="K119" s="4537"/>
      <c r="L119" s="4537"/>
      <c r="M119" s="4537"/>
      <c r="N119" s="4537"/>
      <c r="O119" s="4537"/>
      <c r="P119" s="4537"/>
      <c r="Q119" s="4537"/>
      <c r="R119" s="4537"/>
      <c r="S119" s="4537"/>
      <c r="T119" s="4537"/>
      <c r="U119" s="4537"/>
      <c r="V119" s="4537"/>
      <c r="W119" s="4537"/>
      <c r="X119" s="4537"/>
      <c r="Y119" s="4537"/>
      <c r="Z119" s="4537"/>
      <c r="AA119" s="4537"/>
      <c r="AB119" s="4537"/>
      <c r="AC119" s="4537"/>
      <c r="AD119" s="4537"/>
      <c r="AE119" s="4537"/>
      <c r="AF119" s="4537"/>
      <c r="AG119" s="4537"/>
      <c r="AH119" s="4537"/>
      <c r="AI119" s="4537"/>
      <c r="AJ119" s="4537"/>
      <c r="AK119" s="4537"/>
      <c r="AL119" s="4537"/>
      <c r="AM119" s="4537"/>
      <c r="AN119" s="4537"/>
      <c r="AO119" s="4537"/>
      <c r="AP119" s="4537"/>
      <c r="AQ119" s="4537"/>
      <c r="AR119" s="4537"/>
      <c r="AS119" s="4550"/>
      <c r="AT119" s="4550"/>
      <c r="AU119" s="4550"/>
      <c r="AV119" s="4550"/>
      <c r="AW119" s="4550"/>
      <c r="AX119" s="4550"/>
      <c r="AY119" s="4550"/>
      <c r="AZ119" s="4550"/>
      <c r="BA119" s="4550"/>
      <c r="BB119" s="4550"/>
      <c r="BC119" s="4550"/>
      <c r="BD119" s="4550"/>
      <c r="BE119" s="4550"/>
      <c r="BF119" s="4550"/>
      <c r="BG119" s="4550"/>
      <c r="BH119" s="4550"/>
      <c r="BI119" s="4550"/>
      <c r="BJ119" s="4550"/>
      <c r="BK119" s="4550"/>
      <c r="BL119" s="4550"/>
      <c r="BM119" s="4550"/>
      <c r="BN119" s="4550"/>
      <c r="BO119" s="4550"/>
      <c r="BP119" s="4550"/>
      <c r="BQ119" s="4550"/>
      <c r="BR119" s="4550"/>
      <c r="BS119" s="4550"/>
      <c r="BT119" s="4550"/>
      <c r="BU119" s="4550"/>
      <c r="BV119" s="4550"/>
      <c r="BW119" s="4550"/>
      <c r="BX119" s="4550"/>
      <c r="BY119" s="4550"/>
      <c r="BZ119" s="4550"/>
      <c r="CA119" s="4550"/>
      <c r="CB119" s="4550"/>
      <c r="CC119" s="4550"/>
      <c r="CD119" s="4550"/>
      <c r="CE119" s="4550"/>
      <c r="CF119" s="4550"/>
      <c r="CG119" s="4550"/>
      <c r="CH119" s="4550"/>
      <c r="CI119" s="4550"/>
      <c r="CJ119" s="4550"/>
      <c r="CK119" s="4550"/>
      <c r="CL119" s="4550"/>
      <c r="CM119" s="4550"/>
      <c r="CN119" s="4550"/>
      <c r="CO119" s="4550"/>
      <c r="CP119" s="4550"/>
      <c r="CQ119" s="4550"/>
      <c r="CR119" s="4550"/>
      <c r="CS119" s="4550"/>
      <c r="CT119" s="4550"/>
      <c r="CU119" s="4550"/>
      <c r="CV119" s="4550"/>
      <c r="CW119" s="4550"/>
      <c r="CX119" s="4550"/>
      <c r="CY119" s="4550"/>
      <c r="CZ119" s="4550"/>
      <c r="DA119" s="4550"/>
      <c r="DB119" s="4550"/>
      <c r="DC119" s="4550"/>
      <c r="DD119" s="4550"/>
      <c r="DE119" s="4550"/>
      <c r="DF119" s="4550"/>
      <c r="DG119" s="4550"/>
      <c r="DH119" s="4550"/>
      <c r="DI119" s="4550"/>
      <c r="DJ119" s="4550"/>
      <c r="DK119" s="4550"/>
      <c r="DL119" s="4550"/>
      <c r="DM119" s="4550"/>
      <c r="DN119" s="4550"/>
      <c r="DO119" s="4550"/>
      <c r="DP119" s="4550"/>
      <c r="DQ119" s="4550"/>
      <c r="DR119" s="4550"/>
      <c r="DS119" s="4550"/>
      <c r="DT119" s="4550"/>
      <c r="DU119" s="4550"/>
      <c r="DV119" s="4550"/>
      <c r="DW119" s="4550"/>
      <c r="DX119" s="4550"/>
      <c r="DY119" s="4550"/>
      <c r="DZ119" s="4550"/>
      <c r="EA119" s="4550"/>
      <c r="EB119" s="4550"/>
      <c r="EC119" s="4550"/>
      <c r="ED119" s="4550"/>
      <c r="EE119" s="4550"/>
      <c r="EF119" s="4550"/>
      <c r="EG119" s="4550"/>
      <c r="EH119" s="4550"/>
      <c r="EI119" s="4550"/>
      <c r="EJ119" s="4550"/>
      <c r="EK119" s="4550"/>
      <c r="EL119" s="4550"/>
      <c r="EM119" s="4550"/>
      <c r="EN119" s="4550"/>
      <c r="EO119" s="4550"/>
      <c r="EP119" s="4550"/>
      <c r="EQ119" s="4550"/>
      <c r="ER119" s="4550"/>
      <c r="ES119" s="4550"/>
      <c r="ET119" s="4550"/>
      <c r="EU119" s="4550"/>
      <c r="EV119" s="4550"/>
      <c r="EW119" s="4550"/>
      <c r="EX119" s="4550"/>
      <c r="EY119" s="4550"/>
      <c r="EZ119" s="4550"/>
      <c r="FA119" s="4550"/>
      <c r="FB119" s="4550"/>
      <c r="FC119" s="4550"/>
      <c r="FD119" s="4550"/>
      <c r="FE119" s="4550"/>
      <c r="FF119" s="4550"/>
      <c r="FG119" s="4550"/>
      <c r="FH119" s="4550"/>
      <c r="FI119" s="4550"/>
      <c r="FJ119" s="4550"/>
      <c r="FK119" s="4550"/>
      <c r="FL119" s="4550"/>
      <c r="FM119" s="4550"/>
      <c r="FN119" s="4550"/>
      <c r="FO119" s="4550"/>
      <c r="FP119" s="4550"/>
      <c r="FQ119" s="4550"/>
      <c r="FR119" s="4550"/>
      <c r="FS119" s="4550"/>
      <c r="FT119" s="4550"/>
      <c r="FU119" s="4550"/>
      <c r="FV119" s="4550"/>
      <c r="FW119" s="4550"/>
      <c r="FX119" s="4550"/>
      <c r="FY119" s="4550"/>
      <c r="FZ119" s="4550"/>
      <c r="GA119" s="4550"/>
      <c r="GB119" s="4550"/>
      <c r="GC119" s="4550"/>
      <c r="GD119" s="4550"/>
      <c r="GE119" s="4550"/>
      <c r="GF119" s="4550"/>
      <c r="GG119" s="4550"/>
      <c r="GH119" s="4550"/>
      <c r="GI119" s="4550"/>
      <c r="GJ119" s="4550"/>
      <c r="GK119" s="4550"/>
      <c r="GL119" s="4550"/>
      <c r="GM119" s="4550"/>
      <c r="GN119" s="4550"/>
      <c r="GO119" s="4550"/>
      <c r="GP119" s="4550"/>
      <c r="GQ119" s="4550"/>
      <c r="GR119" s="4550"/>
      <c r="GS119" s="4550"/>
      <c r="GT119" s="4550"/>
      <c r="GU119" s="4550"/>
      <c r="GV119" s="4550"/>
      <c r="GW119" s="4550"/>
      <c r="GX119" s="4550"/>
      <c r="GY119" s="4550"/>
      <c r="GZ119" s="4550"/>
      <c r="HA119" s="4550"/>
      <c r="HB119" s="4550"/>
      <c r="HC119" s="4550"/>
      <c r="HD119" s="4550"/>
      <c r="HE119" s="4550"/>
      <c r="HF119" s="4550"/>
      <c r="HG119" s="4550"/>
      <c r="HH119" s="4550"/>
      <c r="HI119" s="4550"/>
      <c r="HJ119" s="4550"/>
      <c r="HK119" s="4550"/>
      <c r="HL119" s="4550"/>
      <c r="HM119" s="4550"/>
      <c r="HN119" s="4550"/>
      <c r="HO119" s="4550"/>
      <c r="HP119" s="4550"/>
      <c r="HQ119" s="4550"/>
      <c r="HR119" s="4550"/>
      <c r="HS119" s="4550"/>
      <c r="HT119" s="4550"/>
      <c r="HU119" s="4550"/>
      <c r="HV119" s="4550"/>
      <c r="HW119" s="4550"/>
      <c r="HX119" s="4550"/>
      <c r="HY119" s="4550"/>
      <c r="HZ119" s="4550"/>
      <c r="IA119" s="4550"/>
      <c r="IB119" s="4550"/>
      <c r="IC119" s="4550"/>
      <c r="ID119" s="4550"/>
      <c r="IE119" s="4550"/>
    </row>
    <row r="120" spans="1:239" s="4549" customFormat="1" ht="13.5" customHeight="1">
      <c r="A120" s="4735">
        <v>2.1</v>
      </c>
      <c r="B120" s="4728" t="s">
        <v>4108</v>
      </c>
      <c r="C120" s="4727">
        <v>1</v>
      </c>
      <c r="D120" s="4600" t="s">
        <v>2433</v>
      </c>
      <c r="E120" s="4965"/>
      <c r="F120" s="4965">
        <f t="shared" si="3"/>
        <v>0</v>
      </c>
      <c r="G120" s="4537"/>
      <c r="H120" s="4537"/>
      <c r="I120" s="4537"/>
      <c r="J120" s="4537"/>
      <c r="K120" s="4537"/>
      <c r="L120" s="4537"/>
      <c r="M120" s="4537"/>
      <c r="N120" s="4537"/>
      <c r="O120" s="4537"/>
      <c r="P120" s="4537"/>
      <c r="Q120" s="4537"/>
      <c r="R120" s="4537"/>
      <c r="S120" s="4537"/>
      <c r="T120" s="4537"/>
      <c r="U120" s="4537"/>
      <c r="V120" s="4537"/>
      <c r="W120" s="4537"/>
      <c r="X120" s="4537"/>
      <c r="Y120" s="4537"/>
      <c r="Z120" s="4537"/>
      <c r="AA120" s="4537"/>
      <c r="AB120" s="4537"/>
      <c r="AC120" s="4537"/>
      <c r="AD120" s="4537"/>
      <c r="AE120" s="4537"/>
      <c r="AF120" s="4537"/>
      <c r="AG120" s="4537"/>
      <c r="AH120" s="4537"/>
      <c r="AI120" s="4537"/>
      <c r="AJ120" s="4537"/>
      <c r="AK120" s="4537"/>
      <c r="AL120" s="4537"/>
      <c r="AM120" s="4537"/>
      <c r="AN120" s="4537"/>
      <c r="AO120" s="4537"/>
      <c r="AP120" s="4537"/>
      <c r="AQ120" s="4537"/>
      <c r="AR120" s="4537"/>
      <c r="AS120" s="4550"/>
      <c r="AT120" s="4550"/>
      <c r="AU120" s="4550"/>
      <c r="AV120" s="4550"/>
      <c r="AW120" s="4550"/>
      <c r="AX120" s="4550"/>
      <c r="AY120" s="4550"/>
      <c r="AZ120" s="4550"/>
      <c r="BA120" s="4550"/>
      <c r="BB120" s="4550"/>
      <c r="BC120" s="4550"/>
      <c r="BD120" s="4550"/>
      <c r="BE120" s="4550"/>
      <c r="BF120" s="4550"/>
      <c r="BG120" s="4550"/>
      <c r="BH120" s="4550"/>
      <c r="BI120" s="4550"/>
      <c r="BJ120" s="4550"/>
      <c r="BK120" s="4550"/>
      <c r="BL120" s="4550"/>
      <c r="BM120" s="4550"/>
      <c r="BN120" s="4550"/>
      <c r="BO120" s="4550"/>
      <c r="BP120" s="4550"/>
      <c r="BQ120" s="4550"/>
      <c r="BR120" s="4550"/>
      <c r="BS120" s="4550"/>
      <c r="BT120" s="4550"/>
      <c r="BU120" s="4550"/>
      <c r="BV120" s="4550"/>
      <c r="BW120" s="4550"/>
      <c r="BX120" s="4550"/>
      <c r="BY120" s="4550"/>
      <c r="BZ120" s="4550"/>
      <c r="CA120" s="4550"/>
      <c r="CB120" s="4550"/>
      <c r="CC120" s="4550"/>
      <c r="CD120" s="4550"/>
      <c r="CE120" s="4550"/>
      <c r="CF120" s="4550"/>
      <c r="CG120" s="4550"/>
      <c r="CH120" s="4550"/>
      <c r="CI120" s="4550"/>
      <c r="CJ120" s="4550"/>
      <c r="CK120" s="4550"/>
      <c r="CL120" s="4550"/>
      <c r="CM120" s="4550"/>
      <c r="CN120" s="4550"/>
      <c r="CO120" s="4550"/>
      <c r="CP120" s="4550"/>
      <c r="CQ120" s="4550"/>
      <c r="CR120" s="4550"/>
      <c r="CS120" s="4550"/>
      <c r="CT120" s="4550"/>
      <c r="CU120" s="4550"/>
      <c r="CV120" s="4550"/>
      <c r="CW120" s="4550"/>
      <c r="CX120" s="4550"/>
      <c r="CY120" s="4550"/>
      <c r="CZ120" s="4550"/>
      <c r="DA120" s="4550"/>
      <c r="DB120" s="4550"/>
      <c r="DC120" s="4550"/>
      <c r="DD120" s="4550"/>
      <c r="DE120" s="4550"/>
      <c r="DF120" s="4550"/>
      <c r="DG120" s="4550"/>
      <c r="DH120" s="4550"/>
      <c r="DI120" s="4550"/>
      <c r="DJ120" s="4550"/>
      <c r="DK120" s="4550"/>
      <c r="DL120" s="4550"/>
      <c r="DM120" s="4550"/>
      <c r="DN120" s="4550"/>
      <c r="DO120" s="4550"/>
      <c r="DP120" s="4550"/>
      <c r="DQ120" s="4550"/>
      <c r="DR120" s="4550"/>
      <c r="DS120" s="4550"/>
      <c r="DT120" s="4550"/>
      <c r="DU120" s="4550"/>
      <c r="DV120" s="4550"/>
      <c r="DW120" s="4550"/>
      <c r="DX120" s="4550"/>
      <c r="DY120" s="4550"/>
      <c r="DZ120" s="4550"/>
      <c r="EA120" s="4550"/>
      <c r="EB120" s="4550"/>
      <c r="EC120" s="4550"/>
      <c r="ED120" s="4550"/>
      <c r="EE120" s="4550"/>
      <c r="EF120" s="4550"/>
      <c r="EG120" s="4550"/>
      <c r="EH120" s="4550"/>
      <c r="EI120" s="4550"/>
      <c r="EJ120" s="4550"/>
      <c r="EK120" s="4550"/>
      <c r="EL120" s="4550"/>
      <c r="EM120" s="4550"/>
      <c r="EN120" s="4550"/>
      <c r="EO120" s="4550"/>
      <c r="EP120" s="4550"/>
      <c r="EQ120" s="4550"/>
      <c r="ER120" s="4550"/>
      <c r="ES120" s="4550"/>
      <c r="ET120" s="4550"/>
      <c r="EU120" s="4550"/>
      <c r="EV120" s="4550"/>
      <c r="EW120" s="4550"/>
      <c r="EX120" s="4550"/>
      <c r="EY120" s="4550"/>
      <c r="EZ120" s="4550"/>
      <c r="FA120" s="4550"/>
      <c r="FB120" s="4550"/>
      <c r="FC120" s="4550"/>
      <c r="FD120" s="4550"/>
      <c r="FE120" s="4550"/>
      <c r="FF120" s="4550"/>
      <c r="FG120" s="4550"/>
      <c r="FH120" s="4550"/>
      <c r="FI120" s="4550"/>
      <c r="FJ120" s="4550"/>
      <c r="FK120" s="4550"/>
      <c r="FL120" s="4550"/>
      <c r="FM120" s="4550"/>
      <c r="FN120" s="4550"/>
      <c r="FO120" s="4550"/>
      <c r="FP120" s="4550"/>
      <c r="FQ120" s="4550"/>
      <c r="FR120" s="4550"/>
      <c r="FS120" s="4550"/>
      <c r="FT120" s="4550"/>
      <c r="FU120" s="4550"/>
      <c r="FV120" s="4550"/>
      <c r="FW120" s="4550"/>
      <c r="FX120" s="4550"/>
      <c r="FY120" s="4550"/>
      <c r="FZ120" s="4550"/>
      <c r="GA120" s="4550"/>
      <c r="GB120" s="4550"/>
      <c r="GC120" s="4550"/>
      <c r="GD120" s="4550"/>
      <c r="GE120" s="4550"/>
      <c r="GF120" s="4550"/>
      <c r="GG120" s="4550"/>
      <c r="GH120" s="4550"/>
      <c r="GI120" s="4550"/>
      <c r="GJ120" s="4550"/>
      <c r="GK120" s="4550"/>
      <c r="GL120" s="4550"/>
      <c r="GM120" s="4550"/>
      <c r="GN120" s="4550"/>
      <c r="GO120" s="4550"/>
      <c r="GP120" s="4550"/>
      <c r="GQ120" s="4550"/>
      <c r="GR120" s="4550"/>
      <c r="GS120" s="4550"/>
      <c r="GT120" s="4550"/>
      <c r="GU120" s="4550"/>
      <c r="GV120" s="4550"/>
      <c r="GW120" s="4550"/>
      <c r="GX120" s="4550"/>
      <c r="GY120" s="4550"/>
      <c r="GZ120" s="4550"/>
      <c r="HA120" s="4550"/>
      <c r="HB120" s="4550"/>
      <c r="HC120" s="4550"/>
      <c r="HD120" s="4550"/>
      <c r="HE120" s="4550"/>
      <c r="HF120" s="4550"/>
      <c r="HG120" s="4550"/>
      <c r="HH120" s="4550"/>
      <c r="HI120" s="4550"/>
      <c r="HJ120" s="4550"/>
      <c r="HK120" s="4550"/>
      <c r="HL120" s="4550"/>
      <c r="HM120" s="4550"/>
      <c r="HN120" s="4550"/>
      <c r="HO120" s="4550"/>
      <c r="HP120" s="4550"/>
      <c r="HQ120" s="4550"/>
      <c r="HR120" s="4550"/>
      <c r="HS120" s="4550"/>
      <c r="HT120" s="4550"/>
      <c r="HU120" s="4550"/>
      <c r="HV120" s="4550"/>
      <c r="HW120" s="4550"/>
      <c r="HX120" s="4550"/>
      <c r="HY120" s="4550"/>
      <c r="HZ120" s="4550"/>
      <c r="IA120" s="4550"/>
      <c r="IB120" s="4550"/>
      <c r="IC120" s="4550"/>
      <c r="ID120" s="4550"/>
      <c r="IE120" s="4550"/>
    </row>
    <row r="121" spans="1:239" s="4549" customFormat="1" ht="19.5" customHeight="1">
      <c r="A121" s="4654">
        <v>2.11</v>
      </c>
      <c r="B121" s="4728" t="s">
        <v>4109</v>
      </c>
      <c r="C121" s="4727">
        <v>2</v>
      </c>
      <c r="D121" s="4600" t="s">
        <v>2433</v>
      </c>
      <c r="E121" s="4965"/>
      <c r="F121" s="4965">
        <f t="shared" si="3"/>
        <v>0</v>
      </c>
      <c r="G121" s="4537"/>
      <c r="H121" s="4537"/>
      <c r="I121" s="4537"/>
      <c r="J121" s="4537"/>
      <c r="K121" s="4537"/>
      <c r="L121" s="4537"/>
      <c r="M121" s="4537"/>
      <c r="N121" s="4537"/>
      <c r="O121" s="4537"/>
      <c r="P121" s="4537"/>
      <c r="Q121" s="4537"/>
      <c r="R121" s="4537"/>
      <c r="S121" s="4537"/>
      <c r="T121" s="4537"/>
      <c r="U121" s="4537"/>
      <c r="V121" s="4537"/>
      <c r="W121" s="4537"/>
      <c r="X121" s="4537"/>
      <c r="Y121" s="4537"/>
      <c r="Z121" s="4537"/>
      <c r="AA121" s="4537"/>
      <c r="AB121" s="4537"/>
      <c r="AC121" s="4537"/>
      <c r="AD121" s="4537"/>
      <c r="AE121" s="4537"/>
      <c r="AF121" s="4537"/>
      <c r="AG121" s="4537"/>
      <c r="AH121" s="4537"/>
      <c r="AI121" s="4537"/>
      <c r="AJ121" s="4537"/>
      <c r="AK121" s="4537"/>
      <c r="AL121" s="4537"/>
      <c r="AM121" s="4537"/>
      <c r="AN121" s="4537"/>
      <c r="AO121" s="4537"/>
      <c r="AP121" s="4537"/>
      <c r="AQ121" s="4537"/>
      <c r="AR121" s="4537"/>
      <c r="AS121" s="4550"/>
      <c r="AT121" s="4550"/>
      <c r="AU121" s="4550"/>
      <c r="AV121" s="4550"/>
      <c r="AW121" s="4550"/>
      <c r="AX121" s="4550"/>
      <c r="AY121" s="4550"/>
      <c r="AZ121" s="4550"/>
      <c r="BA121" s="4550"/>
      <c r="BB121" s="4550"/>
      <c r="BC121" s="4550"/>
      <c r="BD121" s="4550"/>
      <c r="BE121" s="4550"/>
      <c r="BF121" s="4550"/>
      <c r="BG121" s="4550"/>
      <c r="BH121" s="4550"/>
      <c r="BI121" s="4550"/>
      <c r="BJ121" s="4550"/>
      <c r="BK121" s="4550"/>
      <c r="BL121" s="4550"/>
      <c r="BM121" s="4550"/>
      <c r="BN121" s="4550"/>
      <c r="BO121" s="4550"/>
      <c r="BP121" s="4550"/>
      <c r="BQ121" s="4550"/>
      <c r="BR121" s="4550"/>
      <c r="BS121" s="4550"/>
      <c r="BT121" s="4550"/>
      <c r="BU121" s="4550"/>
      <c r="BV121" s="4550"/>
      <c r="BW121" s="4550"/>
      <c r="BX121" s="4550"/>
      <c r="BY121" s="4550"/>
      <c r="BZ121" s="4550"/>
      <c r="CA121" s="4550"/>
      <c r="CB121" s="4550"/>
      <c r="CC121" s="4550"/>
      <c r="CD121" s="4550"/>
      <c r="CE121" s="4550"/>
      <c r="CF121" s="4550"/>
      <c r="CG121" s="4550"/>
      <c r="CH121" s="4550"/>
      <c r="CI121" s="4550"/>
      <c r="CJ121" s="4550"/>
      <c r="CK121" s="4550"/>
      <c r="CL121" s="4550"/>
      <c r="CM121" s="4550"/>
      <c r="CN121" s="4550"/>
      <c r="CO121" s="4550"/>
      <c r="CP121" s="4550"/>
      <c r="CQ121" s="4550"/>
      <c r="CR121" s="4550"/>
      <c r="CS121" s="4550"/>
      <c r="CT121" s="4550"/>
      <c r="CU121" s="4550"/>
      <c r="CV121" s="4550"/>
      <c r="CW121" s="4550"/>
      <c r="CX121" s="4550"/>
      <c r="CY121" s="4550"/>
      <c r="CZ121" s="4550"/>
      <c r="DA121" s="4550"/>
      <c r="DB121" s="4550"/>
      <c r="DC121" s="4550"/>
      <c r="DD121" s="4550"/>
      <c r="DE121" s="4550"/>
      <c r="DF121" s="4550"/>
      <c r="DG121" s="4550"/>
      <c r="DH121" s="4550"/>
      <c r="DI121" s="4550"/>
      <c r="DJ121" s="4550"/>
      <c r="DK121" s="4550"/>
      <c r="DL121" s="4550"/>
      <c r="DM121" s="4550"/>
      <c r="DN121" s="4550"/>
      <c r="DO121" s="4550"/>
      <c r="DP121" s="4550"/>
      <c r="DQ121" s="4550"/>
      <c r="DR121" s="4550"/>
      <c r="DS121" s="4550"/>
      <c r="DT121" s="4550"/>
      <c r="DU121" s="4550"/>
      <c r="DV121" s="4550"/>
      <c r="DW121" s="4550"/>
      <c r="DX121" s="4550"/>
      <c r="DY121" s="4550"/>
      <c r="DZ121" s="4550"/>
      <c r="EA121" s="4550"/>
      <c r="EB121" s="4550"/>
      <c r="EC121" s="4550"/>
      <c r="ED121" s="4550"/>
      <c r="EE121" s="4550"/>
      <c r="EF121" s="4550"/>
      <c r="EG121" s="4550"/>
      <c r="EH121" s="4550"/>
      <c r="EI121" s="4550"/>
      <c r="EJ121" s="4550"/>
      <c r="EK121" s="4550"/>
      <c r="EL121" s="4550"/>
      <c r="EM121" s="4550"/>
      <c r="EN121" s="4550"/>
      <c r="EO121" s="4550"/>
      <c r="EP121" s="4550"/>
      <c r="EQ121" s="4550"/>
      <c r="ER121" s="4550"/>
      <c r="ES121" s="4550"/>
      <c r="ET121" s="4550"/>
      <c r="EU121" s="4550"/>
      <c r="EV121" s="4550"/>
      <c r="EW121" s="4550"/>
      <c r="EX121" s="4550"/>
      <c r="EY121" s="4550"/>
      <c r="EZ121" s="4550"/>
      <c r="FA121" s="4550"/>
      <c r="FB121" s="4550"/>
      <c r="FC121" s="4550"/>
      <c r="FD121" s="4550"/>
      <c r="FE121" s="4550"/>
      <c r="FF121" s="4550"/>
      <c r="FG121" s="4550"/>
      <c r="FH121" s="4550"/>
      <c r="FI121" s="4550"/>
      <c r="FJ121" s="4550"/>
      <c r="FK121" s="4550"/>
      <c r="FL121" s="4550"/>
      <c r="FM121" s="4550"/>
      <c r="FN121" s="4550"/>
      <c r="FO121" s="4550"/>
      <c r="FP121" s="4550"/>
      <c r="FQ121" s="4550"/>
      <c r="FR121" s="4550"/>
      <c r="FS121" s="4550"/>
      <c r="FT121" s="4550"/>
      <c r="FU121" s="4550"/>
      <c r="FV121" s="4550"/>
      <c r="FW121" s="4550"/>
      <c r="FX121" s="4550"/>
      <c r="FY121" s="4550"/>
      <c r="FZ121" s="4550"/>
      <c r="GA121" s="4550"/>
      <c r="GB121" s="4550"/>
      <c r="GC121" s="4550"/>
      <c r="GD121" s="4550"/>
      <c r="GE121" s="4550"/>
      <c r="GF121" s="4550"/>
      <c r="GG121" s="4550"/>
      <c r="GH121" s="4550"/>
      <c r="GI121" s="4550"/>
      <c r="GJ121" s="4550"/>
      <c r="GK121" s="4550"/>
      <c r="GL121" s="4550"/>
      <c r="GM121" s="4550"/>
      <c r="GN121" s="4550"/>
      <c r="GO121" s="4550"/>
      <c r="GP121" s="4550"/>
      <c r="GQ121" s="4550"/>
      <c r="GR121" s="4550"/>
      <c r="GS121" s="4550"/>
      <c r="GT121" s="4550"/>
      <c r="GU121" s="4550"/>
      <c r="GV121" s="4550"/>
      <c r="GW121" s="4550"/>
      <c r="GX121" s="4550"/>
      <c r="GY121" s="4550"/>
      <c r="GZ121" s="4550"/>
      <c r="HA121" s="4550"/>
      <c r="HB121" s="4550"/>
      <c r="HC121" s="4550"/>
      <c r="HD121" s="4550"/>
      <c r="HE121" s="4550"/>
      <c r="HF121" s="4550"/>
      <c r="HG121" s="4550"/>
      <c r="HH121" s="4550"/>
      <c r="HI121" s="4550"/>
      <c r="HJ121" s="4550"/>
      <c r="HK121" s="4550"/>
      <c r="HL121" s="4550"/>
      <c r="HM121" s="4550"/>
      <c r="HN121" s="4550"/>
      <c r="HO121" s="4550"/>
      <c r="HP121" s="4550"/>
      <c r="HQ121" s="4550"/>
      <c r="HR121" s="4550"/>
      <c r="HS121" s="4550"/>
      <c r="HT121" s="4550"/>
      <c r="HU121" s="4550"/>
      <c r="HV121" s="4550"/>
      <c r="HW121" s="4550"/>
      <c r="HX121" s="4550"/>
      <c r="HY121" s="4550"/>
      <c r="HZ121" s="4550"/>
      <c r="IA121" s="4550"/>
      <c r="IB121" s="4550"/>
      <c r="IC121" s="4550"/>
      <c r="ID121" s="4550"/>
      <c r="IE121" s="4550"/>
    </row>
    <row r="122" spans="1:239" s="4549" customFormat="1" ht="8.25" customHeight="1">
      <c r="A122" s="4167"/>
      <c r="B122" s="4692"/>
      <c r="C122" s="4727"/>
      <c r="D122" s="4600"/>
      <c r="E122" s="4965"/>
      <c r="F122" s="4965"/>
      <c r="G122" s="4537"/>
      <c r="H122" s="4537"/>
      <c r="I122" s="4537"/>
      <c r="J122" s="4537"/>
      <c r="K122" s="4537"/>
      <c r="L122" s="4537"/>
      <c r="M122" s="4537"/>
      <c r="N122" s="4537"/>
      <c r="O122" s="4537"/>
      <c r="P122" s="4537"/>
      <c r="Q122" s="4537"/>
      <c r="R122" s="4537"/>
      <c r="S122" s="4537"/>
      <c r="T122" s="4537"/>
      <c r="U122" s="4537"/>
      <c r="V122" s="4537"/>
      <c r="W122" s="4537"/>
      <c r="X122" s="4537"/>
      <c r="Y122" s="4537"/>
      <c r="Z122" s="4537"/>
      <c r="AA122" s="4537"/>
      <c r="AB122" s="4537"/>
      <c r="AC122" s="4537"/>
      <c r="AD122" s="4537"/>
      <c r="AE122" s="4537"/>
      <c r="AF122" s="4537"/>
      <c r="AG122" s="4537"/>
      <c r="AH122" s="4537"/>
      <c r="AI122" s="4537"/>
      <c r="AJ122" s="4537"/>
      <c r="AK122" s="4537"/>
      <c r="AL122" s="4537"/>
      <c r="AM122" s="4537"/>
      <c r="AN122" s="4537"/>
      <c r="AO122" s="4537"/>
      <c r="AP122" s="4537"/>
      <c r="AQ122" s="4537"/>
      <c r="AR122" s="4537"/>
      <c r="AS122" s="4550"/>
      <c r="AT122" s="4550"/>
      <c r="AU122" s="4550"/>
      <c r="AV122" s="4550"/>
      <c r="AW122" s="4550"/>
      <c r="AX122" s="4550"/>
      <c r="AY122" s="4550"/>
      <c r="AZ122" s="4550"/>
      <c r="BA122" s="4550"/>
      <c r="BB122" s="4550"/>
      <c r="BC122" s="4550"/>
      <c r="BD122" s="4550"/>
      <c r="BE122" s="4550"/>
      <c r="BF122" s="4550"/>
      <c r="BG122" s="4550"/>
      <c r="BH122" s="4550"/>
      <c r="BI122" s="4550"/>
      <c r="BJ122" s="4550"/>
      <c r="BK122" s="4550"/>
      <c r="BL122" s="4550"/>
      <c r="BM122" s="4550"/>
      <c r="BN122" s="4550"/>
      <c r="BO122" s="4550"/>
      <c r="BP122" s="4550"/>
      <c r="BQ122" s="4550"/>
      <c r="BR122" s="4550"/>
      <c r="BS122" s="4550"/>
      <c r="BT122" s="4550"/>
      <c r="BU122" s="4550"/>
      <c r="BV122" s="4550"/>
      <c r="BW122" s="4550"/>
      <c r="BX122" s="4550"/>
      <c r="BY122" s="4550"/>
      <c r="BZ122" s="4550"/>
      <c r="CA122" s="4550"/>
      <c r="CB122" s="4550"/>
      <c r="CC122" s="4550"/>
      <c r="CD122" s="4550"/>
      <c r="CE122" s="4550"/>
      <c r="CF122" s="4550"/>
      <c r="CG122" s="4550"/>
      <c r="CH122" s="4550"/>
      <c r="CI122" s="4550"/>
      <c r="CJ122" s="4550"/>
      <c r="CK122" s="4550"/>
      <c r="CL122" s="4550"/>
      <c r="CM122" s="4550"/>
      <c r="CN122" s="4550"/>
      <c r="CO122" s="4550"/>
      <c r="CP122" s="4550"/>
      <c r="CQ122" s="4550"/>
      <c r="CR122" s="4550"/>
      <c r="CS122" s="4550"/>
      <c r="CT122" s="4550"/>
      <c r="CU122" s="4550"/>
      <c r="CV122" s="4550"/>
      <c r="CW122" s="4550"/>
      <c r="CX122" s="4550"/>
      <c r="CY122" s="4550"/>
      <c r="CZ122" s="4550"/>
      <c r="DA122" s="4550"/>
      <c r="DB122" s="4550"/>
      <c r="DC122" s="4550"/>
      <c r="DD122" s="4550"/>
      <c r="DE122" s="4550"/>
      <c r="DF122" s="4550"/>
      <c r="DG122" s="4550"/>
      <c r="DH122" s="4550"/>
      <c r="DI122" s="4550"/>
      <c r="DJ122" s="4550"/>
      <c r="DK122" s="4550"/>
      <c r="DL122" s="4550"/>
      <c r="DM122" s="4550"/>
      <c r="DN122" s="4550"/>
      <c r="DO122" s="4550"/>
      <c r="DP122" s="4550"/>
      <c r="DQ122" s="4550"/>
      <c r="DR122" s="4550"/>
      <c r="DS122" s="4550"/>
      <c r="DT122" s="4550"/>
      <c r="DU122" s="4550"/>
      <c r="DV122" s="4550"/>
      <c r="DW122" s="4550"/>
      <c r="DX122" s="4550"/>
      <c r="DY122" s="4550"/>
      <c r="DZ122" s="4550"/>
      <c r="EA122" s="4550"/>
      <c r="EB122" s="4550"/>
      <c r="EC122" s="4550"/>
      <c r="ED122" s="4550"/>
      <c r="EE122" s="4550"/>
      <c r="EF122" s="4550"/>
      <c r="EG122" s="4550"/>
      <c r="EH122" s="4550"/>
      <c r="EI122" s="4550"/>
      <c r="EJ122" s="4550"/>
      <c r="EK122" s="4550"/>
      <c r="EL122" s="4550"/>
      <c r="EM122" s="4550"/>
      <c r="EN122" s="4550"/>
      <c r="EO122" s="4550"/>
      <c r="EP122" s="4550"/>
      <c r="EQ122" s="4550"/>
      <c r="ER122" s="4550"/>
      <c r="ES122" s="4550"/>
      <c r="ET122" s="4550"/>
      <c r="EU122" s="4550"/>
      <c r="EV122" s="4550"/>
      <c r="EW122" s="4550"/>
      <c r="EX122" s="4550"/>
      <c r="EY122" s="4550"/>
      <c r="EZ122" s="4550"/>
      <c r="FA122" s="4550"/>
      <c r="FB122" s="4550"/>
      <c r="FC122" s="4550"/>
      <c r="FD122" s="4550"/>
      <c r="FE122" s="4550"/>
      <c r="FF122" s="4550"/>
      <c r="FG122" s="4550"/>
      <c r="FH122" s="4550"/>
      <c r="FI122" s="4550"/>
      <c r="FJ122" s="4550"/>
      <c r="FK122" s="4550"/>
      <c r="FL122" s="4550"/>
      <c r="FM122" s="4550"/>
      <c r="FN122" s="4550"/>
      <c r="FO122" s="4550"/>
      <c r="FP122" s="4550"/>
      <c r="FQ122" s="4550"/>
      <c r="FR122" s="4550"/>
      <c r="FS122" s="4550"/>
      <c r="FT122" s="4550"/>
      <c r="FU122" s="4550"/>
      <c r="FV122" s="4550"/>
      <c r="FW122" s="4550"/>
      <c r="FX122" s="4550"/>
      <c r="FY122" s="4550"/>
      <c r="FZ122" s="4550"/>
      <c r="GA122" s="4550"/>
      <c r="GB122" s="4550"/>
      <c r="GC122" s="4550"/>
      <c r="GD122" s="4550"/>
      <c r="GE122" s="4550"/>
      <c r="GF122" s="4550"/>
      <c r="GG122" s="4550"/>
      <c r="GH122" s="4550"/>
      <c r="GI122" s="4550"/>
      <c r="GJ122" s="4550"/>
      <c r="GK122" s="4550"/>
      <c r="GL122" s="4550"/>
      <c r="GM122" s="4550"/>
      <c r="GN122" s="4550"/>
      <c r="GO122" s="4550"/>
      <c r="GP122" s="4550"/>
      <c r="GQ122" s="4550"/>
      <c r="GR122" s="4550"/>
      <c r="GS122" s="4550"/>
      <c r="GT122" s="4550"/>
      <c r="GU122" s="4550"/>
      <c r="GV122" s="4550"/>
      <c r="GW122" s="4550"/>
      <c r="GX122" s="4550"/>
      <c r="GY122" s="4550"/>
      <c r="GZ122" s="4550"/>
      <c r="HA122" s="4550"/>
      <c r="HB122" s="4550"/>
      <c r="HC122" s="4550"/>
      <c r="HD122" s="4550"/>
      <c r="HE122" s="4550"/>
      <c r="HF122" s="4550"/>
      <c r="HG122" s="4550"/>
      <c r="HH122" s="4550"/>
      <c r="HI122" s="4550"/>
      <c r="HJ122" s="4550"/>
      <c r="HK122" s="4550"/>
      <c r="HL122" s="4550"/>
      <c r="HM122" s="4550"/>
      <c r="HN122" s="4550"/>
      <c r="HO122" s="4550"/>
      <c r="HP122" s="4550"/>
      <c r="HQ122" s="4550"/>
      <c r="HR122" s="4550"/>
      <c r="HS122" s="4550"/>
      <c r="HT122" s="4550"/>
      <c r="HU122" s="4550"/>
      <c r="HV122" s="4550"/>
      <c r="HW122" s="4550"/>
      <c r="HX122" s="4550"/>
      <c r="HY122" s="4550"/>
      <c r="HZ122" s="4550"/>
      <c r="IA122" s="4550"/>
      <c r="IB122" s="4550"/>
      <c r="IC122" s="4550"/>
      <c r="ID122" s="4550"/>
      <c r="IE122" s="4550"/>
    </row>
    <row r="123" spans="1:239" s="4549" customFormat="1" ht="24" customHeight="1">
      <c r="A123" s="4168">
        <v>3</v>
      </c>
      <c r="B123" s="4706" t="s">
        <v>4110</v>
      </c>
      <c r="C123" s="4727"/>
      <c r="D123" s="4600"/>
      <c r="E123" s="4965"/>
      <c r="F123" s="4965"/>
      <c r="G123" s="4537"/>
      <c r="H123" s="4537"/>
      <c r="I123" s="4537"/>
      <c r="J123" s="4537"/>
      <c r="K123" s="4537"/>
      <c r="L123" s="4537"/>
      <c r="M123" s="4537"/>
      <c r="N123" s="4537"/>
      <c r="O123" s="4537"/>
      <c r="P123" s="4537"/>
      <c r="Q123" s="4537"/>
      <c r="R123" s="4537"/>
      <c r="S123" s="4537"/>
      <c r="T123" s="4537"/>
      <c r="U123" s="4537"/>
      <c r="V123" s="4537"/>
      <c r="W123" s="4537"/>
      <c r="X123" s="4537"/>
      <c r="Y123" s="4537"/>
      <c r="Z123" s="4537"/>
      <c r="AA123" s="4537"/>
      <c r="AB123" s="4537"/>
      <c r="AC123" s="4537"/>
      <c r="AD123" s="4537"/>
      <c r="AE123" s="4537"/>
      <c r="AF123" s="4537"/>
      <c r="AG123" s="4537"/>
      <c r="AH123" s="4537"/>
      <c r="AI123" s="4537"/>
      <c r="AJ123" s="4537"/>
      <c r="AK123" s="4537"/>
      <c r="AL123" s="4537"/>
      <c r="AM123" s="4537"/>
      <c r="AN123" s="4537"/>
      <c r="AO123" s="4537"/>
      <c r="AP123" s="4537"/>
      <c r="AQ123" s="4537"/>
      <c r="AR123" s="4537"/>
      <c r="AS123" s="4550"/>
      <c r="AT123" s="4550"/>
      <c r="AU123" s="4550"/>
      <c r="AV123" s="4550"/>
      <c r="AW123" s="4550"/>
      <c r="AX123" s="4550"/>
      <c r="AY123" s="4550"/>
      <c r="AZ123" s="4550"/>
      <c r="BA123" s="4550"/>
      <c r="BB123" s="4550"/>
      <c r="BC123" s="4550"/>
      <c r="BD123" s="4550"/>
      <c r="BE123" s="4550"/>
      <c r="BF123" s="4550"/>
      <c r="BG123" s="4550"/>
      <c r="BH123" s="4550"/>
      <c r="BI123" s="4550"/>
      <c r="BJ123" s="4550"/>
      <c r="BK123" s="4550"/>
      <c r="BL123" s="4550"/>
      <c r="BM123" s="4550"/>
      <c r="BN123" s="4550"/>
      <c r="BO123" s="4550"/>
      <c r="BP123" s="4550"/>
      <c r="BQ123" s="4550"/>
      <c r="BR123" s="4550"/>
      <c r="BS123" s="4550"/>
      <c r="BT123" s="4550"/>
      <c r="BU123" s="4550"/>
      <c r="BV123" s="4550"/>
      <c r="BW123" s="4550"/>
      <c r="BX123" s="4550"/>
      <c r="BY123" s="4550"/>
      <c r="BZ123" s="4550"/>
      <c r="CA123" s="4550"/>
      <c r="CB123" s="4550"/>
      <c r="CC123" s="4550"/>
      <c r="CD123" s="4550"/>
      <c r="CE123" s="4550"/>
      <c r="CF123" s="4550"/>
      <c r="CG123" s="4550"/>
      <c r="CH123" s="4550"/>
      <c r="CI123" s="4550"/>
      <c r="CJ123" s="4550"/>
      <c r="CK123" s="4550"/>
      <c r="CL123" s="4550"/>
      <c r="CM123" s="4550"/>
      <c r="CN123" s="4550"/>
      <c r="CO123" s="4550"/>
      <c r="CP123" s="4550"/>
      <c r="CQ123" s="4550"/>
      <c r="CR123" s="4550"/>
      <c r="CS123" s="4550"/>
      <c r="CT123" s="4550"/>
      <c r="CU123" s="4550"/>
      <c r="CV123" s="4550"/>
      <c r="CW123" s="4550"/>
      <c r="CX123" s="4550"/>
      <c r="CY123" s="4550"/>
      <c r="CZ123" s="4550"/>
      <c r="DA123" s="4550"/>
      <c r="DB123" s="4550"/>
      <c r="DC123" s="4550"/>
      <c r="DD123" s="4550"/>
      <c r="DE123" s="4550"/>
      <c r="DF123" s="4550"/>
      <c r="DG123" s="4550"/>
      <c r="DH123" s="4550"/>
      <c r="DI123" s="4550"/>
      <c r="DJ123" s="4550"/>
      <c r="DK123" s="4550"/>
      <c r="DL123" s="4550"/>
      <c r="DM123" s="4550"/>
      <c r="DN123" s="4550"/>
      <c r="DO123" s="4550"/>
      <c r="DP123" s="4550"/>
      <c r="DQ123" s="4550"/>
      <c r="DR123" s="4550"/>
      <c r="DS123" s="4550"/>
      <c r="DT123" s="4550"/>
      <c r="DU123" s="4550"/>
      <c r="DV123" s="4550"/>
      <c r="DW123" s="4550"/>
      <c r="DX123" s="4550"/>
      <c r="DY123" s="4550"/>
      <c r="DZ123" s="4550"/>
      <c r="EA123" s="4550"/>
      <c r="EB123" s="4550"/>
      <c r="EC123" s="4550"/>
      <c r="ED123" s="4550"/>
      <c r="EE123" s="4550"/>
      <c r="EF123" s="4550"/>
      <c r="EG123" s="4550"/>
      <c r="EH123" s="4550"/>
      <c r="EI123" s="4550"/>
      <c r="EJ123" s="4550"/>
      <c r="EK123" s="4550"/>
      <c r="EL123" s="4550"/>
      <c r="EM123" s="4550"/>
      <c r="EN123" s="4550"/>
      <c r="EO123" s="4550"/>
      <c r="EP123" s="4550"/>
      <c r="EQ123" s="4550"/>
      <c r="ER123" s="4550"/>
      <c r="ES123" s="4550"/>
      <c r="ET123" s="4550"/>
      <c r="EU123" s="4550"/>
      <c r="EV123" s="4550"/>
      <c r="EW123" s="4550"/>
      <c r="EX123" s="4550"/>
      <c r="EY123" s="4550"/>
      <c r="EZ123" s="4550"/>
      <c r="FA123" s="4550"/>
      <c r="FB123" s="4550"/>
      <c r="FC123" s="4550"/>
      <c r="FD123" s="4550"/>
      <c r="FE123" s="4550"/>
      <c r="FF123" s="4550"/>
      <c r="FG123" s="4550"/>
      <c r="FH123" s="4550"/>
      <c r="FI123" s="4550"/>
      <c r="FJ123" s="4550"/>
      <c r="FK123" s="4550"/>
      <c r="FL123" s="4550"/>
      <c r="FM123" s="4550"/>
      <c r="FN123" s="4550"/>
      <c r="FO123" s="4550"/>
      <c r="FP123" s="4550"/>
      <c r="FQ123" s="4550"/>
      <c r="FR123" s="4550"/>
      <c r="FS123" s="4550"/>
      <c r="FT123" s="4550"/>
      <c r="FU123" s="4550"/>
      <c r="FV123" s="4550"/>
      <c r="FW123" s="4550"/>
      <c r="FX123" s="4550"/>
      <c r="FY123" s="4550"/>
      <c r="FZ123" s="4550"/>
      <c r="GA123" s="4550"/>
      <c r="GB123" s="4550"/>
      <c r="GC123" s="4550"/>
      <c r="GD123" s="4550"/>
      <c r="GE123" s="4550"/>
      <c r="GF123" s="4550"/>
      <c r="GG123" s="4550"/>
      <c r="GH123" s="4550"/>
      <c r="GI123" s="4550"/>
      <c r="GJ123" s="4550"/>
      <c r="GK123" s="4550"/>
      <c r="GL123" s="4550"/>
      <c r="GM123" s="4550"/>
      <c r="GN123" s="4550"/>
      <c r="GO123" s="4550"/>
      <c r="GP123" s="4550"/>
      <c r="GQ123" s="4550"/>
      <c r="GR123" s="4550"/>
      <c r="GS123" s="4550"/>
      <c r="GT123" s="4550"/>
      <c r="GU123" s="4550"/>
      <c r="GV123" s="4550"/>
      <c r="GW123" s="4550"/>
      <c r="GX123" s="4550"/>
      <c r="GY123" s="4550"/>
      <c r="GZ123" s="4550"/>
      <c r="HA123" s="4550"/>
      <c r="HB123" s="4550"/>
      <c r="HC123" s="4550"/>
      <c r="HD123" s="4550"/>
      <c r="HE123" s="4550"/>
      <c r="HF123" s="4550"/>
      <c r="HG123" s="4550"/>
      <c r="HH123" s="4550"/>
      <c r="HI123" s="4550"/>
      <c r="HJ123" s="4550"/>
      <c r="HK123" s="4550"/>
      <c r="HL123" s="4550"/>
      <c r="HM123" s="4550"/>
      <c r="HN123" s="4550"/>
      <c r="HO123" s="4550"/>
      <c r="HP123" s="4550"/>
      <c r="HQ123" s="4550"/>
      <c r="HR123" s="4550"/>
      <c r="HS123" s="4550"/>
      <c r="HT123" s="4550"/>
      <c r="HU123" s="4550"/>
      <c r="HV123" s="4550"/>
      <c r="HW123" s="4550"/>
      <c r="HX123" s="4550"/>
      <c r="HY123" s="4550"/>
      <c r="HZ123" s="4550"/>
      <c r="IA123" s="4550"/>
      <c r="IB123" s="4550"/>
      <c r="IC123" s="4550"/>
      <c r="ID123" s="4550"/>
      <c r="IE123" s="4550"/>
    </row>
    <row r="124" spans="1:239" s="4549" customFormat="1" ht="42.75">
      <c r="A124" s="4167">
        <v>3.1</v>
      </c>
      <c r="B124" s="4728" t="s">
        <v>4711</v>
      </c>
      <c r="C124" s="4727">
        <v>3</v>
      </c>
      <c r="D124" s="4600" t="s">
        <v>2433</v>
      </c>
      <c r="E124" s="4965"/>
      <c r="F124" s="4965">
        <f t="shared" si="3"/>
        <v>0</v>
      </c>
      <c r="G124" s="4537"/>
      <c r="H124" s="4537"/>
      <c r="I124" s="4537"/>
      <c r="J124" s="4537"/>
      <c r="K124" s="4537"/>
      <c r="L124" s="4537"/>
      <c r="M124" s="4537"/>
      <c r="N124" s="4537"/>
      <c r="O124" s="4537"/>
      <c r="P124" s="4537"/>
      <c r="Q124" s="4537"/>
      <c r="R124" s="4537"/>
      <c r="S124" s="4537"/>
      <c r="T124" s="4537"/>
      <c r="U124" s="4537"/>
      <c r="V124" s="4537"/>
      <c r="W124" s="4537"/>
      <c r="X124" s="4537"/>
      <c r="Y124" s="4537"/>
      <c r="Z124" s="4537"/>
      <c r="AA124" s="4537"/>
      <c r="AB124" s="4537"/>
      <c r="AC124" s="4537"/>
      <c r="AD124" s="4537"/>
      <c r="AE124" s="4537"/>
      <c r="AF124" s="4537"/>
      <c r="AG124" s="4537"/>
      <c r="AH124" s="4537"/>
      <c r="AI124" s="4537"/>
      <c r="AJ124" s="4537"/>
      <c r="AK124" s="4537"/>
      <c r="AL124" s="4537"/>
      <c r="AM124" s="4537"/>
      <c r="AN124" s="4537"/>
      <c r="AO124" s="4537"/>
      <c r="AP124" s="4537"/>
      <c r="AQ124" s="4537"/>
      <c r="AR124" s="4537"/>
      <c r="AS124" s="4550"/>
      <c r="AT124" s="4550"/>
      <c r="AU124" s="4550"/>
      <c r="AV124" s="4550"/>
      <c r="AW124" s="4550"/>
      <c r="AX124" s="4550"/>
      <c r="AY124" s="4550"/>
      <c r="AZ124" s="4550"/>
      <c r="BA124" s="4550"/>
      <c r="BB124" s="4550"/>
      <c r="BC124" s="4550"/>
      <c r="BD124" s="4550"/>
      <c r="BE124" s="4550"/>
      <c r="BF124" s="4550"/>
      <c r="BG124" s="4550"/>
      <c r="BH124" s="4550"/>
      <c r="BI124" s="4550"/>
      <c r="BJ124" s="4550"/>
      <c r="BK124" s="4550"/>
      <c r="BL124" s="4550"/>
      <c r="BM124" s="4550"/>
      <c r="BN124" s="4550"/>
      <c r="BO124" s="4550"/>
      <c r="BP124" s="4550"/>
      <c r="BQ124" s="4550"/>
      <c r="BR124" s="4550"/>
      <c r="BS124" s="4550"/>
      <c r="BT124" s="4550"/>
      <c r="BU124" s="4550"/>
      <c r="BV124" s="4550"/>
      <c r="BW124" s="4550"/>
      <c r="BX124" s="4550"/>
      <c r="BY124" s="4550"/>
      <c r="BZ124" s="4550"/>
      <c r="CA124" s="4550"/>
      <c r="CB124" s="4550"/>
      <c r="CC124" s="4550"/>
      <c r="CD124" s="4550"/>
      <c r="CE124" s="4550"/>
      <c r="CF124" s="4550"/>
      <c r="CG124" s="4550"/>
      <c r="CH124" s="4550"/>
      <c r="CI124" s="4550"/>
      <c r="CJ124" s="4550"/>
      <c r="CK124" s="4550"/>
      <c r="CL124" s="4550"/>
      <c r="CM124" s="4550"/>
      <c r="CN124" s="4550"/>
      <c r="CO124" s="4550"/>
      <c r="CP124" s="4550"/>
      <c r="CQ124" s="4550"/>
      <c r="CR124" s="4550"/>
      <c r="CS124" s="4550"/>
      <c r="CT124" s="4550"/>
      <c r="CU124" s="4550"/>
      <c r="CV124" s="4550"/>
      <c r="CW124" s="4550"/>
      <c r="CX124" s="4550"/>
      <c r="CY124" s="4550"/>
      <c r="CZ124" s="4550"/>
      <c r="DA124" s="4550"/>
      <c r="DB124" s="4550"/>
      <c r="DC124" s="4550"/>
      <c r="DD124" s="4550"/>
      <c r="DE124" s="4550"/>
      <c r="DF124" s="4550"/>
      <c r="DG124" s="4550"/>
      <c r="DH124" s="4550"/>
      <c r="DI124" s="4550"/>
      <c r="DJ124" s="4550"/>
      <c r="DK124" s="4550"/>
      <c r="DL124" s="4550"/>
      <c r="DM124" s="4550"/>
      <c r="DN124" s="4550"/>
      <c r="DO124" s="4550"/>
      <c r="DP124" s="4550"/>
      <c r="DQ124" s="4550"/>
      <c r="DR124" s="4550"/>
      <c r="DS124" s="4550"/>
      <c r="DT124" s="4550"/>
      <c r="DU124" s="4550"/>
      <c r="DV124" s="4550"/>
      <c r="DW124" s="4550"/>
      <c r="DX124" s="4550"/>
      <c r="DY124" s="4550"/>
      <c r="DZ124" s="4550"/>
      <c r="EA124" s="4550"/>
      <c r="EB124" s="4550"/>
      <c r="EC124" s="4550"/>
      <c r="ED124" s="4550"/>
      <c r="EE124" s="4550"/>
      <c r="EF124" s="4550"/>
      <c r="EG124" s="4550"/>
      <c r="EH124" s="4550"/>
      <c r="EI124" s="4550"/>
      <c r="EJ124" s="4550"/>
      <c r="EK124" s="4550"/>
      <c r="EL124" s="4550"/>
      <c r="EM124" s="4550"/>
      <c r="EN124" s="4550"/>
      <c r="EO124" s="4550"/>
      <c r="EP124" s="4550"/>
      <c r="EQ124" s="4550"/>
      <c r="ER124" s="4550"/>
      <c r="ES124" s="4550"/>
      <c r="ET124" s="4550"/>
      <c r="EU124" s="4550"/>
      <c r="EV124" s="4550"/>
      <c r="EW124" s="4550"/>
      <c r="EX124" s="4550"/>
      <c r="EY124" s="4550"/>
      <c r="EZ124" s="4550"/>
      <c r="FA124" s="4550"/>
      <c r="FB124" s="4550"/>
      <c r="FC124" s="4550"/>
      <c r="FD124" s="4550"/>
      <c r="FE124" s="4550"/>
      <c r="FF124" s="4550"/>
      <c r="FG124" s="4550"/>
      <c r="FH124" s="4550"/>
      <c r="FI124" s="4550"/>
      <c r="FJ124" s="4550"/>
      <c r="FK124" s="4550"/>
      <c r="FL124" s="4550"/>
      <c r="FM124" s="4550"/>
      <c r="FN124" s="4550"/>
      <c r="FO124" s="4550"/>
      <c r="FP124" s="4550"/>
      <c r="FQ124" s="4550"/>
      <c r="FR124" s="4550"/>
      <c r="FS124" s="4550"/>
      <c r="FT124" s="4550"/>
      <c r="FU124" s="4550"/>
      <c r="FV124" s="4550"/>
      <c r="FW124" s="4550"/>
      <c r="FX124" s="4550"/>
      <c r="FY124" s="4550"/>
      <c r="FZ124" s="4550"/>
      <c r="GA124" s="4550"/>
      <c r="GB124" s="4550"/>
      <c r="GC124" s="4550"/>
      <c r="GD124" s="4550"/>
      <c r="GE124" s="4550"/>
      <c r="GF124" s="4550"/>
      <c r="GG124" s="4550"/>
      <c r="GH124" s="4550"/>
      <c r="GI124" s="4550"/>
      <c r="GJ124" s="4550"/>
      <c r="GK124" s="4550"/>
      <c r="GL124" s="4550"/>
      <c r="GM124" s="4550"/>
      <c r="GN124" s="4550"/>
      <c r="GO124" s="4550"/>
      <c r="GP124" s="4550"/>
      <c r="GQ124" s="4550"/>
      <c r="GR124" s="4550"/>
      <c r="GS124" s="4550"/>
      <c r="GT124" s="4550"/>
      <c r="GU124" s="4550"/>
      <c r="GV124" s="4550"/>
      <c r="GW124" s="4550"/>
      <c r="GX124" s="4550"/>
      <c r="GY124" s="4550"/>
      <c r="GZ124" s="4550"/>
      <c r="HA124" s="4550"/>
      <c r="HB124" s="4550"/>
      <c r="HC124" s="4550"/>
      <c r="HD124" s="4550"/>
      <c r="HE124" s="4550"/>
      <c r="HF124" s="4550"/>
      <c r="HG124" s="4550"/>
      <c r="HH124" s="4550"/>
      <c r="HI124" s="4550"/>
      <c r="HJ124" s="4550"/>
      <c r="HK124" s="4550"/>
      <c r="HL124" s="4550"/>
      <c r="HM124" s="4550"/>
      <c r="HN124" s="4550"/>
      <c r="HO124" s="4550"/>
      <c r="HP124" s="4550"/>
      <c r="HQ124" s="4550"/>
      <c r="HR124" s="4550"/>
      <c r="HS124" s="4550"/>
      <c r="HT124" s="4550"/>
      <c r="HU124" s="4550"/>
      <c r="HV124" s="4550"/>
      <c r="HW124" s="4550"/>
      <c r="HX124" s="4550"/>
      <c r="HY124" s="4550"/>
      <c r="HZ124" s="4550"/>
      <c r="IA124" s="4550"/>
      <c r="IB124" s="4550"/>
      <c r="IC124" s="4550"/>
      <c r="ID124" s="4550"/>
      <c r="IE124" s="4550"/>
    </row>
    <row r="125" spans="1:239" s="4549" customFormat="1" ht="15">
      <c r="A125" s="4167">
        <v>3.2</v>
      </c>
      <c r="B125" s="4728" t="s">
        <v>4111</v>
      </c>
      <c r="C125" s="4727">
        <v>2</v>
      </c>
      <c r="D125" s="4600" t="s">
        <v>2433</v>
      </c>
      <c r="E125" s="4965"/>
      <c r="F125" s="4965">
        <f t="shared" si="3"/>
        <v>0</v>
      </c>
      <c r="G125" s="4537"/>
      <c r="H125" s="4537"/>
      <c r="I125" s="4537"/>
      <c r="J125" s="4537"/>
      <c r="K125" s="4537"/>
      <c r="L125" s="4537"/>
      <c r="M125" s="4537"/>
      <c r="N125" s="4537"/>
      <c r="O125" s="4537"/>
      <c r="P125" s="4537"/>
      <c r="Q125" s="4537"/>
      <c r="R125" s="4537"/>
      <c r="S125" s="4537"/>
      <c r="T125" s="4537"/>
      <c r="U125" s="4537"/>
      <c r="V125" s="4537"/>
      <c r="W125" s="4537"/>
      <c r="X125" s="4537"/>
      <c r="Y125" s="4537"/>
      <c r="Z125" s="4537"/>
      <c r="AA125" s="4537"/>
      <c r="AB125" s="4537"/>
      <c r="AC125" s="4537"/>
      <c r="AD125" s="4537"/>
      <c r="AE125" s="4537"/>
      <c r="AF125" s="4537"/>
      <c r="AG125" s="4537"/>
      <c r="AH125" s="4537"/>
      <c r="AI125" s="4537"/>
      <c r="AJ125" s="4537"/>
      <c r="AK125" s="4537"/>
      <c r="AL125" s="4537"/>
      <c r="AM125" s="4537"/>
      <c r="AN125" s="4537"/>
      <c r="AO125" s="4537"/>
      <c r="AP125" s="4537"/>
      <c r="AQ125" s="4537"/>
      <c r="AR125" s="4537"/>
      <c r="AS125" s="4550"/>
      <c r="AT125" s="4550"/>
      <c r="AU125" s="4550"/>
      <c r="AV125" s="4550"/>
      <c r="AW125" s="4550"/>
      <c r="AX125" s="4550"/>
      <c r="AY125" s="4550"/>
      <c r="AZ125" s="4550"/>
      <c r="BA125" s="4550"/>
      <c r="BB125" s="4550"/>
      <c r="BC125" s="4550"/>
      <c r="BD125" s="4550"/>
      <c r="BE125" s="4550"/>
      <c r="BF125" s="4550"/>
      <c r="BG125" s="4550"/>
      <c r="BH125" s="4550"/>
      <c r="BI125" s="4550"/>
      <c r="BJ125" s="4550"/>
      <c r="BK125" s="4550"/>
      <c r="BL125" s="4550"/>
      <c r="BM125" s="4550"/>
      <c r="BN125" s="4550"/>
      <c r="BO125" s="4550"/>
      <c r="BP125" s="4550"/>
      <c r="BQ125" s="4550"/>
      <c r="BR125" s="4550"/>
      <c r="BS125" s="4550"/>
      <c r="BT125" s="4550"/>
      <c r="BU125" s="4550"/>
      <c r="BV125" s="4550"/>
      <c r="BW125" s="4550"/>
      <c r="BX125" s="4550"/>
      <c r="BY125" s="4550"/>
      <c r="BZ125" s="4550"/>
      <c r="CA125" s="4550"/>
      <c r="CB125" s="4550"/>
      <c r="CC125" s="4550"/>
      <c r="CD125" s="4550"/>
      <c r="CE125" s="4550"/>
      <c r="CF125" s="4550"/>
      <c r="CG125" s="4550"/>
      <c r="CH125" s="4550"/>
      <c r="CI125" s="4550"/>
      <c r="CJ125" s="4550"/>
      <c r="CK125" s="4550"/>
      <c r="CL125" s="4550"/>
      <c r="CM125" s="4550"/>
      <c r="CN125" s="4550"/>
      <c r="CO125" s="4550"/>
      <c r="CP125" s="4550"/>
      <c r="CQ125" s="4550"/>
      <c r="CR125" s="4550"/>
      <c r="CS125" s="4550"/>
      <c r="CT125" s="4550"/>
      <c r="CU125" s="4550"/>
      <c r="CV125" s="4550"/>
      <c r="CW125" s="4550"/>
      <c r="CX125" s="4550"/>
      <c r="CY125" s="4550"/>
      <c r="CZ125" s="4550"/>
      <c r="DA125" s="4550"/>
      <c r="DB125" s="4550"/>
      <c r="DC125" s="4550"/>
      <c r="DD125" s="4550"/>
      <c r="DE125" s="4550"/>
      <c r="DF125" s="4550"/>
      <c r="DG125" s="4550"/>
      <c r="DH125" s="4550"/>
      <c r="DI125" s="4550"/>
      <c r="DJ125" s="4550"/>
      <c r="DK125" s="4550"/>
      <c r="DL125" s="4550"/>
      <c r="DM125" s="4550"/>
      <c r="DN125" s="4550"/>
      <c r="DO125" s="4550"/>
      <c r="DP125" s="4550"/>
      <c r="DQ125" s="4550"/>
      <c r="DR125" s="4550"/>
      <c r="DS125" s="4550"/>
      <c r="DT125" s="4550"/>
      <c r="DU125" s="4550"/>
      <c r="DV125" s="4550"/>
      <c r="DW125" s="4550"/>
      <c r="DX125" s="4550"/>
      <c r="DY125" s="4550"/>
      <c r="DZ125" s="4550"/>
      <c r="EA125" s="4550"/>
      <c r="EB125" s="4550"/>
      <c r="EC125" s="4550"/>
      <c r="ED125" s="4550"/>
      <c r="EE125" s="4550"/>
      <c r="EF125" s="4550"/>
      <c r="EG125" s="4550"/>
      <c r="EH125" s="4550"/>
      <c r="EI125" s="4550"/>
      <c r="EJ125" s="4550"/>
      <c r="EK125" s="4550"/>
      <c r="EL125" s="4550"/>
      <c r="EM125" s="4550"/>
      <c r="EN125" s="4550"/>
      <c r="EO125" s="4550"/>
      <c r="EP125" s="4550"/>
      <c r="EQ125" s="4550"/>
      <c r="ER125" s="4550"/>
      <c r="ES125" s="4550"/>
      <c r="ET125" s="4550"/>
      <c r="EU125" s="4550"/>
      <c r="EV125" s="4550"/>
      <c r="EW125" s="4550"/>
      <c r="EX125" s="4550"/>
      <c r="EY125" s="4550"/>
      <c r="EZ125" s="4550"/>
      <c r="FA125" s="4550"/>
      <c r="FB125" s="4550"/>
      <c r="FC125" s="4550"/>
      <c r="FD125" s="4550"/>
      <c r="FE125" s="4550"/>
      <c r="FF125" s="4550"/>
      <c r="FG125" s="4550"/>
      <c r="FH125" s="4550"/>
      <c r="FI125" s="4550"/>
      <c r="FJ125" s="4550"/>
      <c r="FK125" s="4550"/>
      <c r="FL125" s="4550"/>
      <c r="FM125" s="4550"/>
      <c r="FN125" s="4550"/>
      <c r="FO125" s="4550"/>
      <c r="FP125" s="4550"/>
      <c r="FQ125" s="4550"/>
      <c r="FR125" s="4550"/>
      <c r="FS125" s="4550"/>
      <c r="FT125" s="4550"/>
      <c r="FU125" s="4550"/>
      <c r="FV125" s="4550"/>
      <c r="FW125" s="4550"/>
      <c r="FX125" s="4550"/>
      <c r="FY125" s="4550"/>
      <c r="FZ125" s="4550"/>
      <c r="GA125" s="4550"/>
      <c r="GB125" s="4550"/>
      <c r="GC125" s="4550"/>
      <c r="GD125" s="4550"/>
      <c r="GE125" s="4550"/>
      <c r="GF125" s="4550"/>
      <c r="GG125" s="4550"/>
      <c r="GH125" s="4550"/>
      <c r="GI125" s="4550"/>
      <c r="GJ125" s="4550"/>
      <c r="GK125" s="4550"/>
      <c r="GL125" s="4550"/>
      <c r="GM125" s="4550"/>
      <c r="GN125" s="4550"/>
      <c r="GO125" s="4550"/>
      <c r="GP125" s="4550"/>
      <c r="GQ125" s="4550"/>
      <c r="GR125" s="4550"/>
      <c r="GS125" s="4550"/>
      <c r="GT125" s="4550"/>
      <c r="GU125" s="4550"/>
      <c r="GV125" s="4550"/>
      <c r="GW125" s="4550"/>
      <c r="GX125" s="4550"/>
      <c r="GY125" s="4550"/>
      <c r="GZ125" s="4550"/>
      <c r="HA125" s="4550"/>
      <c r="HB125" s="4550"/>
      <c r="HC125" s="4550"/>
      <c r="HD125" s="4550"/>
      <c r="HE125" s="4550"/>
      <c r="HF125" s="4550"/>
      <c r="HG125" s="4550"/>
      <c r="HH125" s="4550"/>
      <c r="HI125" s="4550"/>
      <c r="HJ125" s="4550"/>
      <c r="HK125" s="4550"/>
      <c r="HL125" s="4550"/>
      <c r="HM125" s="4550"/>
      <c r="HN125" s="4550"/>
      <c r="HO125" s="4550"/>
      <c r="HP125" s="4550"/>
      <c r="HQ125" s="4550"/>
      <c r="HR125" s="4550"/>
      <c r="HS125" s="4550"/>
      <c r="HT125" s="4550"/>
      <c r="HU125" s="4550"/>
      <c r="HV125" s="4550"/>
      <c r="HW125" s="4550"/>
      <c r="HX125" s="4550"/>
      <c r="HY125" s="4550"/>
      <c r="HZ125" s="4550"/>
      <c r="IA125" s="4550"/>
      <c r="IB125" s="4550"/>
      <c r="IC125" s="4550"/>
      <c r="ID125" s="4550"/>
      <c r="IE125" s="4550"/>
    </row>
    <row r="126" spans="1:239" s="4549" customFormat="1" ht="15.75" customHeight="1">
      <c r="A126" s="4167">
        <v>3.3</v>
      </c>
      <c r="B126" s="4728" t="s">
        <v>4112</v>
      </c>
      <c r="C126" s="4727">
        <v>2</v>
      </c>
      <c r="D126" s="4600" t="s">
        <v>2433</v>
      </c>
      <c r="E126" s="4965"/>
      <c r="F126" s="4965">
        <f t="shared" si="3"/>
        <v>0</v>
      </c>
      <c r="G126" s="4537"/>
      <c r="H126" s="4537"/>
      <c r="I126" s="4537"/>
      <c r="J126" s="4537"/>
      <c r="K126" s="4537"/>
      <c r="L126" s="4537"/>
      <c r="M126" s="4537"/>
      <c r="N126" s="4537"/>
      <c r="O126" s="4537"/>
      <c r="P126" s="4537"/>
      <c r="Q126" s="4537"/>
      <c r="R126" s="4537"/>
      <c r="S126" s="4537"/>
      <c r="T126" s="4537"/>
      <c r="U126" s="4537"/>
      <c r="V126" s="4537"/>
      <c r="W126" s="4537"/>
      <c r="X126" s="4537"/>
      <c r="Y126" s="4537"/>
      <c r="Z126" s="4537"/>
      <c r="AA126" s="4537"/>
      <c r="AB126" s="4537"/>
      <c r="AC126" s="4537"/>
      <c r="AD126" s="4537"/>
      <c r="AE126" s="4537"/>
      <c r="AF126" s="4537"/>
      <c r="AG126" s="4537"/>
      <c r="AH126" s="4537"/>
      <c r="AI126" s="4537"/>
      <c r="AJ126" s="4537"/>
      <c r="AK126" s="4537"/>
      <c r="AL126" s="4537"/>
      <c r="AM126" s="4537"/>
      <c r="AN126" s="4537"/>
      <c r="AO126" s="4537"/>
      <c r="AP126" s="4537"/>
      <c r="AQ126" s="4537"/>
      <c r="AR126" s="4537"/>
      <c r="AS126" s="4550"/>
      <c r="AT126" s="4550"/>
      <c r="AU126" s="4550"/>
      <c r="AV126" s="4550"/>
      <c r="AW126" s="4550"/>
      <c r="AX126" s="4550"/>
      <c r="AY126" s="4550"/>
      <c r="AZ126" s="4550"/>
      <c r="BA126" s="4550"/>
      <c r="BB126" s="4550"/>
      <c r="BC126" s="4550"/>
      <c r="BD126" s="4550"/>
      <c r="BE126" s="4550"/>
      <c r="BF126" s="4550"/>
      <c r="BG126" s="4550"/>
      <c r="BH126" s="4550"/>
      <c r="BI126" s="4550"/>
      <c r="BJ126" s="4550"/>
      <c r="BK126" s="4550"/>
      <c r="BL126" s="4550"/>
      <c r="BM126" s="4550"/>
      <c r="BN126" s="4550"/>
      <c r="BO126" s="4550"/>
      <c r="BP126" s="4550"/>
      <c r="BQ126" s="4550"/>
      <c r="BR126" s="4550"/>
      <c r="BS126" s="4550"/>
      <c r="BT126" s="4550"/>
      <c r="BU126" s="4550"/>
      <c r="BV126" s="4550"/>
      <c r="BW126" s="4550"/>
      <c r="BX126" s="4550"/>
      <c r="BY126" s="4550"/>
      <c r="BZ126" s="4550"/>
      <c r="CA126" s="4550"/>
      <c r="CB126" s="4550"/>
      <c r="CC126" s="4550"/>
      <c r="CD126" s="4550"/>
      <c r="CE126" s="4550"/>
      <c r="CF126" s="4550"/>
      <c r="CG126" s="4550"/>
      <c r="CH126" s="4550"/>
      <c r="CI126" s="4550"/>
      <c r="CJ126" s="4550"/>
      <c r="CK126" s="4550"/>
      <c r="CL126" s="4550"/>
      <c r="CM126" s="4550"/>
      <c r="CN126" s="4550"/>
      <c r="CO126" s="4550"/>
      <c r="CP126" s="4550"/>
      <c r="CQ126" s="4550"/>
      <c r="CR126" s="4550"/>
      <c r="CS126" s="4550"/>
      <c r="CT126" s="4550"/>
      <c r="CU126" s="4550"/>
      <c r="CV126" s="4550"/>
      <c r="CW126" s="4550"/>
      <c r="CX126" s="4550"/>
      <c r="CY126" s="4550"/>
      <c r="CZ126" s="4550"/>
      <c r="DA126" s="4550"/>
      <c r="DB126" s="4550"/>
      <c r="DC126" s="4550"/>
      <c r="DD126" s="4550"/>
      <c r="DE126" s="4550"/>
      <c r="DF126" s="4550"/>
      <c r="DG126" s="4550"/>
      <c r="DH126" s="4550"/>
      <c r="DI126" s="4550"/>
      <c r="DJ126" s="4550"/>
      <c r="DK126" s="4550"/>
      <c r="DL126" s="4550"/>
      <c r="DM126" s="4550"/>
      <c r="DN126" s="4550"/>
      <c r="DO126" s="4550"/>
      <c r="DP126" s="4550"/>
      <c r="DQ126" s="4550"/>
      <c r="DR126" s="4550"/>
      <c r="DS126" s="4550"/>
      <c r="DT126" s="4550"/>
      <c r="DU126" s="4550"/>
      <c r="DV126" s="4550"/>
      <c r="DW126" s="4550"/>
      <c r="DX126" s="4550"/>
      <c r="DY126" s="4550"/>
      <c r="DZ126" s="4550"/>
      <c r="EA126" s="4550"/>
      <c r="EB126" s="4550"/>
      <c r="EC126" s="4550"/>
      <c r="ED126" s="4550"/>
      <c r="EE126" s="4550"/>
      <c r="EF126" s="4550"/>
      <c r="EG126" s="4550"/>
      <c r="EH126" s="4550"/>
      <c r="EI126" s="4550"/>
      <c r="EJ126" s="4550"/>
      <c r="EK126" s="4550"/>
      <c r="EL126" s="4550"/>
      <c r="EM126" s="4550"/>
      <c r="EN126" s="4550"/>
      <c r="EO126" s="4550"/>
      <c r="EP126" s="4550"/>
      <c r="EQ126" s="4550"/>
      <c r="ER126" s="4550"/>
      <c r="ES126" s="4550"/>
      <c r="ET126" s="4550"/>
      <c r="EU126" s="4550"/>
      <c r="EV126" s="4550"/>
      <c r="EW126" s="4550"/>
      <c r="EX126" s="4550"/>
      <c r="EY126" s="4550"/>
      <c r="EZ126" s="4550"/>
      <c r="FA126" s="4550"/>
      <c r="FB126" s="4550"/>
      <c r="FC126" s="4550"/>
      <c r="FD126" s="4550"/>
      <c r="FE126" s="4550"/>
      <c r="FF126" s="4550"/>
      <c r="FG126" s="4550"/>
      <c r="FH126" s="4550"/>
      <c r="FI126" s="4550"/>
      <c r="FJ126" s="4550"/>
      <c r="FK126" s="4550"/>
      <c r="FL126" s="4550"/>
      <c r="FM126" s="4550"/>
      <c r="FN126" s="4550"/>
      <c r="FO126" s="4550"/>
      <c r="FP126" s="4550"/>
      <c r="FQ126" s="4550"/>
      <c r="FR126" s="4550"/>
      <c r="FS126" s="4550"/>
      <c r="FT126" s="4550"/>
      <c r="FU126" s="4550"/>
      <c r="FV126" s="4550"/>
      <c r="FW126" s="4550"/>
      <c r="FX126" s="4550"/>
      <c r="FY126" s="4550"/>
      <c r="FZ126" s="4550"/>
      <c r="GA126" s="4550"/>
      <c r="GB126" s="4550"/>
      <c r="GC126" s="4550"/>
      <c r="GD126" s="4550"/>
      <c r="GE126" s="4550"/>
      <c r="GF126" s="4550"/>
      <c r="GG126" s="4550"/>
      <c r="GH126" s="4550"/>
      <c r="GI126" s="4550"/>
      <c r="GJ126" s="4550"/>
      <c r="GK126" s="4550"/>
      <c r="GL126" s="4550"/>
      <c r="GM126" s="4550"/>
      <c r="GN126" s="4550"/>
      <c r="GO126" s="4550"/>
      <c r="GP126" s="4550"/>
      <c r="GQ126" s="4550"/>
      <c r="GR126" s="4550"/>
      <c r="GS126" s="4550"/>
      <c r="GT126" s="4550"/>
      <c r="GU126" s="4550"/>
      <c r="GV126" s="4550"/>
      <c r="GW126" s="4550"/>
      <c r="GX126" s="4550"/>
      <c r="GY126" s="4550"/>
      <c r="GZ126" s="4550"/>
      <c r="HA126" s="4550"/>
      <c r="HB126" s="4550"/>
      <c r="HC126" s="4550"/>
      <c r="HD126" s="4550"/>
      <c r="HE126" s="4550"/>
      <c r="HF126" s="4550"/>
      <c r="HG126" s="4550"/>
      <c r="HH126" s="4550"/>
      <c r="HI126" s="4550"/>
      <c r="HJ126" s="4550"/>
      <c r="HK126" s="4550"/>
      <c r="HL126" s="4550"/>
      <c r="HM126" s="4550"/>
      <c r="HN126" s="4550"/>
      <c r="HO126" s="4550"/>
      <c r="HP126" s="4550"/>
      <c r="HQ126" s="4550"/>
      <c r="HR126" s="4550"/>
      <c r="HS126" s="4550"/>
      <c r="HT126" s="4550"/>
      <c r="HU126" s="4550"/>
      <c r="HV126" s="4550"/>
      <c r="HW126" s="4550"/>
      <c r="HX126" s="4550"/>
      <c r="HY126" s="4550"/>
      <c r="HZ126" s="4550"/>
      <c r="IA126" s="4550"/>
      <c r="IB126" s="4550"/>
      <c r="IC126" s="4550"/>
      <c r="ID126" s="4550"/>
      <c r="IE126" s="4550"/>
    </row>
    <row r="127" spans="1:239" s="4549" customFormat="1" ht="13.5" customHeight="1">
      <c r="A127" s="4167">
        <v>3.4</v>
      </c>
      <c r="B127" s="4728" t="s">
        <v>4113</v>
      </c>
      <c r="C127" s="4727">
        <v>4</v>
      </c>
      <c r="D127" s="4600" t="s">
        <v>2433</v>
      </c>
      <c r="E127" s="4965"/>
      <c r="F127" s="4965">
        <f t="shared" si="3"/>
        <v>0</v>
      </c>
      <c r="G127" s="4537"/>
      <c r="H127" s="4537"/>
      <c r="I127" s="4537"/>
      <c r="J127" s="4537"/>
      <c r="K127" s="4537"/>
      <c r="L127" s="4537"/>
      <c r="M127" s="4537"/>
      <c r="N127" s="4537"/>
      <c r="O127" s="4537"/>
      <c r="P127" s="4537"/>
      <c r="Q127" s="4537"/>
      <c r="R127" s="4537"/>
      <c r="S127" s="4537"/>
      <c r="T127" s="4537"/>
      <c r="U127" s="4537"/>
      <c r="V127" s="4537"/>
      <c r="W127" s="4537"/>
      <c r="X127" s="4537"/>
      <c r="Y127" s="4537"/>
      <c r="Z127" s="4537"/>
      <c r="AA127" s="4537"/>
      <c r="AB127" s="4537"/>
      <c r="AC127" s="4537"/>
      <c r="AD127" s="4537"/>
      <c r="AE127" s="4537"/>
      <c r="AF127" s="4537"/>
      <c r="AG127" s="4537"/>
      <c r="AH127" s="4537"/>
      <c r="AI127" s="4537"/>
      <c r="AJ127" s="4537"/>
      <c r="AK127" s="4537"/>
      <c r="AL127" s="4537"/>
      <c r="AM127" s="4537"/>
      <c r="AN127" s="4537"/>
      <c r="AO127" s="4537"/>
      <c r="AP127" s="4537"/>
      <c r="AQ127" s="4537"/>
      <c r="AR127" s="4537"/>
      <c r="AS127" s="4550"/>
      <c r="AT127" s="4550"/>
      <c r="AU127" s="4550"/>
      <c r="AV127" s="4550"/>
      <c r="AW127" s="4550"/>
      <c r="AX127" s="4550"/>
      <c r="AY127" s="4550"/>
      <c r="AZ127" s="4550"/>
      <c r="BA127" s="4550"/>
      <c r="BB127" s="4550"/>
      <c r="BC127" s="4550"/>
      <c r="BD127" s="4550"/>
      <c r="BE127" s="4550"/>
      <c r="BF127" s="4550"/>
      <c r="BG127" s="4550"/>
      <c r="BH127" s="4550"/>
      <c r="BI127" s="4550"/>
      <c r="BJ127" s="4550"/>
      <c r="BK127" s="4550"/>
      <c r="BL127" s="4550"/>
      <c r="BM127" s="4550"/>
      <c r="BN127" s="4550"/>
      <c r="BO127" s="4550"/>
      <c r="BP127" s="4550"/>
      <c r="BQ127" s="4550"/>
      <c r="BR127" s="4550"/>
      <c r="BS127" s="4550"/>
      <c r="BT127" s="4550"/>
      <c r="BU127" s="4550"/>
      <c r="BV127" s="4550"/>
      <c r="BW127" s="4550"/>
      <c r="BX127" s="4550"/>
      <c r="BY127" s="4550"/>
      <c r="BZ127" s="4550"/>
      <c r="CA127" s="4550"/>
      <c r="CB127" s="4550"/>
      <c r="CC127" s="4550"/>
      <c r="CD127" s="4550"/>
      <c r="CE127" s="4550"/>
      <c r="CF127" s="4550"/>
      <c r="CG127" s="4550"/>
      <c r="CH127" s="4550"/>
      <c r="CI127" s="4550"/>
      <c r="CJ127" s="4550"/>
      <c r="CK127" s="4550"/>
      <c r="CL127" s="4550"/>
      <c r="CM127" s="4550"/>
      <c r="CN127" s="4550"/>
      <c r="CO127" s="4550"/>
      <c r="CP127" s="4550"/>
      <c r="CQ127" s="4550"/>
      <c r="CR127" s="4550"/>
      <c r="CS127" s="4550"/>
      <c r="CT127" s="4550"/>
      <c r="CU127" s="4550"/>
      <c r="CV127" s="4550"/>
      <c r="CW127" s="4550"/>
      <c r="CX127" s="4550"/>
      <c r="CY127" s="4550"/>
      <c r="CZ127" s="4550"/>
      <c r="DA127" s="4550"/>
      <c r="DB127" s="4550"/>
      <c r="DC127" s="4550"/>
      <c r="DD127" s="4550"/>
      <c r="DE127" s="4550"/>
      <c r="DF127" s="4550"/>
      <c r="DG127" s="4550"/>
      <c r="DH127" s="4550"/>
      <c r="DI127" s="4550"/>
      <c r="DJ127" s="4550"/>
      <c r="DK127" s="4550"/>
      <c r="DL127" s="4550"/>
      <c r="DM127" s="4550"/>
      <c r="DN127" s="4550"/>
      <c r="DO127" s="4550"/>
      <c r="DP127" s="4550"/>
      <c r="DQ127" s="4550"/>
      <c r="DR127" s="4550"/>
      <c r="DS127" s="4550"/>
      <c r="DT127" s="4550"/>
      <c r="DU127" s="4550"/>
      <c r="DV127" s="4550"/>
      <c r="DW127" s="4550"/>
      <c r="DX127" s="4550"/>
      <c r="DY127" s="4550"/>
      <c r="DZ127" s="4550"/>
      <c r="EA127" s="4550"/>
      <c r="EB127" s="4550"/>
      <c r="EC127" s="4550"/>
      <c r="ED127" s="4550"/>
      <c r="EE127" s="4550"/>
      <c r="EF127" s="4550"/>
      <c r="EG127" s="4550"/>
      <c r="EH127" s="4550"/>
      <c r="EI127" s="4550"/>
      <c r="EJ127" s="4550"/>
      <c r="EK127" s="4550"/>
      <c r="EL127" s="4550"/>
      <c r="EM127" s="4550"/>
      <c r="EN127" s="4550"/>
      <c r="EO127" s="4550"/>
      <c r="EP127" s="4550"/>
      <c r="EQ127" s="4550"/>
      <c r="ER127" s="4550"/>
      <c r="ES127" s="4550"/>
      <c r="ET127" s="4550"/>
      <c r="EU127" s="4550"/>
      <c r="EV127" s="4550"/>
      <c r="EW127" s="4550"/>
      <c r="EX127" s="4550"/>
      <c r="EY127" s="4550"/>
      <c r="EZ127" s="4550"/>
      <c r="FA127" s="4550"/>
      <c r="FB127" s="4550"/>
      <c r="FC127" s="4550"/>
      <c r="FD127" s="4550"/>
      <c r="FE127" s="4550"/>
      <c r="FF127" s="4550"/>
      <c r="FG127" s="4550"/>
      <c r="FH127" s="4550"/>
      <c r="FI127" s="4550"/>
      <c r="FJ127" s="4550"/>
      <c r="FK127" s="4550"/>
      <c r="FL127" s="4550"/>
      <c r="FM127" s="4550"/>
      <c r="FN127" s="4550"/>
      <c r="FO127" s="4550"/>
      <c r="FP127" s="4550"/>
      <c r="FQ127" s="4550"/>
      <c r="FR127" s="4550"/>
      <c r="FS127" s="4550"/>
      <c r="FT127" s="4550"/>
      <c r="FU127" s="4550"/>
      <c r="FV127" s="4550"/>
      <c r="FW127" s="4550"/>
      <c r="FX127" s="4550"/>
      <c r="FY127" s="4550"/>
      <c r="FZ127" s="4550"/>
      <c r="GA127" s="4550"/>
      <c r="GB127" s="4550"/>
      <c r="GC127" s="4550"/>
      <c r="GD127" s="4550"/>
      <c r="GE127" s="4550"/>
      <c r="GF127" s="4550"/>
      <c r="GG127" s="4550"/>
      <c r="GH127" s="4550"/>
      <c r="GI127" s="4550"/>
      <c r="GJ127" s="4550"/>
      <c r="GK127" s="4550"/>
      <c r="GL127" s="4550"/>
      <c r="GM127" s="4550"/>
      <c r="GN127" s="4550"/>
      <c r="GO127" s="4550"/>
      <c r="GP127" s="4550"/>
      <c r="GQ127" s="4550"/>
      <c r="GR127" s="4550"/>
      <c r="GS127" s="4550"/>
      <c r="GT127" s="4550"/>
      <c r="GU127" s="4550"/>
      <c r="GV127" s="4550"/>
      <c r="GW127" s="4550"/>
      <c r="GX127" s="4550"/>
      <c r="GY127" s="4550"/>
      <c r="GZ127" s="4550"/>
      <c r="HA127" s="4550"/>
      <c r="HB127" s="4550"/>
      <c r="HC127" s="4550"/>
      <c r="HD127" s="4550"/>
      <c r="HE127" s="4550"/>
      <c r="HF127" s="4550"/>
      <c r="HG127" s="4550"/>
      <c r="HH127" s="4550"/>
      <c r="HI127" s="4550"/>
      <c r="HJ127" s="4550"/>
      <c r="HK127" s="4550"/>
      <c r="HL127" s="4550"/>
      <c r="HM127" s="4550"/>
      <c r="HN127" s="4550"/>
      <c r="HO127" s="4550"/>
      <c r="HP127" s="4550"/>
      <c r="HQ127" s="4550"/>
      <c r="HR127" s="4550"/>
      <c r="HS127" s="4550"/>
      <c r="HT127" s="4550"/>
      <c r="HU127" s="4550"/>
      <c r="HV127" s="4550"/>
      <c r="HW127" s="4550"/>
      <c r="HX127" s="4550"/>
      <c r="HY127" s="4550"/>
      <c r="HZ127" s="4550"/>
      <c r="IA127" s="4550"/>
      <c r="IB127" s="4550"/>
      <c r="IC127" s="4550"/>
      <c r="ID127" s="4550"/>
      <c r="IE127" s="4550"/>
    </row>
    <row r="128" spans="1:239" s="4549" customFormat="1" ht="13.5" customHeight="1">
      <c r="A128" s="4167">
        <v>3.5</v>
      </c>
      <c r="B128" s="4728" t="s">
        <v>4114</v>
      </c>
      <c r="C128" s="4677">
        <v>2</v>
      </c>
      <c r="D128" s="4600" t="s">
        <v>2433</v>
      </c>
      <c r="E128" s="4318"/>
      <c r="F128" s="4965">
        <f t="shared" si="3"/>
        <v>0</v>
      </c>
      <c r="G128" s="4537"/>
      <c r="H128" s="4537"/>
      <c r="I128" s="4537"/>
      <c r="J128" s="4537"/>
      <c r="K128" s="4537"/>
      <c r="L128" s="4537"/>
      <c r="M128" s="4537"/>
      <c r="N128" s="4537"/>
      <c r="O128" s="4537"/>
      <c r="P128" s="4537"/>
      <c r="Q128" s="4537"/>
      <c r="R128" s="4537"/>
      <c r="S128" s="4537"/>
      <c r="T128" s="4537"/>
      <c r="U128" s="4537"/>
      <c r="V128" s="4537"/>
      <c r="W128" s="4537"/>
      <c r="X128" s="4537"/>
      <c r="Y128" s="4537"/>
      <c r="Z128" s="4537"/>
      <c r="AA128" s="4537"/>
      <c r="AB128" s="4537"/>
      <c r="AC128" s="4537"/>
      <c r="AD128" s="4537"/>
      <c r="AE128" s="4537"/>
      <c r="AF128" s="4537"/>
      <c r="AG128" s="4537"/>
      <c r="AH128" s="4537"/>
      <c r="AI128" s="4537"/>
      <c r="AJ128" s="4537"/>
      <c r="AK128" s="4537"/>
      <c r="AL128" s="4537"/>
      <c r="AM128" s="4537"/>
      <c r="AN128" s="4537"/>
      <c r="AO128" s="4537"/>
      <c r="AP128" s="4537"/>
      <c r="AQ128" s="4537"/>
      <c r="AR128" s="4537"/>
      <c r="AS128" s="4550"/>
      <c r="AT128" s="4550"/>
      <c r="AU128" s="4550"/>
      <c r="AV128" s="4550"/>
      <c r="AW128" s="4550"/>
      <c r="AX128" s="4550"/>
      <c r="AY128" s="4550"/>
      <c r="AZ128" s="4550"/>
      <c r="BA128" s="4550"/>
      <c r="BB128" s="4550"/>
      <c r="BC128" s="4550"/>
      <c r="BD128" s="4550"/>
      <c r="BE128" s="4550"/>
      <c r="BF128" s="4550"/>
      <c r="BG128" s="4550"/>
      <c r="BH128" s="4550"/>
      <c r="BI128" s="4550"/>
      <c r="BJ128" s="4550"/>
      <c r="BK128" s="4550"/>
      <c r="BL128" s="4550"/>
      <c r="BM128" s="4550"/>
      <c r="BN128" s="4550"/>
      <c r="BO128" s="4550"/>
      <c r="BP128" s="4550"/>
      <c r="BQ128" s="4550"/>
      <c r="BR128" s="4550"/>
      <c r="BS128" s="4550"/>
      <c r="BT128" s="4550"/>
      <c r="BU128" s="4550"/>
      <c r="BV128" s="4550"/>
      <c r="BW128" s="4550"/>
      <c r="BX128" s="4550"/>
      <c r="BY128" s="4550"/>
      <c r="BZ128" s="4550"/>
      <c r="CA128" s="4550"/>
      <c r="CB128" s="4550"/>
      <c r="CC128" s="4550"/>
      <c r="CD128" s="4550"/>
      <c r="CE128" s="4550"/>
      <c r="CF128" s="4550"/>
      <c r="CG128" s="4550"/>
      <c r="CH128" s="4550"/>
      <c r="CI128" s="4550"/>
      <c r="CJ128" s="4550"/>
      <c r="CK128" s="4550"/>
      <c r="CL128" s="4550"/>
      <c r="CM128" s="4550"/>
      <c r="CN128" s="4550"/>
      <c r="CO128" s="4550"/>
      <c r="CP128" s="4550"/>
      <c r="CQ128" s="4550"/>
      <c r="CR128" s="4550"/>
      <c r="CS128" s="4550"/>
      <c r="CT128" s="4550"/>
      <c r="CU128" s="4550"/>
      <c r="CV128" s="4550"/>
      <c r="CW128" s="4550"/>
      <c r="CX128" s="4550"/>
      <c r="CY128" s="4550"/>
      <c r="CZ128" s="4550"/>
      <c r="DA128" s="4550"/>
      <c r="DB128" s="4550"/>
      <c r="DC128" s="4550"/>
      <c r="DD128" s="4550"/>
      <c r="DE128" s="4550"/>
      <c r="DF128" s="4550"/>
      <c r="DG128" s="4550"/>
      <c r="DH128" s="4550"/>
      <c r="DI128" s="4550"/>
      <c r="DJ128" s="4550"/>
      <c r="DK128" s="4550"/>
      <c r="DL128" s="4550"/>
      <c r="DM128" s="4550"/>
      <c r="DN128" s="4550"/>
      <c r="DO128" s="4550"/>
      <c r="DP128" s="4550"/>
      <c r="DQ128" s="4550"/>
      <c r="DR128" s="4550"/>
      <c r="DS128" s="4550"/>
      <c r="DT128" s="4550"/>
      <c r="DU128" s="4550"/>
      <c r="DV128" s="4550"/>
      <c r="DW128" s="4550"/>
      <c r="DX128" s="4550"/>
      <c r="DY128" s="4550"/>
      <c r="DZ128" s="4550"/>
      <c r="EA128" s="4550"/>
      <c r="EB128" s="4550"/>
      <c r="EC128" s="4550"/>
      <c r="ED128" s="4550"/>
      <c r="EE128" s="4550"/>
      <c r="EF128" s="4550"/>
      <c r="EG128" s="4550"/>
      <c r="EH128" s="4550"/>
      <c r="EI128" s="4550"/>
      <c r="EJ128" s="4550"/>
      <c r="EK128" s="4550"/>
      <c r="EL128" s="4550"/>
      <c r="EM128" s="4550"/>
      <c r="EN128" s="4550"/>
      <c r="EO128" s="4550"/>
      <c r="EP128" s="4550"/>
      <c r="EQ128" s="4550"/>
      <c r="ER128" s="4550"/>
      <c r="ES128" s="4550"/>
      <c r="ET128" s="4550"/>
      <c r="EU128" s="4550"/>
      <c r="EV128" s="4550"/>
      <c r="EW128" s="4550"/>
      <c r="EX128" s="4550"/>
      <c r="EY128" s="4550"/>
      <c r="EZ128" s="4550"/>
      <c r="FA128" s="4550"/>
      <c r="FB128" s="4550"/>
      <c r="FC128" s="4550"/>
      <c r="FD128" s="4550"/>
      <c r="FE128" s="4550"/>
      <c r="FF128" s="4550"/>
      <c r="FG128" s="4550"/>
      <c r="FH128" s="4550"/>
      <c r="FI128" s="4550"/>
      <c r="FJ128" s="4550"/>
      <c r="FK128" s="4550"/>
      <c r="FL128" s="4550"/>
      <c r="FM128" s="4550"/>
      <c r="FN128" s="4550"/>
      <c r="FO128" s="4550"/>
      <c r="FP128" s="4550"/>
      <c r="FQ128" s="4550"/>
      <c r="FR128" s="4550"/>
      <c r="FS128" s="4550"/>
      <c r="FT128" s="4550"/>
      <c r="FU128" s="4550"/>
      <c r="FV128" s="4550"/>
      <c r="FW128" s="4550"/>
      <c r="FX128" s="4550"/>
      <c r="FY128" s="4550"/>
      <c r="FZ128" s="4550"/>
      <c r="GA128" s="4550"/>
      <c r="GB128" s="4550"/>
      <c r="GC128" s="4550"/>
      <c r="GD128" s="4550"/>
      <c r="GE128" s="4550"/>
      <c r="GF128" s="4550"/>
      <c r="GG128" s="4550"/>
      <c r="GH128" s="4550"/>
      <c r="GI128" s="4550"/>
      <c r="GJ128" s="4550"/>
      <c r="GK128" s="4550"/>
      <c r="GL128" s="4550"/>
      <c r="GM128" s="4550"/>
      <c r="GN128" s="4550"/>
      <c r="GO128" s="4550"/>
      <c r="GP128" s="4550"/>
      <c r="GQ128" s="4550"/>
      <c r="GR128" s="4550"/>
      <c r="GS128" s="4550"/>
      <c r="GT128" s="4550"/>
      <c r="GU128" s="4550"/>
      <c r="GV128" s="4550"/>
      <c r="GW128" s="4550"/>
      <c r="GX128" s="4550"/>
      <c r="GY128" s="4550"/>
      <c r="GZ128" s="4550"/>
      <c r="HA128" s="4550"/>
      <c r="HB128" s="4550"/>
      <c r="HC128" s="4550"/>
      <c r="HD128" s="4550"/>
      <c r="HE128" s="4550"/>
      <c r="HF128" s="4550"/>
      <c r="HG128" s="4550"/>
      <c r="HH128" s="4550"/>
      <c r="HI128" s="4550"/>
      <c r="HJ128" s="4550"/>
      <c r="HK128" s="4550"/>
      <c r="HL128" s="4550"/>
      <c r="HM128" s="4550"/>
      <c r="HN128" s="4550"/>
      <c r="HO128" s="4550"/>
      <c r="HP128" s="4550"/>
      <c r="HQ128" s="4550"/>
      <c r="HR128" s="4550"/>
      <c r="HS128" s="4550"/>
      <c r="HT128" s="4550"/>
      <c r="HU128" s="4550"/>
      <c r="HV128" s="4550"/>
      <c r="HW128" s="4550"/>
      <c r="HX128" s="4550"/>
      <c r="HY128" s="4550"/>
      <c r="HZ128" s="4550"/>
      <c r="IA128" s="4550"/>
      <c r="IB128" s="4550"/>
      <c r="IC128" s="4550"/>
      <c r="ID128" s="4550"/>
      <c r="IE128" s="4550"/>
    </row>
    <row r="129" spans="1:239" s="4549" customFormat="1" ht="13.5" customHeight="1">
      <c r="A129" s="4167">
        <v>3.6</v>
      </c>
      <c r="B129" s="4728" t="s">
        <v>4115</v>
      </c>
      <c r="C129" s="4727">
        <v>2</v>
      </c>
      <c r="D129" s="4600" t="s">
        <v>2433</v>
      </c>
      <c r="E129" s="4318"/>
      <c r="F129" s="4965">
        <f t="shared" si="3"/>
        <v>0</v>
      </c>
      <c r="G129" s="4537"/>
      <c r="H129" s="4537"/>
      <c r="I129" s="4537"/>
      <c r="J129" s="4537"/>
      <c r="K129" s="4537"/>
      <c r="L129" s="4537"/>
      <c r="M129" s="4537"/>
      <c r="N129" s="4537"/>
      <c r="O129" s="4537"/>
      <c r="P129" s="4537"/>
      <c r="Q129" s="4537"/>
      <c r="R129" s="4537"/>
      <c r="S129" s="4537"/>
      <c r="T129" s="4537"/>
      <c r="U129" s="4537"/>
      <c r="V129" s="4537"/>
      <c r="W129" s="4537"/>
      <c r="X129" s="4537"/>
      <c r="Y129" s="4537"/>
      <c r="Z129" s="4537"/>
      <c r="AA129" s="4537"/>
      <c r="AB129" s="4537"/>
      <c r="AC129" s="4537"/>
      <c r="AD129" s="4537"/>
      <c r="AE129" s="4537"/>
      <c r="AF129" s="4537"/>
      <c r="AG129" s="4537"/>
      <c r="AH129" s="4537"/>
      <c r="AI129" s="4537"/>
      <c r="AJ129" s="4537"/>
      <c r="AK129" s="4537"/>
      <c r="AL129" s="4537"/>
      <c r="AM129" s="4537"/>
      <c r="AN129" s="4537"/>
      <c r="AO129" s="4537"/>
      <c r="AP129" s="4537"/>
      <c r="AQ129" s="4537"/>
      <c r="AR129" s="4537"/>
      <c r="AS129" s="4550"/>
      <c r="AT129" s="4550"/>
      <c r="AU129" s="4550"/>
      <c r="AV129" s="4550"/>
      <c r="AW129" s="4550"/>
      <c r="AX129" s="4550"/>
      <c r="AY129" s="4550"/>
      <c r="AZ129" s="4550"/>
      <c r="BA129" s="4550"/>
      <c r="BB129" s="4550"/>
      <c r="BC129" s="4550"/>
      <c r="BD129" s="4550"/>
      <c r="BE129" s="4550"/>
      <c r="BF129" s="4550"/>
      <c r="BG129" s="4550"/>
      <c r="BH129" s="4550"/>
      <c r="BI129" s="4550"/>
      <c r="BJ129" s="4550"/>
      <c r="BK129" s="4550"/>
      <c r="BL129" s="4550"/>
      <c r="BM129" s="4550"/>
      <c r="BN129" s="4550"/>
      <c r="BO129" s="4550"/>
      <c r="BP129" s="4550"/>
      <c r="BQ129" s="4550"/>
      <c r="BR129" s="4550"/>
      <c r="BS129" s="4550"/>
      <c r="BT129" s="4550"/>
      <c r="BU129" s="4550"/>
      <c r="BV129" s="4550"/>
      <c r="BW129" s="4550"/>
      <c r="BX129" s="4550"/>
      <c r="BY129" s="4550"/>
      <c r="BZ129" s="4550"/>
      <c r="CA129" s="4550"/>
      <c r="CB129" s="4550"/>
      <c r="CC129" s="4550"/>
      <c r="CD129" s="4550"/>
      <c r="CE129" s="4550"/>
      <c r="CF129" s="4550"/>
      <c r="CG129" s="4550"/>
      <c r="CH129" s="4550"/>
      <c r="CI129" s="4550"/>
      <c r="CJ129" s="4550"/>
      <c r="CK129" s="4550"/>
      <c r="CL129" s="4550"/>
      <c r="CM129" s="4550"/>
      <c r="CN129" s="4550"/>
      <c r="CO129" s="4550"/>
      <c r="CP129" s="4550"/>
      <c r="CQ129" s="4550"/>
      <c r="CR129" s="4550"/>
      <c r="CS129" s="4550"/>
      <c r="CT129" s="4550"/>
      <c r="CU129" s="4550"/>
      <c r="CV129" s="4550"/>
      <c r="CW129" s="4550"/>
      <c r="CX129" s="4550"/>
      <c r="CY129" s="4550"/>
      <c r="CZ129" s="4550"/>
      <c r="DA129" s="4550"/>
      <c r="DB129" s="4550"/>
      <c r="DC129" s="4550"/>
      <c r="DD129" s="4550"/>
      <c r="DE129" s="4550"/>
      <c r="DF129" s="4550"/>
      <c r="DG129" s="4550"/>
      <c r="DH129" s="4550"/>
      <c r="DI129" s="4550"/>
      <c r="DJ129" s="4550"/>
      <c r="DK129" s="4550"/>
      <c r="DL129" s="4550"/>
      <c r="DM129" s="4550"/>
      <c r="DN129" s="4550"/>
      <c r="DO129" s="4550"/>
      <c r="DP129" s="4550"/>
      <c r="DQ129" s="4550"/>
      <c r="DR129" s="4550"/>
      <c r="DS129" s="4550"/>
      <c r="DT129" s="4550"/>
      <c r="DU129" s="4550"/>
      <c r="DV129" s="4550"/>
      <c r="DW129" s="4550"/>
      <c r="DX129" s="4550"/>
      <c r="DY129" s="4550"/>
      <c r="DZ129" s="4550"/>
      <c r="EA129" s="4550"/>
      <c r="EB129" s="4550"/>
      <c r="EC129" s="4550"/>
      <c r="ED129" s="4550"/>
      <c r="EE129" s="4550"/>
      <c r="EF129" s="4550"/>
      <c r="EG129" s="4550"/>
      <c r="EH129" s="4550"/>
      <c r="EI129" s="4550"/>
      <c r="EJ129" s="4550"/>
      <c r="EK129" s="4550"/>
      <c r="EL129" s="4550"/>
      <c r="EM129" s="4550"/>
      <c r="EN129" s="4550"/>
      <c r="EO129" s="4550"/>
      <c r="EP129" s="4550"/>
      <c r="EQ129" s="4550"/>
      <c r="ER129" s="4550"/>
      <c r="ES129" s="4550"/>
      <c r="ET129" s="4550"/>
      <c r="EU129" s="4550"/>
      <c r="EV129" s="4550"/>
      <c r="EW129" s="4550"/>
      <c r="EX129" s="4550"/>
      <c r="EY129" s="4550"/>
      <c r="EZ129" s="4550"/>
      <c r="FA129" s="4550"/>
      <c r="FB129" s="4550"/>
      <c r="FC129" s="4550"/>
      <c r="FD129" s="4550"/>
      <c r="FE129" s="4550"/>
      <c r="FF129" s="4550"/>
      <c r="FG129" s="4550"/>
      <c r="FH129" s="4550"/>
      <c r="FI129" s="4550"/>
      <c r="FJ129" s="4550"/>
      <c r="FK129" s="4550"/>
      <c r="FL129" s="4550"/>
      <c r="FM129" s="4550"/>
      <c r="FN129" s="4550"/>
      <c r="FO129" s="4550"/>
      <c r="FP129" s="4550"/>
      <c r="FQ129" s="4550"/>
      <c r="FR129" s="4550"/>
      <c r="FS129" s="4550"/>
      <c r="FT129" s="4550"/>
      <c r="FU129" s="4550"/>
      <c r="FV129" s="4550"/>
      <c r="FW129" s="4550"/>
      <c r="FX129" s="4550"/>
      <c r="FY129" s="4550"/>
      <c r="FZ129" s="4550"/>
      <c r="GA129" s="4550"/>
      <c r="GB129" s="4550"/>
      <c r="GC129" s="4550"/>
      <c r="GD129" s="4550"/>
      <c r="GE129" s="4550"/>
      <c r="GF129" s="4550"/>
      <c r="GG129" s="4550"/>
      <c r="GH129" s="4550"/>
      <c r="GI129" s="4550"/>
      <c r="GJ129" s="4550"/>
      <c r="GK129" s="4550"/>
      <c r="GL129" s="4550"/>
      <c r="GM129" s="4550"/>
      <c r="GN129" s="4550"/>
      <c r="GO129" s="4550"/>
      <c r="GP129" s="4550"/>
      <c r="GQ129" s="4550"/>
      <c r="GR129" s="4550"/>
      <c r="GS129" s="4550"/>
      <c r="GT129" s="4550"/>
      <c r="GU129" s="4550"/>
      <c r="GV129" s="4550"/>
      <c r="GW129" s="4550"/>
      <c r="GX129" s="4550"/>
      <c r="GY129" s="4550"/>
      <c r="GZ129" s="4550"/>
      <c r="HA129" s="4550"/>
      <c r="HB129" s="4550"/>
      <c r="HC129" s="4550"/>
      <c r="HD129" s="4550"/>
      <c r="HE129" s="4550"/>
      <c r="HF129" s="4550"/>
      <c r="HG129" s="4550"/>
      <c r="HH129" s="4550"/>
      <c r="HI129" s="4550"/>
      <c r="HJ129" s="4550"/>
      <c r="HK129" s="4550"/>
      <c r="HL129" s="4550"/>
      <c r="HM129" s="4550"/>
      <c r="HN129" s="4550"/>
      <c r="HO129" s="4550"/>
      <c r="HP129" s="4550"/>
      <c r="HQ129" s="4550"/>
      <c r="HR129" s="4550"/>
      <c r="HS129" s="4550"/>
      <c r="HT129" s="4550"/>
      <c r="HU129" s="4550"/>
      <c r="HV129" s="4550"/>
      <c r="HW129" s="4550"/>
      <c r="HX129" s="4550"/>
      <c r="HY129" s="4550"/>
      <c r="HZ129" s="4550"/>
      <c r="IA129" s="4550"/>
      <c r="IB129" s="4550"/>
      <c r="IC129" s="4550"/>
      <c r="ID129" s="4550"/>
      <c r="IE129" s="4550"/>
    </row>
    <row r="130" spans="1:239" s="4549" customFormat="1" ht="28.5" customHeight="1">
      <c r="A130" s="4167">
        <v>3.7</v>
      </c>
      <c r="B130" s="4728" t="s">
        <v>4116</v>
      </c>
      <c r="C130" s="4727">
        <v>2</v>
      </c>
      <c r="D130" s="4600" t="s">
        <v>2433</v>
      </c>
      <c r="E130" s="4981"/>
      <c r="F130" s="4965">
        <f t="shared" si="3"/>
        <v>0</v>
      </c>
      <c r="G130" s="4537"/>
      <c r="H130" s="4537"/>
      <c r="I130" s="4537"/>
      <c r="J130" s="4537"/>
      <c r="K130" s="4537"/>
      <c r="L130" s="4537"/>
      <c r="M130" s="4537"/>
      <c r="N130" s="4537"/>
      <c r="O130" s="4537"/>
      <c r="P130" s="4537"/>
      <c r="Q130" s="4537"/>
      <c r="R130" s="4537"/>
      <c r="S130" s="4537"/>
      <c r="T130" s="4537"/>
      <c r="U130" s="4537"/>
      <c r="V130" s="4537"/>
      <c r="W130" s="4537"/>
      <c r="X130" s="4537"/>
      <c r="Y130" s="4537"/>
      <c r="Z130" s="4537"/>
      <c r="AA130" s="4537"/>
      <c r="AB130" s="4537"/>
      <c r="AC130" s="4537"/>
      <c r="AD130" s="4537"/>
      <c r="AE130" s="4537"/>
      <c r="AF130" s="4537"/>
      <c r="AG130" s="4537"/>
      <c r="AH130" s="4537"/>
      <c r="AI130" s="4537"/>
      <c r="AJ130" s="4537"/>
      <c r="AK130" s="4537"/>
      <c r="AL130" s="4537"/>
      <c r="AM130" s="4537"/>
      <c r="AN130" s="4537"/>
      <c r="AO130" s="4537"/>
      <c r="AP130" s="4537"/>
      <c r="AQ130" s="4537"/>
      <c r="AR130" s="4537"/>
      <c r="AS130" s="4550"/>
      <c r="AT130" s="4550"/>
      <c r="AU130" s="4550"/>
      <c r="AV130" s="4550"/>
      <c r="AW130" s="4550"/>
      <c r="AX130" s="4550"/>
      <c r="AY130" s="4550"/>
      <c r="AZ130" s="4550"/>
      <c r="BA130" s="4550"/>
      <c r="BB130" s="4550"/>
      <c r="BC130" s="4550"/>
      <c r="BD130" s="4550"/>
      <c r="BE130" s="4550"/>
      <c r="BF130" s="4550"/>
      <c r="BG130" s="4550"/>
      <c r="BH130" s="4550"/>
      <c r="BI130" s="4550"/>
      <c r="BJ130" s="4550"/>
      <c r="BK130" s="4550"/>
      <c r="BL130" s="4550"/>
      <c r="BM130" s="4550"/>
      <c r="BN130" s="4550"/>
      <c r="BO130" s="4550"/>
      <c r="BP130" s="4550"/>
      <c r="BQ130" s="4550"/>
      <c r="BR130" s="4550"/>
      <c r="BS130" s="4550"/>
      <c r="BT130" s="4550"/>
      <c r="BU130" s="4550"/>
      <c r="BV130" s="4550"/>
      <c r="BW130" s="4550"/>
      <c r="BX130" s="4550"/>
      <c r="BY130" s="4550"/>
      <c r="BZ130" s="4550"/>
      <c r="CA130" s="4550"/>
      <c r="CB130" s="4550"/>
      <c r="CC130" s="4550"/>
      <c r="CD130" s="4550"/>
      <c r="CE130" s="4550"/>
      <c r="CF130" s="4550"/>
      <c r="CG130" s="4550"/>
      <c r="CH130" s="4550"/>
      <c r="CI130" s="4550"/>
      <c r="CJ130" s="4550"/>
      <c r="CK130" s="4550"/>
      <c r="CL130" s="4550"/>
      <c r="CM130" s="4550"/>
      <c r="CN130" s="4550"/>
      <c r="CO130" s="4550"/>
      <c r="CP130" s="4550"/>
      <c r="CQ130" s="4550"/>
      <c r="CR130" s="4550"/>
      <c r="CS130" s="4550"/>
      <c r="CT130" s="4550"/>
      <c r="CU130" s="4550"/>
      <c r="CV130" s="4550"/>
      <c r="CW130" s="4550"/>
      <c r="CX130" s="4550"/>
      <c r="CY130" s="4550"/>
      <c r="CZ130" s="4550"/>
      <c r="DA130" s="4550"/>
      <c r="DB130" s="4550"/>
      <c r="DC130" s="4550"/>
      <c r="DD130" s="4550"/>
      <c r="DE130" s="4550"/>
      <c r="DF130" s="4550"/>
      <c r="DG130" s="4550"/>
      <c r="DH130" s="4550"/>
      <c r="DI130" s="4550"/>
      <c r="DJ130" s="4550"/>
      <c r="DK130" s="4550"/>
      <c r="DL130" s="4550"/>
      <c r="DM130" s="4550"/>
      <c r="DN130" s="4550"/>
      <c r="DO130" s="4550"/>
      <c r="DP130" s="4550"/>
      <c r="DQ130" s="4550"/>
      <c r="DR130" s="4550"/>
      <c r="DS130" s="4550"/>
      <c r="DT130" s="4550"/>
      <c r="DU130" s="4550"/>
      <c r="DV130" s="4550"/>
      <c r="DW130" s="4550"/>
      <c r="DX130" s="4550"/>
      <c r="DY130" s="4550"/>
      <c r="DZ130" s="4550"/>
      <c r="EA130" s="4550"/>
      <c r="EB130" s="4550"/>
      <c r="EC130" s="4550"/>
      <c r="ED130" s="4550"/>
      <c r="EE130" s="4550"/>
      <c r="EF130" s="4550"/>
      <c r="EG130" s="4550"/>
      <c r="EH130" s="4550"/>
      <c r="EI130" s="4550"/>
      <c r="EJ130" s="4550"/>
      <c r="EK130" s="4550"/>
      <c r="EL130" s="4550"/>
      <c r="EM130" s="4550"/>
      <c r="EN130" s="4550"/>
      <c r="EO130" s="4550"/>
      <c r="EP130" s="4550"/>
      <c r="EQ130" s="4550"/>
      <c r="ER130" s="4550"/>
      <c r="ES130" s="4550"/>
      <c r="ET130" s="4550"/>
      <c r="EU130" s="4550"/>
      <c r="EV130" s="4550"/>
      <c r="EW130" s="4550"/>
      <c r="EX130" s="4550"/>
      <c r="EY130" s="4550"/>
      <c r="EZ130" s="4550"/>
      <c r="FA130" s="4550"/>
      <c r="FB130" s="4550"/>
      <c r="FC130" s="4550"/>
      <c r="FD130" s="4550"/>
      <c r="FE130" s="4550"/>
      <c r="FF130" s="4550"/>
      <c r="FG130" s="4550"/>
      <c r="FH130" s="4550"/>
      <c r="FI130" s="4550"/>
      <c r="FJ130" s="4550"/>
      <c r="FK130" s="4550"/>
      <c r="FL130" s="4550"/>
      <c r="FM130" s="4550"/>
      <c r="FN130" s="4550"/>
      <c r="FO130" s="4550"/>
      <c r="FP130" s="4550"/>
      <c r="FQ130" s="4550"/>
      <c r="FR130" s="4550"/>
      <c r="FS130" s="4550"/>
      <c r="FT130" s="4550"/>
      <c r="FU130" s="4550"/>
      <c r="FV130" s="4550"/>
      <c r="FW130" s="4550"/>
      <c r="FX130" s="4550"/>
      <c r="FY130" s="4550"/>
      <c r="FZ130" s="4550"/>
      <c r="GA130" s="4550"/>
      <c r="GB130" s="4550"/>
      <c r="GC130" s="4550"/>
      <c r="GD130" s="4550"/>
      <c r="GE130" s="4550"/>
      <c r="GF130" s="4550"/>
      <c r="GG130" s="4550"/>
      <c r="GH130" s="4550"/>
      <c r="GI130" s="4550"/>
      <c r="GJ130" s="4550"/>
      <c r="GK130" s="4550"/>
      <c r="GL130" s="4550"/>
      <c r="GM130" s="4550"/>
      <c r="GN130" s="4550"/>
      <c r="GO130" s="4550"/>
      <c r="GP130" s="4550"/>
      <c r="GQ130" s="4550"/>
      <c r="GR130" s="4550"/>
      <c r="GS130" s="4550"/>
      <c r="GT130" s="4550"/>
      <c r="GU130" s="4550"/>
      <c r="GV130" s="4550"/>
      <c r="GW130" s="4550"/>
      <c r="GX130" s="4550"/>
      <c r="GY130" s="4550"/>
      <c r="GZ130" s="4550"/>
      <c r="HA130" s="4550"/>
      <c r="HB130" s="4550"/>
      <c r="HC130" s="4550"/>
      <c r="HD130" s="4550"/>
      <c r="HE130" s="4550"/>
      <c r="HF130" s="4550"/>
      <c r="HG130" s="4550"/>
      <c r="HH130" s="4550"/>
      <c r="HI130" s="4550"/>
      <c r="HJ130" s="4550"/>
      <c r="HK130" s="4550"/>
      <c r="HL130" s="4550"/>
      <c r="HM130" s="4550"/>
      <c r="HN130" s="4550"/>
      <c r="HO130" s="4550"/>
      <c r="HP130" s="4550"/>
      <c r="HQ130" s="4550"/>
      <c r="HR130" s="4550"/>
      <c r="HS130" s="4550"/>
      <c r="HT130" s="4550"/>
      <c r="HU130" s="4550"/>
      <c r="HV130" s="4550"/>
      <c r="HW130" s="4550"/>
      <c r="HX130" s="4550"/>
      <c r="HY130" s="4550"/>
      <c r="HZ130" s="4550"/>
      <c r="IA130" s="4550"/>
      <c r="IB130" s="4550"/>
      <c r="IC130" s="4550"/>
      <c r="ID130" s="4550"/>
      <c r="IE130" s="4550"/>
    </row>
    <row r="131" spans="1:239" s="4549" customFormat="1" ht="28.5">
      <c r="A131" s="4167">
        <v>3.8</v>
      </c>
      <c r="B131" s="4728" t="s">
        <v>4117</v>
      </c>
      <c r="C131" s="4727">
        <v>2</v>
      </c>
      <c r="D131" s="4600" t="s">
        <v>2433</v>
      </c>
      <c r="E131" s="4981"/>
      <c r="F131" s="4965">
        <f t="shared" si="3"/>
        <v>0</v>
      </c>
      <c r="G131" s="4537"/>
      <c r="H131" s="4537"/>
      <c r="I131" s="4537"/>
      <c r="J131" s="4537"/>
      <c r="K131" s="4537"/>
      <c r="L131" s="4537"/>
      <c r="M131" s="4537"/>
      <c r="N131" s="4537"/>
      <c r="O131" s="4537"/>
      <c r="P131" s="4537"/>
      <c r="Q131" s="4537"/>
      <c r="R131" s="4537"/>
      <c r="S131" s="4537"/>
      <c r="T131" s="4537"/>
      <c r="U131" s="4537"/>
      <c r="V131" s="4537"/>
      <c r="W131" s="4537"/>
      <c r="X131" s="4537"/>
      <c r="Y131" s="4537"/>
      <c r="Z131" s="4537"/>
      <c r="AA131" s="4537"/>
      <c r="AB131" s="4537"/>
      <c r="AC131" s="4537"/>
      <c r="AD131" s="4537"/>
      <c r="AE131" s="4537"/>
      <c r="AF131" s="4537"/>
      <c r="AG131" s="4537"/>
      <c r="AH131" s="4537"/>
      <c r="AI131" s="4537"/>
      <c r="AJ131" s="4537"/>
      <c r="AK131" s="4537"/>
      <c r="AL131" s="4537"/>
      <c r="AM131" s="4537"/>
      <c r="AN131" s="4537"/>
      <c r="AO131" s="4537"/>
      <c r="AP131" s="4537"/>
      <c r="AQ131" s="4537"/>
      <c r="AR131" s="4537"/>
      <c r="AS131" s="4550"/>
      <c r="AT131" s="4550"/>
      <c r="AU131" s="4550"/>
      <c r="AV131" s="4550"/>
      <c r="AW131" s="4550"/>
      <c r="AX131" s="4550"/>
      <c r="AY131" s="4550"/>
      <c r="AZ131" s="4550"/>
      <c r="BA131" s="4550"/>
      <c r="BB131" s="4550"/>
      <c r="BC131" s="4550"/>
      <c r="BD131" s="4550"/>
      <c r="BE131" s="4550"/>
      <c r="BF131" s="4550"/>
      <c r="BG131" s="4550"/>
      <c r="BH131" s="4550"/>
      <c r="BI131" s="4550"/>
      <c r="BJ131" s="4550"/>
      <c r="BK131" s="4550"/>
      <c r="BL131" s="4550"/>
      <c r="BM131" s="4550"/>
      <c r="BN131" s="4550"/>
      <c r="BO131" s="4550"/>
      <c r="BP131" s="4550"/>
      <c r="BQ131" s="4550"/>
      <c r="BR131" s="4550"/>
      <c r="BS131" s="4550"/>
      <c r="BT131" s="4550"/>
      <c r="BU131" s="4550"/>
      <c r="BV131" s="4550"/>
      <c r="BW131" s="4550"/>
      <c r="BX131" s="4550"/>
      <c r="BY131" s="4550"/>
      <c r="BZ131" s="4550"/>
      <c r="CA131" s="4550"/>
      <c r="CB131" s="4550"/>
      <c r="CC131" s="4550"/>
      <c r="CD131" s="4550"/>
      <c r="CE131" s="4550"/>
      <c r="CF131" s="4550"/>
      <c r="CG131" s="4550"/>
      <c r="CH131" s="4550"/>
      <c r="CI131" s="4550"/>
      <c r="CJ131" s="4550"/>
      <c r="CK131" s="4550"/>
      <c r="CL131" s="4550"/>
      <c r="CM131" s="4550"/>
      <c r="CN131" s="4550"/>
      <c r="CO131" s="4550"/>
      <c r="CP131" s="4550"/>
      <c r="CQ131" s="4550"/>
      <c r="CR131" s="4550"/>
      <c r="CS131" s="4550"/>
      <c r="CT131" s="4550"/>
      <c r="CU131" s="4550"/>
      <c r="CV131" s="4550"/>
      <c r="CW131" s="4550"/>
      <c r="CX131" s="4550"/>
      <c r="CY131" s="4550"/>
      <c r="CZ131" s="4550"/>
      <c r="DA131" s="4550"/>
      <c r="DB131" s="4550"/>
      <c r="DC131" s="4550"/>
      <c r="DD131" s="4550"/>
      <c r="DE131" s="4550"/>
      <c r="DF131" s="4550"/>
      <c r="DG131" s="4550"/>
      <c r="DH131" s="4550"/>
      <c r="DI131" s="4550"/>
      <c r="DJ131" s="4550"/>
      <c r="DK131" s="4550"/>
      <c r="DL131" s="4550"/>
      <c r="DM131" s="4550"/>
      <c r="DN131" s="4550"/>
      <c r="DO131" s="4550"/>
      <c r="DP131" s="4550"/>
      <c r="DQ131" s="4550"/>
      <c r="DR131" s="4550"/>
      <c r="DS131" s="4550"/>
      <c r="DT131" s="4550"/>
      <c r="DU131" s="4550"/>
      <c r="DV131" s="4550"/>
      <c r="DW131" s="4550"/>
      <c r="DX131" s="4550"/>
      <c r="DY131" s="4550"/>
      <c r="DZ131" s="4550"/>
      <c r="EA131" s="4550"/>
      <c r="EB131" s="4550"/>
      <c r="EC131" s="4550"/>
      <c r="ED131" s="4550"/>
      <c r="EE131" s="4550"/>
      <c r="EF131" s="4550"/>
      <c r="EG131" s="4550"/>
      <c r="EH131" s="4550"/>
      <c r="EI131" s="4550"/>
      <c r="EJ131" s="4550"/>
      <c r="EK131" s="4550"/>
      <c r="EL131" s="4550"/>
      <c r="EM131" s="4550"/>
      <c r="EN131" s="4550"/>
      <c r="EO131" s="4550"/>
      <c r="EP131" s="4550"/>
      <c r="EQ131" s="4550"/>
      <c r="ER131" s="4550"/>
      <c r="ES131" s="4550"/>
      <c r="ET131" s="4550"/>
      <c r="EU131" s="4550"/>
      <c r="EV131" s="4550"/>
      <c r="EW131" s="4550"/>
      <c r="EX131" s="4550"/>
      <c r="EY131" s="4550"/>
      <c r="EZ131" s="4550"/>
      <c r="FA131" s="4550"/>
      <c r="FB131" s="4550"/>
      <c r="FC131" s="4550"/>
      <c r="FD131" s="4550"/>
      <c r="FE131" s="4550"/>
      <c r="FF131" s="4550"/>
      <c r="FG131" s="4550"/>
      <c r="FH131" s="4550"/>
      <c r="FI131" s="4550"/>
      <c r="FJ131" s="4550"/>
      <c r="FK131" s="4550"/>
      <c r="FL131" s="4550"/>
      <c r="FM131" s="4550"/>
      <c r="FN131" s="4550"/>
      <c r="FO131" s="4550"/>
      <c r="FP131" s="4550"/>
      <c r="FQ131" s="4550"/>
      <c r="FR131" s="4550"/>
      <c r="FS131" s="4550"/>
      <c r="FT131" s="4550"/>
      <c r="FU131" s="4550"/>
      <c r="FV131" s="4550"/>
      <c r="FW131" s="4550"/>
      <c r="FX131" s="4550"/>
      <c r="FY131" s="4550"/>
      <c r="FZ131" s="4550"/>
      <c r="GA131" s="4550"/>
      <c r="GB131" s="4550"/>
      <c r="GC131" s="4550"/>
      <c r="GD131" s="4550"/>
      <c r="GE131" s="4550"/>
      <c r="GF131" s="4550"/>
      <c r="GG131" s="4550"/>
      <c r="GH131" s="4550"/>
      <c r="GI131" s="4550"/>
      <c r="GJ131" s="4550"/>
      <c r="GK131" s="4550"/>
      <c r="GL131" s="4550"/>
      <c r="GM131" s="4550"/>
      <c r="GN131" s="4550"/>
      <c r="GO131" s="4550"/>
      <c r="GP131" s="4550"/>
      <c r="GQ131" s="4550"/>
      <c r="GR131" s="4550"/>
      <c r="GS131" s="4550"/>
      <c r="GT131" s="4550"/>
      <c r="GU131" s="4550"/>
      <c r="GV131" s="4550"/>
      <c r="GW131" s="4550"/>
      <c r="GX131" s="4550"/>
      <c r="GY131" s="4550"/>
      <c r="GZ131" s="4550"/>
      <c r="HA131" s="4550"/>
      <c r="HB131" s="4550"/>
      <c r="HC131" s="4550"/>
      <c r="HD131" s="4550"/>
      <c r="HE131" s="4550"/>
      <c r="HF131" s="4550"/>
      <c r="HG131" s="4550"/>
      <c r="HH131" s="4550"/>
      <c r="HI131" s="4550"/>
      <c r="HJ131" s="4550"/>
      <c r="HK131" s="4550"/>
      <c r="HL131" s="4550"/>
      <c r="HM131" s="4550"/>
      <c r="HN131" s="4550"/>
      <c r="HO131" s="4550"/>
      <c r="HP131" s="4550"/>
      <c r="HQ131" s="4550"/>
      <c r="HR131" s="4550"/>
      <c r="HS131" s="4550"/>
      <c r="HT131" s="4550"/>
      <c r="HU131" s="4550"/>
      <c r="HV131" s="4550"/>
      <c r="HW131" s="4550"/>
      <c r="HX131" s="4550"/>
      <c r="HY131" s="4550"/>
      <c r="HZ131" s="4550"/>
      <c r="IA131" s="4550"/>
      <c r="IB131" s="4550"/>
      <c r="IC131" s="4550"/>
      <c r="ID131" s="4550"/>
      <c r="IE131" s="4550"/>
    </row>
    <row r="132" spans="1:239" s="4549" customFormat="1" ht="13.5" customHeight="1">
      <c r="A132" s="4167">
        <v>3.9</v>
      </c>
      <c r="B132" s="4728" t="s">
        <v>4118</v>
      </c>
      <c r="C132" s="4727">
        <v>2</v>
      </c>
      <c r="D132" s="4600" t="s">
        <v>2433</v>
      </c>
      <c r="E132" s="4981"/>
      <c r="F132" s="4965">
        <f t="shared" si="3"/>
        <v>0</v>
      </c>
      <c r="G132" s="4537"/>
      <c r="H132" s="4537"/>
      <c r="I132" s="4537"/>
      <c r="J132" s="4537"/>
      <c r="K132" s="4537"/>
      <c r="L132" s="4537"/>
      <c r="M132" s="4537"/>
      <c r="N132" s="4537"/>
      <c r="O132" s="4537"/>
      <c r="P132" s="4537"/>
      <c r="Q132" s="4537"/>
      <c r="R132" s="4537"/>
      <c r="S132" s="4537"/>
      <c r="T132" s="4537"/>
      <c r="U132" s="4537"/>
      <c r="V132" s="4537"/>
      <c r="W132" s="4537"/>
      <c r="X132" s="4537"/>
      <c r="Y132" s="4537"/>
      <c r="Z132" s="4537"/>
      <c r="AA132" s="4537"/>
      <c r="AB132" s="4537"/>
      <c r="AC132" s="4537"/>
      <c r="AD132" s="4537"/>
      <c r="AE132" s="4537"/>
      <c r="AF132" s="4537"/>
      <c r="AG132" s="4537"/>
      <c r="AH132" s="4537"/>
      <c r="AI132" s="4537"/>
      <c r="AJ132" s="4537"/>
      <c r="AK132" s="4537"/>
      <c r="AL132" s="4537"/>
      <c r="AM132" s="4537"/>
      <c r="AN132" s="4537"/>
      <c r="AO132" s="4537"/>
      <c r="AP132" s="4537"/>
      <c r="AQ132" s="4537"/>
      <c r="AR132" s="4537"/>
      <c r="AS132" s="4550"/>
      <c r="AT132" s="4550"/>
      <c r="AU132" s="4550"/>
      <c r="AV132" s="4550"/>
      <c r="AW132" s="4550"/>
      <c r="AX132" s="4550"/>
      <c r="AY132" s="4550"/>
      <c r="AZ132" s="4550"/>
      <c r="BA132" s="4550"/>
      <c r="BB132" s="4550"/>
      <c r="BC132" s="4550"/>
      <c r="BD132" s="4550"/>
      <c r="BE132" s="4550"/>
      <c r="BF132" s="4550"/>
      <c r="BG132" s="4550"/>
      <c r="BH132" s="4550"/>
      <c r="BI132" s="4550"/>
      <c r="BJ132" s="4550"/>
      <c r="BK132" s="4550"/>
      <c r="BL132" s="4550"/>
      <c r="BM132" s="4550"/>
      <c r="BN132" s="4550"/>
      <c r="BO132" s="4550"/>
      <c r="BP132" s="4550"/>
      <c r="BQ132" s="4550"/>
      <c r="BR132" s="4550"/>
      <c r="BS132" s="4550"/>
      <c r="BT132" s="4550"/>
      <c r="BU132" s="4550"/>
      <c r="BV132" s="4550"/>
      <c r="BW132" s="4550"/>
      <c r="BX132" s="4550"/>
      <c r="BY132" s="4550"/>
      <c r="BZ132" s="4550"/>
      <c r="CA132" s="4550"/>
      <c r="CB132" s="4550"/>
      <c r="CC132" s="4550"/>
      <c r="CD132" s="4550"/>
      <c r="CE132" s="4550"/>
      <c r="CF132" s="4550"/>
      <c r="CG132" s="4550"/>
      <c r="CH132" s="4550"/>
      <c r="CI132" s="4550"/>
      <c r="CJ132" s="4550"/>
      <c r="CK132" s="4550"/>
      <c r="CL132" s="4550"/>
      <c r="CM132" s="4550"/>
      <c r="CN132" s="4550"/>
      <c r="CO132" s="4550"/>
      <c r="CP132" s="4550"/>
      <c r="CQ132" s="4550"/>
      <c r="CR132" s="4550"/>
      <c r="CS132" s="4550"/>
      <c r="CT132" s="4550"/>
      <c r="CU132" s="4550"/>
      <c r="CV132" s="4550"/>
      <c r="CW132" s="4550"/>
      <c r="CX132" s="4550"/>
      <c r="CY132" s="4550"/>
      <c r="CZ132" s="4550"/>
      <c r="DA132" s="4550"/>
      <c r="DB132" s="4550"/>
      <c r="DC132" s="4550"/>
      <c r="DD132" s="4550"/>
      <c r="DE132" s="4550"/>
      <c r="DF132" s="4550"/>
      <c r="DG132" s="4550"/>
      <c r="DH132" s="4550"/>
      <c r="DI132" s="4550"/>
      <c r="DJ132" s="4550"/>
      <c r="DK132" s="4550"/>
      <c r="DL132" s="4550"/>
      <c r="DM132" s="4550"/>
      <c r="DN132" s="4550"/>
      <c r="DO132" s="4550"/>
      <c r="DP132" s="4550"/>
      <c r="DQ132" s="4550"/>
      <c r="DR132" s="4550"/>
      <c r="DS132" s="4550"/>
      <c r="DT132" s="4550"/>
      <c r="DU132" s="4550"/>
      <c r="DV132" s="4550"/>
      <c r="DW132" s="4550"/>
      <c r="DX132" s="4550"/>
      <c r="DY132" s="4550"/>
      <c r="DZ132" s="4550"/>
      <c r="EA132" s="4550"/>
      <c r="EB132" s="4550"/>
      <c r="EC132" s="4550"/>
      <c r="ED132" s="4550"/>
      <c r="EE132" s="4550"/>
      <c r="EF132" s="4550"/>
      <c r="EG132" s="4550"/>
      <c r="EH132" s="4550"/>
      <c r="EI132" s="4550"/>
      <c r="EJ132" s="4550"/>
      <c r="EK132" s="4550"/>
      <c r="EL132" s="4550"/>
      <c r="EM132" s="4550"/>
      <c r="EN132" s="4550"/>
      <c r="EO132" s="4550"/>
      <c r="EP132" s="4550"/>
      <c r="EQ132" s="4550"/>
      <c r="ER132" s="4550"/>
      <c r="ES132" s="4550"/>
      <c r="ET132" s="4550"/>
      <c r="EU132" s="4550"/>
      <c r="EV132" s="4550"/>
      <c r="EW132" s="4550"/>
      <c r="EX132" s="4550"/>
      <c r="EY132" s="4550"/>
      <c r="EZ132" s="4550"/>
      <c r="FA132" s="4550"/>
      <c r="FB132" s="4550"/>
      <c r="FC132" s="4550"/>
      <c r="FD132" s="4550"/>
      <c r="FE132" s="4550"/>
      <c r="FF132" s="4550"/>
      <c r="FG132" s="4550"/>
      <c r="FH132" s="4550"/>
      <c r="FI132" s="4550"/>
      <c r="FJ132" s="4550"/>
      <c r="FK132" s="4550"/>
      <c r="FL132" s="4550"/>
      <c r="FM132" s="4550"/>
      <c r="FN132" s="4550"/>
      <c r="FO132" s="4550"/>
      <c r="FP132" s="4550"/>
      <c r="FQ132" s="4550"/>
      <c r="FR132" s="4550"/>
      <c r="FS132" s="4550"/>
      <c r="FT132" s="4550"/>
      <c r="FU132" s="4550"/>
      <c r="FV132" s="4550"/>
      <c r="FW132" s="4550"/>
      <c r="FX132" s="4550"/>
      <c r="FY132" s="4550"/>
      <c r="FZ132" s="4550"/>
      <c r="GA132" s="4550"/>
      <c r="GB132" s="4550"/>
      <c r="GC132" s="4550"/>
      <c r="GD132" s="4550"/>
      <c r="GE132" s="4550"/>
      <c r="GF132" s="4550"/>
      <c r="GG132" s="4550"/>
      <c r="GH132" s="4550"/>
      <c r="GI132" s="4550"/>
      <c r="GJ132" s="4550"/>
      <c r="GK132" s="4550"/>
      <c r="GL132" s="4550"/>
      <c r="GM132" s="4550"/>
      <c r="GN132" s="4550"/>
      <c r="GO132" s="4550"/>
      <c r="GP132" s="4550"/>
      <c r="GQ132" s="4550"/>
      <c r="GR132" s="4550"/>
      <c r="GS132" s="4550"/>
      <c r="GT132" s="4550"/>
      <c r="GU132" s="4550"/>
      <c r="GV132" s="4550"/>
      <c r="GW132" s="4550"/>
      <c r="GX132" s="4550"/>
      <c r="GY132" s="4550"/>
      <c r="GZ132" s="4550"/>
      <c r="HA132" s="4550"/>
      <c r="HB132" s="4550"/>
      <c r="HC132" s="4550"/>
      <c r="HD132" s="4550"/>
      <c r="HE132" s="4550"/>
      <c r="HF132" s="4550"/>
      <c r="HG132" s="4550"/>
      <c r="HH132" s="4550"/>
      <c r="HI132" s="4550"/>
      <c r="HJ132" s="4550"/>
      <c r="HK132" s="4550"/>
      <c r="HL132" s="4550"/>
      <c r="HM132" s="4550"/>
      <c r="HN132" s="4550"/>
      <c r="HO132" s="4550"/>
      <c r="HP132" s="4550"/>
      <c r="HQ132" s="4550"/>
      <c r="HR132" s="4550"/>
      <c r="HS132" s="4550"/>
      <c r="HT132" s="4550"/>
      <c r="HU132" s="4550"/>
      <c r="HV132" s="4550"/>
      <c r="HW132" s="4550"/>
      <c r="HX132" s="4550"/>
      <c r="HY132" s="4550"/>
      <c r="HZ132" s="4550"/>
      <c r="IA132" s="4550"/>
      <c r="IB132" s="4550"/>
      <c r="IC132" s="4550"/>
      <c r="ID132" s="4550"/>
      <c r="IE132" s="4550"/>
    </row>
    <row r="133" spans="1:239" s="4549" customFormat="1" ht="13.5" customHeight="1">
      <c r="A133" s="4677">
        <v>3.1</v>
      </c>
      <c r="B133" s="4728" t="s">
        <v>4119</v>
      </c>
      <c r="C133" s="4727">
        <v>2</v>
      </c>
      <c r="D133" s="4600" t="s">
        <v>2433</v>
      </c>
      <c r="E133" s="4965"/>
      <c r="F133" s="4965">
        <f t="shared" si="3"/>
        <v>0</v>
      </c>
      <c r="G133" s="4537"/>
      <c r="H133" s="4537"/>
      <c r="I133" s="4537"/>
      <c r="J133" s="4537"/>
      <c r="K133" s="4537"/>
      <c r="L133" s="4537"/>
      <c r="M133" s="4537"/>
      <c r="N133" s="4537"/>
      <c r="O133" s="4537"/>
      <c r="P133" s="4537"/>
      <c r="Q133" s="4537"/>
      <c r="R133" s="4537"/>
      <c r="S133" s="4537"/>
      <c r="T133" s="4537"/>
      <c r="U133" s="4537"/>
      <c r="V133" s="4537"/>
      <c r="W133" s="4537"/>
      <c r="X133" s="4537"/>
      <c r="Y133" s="4537"/>
      <c r="Z133" s="4537"/>
      <c r="AA133" s="4537"/>
      <c r="AB133" s="4537"/>
      <c r="AC133" s="4537"/>
      <c r="AD133" s="4537"/>
      <c r="AE133" s="4537"/>
      <c r="AF133" s="4537"/>
      <c r="AG133" s="4537"/>
      <c r="AH133" s="4537"/>
      <c r="AI133" s="4537"/>
      <c r="AJ133" s="4537"/>
      <c r="AK133" s="4537"/>
      <c r="AL133" s="4537"/>
      <c r="AM133" s="4537"/>
      <c r="AN133" s="4537"/>
      <c r="AO133" s="4537"/>
      <c r="AP133" s="4537"/>
      <c r="AQ133" s="4537"/>
      <c r="AR133" s="4537"/>
      <c r="AS133" s="4550"/>
      <c r="AT133" s="4550"/>
      <c r="AU133" s="4550"/>
      <c r="AV133" s="4550"/>
      <c r="AW133" s="4550"/>
      <c r="AX133" s="4550"/>
      <c r="AY133" s="4550"/>
      <c r="AZ133" s="4550"/>
      <c r="BA133" s="4550"/>
      <c r="BB133" s="4550"/>
      <c r="BC133" s="4550"/>
      <c r="BD133" s="4550"/>
      <c r="BE133" s="4550"/>
      <c r="BF133" s="4550"/>
      <c r="BG133" s="4550"/>
      <c r="BH133" s="4550"/>
      <c r="BI133" s="4550"/>
      <c r="BJ133" s="4550"/>
      <c r="BK133" s="4550"/>
      <c r="BL133" s="4550"/>
      <c r="BM133" s="4550"/>
      <c r="BN133" s="4550"/>
      <c r="BO133" s="4550"/>
      <c r="BP133" s="4550"/>
      <c r="BQ133" s="4550"/>
      <c r="BR133" s="4550"/>
      <c r="BS133" s="4550"/>
      <c r="BT133" s="4550"/>
      <c r="BU133" s="4550"/>
      <c r="BV133" s="4550"/>
      <c r="BW133" s="4550"/>
      <c r="BX133" s="4550"/>
      <c r="BY133" s="4550"/>
      <c r="BZ133" s="4550"/>
      <c r="CA133" s="4550"/>
      <c r="CB133" s="4550"/>
      <c r="CC133" s="4550"/>
      <c r="CD133" s="4550"/>
      <c r="CE133" s="4550"/>
      <c r="CF133" s="4550"/>
      <c r="CG133" s="4550"/>
      <c r="CH133" s="4550"/>
      <c r="CI133" s="4550"/>
      <c r="CJ133" s="4550"/>
      <c r="CK133" s="4550"/>
      <c r="CL133" s="4550"/>
      <c r="CM133" s="4550"/>
      <c r="CN133" s="4550"/>
      <c r="CO133" s="4550"/>
      <c r="CP133" s="4550"/>
      <c r="CQ133" s="4550"/>
      <c r="CR133" s="4550"/>
      <c r="CS133" s="4550"/>
      <c r="CT133" s="4550"/>
      <c r="CU133" s="4550"/>
      <c r="CV133" s="4550"/>
      <c r="CW133" s="4550"/>
      <c r="CX133" s="4550"/>
      <c r="CY133" s="4550"/>
      <c r="CZ133" s="4550"/>
      <c r="DA133" s="4550"/>
      <c r="DB133" s="4550"/>
      <c r="DC133" s="4550"/>
      <c r="DD133" s="4550"/>
      <c r="DE133" s="4550"/>
      <c r="DF133" s="4550"/>
      <c r="DG133" s="4550"/>
      <c r="DH133" s="4550"/>
      <c r="DI133" s="4550"/>
      <c r="DJ133" s="4550"/>
      <c r="DK133" s="4550"/>
      <c r="DL133" s="4550"/>
      <c r="DM133" s="4550"/>
      <c r="DN133" s="4550"/>
      <c r="DO133" s="4550"/>
      <c r="DP133" s="4550"/>
      <c r="DQ133" s="4550"/>
      <c r="DR133" s="4550"/>
      <c r="DS133" s="4550"/>
      <c r="DT133" s="4550"/>
      <c r="DU133" s="4550"/>
      <c r="DV133" s="4550"/>
      <c r="DW133" s="4550"/>
      <c r="DX133" s="4550"/>
      <c r="DY133" s="4550"/>
      <c r="DZ133" s="4550"/>
      <c r="EA133" s="4550"/>
      <c r="EB133" s="4550"/>
      <c r="EC133" s="4550"/>
      <c r="ED133" s="4550"/>
      <c r="EE133" s="4550"/>
      <c r="EF133" s="4550"/>
      <c r="EG133" s="4550"/>
      <c r="EH133" s="4550"/>
      <c r="EI133" s="4550"/>
      <c r="EJ133" s="4550"/>
      <c r="EK133" s="4550"/>
      <c r="EL133" s="4550"/>
      <c r="EM133" s="4550"/>
      <c r="EN133" s="4550"/>
      <c r="EO133" s="4550"/>
      <c r="EP133" s="4550"/>
      <c r="EQ133" s="4550"/>
      <c r="ER133" s="4550"/>
      <c r="ES133" s="4550"/>
      <c r="ET133" s="4550"/>
      <c r="EU133" s="4550"/>
      <c r="EV133" s="4550"/>
      <c r="EW133" s="4550"/>
      <c r="EX133" s="4550"/>
      <c r="EY133" s="4550"/>
      <c r="EZ133" s="4550"/>
      <c r="FA133" s="4550"/>
      <c r="FB133" s="4550"/>
      <c r="FC133" s="4550"/>
      <c r="FD133" s="4550"/>
      <c r="FE133" s="4550"/>
      <c r="FF133" s="4550"/>
      <c r="FG133" s="4550"/>
      <c r="FH133" s="4550"/>
      <c r="FI133" s="4550"/>
      <c r="FJ133" s="4550"/>
      <c r="FK133" s="4550"/>
      <c r="FL133" s="4550"/>
      <c r="FM133" s="4550"/>
      <c r="FN133" s="4550"/>
      <c r="FO133" s="4550"/>
      <c r="FP133" s="4550"/>
      <c r="FQ133" s="4550"/>
      <c r="FR133" s="4550"/>
      <c r="FS133" s="4550"/>
      <c r="FT133" s="4550"/>
      <c r="FU133" s="4550"/>
      <c r="FV133" s="4550"/>
      <c r="FW133" s="4550"/>
      <c r="FX133" s="4550"/>
      <c r="FY133" s="4550"/>
      <c r="FZ133" s="4550"/>
      <c r="GA133" s="4550"/>
      <c r="GB133" s="4550"/>
      <c r="GC133" s="4550"/>
      <c r="GD133" s="4550"/>
      <c r="GE133" s="4550"/>
      <c r="GF133" s="4550"/>
      <c r="GG133" s="4550"/>
      <c r="GH133" s="4550"/>
      <c r="GI133" s="4550"/>
      <c r="GJ133" s="4550"/>
      <c r="GK133" s="4550"/>
      <c r="GL133" s="4550"/>
      <c r="GM133" s="4550"/>
      <c r="GN133" s="4550"/>
      <c r="GO133" s="4550"/>
      <c r="GP133" s="4550"/>
      <c r="GQ133" s="4550"/>
      <c r="GR133" s="4550"/>
      <c r="GS133" s="4550"/>
      <c r="GT133" s="4550"/>
      <c r="GU133" s="4550"/>
      <c r="GV133" s="4550"/>
      <c r="GW133" s="4550"/>
      <c r="GX133" s="4550"/>
      <c r="GY133" s="4550"/>
      <c r="GZ133" s="4550"/>
      <c r="HA133" s="4550"/>
      <c r="HB133" s="4550"/>
      <c r="HC133" s="4550"/>
      <c r="HD133" s="4550"/>
      <c r="HE133" s="4550"/>
      <c r="HF133" s="4550"/>
      <c r="HG133" s="4550"/>
      <c r="HH133" s="4550"/>
      <c r="HI133" s="4550"/>
      <c r="HJ133" s="4550"/>
      <c r="HK133" s="4550"/>
      <c r="HL133" s="4550"/>
      <c r="HM133" s="4550"/>
      <c r="HN133" s="4550"/>
      <c r="HO133" s="4550"/>
      <c r="HP133" s="4550"/>
      <c r="HQ133" s="4550"/>
      <c r="HR133" s="4550"/>
      <c r="HS133" s="4550"/>
      <c r="HT133" s="4550"/>
      <c r="HU133" s="4550"/>
      <c r="HV133" s="4550"/>
      <c r="HW133" s="4550"/>
      <c r="HX133" s="4550"/>
      <c r="HY133" s="4550"/>
      <c r="HZ133" s="4550"/>
      <c r="IA133" s="4550"/>
      <c r="IB133" s="4550"/>
      <c r="IC133" s="4550"/>
      <c r="ID133" s="4550"/>
      <c r="IE133" s="4550"/>
    </row>
    <row r="134" spans="1:239" s="4549" customFormat="1" ht="13.5" customHeight="1">
      <c r="A134" s="4167">
        <v>3.11</v>
      </c>
      <c r="B134" s="4728" t="s">
        <v>4120</v>
      </c>
      <c r="C134" s="4727">
        <v>2</v>
      </c>
      <c r="D134" s="4600" t="s">
        <v>2433</v>
      </c>
      <c r="E134" s="4318"/>
      <c r="F134" s="4965">
        <f t="shared" si="3"/>
        <v>0</v>
      </c>
      <c r="G134" s="4537"/>
      <c r="H134" s="4537"/>
      <c r="I134" s="4537"/>
      <c r="J134" s="4537"/>
      <c r="K134" s="4537"/>
      <c r="L134" s="4537"/>
      <c r="M134" s="4537"/>
      <c r="N134" s="4537"/>
      <c r="O134" s="4537"/>
      <c r="P134" s="4537"/>
      <c r="Q134" s="4537"/>
      <c r="R134" s="4537"/>
      <c r="S134" s="4537"/>
      <c r="T134" s="4537"/>
      <c r="U134" s="4537"/>
      <c r="V134" s="4537"/>
      <c r="W134" s="4537"/>
      <c r="X134" s="4537"/>
      <c r="Y134" s="4537"/>
      <c r="Z134" s="4537"/>
      <c r="AA134" s="4537"/>
      <c r="AB134" s="4537"/>
      <c r="AC134" s="4537"/>
      <c r="AD134" s="4537"/>
      <c r="AE134" s="4537"/>
      <c r="AF134" s="4537"/>
      <c r="AG134" s="4537"/>
      <c r="AH134" s="4537"/>
      <c r="AI134" s="4537"/>
      <c r="AJ134" s="4537"/>
      <c r="AK134" s="4537"/>
      <c r="AL134" s="4537"/>
      <c r="AM134" s="4537"/>
      <c r="AN134" s="4537"/>
      <c r="AO134" s="4537"/>
      <c r="AP134" s="4537"/>
      <c r="AQ134" s="4537"/>
      <c r="AR134" s="4537"/>
      <c r="AS134" s="4550"/>
      <c r="AT134" s="4550"/>
      <c r="AU134" s="4550"/>
      <c r="AV134" s="4550"/>
      <c r="AW134" s="4550"/>
      <c r="AX134" s="4550"/>
      <c r="AY134" s="4550"/>
      <c r="AZ134" s="4550"/>
      <c r="BA134" s="4550"/>
      <c r="BB134" s="4550"/>
      <c r="BC134" s="4550"/>
      <c r="BD134" s="4550"/>
      <c r="BE134" s="4550"/>
      <c r="BF134" s="4550"/>
      <c r="BG134" s="4550"/>
      <c r="BH134" s="4550"/>
      <c r="BI134" s="4550"/>
      <c r="BJ134" s="4550"/>
      <c r="BK134" s="4550"/>
      <c r="BL134" s="4550"/>
      <c r="BM134" s="4550"/>
      <c r="BN134" s="4550"/>
      <c r="BO134" s="4550"/>
      <c r="BP134" s="4550"/>
      <c r="BQ134" s="4550"/>
      <c r="BR134" s="4550"/>
      <c r="BS134" s="4550"/>
      <c r="BT134" s="4550"/>
      <c r="BU134" s="4550"/>
      <c r="BV134" s="4550"/>
      <c r="BW134" s="4550"/>
      <c r="BX134" s="4550"/>
      <c r="BY134" s="4550"/>
      <c r="BZ134" s="4550"/>
      <c r="CA134" s="4550"/>
      <c r="CB134" s="4550"/>
      <c r="CC134" s="4550"/>
      <c r="CD134" s="4550"/>
      <c r="CE134" s="4550"/>
      <c r="CF134" s="4550"/>
      <c r="CG134" s="4550"/>
      <c r="CH134" s="4550"/>
      <c r="CI134" s="4550"/>
      <c r="CJ134" s="4550"/>
      <c r="CK134" s="4550"/>
      <c r="CL134" s="4550"/>
      <c r="CM134" s="4550"/>
      <c r="CN134" s="4550"/>
      <c r="CO134" s="4550"/>
      <c r="CP134" s="4550"/>
      <c r="CQ134" s="4550"/>
      <c r="CR134" s="4550"/>
      <c r="CS134" s="4550"/>
      <c r="CT134" s="4550"/>
      <c r="CU134" s="4550"/>
      <c r="CV134" s="4550"/>
      <c r="CW134" s="4550"/>
      <c r="CX134" s="4550"/>
      <c r="CY134" s="4550"/>
      <c r="CZ134" s="4550"/>
      <c r="DA134" s="4550"/>
      <c r="DB134" s="4550"/>
      <c r="DC134" s="4550"/>
      <c r="DD134" s="4550"/>
      <c r="DE134" s="4550"/>
      <c r="DF134" s="4550"/>
      <c r="DG134" s="4550"/>
      <c r="DH134" s="4550"/>
      <c r="DI134" s="4550"/>
      <c r="DJ134" s="4550"/>
      <c r="DK134" s="4550"/>
      <c r="DL134" s="4550"/>
      <c r="DM134" s="4550"/>
      <c r="DN134" s="4550"/>
      <c r="DO134" s="4550"/>
      <c r="DP134" s="4550"/>
      <c r="DQ134" s="4550"/>
      <c r="DR134" s="4550"/>
      <c r="DS134" s="4550"/>
      <c r="DT134" s="4550"/>
      <c r="DU134" s="4550"/>
      <c r="DV134" s="4550"/>
      <c r="DW134" s="4550"/>
      <c r="DX134" s="4550"/>
      <c r="DY134" s="4550"/>
      <c r="DZ134" s="4550"/>
      <c r="EA134" s="4550"/>
      <c r="EB134" s="4550"/>
      <c r="EC134" s="4550"/>
      <c r="ED134" s="4550"/>
      <c r="EE134" s="4550"/>
      <c r="EF134" s="4550"/>
      <c r="EG134" s="4550"/>
      <c r="EH134" s="4550"/>
      <c r="EI134" s="4550"/>
      <c r="EJ134" s="4550"/>
      <c r="EK134" s="4550"/>
      <c r="EL134" s="4550"/>
      <c r="EM134" s="4550"/>
      <c r="EN134" s="4550"/>
      <c r="EO134" s="4550"/>
      <c r="EP134" s="4550"/>
      <c r="EQ134" s="4550"/>
      <c r="ER134" s="4550"/>
      <c r="ES134" s="4550"/>
      <c r="ET134" s="4550"/>
      <c r="EU134" s="4550"/>
      <c r="EV134" s="4550"/>
      <c r="EW134" s="4550"/>
      <c r="EX134" s="4550"/>
      <c r="EY134" s="4550"/>
      <c r="EZ134" s="4550"/>
      <c r="FA134" s="4550"/>
      <c r="FB134" s="4550"/>
      <c r="FC134" s="4550"/>
      <c r="FD134" s="4550"/>
      <c r="FE134" s="4550"/>
      <c r="FF134" s="4550"/>
      <c r="FG134" s="4550"/>
      <c r="FH134" s="4550"/>
      <c r="FI134" s="4550"/>
      <c r="FJ134" s="4550"/>
      <c r="FK134" s="4550"/>
      <c r="FL134" s="4550"/>
      <c r="FM134" s="4550"/>
      <c r="FN134" s="4550"/>
      <c r="FO134" s="4550"/>
      <c r="FP134" s="4550"/>
      <c r="FQ134" s="4550"/>
      <c r="FR134" s="4550"/>
      <c r="FS134" s="4550"/>
      <c r="FT134" s="4550"/>
      <c r="FU134" s="4550"/>
      <c r="FV134" s="4550"/>
      <c r="FW134" s="4550"/>
      <c r="FX134" s="4550"/>
      <c r="FY134" s="4550"/>
      <c r="FZ134" s="4550"/>
      <c r="GA134" s="4550"/>
      <c r="GB134" s="4550"/>
      <c r="GC134" s="4550"/>
      <c r="GD134" s="4550"/>
      <c r="GE134" s="4550"/>
      <c r="GF134" s="4550"/>
      <c r="GG134" s="4550"/>
      <c r="GH134" s="4550"/>
      <c r="GI134" s="4550"/>
      <c r="GJ134" s="4550"/>
      <c r="GK134" s="4550"/>
      <c r="GL134" s="4550"/>
      <c r="GM134" s="4550"/>
      <c r="GN134" s="4550"/>
      <c r="GO134" s="4550"/>
      <c r="GP134" s="4550"/>
      <c r="GQ134" s="4550"/>
      <c r="GR134" s="4550"/>
      <c r="GS134" s="4550"/>
      <c r="GT134" s="4550"/>
      <c r="GU134" s="4550"/>
      <c r="GV134" s="4550"/>
      <c r="GW134" s="4550"/>
      <c r="GX134" s="4550"/>
      <c r="GY134" s="4550"/>
      <c r="GZ134" s="4550"/>
      <c r="HA134" s="4550"/>
      <c r="HB134" s="4550"/>
      <c r="HC134" s="4550"/>
      <c r="HD134" s="4550"/>
      <c r="HE134" s="4550"/>
      <c r="HF134" s="4550"/>
      <c r="HG134" s="4550"/>
      <c r="HH134" s="4550"/>
      <c r="HI134" s="4550"/>
      <c r="HJ134" s="4550"/>
      <c r="HK134" s="4550"/>
      <c r="HL134" s="4550"/>
      <c r="HM134" s="4550"/>
      <c r="HN134" s="4550"/>
      <c r="HO134" s="4550"/>
      <c r="HP134" s="4550"/>
      <c r="HQ134" s="4550"/>
      <c r="HR134" s="4550"/>
      <c r="HS134" s="4550"/>
      <c r="HT134" s="4550"/>
      <c r="HU134" s="4550"/>
      <c r="HV134" s="4550"/>
      <c r="HW134" s="4550"/>
      <c r="HX134" s="4550"/>
      <c r="HY134" s="4550"/>
      <c r="HZ134" s="4550"/>
      <c r="IA134" s="4550"/>
      <c r="IB134" s="4550"/>
      <c r="IC134" s="4550"/>
      <c r="ID134" s="4550"/>
      <c r="IE134" s="4550"/>
    </row>
    <row r="135" spans="1:239" s="4549" customFormat="1" ht="13.5" customHeight="1">
      <c r="A135" s="4677">
        <v>3.12</v>
      </c>
      <c r="B135" s="4728" t="s">
        <v>4121</v>
      </c>
      <c r="C135" s="4677">
        <v>2</v>
      </c>
      <c r="D135" s="4600" t="s">
        <v>2433</v>
      </c>
      <c r="E135" s="4965"/>
      <c r="F135" s="4965">
        <f t="shared" si="3"/>
        <v>0</v>
      </c>
      <c r="G135" s="4537"/>
      <c r="H135" s="4537"/>
      <c r="I135" s="4537"/>
      <c r="J135" s="4537"/>
      <c r="K135" s="4537"/>
      <c r="L135" s="4537"/>
      <c r="M135" s="4537"/>
      <c r="N135" s="4537"/>
      <c r="O135" s="4537"/>
      <c r="P135" s="4537"/>
      <c r="Q135" s="4537"/>
      <c r="R135" s="4537"/>
      <c r="S135" s="4537"/>
      <c r="T135" s="4537"/>
      <c r="U135" s="4537"/>
      <c r="V135" s="4537"/>
      <c r="W135" s="4537"/>
      <c r="X135" s="4537"/>
      <c r="Y135" s="4537"/>
      <c r="Z135" s="4537"/>
      <c r="AA135" s="4537"/>
      <c r="AB135" s="4537"/>
      <c r="AC135" s="4537"/>
      <c r="AD135" s="4537"/>
      <c r="AE135" s="4537"/>
      <c r="AF135" s="4537"/>
      <c r="AG135" s="4537"/>
      <c r="AH135" s="4537"/>
      <c r="AI135" s="4537"/>
      <c r="AJ135" s="4537"/>
      <c r="AK135" s="4537"/>
      <c r="AL135" s="4537"/>
      <c r="AM135" s="4537"/>
      <c r="AN135" s="4537"/>
      <c r="AO135" s="4537"/>
      <c r="AP135" s="4537"/>
      <c r="AQ135" s="4537"/>
      <c r="AR135" s="4537"/>
      <c r="AS135" s="4550"/>
      <c r="AT135" s="4550"/>
      <c r="AU135" s="4550"/>
      <c r="AV135" s="4550"/>
      <c r="AW135" s="4550"/>
      <c r="AX135" s="4550"/>
      <c r="AY135" s="4550"/>
      <c r="AZ135" s="4550"/>
      <c r="BA135" s="4550"/>
      <c r="BB135" s="4550"/>
      <c r="BC135" s="4550"/>
      <c r="BD135" s="4550"/>
      <c r="BE135" s="4550"/>
      <c r="BF135" s="4550"/>
      <c r="BG135" s="4550"/>
      <c r="BH135" s="4550"/>
      <c r="BI135" s="4550"/>
      <c r="BJ135" s="4550"/>
      <c r="BK135" s="4550"/>
      <c r="BL135" s="4550"/>
      <c r="BM135" s="4550"/>
      <c r="BN135" s="4550"/>
      <c r="BO135" s="4550"/>
      <c r="BP135" s="4550"/>
      <c r="BQ135" s="4550"/>
      <c r="BR135" s="4550"/>
      <c r="BS135" s="4550"/>
      <c r="BT135" s="4550"/>
      <c r="BU135" s="4550"/>
      <c r="BV135" s="4550"/>
      <c r="BW135" s="4550"/>
      <c r="BX135" s="4550"/>
      <c r="BY135" s="4550"/>
      <c r="BZ135" s="4550"/>
      <c r="CA135" s="4550"/>
      <c r="CB135" s="4550"/>
      <c r="CC135" s="4550"/>
      <c r="CD135" s="4550"/>
      <c r="CE135" s="4550"/>
      <c r="CF135" s="4550"/>
      <c r="CG135" s="4550"/>
      <c r="CH135" s="4550"/>
      <c r="CI135" s="4550"/>
      <c r="CJ135" s="4550"/>
      <c r="CK135" s="4550"/>
      <c r="CL135" s="4550"/>
      <c r="CM135" s="4550"/>
      <c r="CN135" s="4550"/>
      <c r="CO135" s="4550"/>
      <c r="CP135" s="4550"/>
      <c r="CQ135" s="4550"/>
      <c r="CR135" s="4550"/>
      <c r="CS135" s="4550"/>
      <c r="CT135" s="4550"/>
      <c r="CU135" s="4550"/>
      <c r="CV135" s="4550"/>
      <c r="CW135" s="4550"/>
      <c r="CX135" s="4550"/>
      <c r="CY135" s="4550"/>
      <c r="CZ135" s="4550"/>
      <c r="DA135" s="4550"/>
      <c r="DB135" s="4550"/>
      <c r="DC135" s="4550"/>
      <c r="DD135" s="4550"/>
      <c r="DE135" s="4550"/>
      <c r="DF135" s="4550"/>
      <c r="DG135" s="4550"/>
      <c r="DH135" s="4550"/>
      <c r="DI135" s="4550"/>
      <c r="DJ135" s="4550"/>
      <c r="DK135" s="4550"/>
      <c r="DL135" s="4550"/>
      <c r="DM135" s="4550"/>
      <c r="DN135" s="4550"/>
      <c r="DO135" s="4550"/>
      <c r="DP135" s="4550"/>
      <c r="DQ135" s="4550"/>
      <c r="DR135" s="4550"/>
      <c r="DS135" s="4550"/>
      <c r="DT135" s="4550"/>
      <c r="DU135" s="4550"/>
      <c r="DV135" s="4550"/>
      <c r="DW135" s="4550"/>
      <c r="DX135" s="4550"/>
      <c r="DY135" s="4550"/>
      <c r="DZ135" s="4550"/>
      <c r="EA135" s="4550"/>
      <c r="EB135" s="4550"/>
      <c r="EC135" s="4550"/>
      <c r="ED135" s="4550"/>
      <c r="EE135" s="4550"/>
      <c r="EF135" s="4550"/>
      <c r="EG135" s="4550"/>
      <c r="EH135" s="4550"/>
      <c r="EI135" s="4550"/>
      <c r="EJ135" s="4550"/>
      <c r="EK135" s="4550"/>
      <c r="EL135" s="4550"/>
      <c r="EM135" s="4550"/>
      <c r="EN135" s="4550"/>
      <c r="EO135" s="4550"/>
      <c r="EP135" s="4550"/>
      <c r="EQ135" s="4550"/>
      <c r="ER135" s="4550"/>
      <c r="ES135" s="4550"/>
      <c r="ET135" s="4550"/>
      <c r="EU135" s="4550"/>
      <c r="EV135" s="4550"/>
      <c r="EW135" s="4550"/>
      <c r="EX135" s="4550"/>
      <c r="EY135" s="4550"/>
      <c r="EZ135" s="4550"/>
      <c r="FA135" s="4550"/>
      <c r="FB135" s="4550"/>
      <c r="FC135" s="4550"/>
      <c r="FD135" s="4550"/>
      <c r="FE135" s="4550"/>
      <c r="FF135" s="4550"/>
      <c r="FG135" s="4550"/>
      <c r="FH135" s="4550"/>
      <c r="FI135" s="4550"/>
      <c r="FJ135" s="4550"/>
      <c r="FK135" s="4550"/>
      <c r="FL135" s="4550"/>
      <c r="FM135" s="4550"/>
      <c r="FN135" s="4550"/>
      <c r="FO135" s="4550"/>
      <c r="FP135" s="4550"/>
      <c r="FQ135" s="4550"/>
      <c r="FR135" s="4550"/>
      <c r="FS135" s="4550"/>
      <c r="FT135" s="4550"/>
      <c r="FU135" s="4550"/>
      <c r="FV135" s="4550"/>
      <c r="FW135" s="4550"/>
      <c r="FX135" s="4550"/>
      <c r="FY135" s="4550"/>
      <c r="FZ135" s="4550"/>
      <c r="GA135" s="4550"/>
      <c r="GB135" s="4550"/>
      <c r="GC135" s="4550"/>
      <c r="GD135" s="4550"/>
      <c r="GE135" s="4550"/>
      <c r="GF135" s="4550"/>
      <c r="GG135" s="4550"/>
      <c r="GH135" s="4550"/>
      <c r="GI135" s="4550"/>
      <c r="GJ135" s="4550"/>
      <c r="GK135" s="4550"/>
      <c r="GL135" s="4550"/>
      <c r="GM135" s="4550"/>
      <c r="GN135" s="4550"/>
      <c r="GO135" s="4550"/>
      <c r="GP135" s="4550"/>
      <c r="GQ135" s="4550"/>
      <c r="GR135" s="4550"/>
      <c r="GS135" s="4550"/>
      <c r="GT135" s="4550"/>
      <c r="GU135" s="4550"/>
      <c r="GV135" s="4550"/>
      <c r="GW135" s="4550"/>
      <c r="GX135" s="4550"/>
      <c r="GY135" s="4550"/>
      <c r="GZ135" s="4550"/>
      <c r="HA135" s="4550"/>
      <c r="HB135" s="4550"/>
      <c r="HC135" s="4550"/>
      <c r="HD135" s="4550"/>
      <c r="HE135" s="4550"/>
      <c r="HF135" s="4550"/>
      <c r="HG135" s="4550"/>
      <c r="HH135" s="4550"/>
      <c r="HI135" s="4550"/>
      <c r="HJ135" s="4550"/>
      <c r="HK135" s="4550"/>
      <c r="HL135" s="4550"/>
      <c r="HM135" s="4550"/>
      <c r="HN135" s="4550"/>
      <c r="HO135" s="4550"/>
      <c r="HP135" s="4550"/>
      <c r="HQ135" s="4550"/>
      <c r="HR135" s="4550"/>
      <c r="HS135" s="4550"/>
      <c r="HT135" s="4550"/>
      <c r="HU135" s="4550"/>
      <c r="HV135" s="4550"/>
      <c r="HW135" s="4550"/>
      <c r="HX135" s="4550"/>
      <c r="HY135" s="4550"/>
      <c r="HZ135" s="4550"/>
      <c r="IA135" s="4550"/>
      <c r="IB135" s="4550"/>
      <c r="IC135" s="4550"/>
      <c r="ID135" s="4550"/>
      <c r="IE135" s="4550"/>
    </row>
    <row r="136" spans="1:239" s="4549" customFormat="1" ht="13.5" customHeight="1">
      <c r="A136" s="4167">
        <v>3.13</v>
      </c>
      <c r="B136" s="4728" t="s">
        <v>4122</v>
      </c>
      <c r="C136" s="4677">
        <v>2</v>
      </c>
      <c r="D136" s="4600" t="s">
        <v>2433</v>
      </c>
      <c r="E136" s="4982"/>
      <c r="F136" s="4965">
        <f t="shared" si="3"/>
        <v>0</v>
      </c>
      <c r="G136" s="4537"/>
      <c r="H136" s="4537"/>
      <c r="I136" s="4537"/>
      <c r="J136" s="4537"/>
      <c r="K136" s="4537"/>
      <c r="L136" s="4537"/>
      <c r="M136" s="4537"/>
      <c r="N136" s="4537"/>
      <c r="O136" s="4537"/>
      <c r="P136" s="4537"/>
      <c r="Q136" s="4537"/>
      <c r="R136" s="4537"/>
      <c r="S136" s="4537"/>
      <c r="T136" s="4537"/>
      <c r="U136" s="4537"/>
      <c r="V136" s="4537"/>
      <c r="W136" s="4537"/>
      <c r="X136" s="4537"/>
      <c r="Y136" s="4537"/>
      <c r="Z136" s="4537"/>
      <c r="AA136" s="4537"/>
      <c r="AB136" s="4537"/>
      <c r="AC136" s="4537"/>
      <c r="AD136" s="4537"/>
      <c r="AE136" s="4537"/>
      <c r="AF136" s="4537"/>
      <c r="AG136" s="4537"/>
      <c r="AH136" s="4537"/>
      <c r="AI136" s="4537"/>
      <c r="AJ136" s="4537"/>
      <c r="AK136" s="4537"/>
      <c r="AL136" s="4537"/>
      <c r="AM136" s="4537"/>
      <c r="AN136" s="4537"/>
      <c r="AO136" s="4537"/>
      <c r="AP136" s="4537"/>
      <c r="AQ136" s="4537"/>
      <c r="AR136" s="4537"/>
      <c r="AS136" s="4550"/>
      <c r="AT136" s="4550"/>
      <c r="AU136" s="4550"/>
      <c r="AV136" s="4550"/>
      <c r="AW136" s="4550"/>
      <c r="AX136" s="4550"/>
      <c r="AY136" s="4550"/>
      <c r="AZ136" s="4550"/>
      <c r="BA136" s="4550"/>
      <c r="BB136" s="4550"/>
      <c r="BC136" s="4550"/>
      <c r="BD136" s="4550"/>
      <c r="BE136" s="4550"/>
      <c r="BF136" s="4550"/>
      <c r="BG136" s="4550"/>
      <c r="BH136" s="4550"/>
      <c r="BI136" s="4550"/>
      <c r="BJ136" s="4550"/>
      <c r="BK136" s="4550"/>
      <c r="BL136" s="4550"/>
      <c r="BM136" s="4550"/>
      <c r="BN136" s="4550"/>
      <c r="BO136" s="4550"/>
      <c r="BP136" s="4550"/>
      <c r="BQ136" s="4550"/>
      <c r="BR136" s="4550"/>
      <c r="BS136" s="4550"/>
      <c r="BT136" s="4550"/>
      <c r="BU136" s="4550"/>
      <c r="BV136" s="4550"/>
      <c r="BW136" s="4550"/>
      <c r="BX136" s="4550"/>
      <c r="BY136" s="4550"/>
      <c r="BZ136" s="4550"/>
      <c r="CA136" s="4550"/>
      <c r="CB136" s="4550"/>
      <c r="CC136" s="4550"/>
      <c r="CD136" s="4550"/>
      <c r="CE136" s="4550"/>
      <c r="CF136" s="4550"/>
      <c r="CG136" s="4550"/>
      <c r="CH136" s="4550"/>
      <c r="CI136" s="4550"/>
      <c r="CJ136" s="4550"/>
      <c r="CK136" s="4550"/>
      <c r="CL136" s="4550"/>
      <c r="CM136" s="4550"/>
      <c r="CN136" s="4550"/>
      <c r="CO136" s="4550"/>
      <c r="CP136" s="4550"/>
      <c r="CQ136" s="4550"/>
      <c r="CR136" s="4550"/>
      <c r="CS136" s="4550"/>
      <c r="CT136" s="4550"/>
      <c r="CU136" s="4550"/>
      <c r="CV136" s="4550"/>
      <c r="CW136" s="4550"/>
      <c r="CX136" s="4550"/>
      <c r="CY136" s="4550"/>
      <c r="CZ136" s="4550"/>
      <c r="DA136" s="4550"/>
      <c r="DB136" s="4550"/>
      <c r="DC136" s="4550"/>
      <c r="DD136" s="4550"/>
      <c r="DE136" s="4550"/>
      <c r="DF136" s="4550"/>
      <c r="DG136" s="4550"/>
      <c r="DH136" s="4550"/>
      <c r="DI136" s="4550"/>
      <c r="DJ136" s="4550"/>
      <c r="DK136" s="4550"/>
      <c r="DL136" s="4550"/>
      <c r="DM136" s="4550"/>
      <c r="DN136" s="4550"/>
      <c r="DO136" s="4550"/>
      <c r="DP136" s="4550"/>
      <c r="DQ136" s="4550"/>
      <c r="DR136" s="4550"/>
      <c r="DS136" s="4550"/>
      <c r="DT136" s="4550"/>
      <c r="DU136" s="4550"/>
      <c r="DV136" s="4550"/>
      <c r="DW136" s="4550"/>
      <c r="DX136" s="4550"/>
      <c r="DY136" s="4550"/>
      <c r="DZ136" s="4550"/>
      <c r="EA136" s="4550"/>
      <c r="EB136" s="4550"/>
      <c r="EC136" s="4550"/>
      <c r="ED136" s="4550"/>
      <c r="EE136" s="4550"/>
      <c r="EF136" s="4550"/>
      <c r="EG136" s="4550"/>
      <c r="EH136" s="4550"/>
      <c r="EI136" s="4550"/>
      <c r="EJ136" s="4550"/>
      <c r="EK136" s="4550"/>
      <c r="EL136" s="4550"/>
      <c r="EM136" s="4550"/>
      <c r="EN136" s="4550"/>
      <c r="EO136" s="4550"/>
      <c r="EP136" s="4550"/>
      <c r="EQ136" s="4550"/>
      <c r="ER136" s="4550"/>
      <c r="ES136" s="4550"/>
      <c r="ET136" s="4550"/>
      <c r="EU136" s="4550"/>
      <c r="EV136" s="4550"/>
      <c r="EW136" s="4550"/>
      <c r="EX136" s="4550"/>
      <c r="EY136" s="4550"/>
      <c r="EZ136" s="4550"/>
      <c r="FA136" s="4550"/>
      <c r="FB136" s="4550"/>
      <c r="FC136" s="4550"/>
      <c r="FD136" s="4550"/>
      <c r="FE136" s="4550"/>
      <c r="FF136" s="4550"/>
      <c r="FG136" s="4550"/>
      <c r="FH136" s="4550"/>
      <c r="FI136" s="4550"/>
      <c r="FJ136" s="4550"/>
      <c r="FK136" s="4550"/>
      <c r="FL136" s="4550"/>
      <c r="FM136" s="4550"/>
      <c r="FN136" s="4550"/>
      <c r="FO136" s="4550"/>
      <c r="FP136" s="4550"/>
      <c r="FQ136" s="4550"/>
      <c r="FR136" s="4550"/>
      <c r="FS136" s="4550"/>
      <c r="FT136" s="4550"/>
      <c r="FU136" s="4550"/>
      <c r="FV136" s="4550"/>
      <c r="FW136" s="4550"/>
      <c r="FX136" s="4550"/>
      <c r="FY136" s="4550"/>
      <c r="FZ136" s="4550"/>
      <c r="GA136" s="4550"/>
      <c r="GB136" s="4550"/>
      <c r="GC136" s="4550"/>
      <c r="GD136" s="4550"/>
      <c r="GE136" s="4550"/>
      <c r="GF136" s="4550"/>
      <c r="GG136" s="4550"/>
      <c r="GH136" s="4550"/>
      <c r="GI136" s="4550"/>
      <c r="GJ136" s="4550"/>
      <c r="GK136" s="4550"/>
      <c r="GL136" s="4550"/>
      <c r="GM136" s="4550"/>
      <c r="GN136" s="4550"/>
      <c r="GO136" s="4550"/>
      <c r="GP136" s="4550"/>
      <c r="GQ136" s="4550"/>
      <c r="GR136" s="4550"/>
      <c r="GS136" s="4550"/>
      <c r="GT136" s="4550"/>
      <c r="GU136" s="4550"/>
      <c r="GV136" s="4550"/>
      <c r="GW136" s="4550"/>
      <c r="GX136" s="4550"/>
      <c r="GY136" s="4550"/>
      <c r="GZ136" s="4550"/>
      <c r="HA136" s="4550"/>
      <c r="HB136" s="4550"/>
      <c r="HC136" s="4550"/>
      <c r="HD136" s="4550"/>
      <c r="HE136" s="4550"/>
      <c r="HF136" s="4550"/>
      <c r="HG136" s="4550"/>
      <c r="HH136" s="4550"/>
      <c r="HI136" s="4550"/>
      <c r="HJ136" s="4550"/>
      <c r="HK136" s="4550"/>
      <c r="HL136" s="4550"/>
      <c r="HM136" s="4550"/>
      <c r="HN136" s="4550"/>
      <c r="HO136" s="4550"/>
      <c r="HP136" s="4550"/>
      <c r="HQ136" s="4550"/>
      <c r="HR136" s="4550"/>
      <c r="HS136" s="4550"/>
      <c r="HT136" s="4550"/>
      <c r="HU136" s="4550"/>
      <c r="HV136" s="4550"/>
      <c r="HW136" s="4550"/>
      <c r="HX136" s="4550"/>
      <c r="HY136" s="4550"/>
      <c r="HZ136" s="4550"/>
      <c r="IA136" s="4550"/>
      <c r="IB136" s="4550"/>
      <c r="IC136" s="4550"/>
      <c r="ID136" s="4550"/>
      <c r="IE136" s="4550"/>
    </row>
    <row r="137" spans="1:239" s="4549" customFormat="1" ht="15" customHeight="1">
      <c r="A137" s="4677">
        <v>3.14</v>
      </c>
      <c r="B137" s="4728" t="s">
        <v>4123</v>
      </c>
      <c r="C137" s="4677">
        <v>1</v>
      </c>
      <c r="D137" s="4600" t="s">
        <v>2433</v>
      </c>
      <c r="E137" s="4965"/>
      <c r="F137" s="4965">
        <f t="shared" si="3"/>
        <v>0</v>
      </c>
      <c r="G137" s="4537"/>
      <c r="H137" s="4537"/>
      <c r="I137" s="4537"/>
      <c r="J137" s="4537"/>
      <c r="K137" s="4537"/>
      <c r="L137" s="4537"/>
      <c r="M137" s="4537"/>
      <c r="N137" s="4537"/>
      <c r="O137" s="4537"/>
      <c r="P137" s="4537"/>
      <c r="Q137" s="4537"/>
      <c r="R137" s="4537"/>
      <c r="S137" s="4537"/>
      <c r="T137" s="4537"/>
      <c r="U137" s="4537"/>
      <c r="V137" s="4537"/>
      <c r="W137" s="4537"/>
      <c r="X137" s="4537"/>
      <c r="Y137" s="4537"/>
      <c r="Z137" s="4537"/>
      <c r="AA137" s="4537"/>
      <c r="AB137" s="4537"/>
      <c r="AC137" s="4537"/>
      <c r="AD137" s="4537"/>
      <c r="AE137" s="4537"/>
      <c r="AF137" s="4537"/>
      <c r="AG137" s="4537"/>
      <c r="AH137" s="4537"/>
      <c r="AI137" s="4537"/>
      <c r="AJ137" s="4537"/>
      <c r="AK137" s="4537"/>
      <c r="AL137" s="4537"/>
      <c r="AM137" s="4537"/>
      <c r="AN137" s="4537"/>
      <c r="AO137" s="4537"/>
      <c r="AP137" s="4537"/>
      <c r="AQ137" s="4537"/>
      <c r="AR137" s="4537"/>
      <c r="AS137" s="4550"/>
      <c r="AT137" s="4550"/>
      <c r="AU137" s="4550"/>
      <c r="AV137" s="4550"/>
      <c r="AW137" s="4550"/>
      <c r="AX137" s="4550"/>
      <c r="AY137" s="4550"/>
      <c r="AZ137" s="4550"/>
      <c r="BA137" s="4550"/>
      <c r="BB137" s="4550"/>
      <c r="BC137" s="4550"/>
      <c r="BD137" s="4550"/>
      <c r="BE137" s="4550"/>
      <c r="BF137" s="4550"/>
      <c r="BG137" s="4550"/>
      <c r="BH137" s="4550"/>
      <c r="BI137" s="4550"/>
      <c r="BJ137" s="4550"/>
      <c r="BK137" s="4550"/>
      <c r="BL137" s="4550"/>
      <c r="BM137" s="4550"/>
      <c r="BN137" s="4550"/>
      <c r="BO137" s="4550"/>
      <c r="BP137" s="4550"/>
      <c r="BQ137" s="4550"/>
      <c r="BR137" s="4550"/>
      <c r="BS137" s="4550"/>
      <c r="BT137" s="4550"/>
      <c r="BU137" s="4550"/>
      <c r="BV137" s="4550"/>
      <c r="BW137" s="4550"/>
      <c r="BX137" s="4550"/>
      <c r="BY137" s="4550"/>
      <c r="BZ137" s="4550"/>
      <c r="CA137" s="4550"/>
      <c r="CB137" s="4550"/>
      <c r="CC137" s="4550"/>
      <c r="CD137" s="4550"/>
      <c r="CE137" s="4550"/>
      <c r="CF137" s="4550"/>
      <c r="CG137" s="4550"/>
      <c r="CH137" s="4550"/>
      <c r="CI137" s="4550"/>
      <c r="CJ137" s="4550"/>
      <c r="CK137" s="4550"/>
      <c r="CL137" s="4550"/>
      <c r="CM137" s="4550"/>
      <c r="CN137" s="4550"/>
      <c r="CO137" s="4550"/>
      <c r="CP137" s="4550"/>
      <c r="CQ137" s="4550"/>
      <c r="CR137" s="4550"/>
      <c r="CS137" s="4550"/>
      <c r="CT137" s="4550"/>
      <c r="CU137" s="4550"/>
      <c r="CV137" s="4550"/>
      <c r="CW137" s="4550"/>
      <c r="CX137" s="4550"/>
      <c r="CY137" s="4550"/>
      <c r="CZ137" s="4550"/>
      <c r="DA137" s="4550"/>
      <c r="DB137" s="4550"/>
      <c r="DC137" s="4550"/>
      <c r="DD137" s="4550"/>
      <c r="DE137" s="4550"/>
      <c r="DF137" s="4550"/>
      <c r="DG137" s="4550"/>
      <c r="DH137" s="4550"/>
      <c r="DI137" s="4550"/>
      <c r="DJ137" s="4550"/>
      <c r="DK137" s="4550"/>
      <c r="DL137" s="4550"/>
      <c r="DM137" s="4550"/>
      <c r="DN137" s="4550"/>
      <c r="DO137" s="4550"/>
      <c r="DP137" s="4550"/>
      <c r="DQ137" s="4550"/>
      <c r="DR137" s="4550"/>
      <c r="DS137" s="4550"/>
      <c r="DT137" s="4550"/>
      <c r="DU137" s="4550"/>
      <c r="DV137" s="4550"/>
      <c r="DW137" s="4550"/>
      <c r="DX137" s="4550"/>
      <c r="DY137" s="4550"/>
      <c r="DZ137" s="4550"/>
      <c r="EA137" s="4550"/>
      <c r="EB137" s="4550"/>
      <c r="EC137" s="4550"/>
      <c r="ED137" s="4550"/>
      <c r="EE137" s="4550"/>
      <c r="EF137" s="4550"/>
      <c r="EG137" s="4550"/>
      <c r="EH137" s="4550"/>
      <c r="EI137" s="4550"/>
      <c r="EJ137" s="4550"/>
      <c r="EK137" s="4550"/>
      <c r="EL137" s="4550"/>
      <c r="EM137" s="4550"/>
      <c r="EN137" s="4550"/>
      <c r="EO137" s="4550"/>
      <c r="EP137" s="4550"/>
      <c r="EQ137" s="4550"/>
      <c r="ER137" s="4550"/>
      <c r="ES137" s="4550"/>
      <c r="ET137" s="4550"/>
      <c r="EU137" s="4550"/>
      <c r="EV137" s="4550"/>
      <c r="EW137" s="4550"/>
      <c r="EX137" s="4550"/>
      <c r="EY137" s="4550"/>
      <c r="EZ137" s="4550"/>
      <c r="FA137" s="4550"/>
      <c r="FB137" s="4550"/>
      <c r="FC137" s="4550"/>
      <c r="FD137" s="4550"/>
      <c r="FE137" s="4550"/>
      <c r="FF137" s="4550"/>
      <c r="FG137" s="4550"/>
      <c r="FH137" s="4550"/>
      <c r="FI137" s="4550"/>
      <c r="FJ137" s="4550"/>
      <c r="FK137" s="4550"/>
      <c r="FL137" s="4550"/>
      <c r="FM137" s="4550"/>
      <c r="FN137" s="4550"/>
      <c r="FO137" s="4550"/>
      <c r="FP137" s="4550"/>
      <c r="FQ137" s="4550"/>
      <c r="FR137" s="4550"/>
      <c r="FS137" s="4550"/>
      <c r="FT137" s="4550"/>
      <c r="FU137" s="4550"/>
      <c r="FV137" s="4550"/>
      <c r="FW137" s="4550"/>
      <c r="FX137" s="4550"/>
      <c r="FY137" s="4550"/>
      <c r="FZ137" s="4550"/>
      <c r="GA137" s="4550"/>
      <c r="GB137" s="4550"/>
      <c r="GC137" s="4550"/>
      <c r="GD137" s="4550"/>
      <c r="GE137" s="4550"/>
      <c r="GF137" s="4550"/>
      <c r="GG137" s="4550"/>
      <c r="GH137" s="4550"/>
      <c r="GI137" s="4550"/>
      <c r="GJ137" s="4550"/>
      <c r="GK137" s="4550"/>
      <c r="GL137" s="4550"/>
      <c r="GM137" s="4550"/>
      <c r="GN137" s="4550"/>
      <c r="GO137" s="4550"/>
      <c r="GP137" s="4550"/>
      <c r="GQ137" s="4550"/>
      <c r="GR137" s="4550"/>
      <c r="GS137" s="4550"/>
      <c r="GT137" s="4550"/>
      <c r="GU137" s="4550"/>
      <c r="GV137" s="4550"/>
      <c r="GW137" s="4550"/>
      <c r="GX137" s="4550"/>
      <c r="GY137" s="4550"/>
      <c r="GZ137" s="4550"/>
      <c r="HA137" s="4550"/>
      <c r="HB137" s="4550"/>
      <c r="HC137" s="4550"/>
      <c r="HD137" s="4550"/>
      <c r="HE137" s="4550"/>
      <c r="HF137" s="4550"/>
      <c r="HG137" s="4550"/>
      <c r="HH137" s="4550"/>
      <c r="HI137" s="4550"/>
      <c r="HJ137" s="4550"/>
      <c r="HK137" s="4550"/>
      <c r="HL137" s="4550"/>
      <c r="HM137" s="4550"/>
      <c r="HN137" s="4550"/>
      <c r="HO137" s="4550"/>
      <c r="HP137" s="4550"/>
      <c r="HQ137" s="4550"/>
      <c r="HR137" s="4550"/>
      <c r="HS137" s="4550"/>
      <c r="HT137" s="4550"/>
      <c r="HU137" s="4550"/>
      <c r="HV137" s="4550"/>
      <c r="HW137" s="4550"/>
      <c r="HX137" s="4550"/>
      <c r="HY137" s="4550"/>
      <c r="HZ137" s="4550"/>
      <c r="IA137" s="4550"/>
      <c r="IB137" s="4550"/>
      <c r="IC137" s="4550"/>
      <c r="ID137" s="4550"/>
      <c r="IE137" s="4550"/>
    </row>
    <row r="138" spans="1:239" s="4549" customFormat="1" ht="13.5" customHeight="1">
      <c r="A138" s="4167">
        <v>3.15</v>
      </c>
      <c r="B138" s="4728" t="s">
        <v>4124</v>
      </c>
      <c r="C138" s="4727">
        <v>1</v>
      </c>
      <c r="D138" s="4600" t="s">
        <v>2433</v>
      </c>
      <c r="E138" s="4965"/>
      <c r="F138" s="4965">
        <f t="shared" si="3"/>
        <v>0</v>
      </c>
      <c r="G138" s="4537"/>
      <c r="H138" s="4537"/>
      <c r="I138" s="4537"/>
      <c r="J138" s="4537"/>
      <c r="K138" s="4537"/>
      <c r="L138" s="4537"/>
      <c r="M138" s="4537"/>
      <c r="N138" s="4537"/>
      <c r="O138" s="4537"/>
      <c r="P138" s="4537"/>
      <c r="Q138" s="4537"/>
      <c r="R138" s="4537"/>
      <c r="S138" s="4537"/>
      <c r="T138" s="4537"/>
      <c r="U138" s="4537"/>
      <c r="V138" s="4537"/>
      <c r="W138" s="4537"/>
      <c r="X138" s="4537"/>
      <c r="Y138" s="4537"/>
      <c r="Z138" s="4537"/>
      <c r="AA138" s="4537"/>
      <c r="AB138" s="4537"/>
      <c r="AC138" s="4537"/>
      <c r="AD138" s="4537"/>
      <c r="AE138" s="4537"/>
      <c r="AF138" s="4537"/>
      <c r="AG138" s="4537"/>
      <c r="AH138" s="4537"/>
      <c r="AI138" s="4537"/>
      <c r="AJ138" s="4537"/>
      <c r="AK138" s="4537"/>
      <c r="AL138" s="4537"/>
      <c r="AM138" s="4537"/>
      <c r="AN138" s="4537"/>
      <c r="AO138" s="4537"/>
      <c r="AP138" s="4537"/>
      <c r="AQ138" s="4537"/>
      <c r="AR138" s="4537"/>
      <c r="AS138" s="4550"/>
      <c r="AT138" s="4550"/>
      <c r="AU138" s="4550"/>
      <c r="AV138" s="4550"/>
      <c r="AW138" s="4550"/>
      <c r="AX138" s="4550"/>
      <c r="AY138" s="4550"/>
      <c r="AZ138" s="4550"/>
      <c r="BA138" s="4550"/>
      <c r="BB138" s="4550"/>
      <c r="BC138" s="4550"/>
      <c r="BD138" s="4550"/>
      <c r="BE138" s="4550"/>
      <c r="BF138" s="4550"/>
      <c r="BG138" s="4550"/>
      <c r="BH138" s="4550"/>
      <c r="BI138" s="4550"/>
      <c r="BJ138" s="4550"/>
      <c r="BK138" s="4550"/>
      <c r="BL138" s="4550"/>
      <c r="BM138" s="4550"/>
      <c r="BN138" s="4550"/>
      <c r="BO138" s="4550"/>
      <c r="BP138" s="4550"/>
      <c r="BQ138" s="4550"/>
      <c r="BR138" s="4550"/>
      <c r="BS138" s="4550"/>
      <c r="BT138" s="4550"/>
      <c r="BU138" s="4550"/>
      <c r="BV138" s="4550"/>
      <c r="BW138" s="4550"/>
      <c r="BX138" s="4550"/>
      <c r="BY138" s="4550"/>
      <c r="BZ138" s="4550"/>
      <c r="CA138" s="4550"/>
      <c r="CB138" s="4550"/>
      <c r="CC138" s="4550"/>
      <c r="CD138" s="4550"/>
      <c r="CE138" s="4550"/>
      <c r="CF138" s="4550"/>
      <c r="CG138" s="4550"/>
      <c r="CH138" s="4550"/>
      <c r="CI138" s="4550"/>
      <c r="CJ138" s="4550"/>
      <c r="CK138" s="4550"/>
      <c r="CL138" s="4550"/>
      <c r="CM138" s="4550"/>
      <c r="CN138" s="4550"/>
      <c r="CO138" s="4550"/>
      <c r="CP138" s="4550"/>
      <c r="CQ138" s="4550"/>
      <c r="CR138" s="4550"/>
      <c r="CS138" s="4550"/>
      <c r="CT138" s="4550"/>
      <c r="CU138" s="4550"/>
      <c r="CV138" s="4550"/>
      <c r="CW138" s="4550"/>
      <c r="CX138" s="4550"/>
      <c r="CY138" s="4550"/>
      <c r="CZ138" s="4550"/>
      <c r="DA138" s="4550"/>
      <c r="DB138" s="4550"/>
      <c r="DC138" s="4550"/>
      <c r="DD138" s="4550"/>
      <c r="DE138" s="4550"/>
      <c r="DF138" s="4550"/>
      <c r="DG138" s="4550"/>
      <c r="DH138" s="4550"/>
      <c r="DI138" s="4550"/>
      <c r="DJ138" s="4550"/>
      <c r="DK138" s="4550"/>
      <c r="DL138" s="4550"/>
      <c r="DM138" s="4550"/>
      <c r="DN138" s="4550"/>
      <c r="DO138" s="4550"/>
      <c r="DP138" s="4550"/>
      <c r="DQ138" s="4550"/>
      <c r="DR138" s="4550"/>
      <c r="DS138" s="4550"/>
      <c r="DT138" s="4550"/>
      <c r="DU138" s="4550"/>
      <c r="DV138" s="4550"/>
      <c r="DW138" s="4550"/>
      <c r="DX138" s="4550"/>
      <c r="DY138" s="4550"/>
      <c r="DZ138" s="4550"/>
      <c r="EA138" s="4550"/>
      <c r="EB138" s="4550"/>
      <c r="EC138" s="4550"/>
      <c r="ED138" s="4550"/>
      <c r="EE138" s="4550"/>
      <c r="EF138" s="4550"/>
      <c r="EG138" s="4550"/>
      <c r="EH138" s="4550"/>
      <c r="EI138" s="4550"/>
      <c r="EJ138" s="4550"/>
      <c r="EK138" s="4550"/>
      <c r="EL138" s="4550"/>
      <c r="EM138" s="4550"/>
      <c r="EN138" s="4550"/>
      <c r="EO138" s="4550"/>
      <c r="EP138" s="4550"/>
      <c r="EQ138" s="4550"/>
      <c r="ER138" s="4550"/>
      <c r="ES138" s="4550"/>
      <c r="ET138" s="4550"/>
      <c r="EU138" s="4550"/>
      <c r="EV138" s="4550"/>
      <c r="EW138" s="4550"/>
      <c r="EX138" s="4550"/>
      <c r="EY138" s="4550"/>
      <c r="EZ138" s="4550"/>
      <c r="FA138" s="4550"/>
      <c r="FB138" s="4550"/>
      <c r="FC138" s="4550"/>
      <c r="FD138" s="4550"/>
      <c r="FE138" s="4550"/>
      <c r="FF138" s="4550"/>
      <c r="FG138" s="4550"/>
      <c r="FH138" s="4550"/>
      <c r="FI138" s="4550"/>
      <c r="FJ138" s="4550"/>
      <c r="FK138" s="4550"/>
      <c r="FL138" s="4550"/>
      <c r="FM138" s="4550"/>
      <c r="FN138" s="4550"/>
      <c r="FO138" s="4550"/>
      <c r="FP138" s="4550"/>
      <c r="FQ138" s="4550"/>
      <c r="FR138" s="4550"/>
      <c r="FS138" s="4550"/>
      <c r="FT138" s="4550"/>
      <c r="FU138" s="4550"/>
      <c r="FV138" s="4550"/>
      <c r="FW138" s="4550"/>
      <c r="FX138" s="4550"/>
      <c r="FY138" s="4550"/>
      <c r="FZ138" s="4550"/>
      <c r="GA138" s="4550"/>
      <c r="GB138" s="4550"/>
      <c r="GC138" s="4550"/>
      <c r="GD138" s="4550"/>
      <c r="GE138" s="4550"/>
      <c r="GF138" s="4550"/>
      <c r="GG138" s="4550"/>
      <c r="GH138" s="4550"/>
      <c r="GI138" s="4550"/>
      <c r="GJ138" s="4550"/>
      <c r="GK138" s="4550"/>
      <c r="GL138" s="4550"/>
      <c r="GM138" s="4550"/>
      <c r="GN138" s="4550"/>
      <c r="GO138" s="4550"/>
      <c r="GP138" s="4550"/>
      <c r="GQ138" s="4550"/>
      <c r="GR138" s="4550"/>
      <c r="GS138" s="4550"/>
      <c r="GT138" s="4550"/>
      <c r="GU138" s="4550"/>
      <c r="GV138" s="4550"/>
      <c r="GW138" s="4550"/>
      <c r="GX138" s="4550"/>
      <c r="GY138" s="4550"/>
      <c r="GZ138" s="4550"/>
      <c r="HA138" s="4550"/>
      <c r="HB138" s="4550"/>
      <c r="HC138" s="4550"/>
      <c r="HD138" s="4550"/>
      <c r="HE138" s="4550"/>
      <c r="HF138" s="4550"/>
      <c r="HG138" s="4550"/>
      <c r="HH138" s="4550"/>
      <c r="HI138" s="4550"/>
      <c r="HJ138" s="4550"/>
      <c r="HK138" s="4550"/>
      <c r="HL138" s="4550"/>
      <c r="HM138" s="4550"/>
      <c r="HN138" s="4550"/>
      <c r="HO138" s="4550"/>
      <c r="HP138" s="4550"/>
      <c r="HQ138" s="4550"/>
      <c r="HR138" s="4550"/>
      <c r="HS138" s="4550"/>
      <c r="HT138" s="4550"/>
      <c r="HU138" s="4550"/>
      <c r="HV138" s="4550"/>
      <c r="HW138" s="4550"/>
      <c r="HX138" s="4550"/>
      <c r="HY138" s="4550"/>
      <c r="HZ138" s="4550"/>
      <c r="IA138" s="4550"/>
      <c r="IB138" s="4550"/>
      <c r="IC138" s="4550"/>
      <c r="ID138" s="4550"/>
      <c r="IE138" s="4550"/>
    </row>
    <row r="139" spans="1:239" s="4549" customFormat="1" ht="13.5" customHeight="1">
      <c r="A139" s="4677">
        <v>3.16</v>
      </c>
      <c r="B139" s="4728" t="s">
        <v>4495</v>
      </c>
      <c r="C139" s="4727">
        <v>1</v>
      </c>
      <c r="D139" s="4600" t="s">
        <v>2433</v>
      </c>
      <c r="E139" s="4982"/>
      <c r="F139" s="4965">
        <f t="shared" si="3"/>
        <v>0</v>
      </c>
      <c r="G139" s="4537"/>
      <c r="H139" s="4537"/>
      <c r="I139" s="4537"/>
      <c r="J139" s="4537"/>
      <c r="K139" s="4537"/>
      <c r="L139" s="4537"/>
      <c r="M139" s="4537"/>
      <c r="N139" s="4537"/>
      <c r="O139" s="4537"/>
      <c r="P139" s="4537"/>
      <c r="Q139" s="4537"/>
      <c r="R139" s="4537"/>
      <c r="S139" s="4537"/>
      <c r="T139" s="4537"/>
      <c r="U139" s="4537"/>
      <c r="V139" s="4537"/>
      <c r="W139" s="4537"/>
      <c r="X139" s="4537"/>
      <c r="Y139" s="4537"/>
      <c r="Z139" s="4537"/>
      <c r="AA139" s="4537"/>
      <c r="AB139" s="4537"/>
      <c r="AC139" s="4537"/>
      <c r="AD139" s="4537"/>
      <c r="AE139" s="4537"/>
      <c r="AF139" s="4537"/>
      <c r="AG139" s="4537"/>
      <c r="AH139" s="4537"/>
      <c r="AI139" s="4537"/>
      <c r="AJ139" s="4537"/>
      <c r="AK139" s="4537"/>
      <c r="AL139" s="4537"/>
      <c r="AM139" s="4537"/>
      <c r="AN139" s="4537"/>
      <c r="AO139" s="4537"/>
      <c r="AP139" s="4537"/>
      <c r="AQ139" s="4537"/>
      <c r="AR139" s="4537"/>
      <c r="AS139" s="4550"/>
      <c r="AT139" s="4550"/>
      <c r="AU139" s="4550"/>
      <c r="AV139" s="4550"/>
      <c r="AW139" s="4550"/>
      <c r="AX139" s="4550"/>
      <c r="AY139" s="4550"/>
      <c r="AZ139" s="4550"/>
      <c r="BA139" s="4550"/>
      <c r="BB139" s="4550"/>
      <c r="BC139" s="4550"/>
      <c r="BD139" s="4550"/>
      <c r="BE139" s="4550"/>
      <c r="BF139" s="4550"/>
      <c r="BG139" s="4550"/>
      <c r="BH139" s="4550"/>
      <c r="BI139" s="4550"/>
      <c r="BJ139" s="4550"/>
      <c r="BK139" s="4550"/>
      <c r="BL139" s="4550"/>
      <c r="BM139" s="4550"/>
      <c r="BN139" s="4550"/>
      <c r="BO139" s="4550"/>
      <c r="BP139" s="4550"/>
      <c r="BQ139" s="4550"/>
      <c r="BR139" s="4550"/>
      <c r="BS139" s="4550"/>
      <c r="BT139" s="4550"/>
      <c r="BU139" s="4550"/>
      <c r="BV139" s="4550"/>
      <c r="BW139" s="4550"/>
      <c r="BX139" s="4550"/>
      <c r="BY139" s="4550"/>
      <c r="BZ139" s="4550"/>
      <c r="CA139" s="4550"/>
      <c r="CB139" s="4550"/>
      <c r="CC139" s="4550"/>
      <c r="CD139" s="4550"/>
      <c r="CE139" s="4550"/>
      <c r="CF139" s="4550"/>
      <c r="CG139" s="4550"/>
      <c r="CH139" s="4550"/>
      <c r="CI139" s="4550"/>
      <c r="CJ139" s="4550"/>
      <c r="CK139" s="4550"/>
      <c r="CL139" s="4550"/>
      <c r="CM139" s="4550"/>
      <c r="CN139" s="4550"/>
      <c r="CO139" s="4550"/>
      <c r="CP139" s="4550"/>
      <c r="CQ139" s="4550"/>
      <c r="CR139" s="4550"/>
      <c r="CS139" s="4550"/>
      <c r="CT139" s="4550"/>
      <c r="CU139" s="4550"/>
      <c r="CV139" s="4550"/>
      <c r="CW139" s="4550"/>
      <c r="CX139" s="4550"/>
      <c r="CY139" s="4550"/>
      <c r="CZ139" s="4550"/>
      <c r="DA139" s="4550"/>
      <c r="DB139" s="4550"/>
      <c r="DC139" s="4550"/>
      <c r="DD139" s="4550"/>
      <c r="DE139" s="4550"/>
      <c r="DF139" s="4550"/>
      <c r="DG139" s="4550"/>
      <c r="DH139" s="4550"/>
      <c r="DI139" s="4550"/>
      <c r="DJ139" s="4550"/>
      <c r="DK139" s="4550"/>
      <c r="DL139" s="4550"/>
      <c r="DM139" s="4550"/>
      <c r="DN139" s="4550"/>
      <c r="DO139" s="4550"/>
      <c r="DP139" s="4550"/>
      <c r="DQ139" s="4550"/>
      <c r="DR139" s="4550"/>
      <c r="DS139" s="4550"/>
      <c r="DT139" s="4550"/>
      <c r="DU139" s="4550"/>
      <c r="DV139" s="4550"/>
      <c r="DW139" s="4550"/>
      <c r="DX139" s="4550"/>
      <c r="DY139" s="4550"/>
      <c r="DZ139" s="4550"/>
      <c r="EA139" s="4550"/>
      <c r="EB139" s="4550"/>
      <c r="EC139" s="4550"/>
      <c r="ED139" s="4550"/>
      <c r="EE139" s="4550"/>
      <c r="EF139" s="4550"/>
      <c r="EG139" s="4550"/>
      <c r="EH139" s="4550"/>
      <c r="EI139" s="4550"/>
      <c r="EJ139" s="4550"/>
      <c r="EK139" s="4550"/>
      <c r="EL139" s="4550"/>
      <c r="EM139" s="4550"/>
      <c r="EN139" s="4550"/>
      <c r="EO139" s="4550"/>
      <c r="EP139" s="4550"/>
      <c r="EQ139" s="4550"/>
      <c r="ER139" s="4550"/>
      <c r="ES139" s="4550"/>
      <c r="ET139" s="4550"/>
      <c r="EU139" s="4550"/>
      <c r="EV139" s="4550"/>
      <c r="EW139" s="4550"/>
      <c r="EX139" s="4550"/>
      <c r="EY139" s="4550"/>
      <c r="EZ139" s="4550"/>
      <c r="FA139" s="4550"/>
      <c r="FB139" s="4550"/>
      <c r="FC139" s="4550"/>
      <c r="FD139" s="4550"/>
      <c r="FE139" s="4550"/>
      <c r="FF139" s="4550"/>
      <c r="FG139" s="4550"/>
      <c r="FH139" s="4550"/>
      <c r="FI139" s="4550"/>
      <c r="FJ139" s="4550"/>
      <c r="FK139" s="4550"/>
      <c r="FL139" s="4550"/>
      <c r="FM139" s="4550"/>
      <c r="FN139" s="4550"/>
      <c r="FO139" s="4550"/>
      <c r="FP139" s="4550"/>
      <c r="FQ139" s="4550"/>
      <c r="FR139" s="4550"/>
      <c r="FS139" s="4550"/>
      <c r="FT139" s="4550"/>
      <c r="FU139" s="4550"/>
      <c r="FV139" s="4550"/>
      <c r="FW139" s="4550"/>
      <c r="FX139" s="4550"/>
      <c r="FY139" s="4550"/>
      <c r="FZ139" s="4550"/>
      <c r="GA139" s="4550"/>
      <c r="GB139" s="4550"/>
      <c r="GC139" s="4550"/>
      <c r="GD139" s="4550"/>
      <c r="GE139" s="4550"/>
      <c r="GF139" s="4550"/>
      <c r="GG139" s="4550"/>
      <c r="GH139" s="4550"/>
      <c r="GI139" s="4550"/>
      <c r="GJ139" s="4550"/>
      <c r="GK139" s="4550"/>
      <c r="GL139" s="4550"/>
      <c r="GM139" s="4550"/>
      <c r="GN139" s="4550"/>
      <c r="GO139" s="4550"/>
      <c r="GP139" s="4550"/>
      <c r="GQ139" s="4550"/>
      <c r="GR139" s="4550"/>
      <c r="GS139" s="4550"/>
      <c r="GT139" s="4550"/>
      <c r="GU139" s="4550"/>
      <c r="GV139" s="4550"/>
      <c r="GW139" s="4550"/>
      <c r="GX139" s="4550"/>
      <c r="GY139" s="4550"/>
      <c r="GZ139" s="4550"/>
      <c r="HA139" s="4550"/>
      <c r="HB139" s="4550"/>
      <c r="HC139" s="4550"/>
      <c r="HD139" s="4550"/>
      <c r="HE139" s="4550"/>
      <c r="HF139" s="4550"/>
      <c r="HG139" s="4550"/>
      <c r="HH139" s="4550"/>
      <c r="HI139" s="4550"/>
      <c r="HJ139" s="4550"/>
      <c r="HK139" s="4550"/>
      <c r="HL139" s="4550"/>
      <c r="HM139" s="4550"/>
      <c r="HN139" s="4550"/>
      <c r="HO139" s="4550"/>
      <c r="HP139" s="4550"/>
      <c r="HQ139" s="4550"/>
      <c r="HR139" s="4550"/>
      <c r="HS139" s="4550"/>
      <c r="HT139" s="4550"/>
      <c r="HU139" s="4550"/>
      <c r="HV139" s="4550"/>
      <c r="HW139" s="4550"/>
      <c r="HX139" s="4550"/>
      <c r="HY139" s="4550"/>
      <c r="HZ139" s="4550"/>
      <c r="IA139" s="4550"/>
      <c r="IB139" s="4550"/>
      <c r="IC139" s="4550"/>
      <c r="ID139" s="4550"/>
      <c r="IE139" s="4550"/>
    </row>
    <row r="140" spans="1:239" s="4549" customFormat="1" ht="13.5" customHeight="1">
      <c r="A140" s="4167">
        <v>3.17</v>
      </c>
      <c r="B140" s="4728" t="s">
        <v>4496</v>
      </c>
      <c r="C140" s="4727">
        <v>2</v>
      </c>
      <c r="D140" s="4600" t="s">
        <v>2433</v>
      </c>
      <c r="E140" s="4965"/>
      <c r="F140" s="4965">
        <f t="shared" si="3"/>
        <v>0</v>
      </c>
      <c r="G140" s="4537"/>
      <c r="H140" s="4537"/>
      <c r="I140" s="4537"/>
      <c r="J140" s="4537"/>
      <c r="K140" s="4537"/>
      <c r="L140" s="4537"/>
      <c r="M140" s="4537"/>
      <c r="N140" s="4537"/>
      <c r="O140" s="4537"/>
      <c r="P140" s="4537"/>
      <c r="Q140" s="4537"/>
      <c r="R140" s="4537"/>
      <c r="S140" s="4537"/>
      <c r="T140" s="4537"/>
      <c r="U140" s="4537"/>
      <c r="V140" s="4537"/>
      <c r="W140" s="4537"/>
      <c r="X140" s="4537"/>
      <c r="Y140" s="4537"/>
      <c r="Z140" s="4537"/>
      <c r="AA140" s="4537"/>
      <c r="AB140" s="4537"/>
      <c r="AC140" s="4537"/>
      <c r="AD140" s="4537"/>
      <c r="AE140" s="4537"/>
      <c r="AF140" s="4537"/>
      <c r="AG140" s="4537"/>
      <c r="AH140" s="4537"/>
      <c r="AI140" s="4537"/>
      <c r="AJ140" s="4537"/>
      <c r="AK140" s="4537"/>
      <c r="AL140" s="4537"/>
      <c r="AM140" s="4537"/>
      <c r="AN140" s="4537"/>
      <c r="AO140" s="4537"/>
      <c r="AP140" s="4537"/>
      <c r="AQ140" s="4537"/>
      <c r="AR140" s="4537"/>
      <c r="AS140" s="4550"/>
      <c r="AT140" s="4550"/>
      <c r="AU140" s="4550"/>
      <c r="AV140" s="4550"/>
      <c r="AW140" s="4550"/>
      <c r="AX140" s="4550"/>
      <c r="AY140" s="4550"/>
      <c r="AZ140" s="4550"/>
      <c r="BA140" s="4550"/>
      <c r="BB140" s="4550"/>
      <c r="BC140" s="4550"/>
      <c r="BD140" s="4550"/>
      <c r="BE140" s="4550"/>
      <c r="BF140" s="4550"/>
      <c r="BG140" s="4550"/>
      <c r="BH140" s="4550"/>
      <c r="BI140" s="4550"/>
      <c r="BJ140" s="4550"/>
      <c r="BK140" s="4550"/>
      <c r="BL140" s="4550"/>
      <c r="BM140" s="4550"/>
      <c r="BN140" s="4550"/>
      <c r="BO140" s="4550"/>
      <c r="BP140" s="4550"/>
      <c r="BQ140" s="4550"/>
      <c r="BR140" s="4550"/>
      <c r="BS140" s="4550"/>
      <c r="BT140" s="4550"/>
      <c r="BU140" s="4550"/>
      <c r="BV140" s="4550"/>
      <c r="BW140" s="4550"/>
      <c r="BX140" s="4550"/>
      <c r="BY140" s="4550"/>
      <c r="BZ140" s="4550"/>
      <c r="CA140" s="4550"/>
      <c r="CB140" s="4550"/>
      <c r="CC140" s="4550"/>
      <c r="CD140" s="4550"/>
      <c r="CE140" s="4550"/>
      <c r="CF140" s="4550"/>
      <c r="CG140" s="4550"/>
      <c r="CH140" s="4550"/>
      <c r="CI140" s="4550"/>
      <c r="CJ140" s="4550"/>
      <c r="CK140" s="4550"/>
      <c r="CL140" s="4550"/>
      <c r="CM140" s="4550"/>
      <c r="CN140" s="4550"/>
      <c r="CO140" s="4550"/>
      <c r="CP140" s="4550"/>
      <c r="CQ140" s="4550"/>
      <c r="CR140" s="4550"/>
      <c r="CS140" s="4550"/>
      <c r="CT140" s="4550"/>
      <c r="CU140" s="4550"/>
      <c r="CV140" s="4550"/>
      <c r="CW140" s="4550"/>
      <c r="CX140" s="4550"/>
      <c r="CY140" s="4550"/>
      <c r="CZ140" s="4550"/>
      <c r="DA140" s="4550"/>
      <c r="DB140" s="4550"/>
      <c r="DC140" s="4550"/>
      <c r="DD140" s="4550"/>
      <c r="DE140" s="4550"/>
      <c r="DF140" s="4550"/>
      <c r="DG140" s="4550"/>
      <c r="DH140" s="4550"/>
      <c r="DI140" s="4550"/>
      <c r="DJ140" s="4550"/>
      <c r="DK140" s="4550"/>
      <c r="DL140" s="4550"/>
      <c r="DM140" s="4550"/>
      <c r="DN140" s="4550"/>
      <c r="DO140" s="4550"/>
      <c r="DP140" s="4550"/>
      <c r="DQ140" s="4550"/>
      <c r="DR140" s="4550"/>
      <c r="DS140" s="4550"/>
      <c r="DT140" s="4550"/>
      <c r="DU140" s="4550"/>
      <c r="DV140" s="4550"/>
      <c r="DW140" s="4550"/>
      <c r="DX140" s="4550"/>
      <c r="DY140" s="4550"/>
      <c r="DZ140" s="4550"/>
      <c r="EA140" s="4550"/>
      <c r="EB140" s="4550"/>
      <c r="EC140" s="4550"/>
      <c r="ED140" s="4550"/>
      <c r="EE140" s="4550"/>
      <c r="EF140" s="4550"/>
      <c r="EG140" s="4550"/>
      <c r="EH140" s="4550"/>
      <c r="EI140" s="4550"/>
      <c r="EJ140" s="4550"/>
      <c r="EK140" s="4550"/>
      <c r="EL140" s="4550"/>
      <c r="EM140" s="4550"/>
      <c r="EN140" s="4550"/>
      <c r="EO140" s="4550"/>
      <c r="EP140" s="4550"/>
      <c r="EQ140" s="4550"/>
      <c r="ER140" s="4550"/>
      <c r="ES140" s="4550"/>
      <c r="ET140" s="4550"/>
      <c r="EU140" s="4550"/>
      <c r="EV140" s="4550"/>
      <c r="EW140" s="4550"/>
      <c r="EX140" s="4550"/>
      <c r="EY140" s="4550"/>
      <c r="EZ140" s="4550"/>
      <c r="FA140" s="4550"/>
      <c r="FB140" s="4550"/>
      <c r="FC140" s="4550"/>
      <c r="FD140" s="4550"/>
      <c r="FE140" s="4550"/>
      <c r="FF140" s="4550"/>
      <c r="FG140" s="4550"/>
      <c r="FH140" s="4550"/>
      <c r="FI140" s="4550"/>
      <c r="FJ140" s="4550"/>
      <c r="FK140" s="4550"/>
      <c r="FL140" s="4550"/>
      <c r="FM140" s="4550"/>
      <c r="FN140" s="4550"/>
      <c r="FO140" s="4550"/>
      <c r="FP140" s="4550"/>
      <c r="FQ140" s="4550"/>
      <c r="FR140" s="4550"/>
      <c r="FS140" s="4550"/>
      <c r="FT140" s="4550"/>
      <c r="FU140" s="4550"/>
      <c r="FV140" s="4550"/>
      <c r="FW140" s="4550"/>
      <c r="FX140" s="4550"/>
      <c r="FY140" s="4550"/>
      <c r="FZ140" s="4550"/>
      <c r="GA140" s="4550"/>
      <c r="GB140" s="4550"/>
      <c r="GC140" s="4550"/>
      <c r="GD140" s="4550"/>
      <c r="GE140" s="4550"/>
      <c r="GF140" s="4550"/>
      <c r="GG140" s="4550"/>
      <c r="GH140" s="4550"/>
      <c r="GI140" s="4550"/>
      <c r="GJ140" s="4550"/>
      <c r="GK140" s="4550"/>
      <c r="GL140" s="4550"/>
      <c r="GM140" s="4550"/>
      <c r="GN140" s="4550"/>
      <c r="GO140" s="4550"/>
      <c r="GP140" s="4550"/>
      <c r="GQ140" s="4550"/>
      <c r="GR140" s="4550"/>
      <c r="GS140" s="4550"/>
      <c r="GT140" s="4550"/>
      <c r="GU140" s="4550"/>
      <c r="GV140" s="4550"/>
      <c r="GW140" s="4550"/>
      <c r="GX140" s="4550"/>
      <c r="GY140" s="4550"/>
      <c r="GZ140" s="4550"/>
      <c r="HA140" s="4550"/>
      <c r="HB140" s="4550"/>
      <c r="HC140" s="4550"/>
      <c r="HD140" s="4550"/>
      <c r="HE140" s="4550"/>
      <c r="HF140" s="4550"/>
      <c r="HG140" s="4550"/>
      <c r="HH140" s="4550"/>
      <c r="HI140" s="4550"/>
      <c r="HJ140" s="4550"/>
      <c r="HK140" s="4550"/>
      <c r="HL140" s="4550"/>
      <c r="HM140" s="4550"/>
      <c r="HN140" s="4550"/>
      <c r="HO140" s="4550"/>
      <c r="HP140" s="4550"/>
      <c r="HQ140" s="4550"/>
      <c r="HR140" s="4550"/>
      <c r="HS140" s="4550"/>
      <c r="HT140" s="4550"/>
      <c r="HU140" s="4550"/>
      <c r="HV140" s="4550"/>
      <c r="HW140" s="4550"/>
      <c r="HX140" s="4550"/>
      <c r="HY140" s="4550"/>
      <c r="HZ140" s="4550"/>
      <c r="IA140" s="4550"/>
      <c r="IB140" s="4550"/>
      <c r="IC140" s="4550"/>
      <c r="ID140" s="4550"/>
      <c r="IE140" s="4550"/>
    </row>
    <row r="141" spans="1:239" s="4549" customFormat="1" ht="13.5" customHeight="1">
      <c r="A141" s="4677">
        <v>3.18</v>
      </c>
      <c r="B141" s="4728" t="s">
        <v>4125</v>
      </c>
      <c r="C141" s="4727">
        <v>2</v>
      </c>
      <c r="D141" s="4600" t="s">
        <v>2433</v>
      </c>
      <c r="E141" s="4965"/>
      <c r="F141" s="4965">
        <f t="shared" si="3"/>
        <v>0</v>
      </c>
      <c r="G141" s="4537"/>
      <c r="H141" s="4537"/>
      <c r="I141" s="4537"/>
      <c r="J141" s="4537"/>
      <c r="K141" s="4537"/>
      <c r="L141" s="4537"/>
      <c r="M141" s="4537"/>
      <c r="N141" s="4537"/>
      <c r="O141" s="4537"/>
      <c r="P141" s="4537"/>
      <c r="Q141" s="4537"/>
      <c r="R141" s="4537"/>
      <c r="S141" s="4537"/>
      <c r="T141" s="4537"/>
      <c r="U141" s="4537"/>
      <c r="V141" s="4537"/>
      <c r="W141" s="4537"/>
      <c r="X141" s="4537"/>
      <c r="Y141" s="4537"/>
      <c r="Z141" s="4537"/>
      <c r="AA141" s="4537"/>
      <c r="AB141" s="4537"/>
      <c r="AC141" s="4537"/>
      <c r="AD141" s="4537"/>
      <c r="AE141" s="4537"/>
      <c r="AF141" s="4537"/>
      <c r="AG141" s="4537"/>
      <c r="AH141" s="4537"/>
      <c r="AI141" s="4537"/>
      <c r="AJ141" s="4537"/>
      <c r="AK141" s="4537"/>
      <c r="AL141" s="4537"/>
      <c r="AM141" s="4537"/>
      <c r="AN141" s="4537"/>
      <c r="AO141" s="4537"/>
      <c r="AP141" s="4537"/>
      <c r="AQ141" s="4537"/>
      <c r="AR141" s="4537"/>
      <c r="AS141" s="4550"/>
      <c r="AT141" s="4550"/>
      <c r="AU141" s="4550"/>
      <c r="AV141" s="4550"/>
      <c r="AW141" s="4550"/>
      <c r="AX141" s="4550"/>
      <c r="AY141" s="4550"/>
      <c r="AZ141" s="4550"/>
      <c r="BA141" s="4550"/>
      <c r="BB141" s="4550"/>
      <c r="BC141" s="4550"/>
      <c r="BD141" s="4550"/>
      <c r="BE141" s="4550"/>
      <c r="BF141" s="4550"/>
      <c r="BG141" s="4550"/>
      <c r="BH141" s="4550"/>
      <c r="BI141" s="4550"/>
      <c r="BJ141" s="4550"/>
      <c r="BK141" s="4550"/>
      <c r="BL141" s="4550"/>
      <c r="BM141" s="4550"/>
      <c r="BN141" s="4550"/>
      <c r="BO141" s="4550"/>
      <c r="BP141" s="4550"/>
      <c r="BQ141" s="4550"/>
      <c r="BR141" s="4550"/>
      <c r="BS141" s="4550"/>
      <c r="BT141" s="4550"/>
      <c r="BU141" s="4550"/>
      <c r="BV141" s="4550"/>
      <c r="BW141" s="4550"/>
      <c r="BX141" s="4550"/>
      <c r="BY141" s="4550"/>
      <c r="BZ141" s="4550"/>
      <c r="CA141" s="4550"/>
      <c r="CB141" s="4550"/>
      <c r="CC141" s="4550"/>
      <c r="CD141" s="4550"/>
      <c r="CE141" s="4550"/>
      <c r="CF141" s="4550"/>
      <c r="CG141" s="4550"/>
      <c r="CH141" s="4550"/>
      <c r="CI141" s="4550"/>
      <c r="CJ141" s="4550"/>
      <c r="CK141" s="4550"/>
      <c r="CL141" s="4550"/>
      <c r="CM141" s="4550"/>
      <c r="CN141" s="4550"/>
      <c r="CO141" s="4550"/>
      <c r="CP141" s="4550"/>
      <c r="CQ141" s="4550"/>
      <c r="CR141" s="4550"/>
      <c r="CS141" s="4550"/>
      <c r="CT141" s="4550"/>
      <c r="CU141" s="4550"/>
      <c r="CV141" s="4550"/>
      <c r="CW141" s="4550"/>
      <c r="CX141" s="4550"/>
      <c r="CY141" s="4550"/>
      <c r="CZ141" s="4550"/>
      <c r="DA141" s="4550"/>
      <c r="DB141" s="4550"/>
      <c r="DC141" s="4550"/>
      <c r="DD141" s="4550"/>
      <c r="DE141" s="4550"/>
      <c r="DF141" s="4550"/>
      <c r="DG141" s="4550"/>
      <c r="DH141" s="4550"/>
      <c r="DI141" s="4550"/>
      <c r="DJ141" s="4550"/>
      <c r="DK141" s="4550"/>
      <c r="DL141" s="4550"/>
      <c r="DM141" s="4550"/>
      <c r="DN141" s="4550"/>
      <c r="DO141" s="4550"/>
      <c r="DP141" s="4550"/>
      <c r="DQ141" s="4550"/>
      <c r="DR141" s="4550"/>
      <c r="DS141" s="4550"/>
      <c r="DT141" s="4550"/>
      <c r="DU141" s="4550"/>
      <c r="DV141" s="4550"/>
      <c r="DW141" s="4550"/>
      <c r="DX141" s="4550"/>
      <c r="DY141" s="4550"/>
      <c r="DZ141" s="4550"/>
      <c r="EA141" s="4550"/>
      <c r="EB141" s="4550"/>
      <c r="EC141" s="4550"/>
      <c r="ED141" s="4550"/>
      <c r="EE141" s="4550"/>
      <c r="EF141" s="4550"/>
      <c r="EG141" s="4550"/>
      <c r="EH141" s="4550"/>
      <c r="EI141" s="4550"/>
      <c r="EJ141" s="4550"/>
      <c r="EK141" s="4550"/>
      <c r="EL141" s="4550"/>
      <c r="EM141" s="4550"/>
      <c r="EN141" s="4550"/>
      <c r="EO141" s="4550"/>
      <c r="EP141" s="4550"/>
      <c r="EQ141" s="4550"/>
      <c r="ER141" s="4550"/>
      <c r="ES141" s="4550"/>
      <c r="ET141" s="4550"/>
      <c r="EU141" s="4550"/>
      <c r="EV141" s="4550"/>
      <c r="EW141" s="4550"/>
      <c r="EX141" s="4550"/>
      <c r="EY141" s="4550"/>
      <c r="EZ141" s="4550"/>
      <c r="FA141" s="4550"/>
      <c r="FB141" s="4550"/>
      <c r="FC141" s="4550"/>
      <c r="FD141" s="4550"/>
      <c r="FE141" s="4550"/>
      <c r="FF141" s="4550"/>
      <c r="FG141" s="4550"/>
      <c r="FH141" s="4550"/>
      <c r="FI141" s="4550"/>
      <c r="FJ141" s="4550"/>
      <c r="FK141" s="4550"/>
      <c r="FL141" s="4550"/>
      <c r="FM141" s="4550"/>
      <c r="FN141" s="4550"/>
      <c r="FO141" s="4550"/>
      <c r="FP141" s="4550"/>
      <c r="FQ141" s="4550"/>
      <c r="FR141" s="4550"/>
      <c r="FS141" s="4550"/>
      <c r="FT141" s="4550"/>
      <c r="FU141" s="4550"/>
      <c r="FV141" s="4550"/>
      <c r="FW141" s="4550"/>
      <c r="FX141" s="4550"/>
      <c r="FY141" s="4550"/>
      <c r="FZ141" s="4550"/>
      <c r="GA141" s="4550"/>
      <c r="GB141" s="4550"/>
      <c r="GC141" s="4550"/>
      <c r="GD141" s="4550"/>
      <c r="GE141" s="4550"/>
      <c r="GF141" s="4550"/>
      <c r="GG141" s="4550"/>
      <c r="GH141" s="4550"/>
      <c r="GI141" s="4550"/>
      <c r="GJ141" s="4550"/>
      <c r="GK141" s="4550"/>
      <c r="GL141" s="4550"/>
      <c r="GM141" s="4550"/>
      <c r="GN141" s="4550"/>
      <c r="GO141" s="4550"/>
      <c r="GP141" s="4550"/>
      <c r="GQ141" s="4550"/>
      <c r="GR141" s="4550"/>
      <c r="GS141" s="4550"/>
      <c r="GT141" s="4550"/>
      <c r="GU141" s="4550"/>
      <c r="GV141" s="4550"/>
      <c r="GW141" s="4550"/>
      <c r="GX141" s="4550"/>
      <c r="GY141" s="4550"/>
      <c r="GZ141" s="4550"/>
      <c r="HA141" s="4550"/>
      <c r="HB141" s="4550"/>
      <c r="HC141" s="4550"/>
      <c r="HD141" s="4550"/>
      <c r="HE141" s="4550"/>
      <c r="HF141" s="4550"/>
      <c r="HG141" s="4550"/>
      <c r="HH141" s="4550"/>
      <c r="HI141" s="4550"/>
      <c r="HJ141" s="4550"/>
      <c r="HK141" s="4550"/>
      <c r="HL141" s="4550"/>
      <c r="HM141" s="4550"/>
      <c r="HN141" s="4550"/>
      <c r="HO141" s="4550"/>
      <c r="HP141" s="4550"/>
      <c r="HQ141" s="4550"/>
      <c r="HR141" s="4550"/>
      <c r="HS141" s="4550"/>
      <c r="HT141" s="4550"/>
      <c r="HU141" s="4550"/>
      <c r="HV141" s="4550"/>
      <c r="HW141" s="4550"/>
      <c r="HX141" s="4550"/>
      <c r="HY141" s="4550"/>
      <c r="HZ141" s="4550"/>
      <c r="IA141" s="4550"/>
      <c r="IB141" s="4550"/>
      <c r="IC141" s="4550"/>
      <c r="ID141" s="4550"/>
      <c r="IE141" s="4550"/>
    </row>
    <row r="142" spans="1:239" s="4549" customFormat="1" ht="13.5" customHeight="1">
      <c r="A142" s="4167">
        <v>3.19</v>
      </c>
      <c r="B142" s="4728" t="s">
        <v>4126</v>
      </c>
      <c r="C142" s="4727">
        <v>4</v>
      </c>
      <c r="D142" s="4600" t="s">
        <v>2433</v>
      </c>
      <c r="E142" s="4965"/>
      <c r="F142" s="4965">
        <f t="shared" si="3"/>
        <v>0</v>
      </c>
      <c r="G142" s="4537"/>
      <c r="H142" s="4537"/>
      <c r="I142" s="4537"/>
      <c r="J142" s="4537"/>
      <c r="K142" s="4537"/>
      <c r="L142" s="4537"/>
      <c r="M142" s="4537"/>
      <c r="N142" s="4537"/>
      <c r="O142" s="4537"/>
      <c r="P142" s="4537"/>
      <c r="Q142" s="4537"/>
      <c r="R142" s="4537"/>
      <c r="S142" s="4537"/>
      <c r="T142" s="4537"/>
      <c r="U142" s="4537"/>
      <c r="V142" s="4537"/>
      <c r="W142" s="4537"/>
      <c r="X142" s="4537"/>
      <c r="Y142" s="4537"/>
      <c r="Z142" s="4537"/>
      <c r="AA142" s="4537"/>
      <c r="AB142" s="4537"/>
      <c r="AC142" s="4537"/>
      <c r="AD142" s="4537"/>
      <c r="AE142" s="4537"/>
      <c r="AF142" s="4537"/>
      <c r="AG142" s="4537"/>
      <c r="AH142" s="4537"/>
      <c r="AI142" s="4537"/>
      <c r="AJ142" s="4537"/>
      <c r="AK142" s="4537"/>
      <c r="AL142" s="4537"/>
      <c r="AM142" s="4537"/>
      <c r="AN142" s="4537"/>
      <c r="AO142" s="4537"/>
      <c r="AP142" s="4537"/>
      <c r="AQ142" s="4537"/>
      <c r="AR142" s="4537"/>
      <c r="AS142" s="4550"/>
      <c r="AT142" s="4550"/>
      <c r="AU142" s="4550"/>
      <c r="AV142" s="4550"/>
      <c r="AW142" s="4550"/>
      <c r="AX142" s="4550"/>
      <c r="AY142" s="4550"/>
      <c r="AZ142" s="4550"/>
      <c r="BA142" s="4550"/>
      <c r="BB142" s="4550"/>
      <c r="BC142" s="4550"/>
      <c r="BD142" s="4550"/>
      <c r="BE142" s="4550"/>
      <c r="BF142" s="4550"/>
      <c r="BG142" s="4550"/>
      <c r="BH142" s="4550"/>
      <c r="BI142" s="4550"/>
      <c r="BJ142" s="4550"/>
      <c r="BK142" s="4550"/>
      <c r="BL142" s="4550"/>
      <c r="BM142" s="4550"/>
      <c r="BN142" s="4550"/>
      <c r="BO142" s="4550"/>
      <c r="BP142" s="4550"/>
      <c r="BQ142" s="4550"/>
      <c r="BR142" s="4550"/>
      <c r="BS142" s="4550"/>
      <c r="BT142" s="4550"/>
      <c r="BU142" s="4550"/>
      <c r="BV142" s="4550"/>
      <c r="BW142" s="4550"/>
      <c r="BX142" s="4550"/>
      <c r="BY142" s="4550"/>
      <c r="BZ142" s="4550"/>
      <c r="CA142" s="4550"/>
      <c r="CB142" s="4550"/>
      <c r="CC142" s="4550"/>
      <c r="CD142" s="4550"/>
      <c r="CE142" s="4550"/>
      <c r="CF142" s="4550"/>
      <c r="CG142" s="4550"/>
      <c r="CH142" s="4550"/>
      <c r="CI142" s="4550"/>
      <c r="CJ142" s="4550"/>
      <c r="CK142" s="4550"/>
      <c r="CL142" s="4550"/>
      <c r="CM142" s="4550"/>
      <c r="CN142" s="4550"/>
      <c r="CO142" s="4550"/>
      <c r="CP142" s="4550"/>
      <c r="CQ142" s="4550"/>
      <c r="CR142" s="4550"/>
      <c r="CS142" s="4550"/>
      <c r="CT142" s="4550"/>
      <c r="CU142" s="4550"/>
      <c r="CV142" s="4550"/>
      <c r="CW142" s="4550"/>
      <c r="CX142" s="4550"/>
      <c r="CY142" s="4550"/>
      <c r="CZ142" s="4550"/>
      <c r="DA142" s="4550"/>
      <c r="DB142" s="4550"/>
      <c r="DC142" s="4550"/>
      <c r="DD142" s="4550"/>
      <c r="DE142" s="4550"/>
      <c r="DF142" s="4550"/>
      <c r="DG142" s="4550"/>
      <c r="DH142" s="4550"/>
      <c r="DI142" s="4550"/>
      <c r="DJ142" s="4550"/>
      <c r="DK142" s="4550"/>
      <c r="DL142" s="4550"/>
      <c r="DM142" s="4550"/>
      <c r="DN142" s="4550"/>
      <c r="DO142" s="4550"/>
      <c r="DP142" s="4550"/>
      <c r="DQ142" s="4550"/>
      <c r="DR142" s="4550"/>
      <c r="DS142" s="4550"/>
      <c r="DT142" s="4550"/>
      <c r="DU142" s="4550"/>
      <c r="DV142" s="4550"/>
      <c r="DW142" s="4550"/>
      <c r="DX142" s="4550"/>
      <c r="DY142" s="4550"/>
      <c r="DZ142" s="4550"/>
      <c r="EA142" s="4550"/>
      <c r="EB142" s="4550"/>
      <c r="EC142" s="4550"/>
      <c r="ED142" s="4550"/>
      <c r="EE142" s="4550"/>
      <c r="EF142" s="4550"/>
      <c r="EG142" s="4550"/>
      <c r="EH142" s="4550"/>
      <c r="EI142" s="4550"/>
      <c r="EJ142" s="4550"/>
      <c r="EK142" s="4550"/>
      <c r="EL142" s="4550"/>
      <c r="EM142" s="4550"/>
      <c r="EN142" s="4550"/>
      <c r="EO142" s="4550"/>
      <c r="EP142" s="4550"/>
      <c r="EQ142" s="4550"/>
      <c r="ER142" s="4550"/>
      <c r="ES142" s="4550"/>
      <c r="ET142" s="4550"/>
      <c r="EU142" s="4550"/>
      <c r="EV142" s="4550"/>
      <c r="EW142" s="4550"/>
      <c r="EX142" s="4550"/>
      <c r="EY142" s="4550"/>
      <c r="EZ142" s="4550"/>
      <c r="FA142" s="4550"/>
      <c r="FB142" s="4550"/>
      <c r="FC142" s="4550"/>
      <c r="FD142" s="4550"/>
      <c r="FE142" s="4550"/>
      <c r="FF142" s="4550"/>
      <c r="FG142" s="4550"/>
      <c r="FH142" s="4550"/>
      <c r="FI142" s="4550"/>
      <c r="FJ142" s="4550"/>
      <c r="FK142" s="4550"/>
      <c r="FL142" s="4550"/>
      <c r="FM142" s="4550"/>
      <c r="FN142" s="4550"/>
      <c r="FO142" s="4550"/>
      <c r="FP142" s="4550"/>
      <c r="FQ142" s="4550"/>
      <c r="FR142" s="4550"/>
      <c r="FS142" s="4550"/>
      <c r="FT142" s="4550"/>
      <c r="FU142" s="4550"/>
      <c r="FV142" s="4550"/>
      <c r="FW142" s="4550"/>
      <c r="FX142" s="4550"/>
      <c r="FY142" s="4550"/>
      <c r="FZ142" s="4550"/>
      <c r="GA142" s="4550"/>
      <c r="GB142" s="4550"/>
      <c r="GC142" s="4550"/>
      <c r="GD142" s="4550"/>
      <c r="GE142" s="4550"/>
      <c r="GF142" s="4550"/>
      <c r="GG142" s="4550"/>
      <c r="GH142" s="4550"/>
      <c r="GI142" s="4550"/>
      <c r="GJ142" s="4550"/>
      <c r="GK142" s="4550"/>
      <c r="GL142" s="4550"/>
      <c r="GM142" s="4550"/>
      <c r="GN142" s="4550"/>
      <c r="GO142" s="4550"/>
      <c r="GP142" s="4550"/>
      <c r="GQ142" s="4550"/>
      <c r="GR142" s="4550"/>
      <c r="GS142" s="4550"/>
      <c r="GT142" s="4550"/>
      <c r="GU142" s="4550"/>
      <c r="GV142" s="4550"/>
      <c r="GW142" s="4550"/>
      <c r="GX142" s="4550"/>
      <c r="GY142" s="4550"/>
      <c r="GZ142" s="4550"/>
      <c r="HA142" s="4550"/>
      <c r="HB142" s="4550"/>
      <c r="HC142" s="4550"/>
      <c r="HD142" s="4550"/>
      <c r="HE142" s="4550"/>
      <c r="HF142" s="4550"/>
      <c r="HG142" s="4550"/>
      <c r="HH142" s="4550"/>
      <c r="HI142" s="4550"/>
      <c r="HJ142" s="4550"/>
      <c r="HK142" s="4550"/>
      <c r="HL142" s="4550"/>
      <c r="HM142" s="4550"/>
      <c r="HN142" s="4550"/>
      <c r="HO142" s="4550"/>
      <c r="HP142" s="4550"/>
      <c r="HQ142" s="4550"/>
      <c r="HR142" s="4550"/>
      <c r="HS142" s="4550"/>
      <c r="HT142" s="4550"/>
      <c r="HU142" s="4550"/>
      <c r="HV142" s="4550"/>
      <c r="HW142" s="4550"/>
      <c r="HX142" s="4550"/>
      <c r="HY142" s="4550"/>
      <c r="HZ142" s="4550"/>
      <c r="IA142" s="4550"/>
      <c r="IB142" s="4550"/>
      <c r="IC142" s="4550"/>
      <c r="ID142" s="4550"/>
      <c r="IE142" s="4550"/>
    </row>
    <row r="143" spans="1:239" s="4549" customFormat="1" ht="28.5">
      <c r="A143" s="4677">
        <v>3.2</v>
      </c>
      <c r="B143" s="4728" t="s">
        <v>4127</v>
      </c>
      <c r="C143" s="4727">
        <v>6.1</v>
      </c>
      <c r="D143" s="4600" t="s">
        <v>1</v>
      </c>
      <c r="E143" s="4965"/>
      <c r="F143" s="4965">
        <f t="shared" si="3"/>
        <v>0</v>
      </c>
      <c r="G143" s="4537"/>
      <c r="H143" s="4537"/>
      <c r="I143" s="4537"/>
      <c r="J143" s="4537"/>
      <c r="K143" s="4537"/>
      <c r="L143" s="4537"/>
      <c r="M143" s="4537"/>
      <c r="N143" s="4537"/>
      <c r="O143" s="4537"/>
      <c r="P143" s="4537"/>
      <c r="Q143" s="4537"/>
      <c r="R143" s="4537"/>
      <c r="S143" s="4537"/>
      <c r="T143" s="4537"/>
      <c r="U143" s="4537"/>
      <c r="V143" s="4537"/>
      <c r="W143" s="4537"/>
      <c r="X143" s="4537"/>
      <c r="Y143" s="4537"/>
      <c r="Z143" s="4537"/>
      <c r="AA143" s="4537"/>
      <c r="AB143" s="4537"/>
      <c r="AC143" s="4537"/>
      <c r="AD143" s="4537"/>
      <c r="AE143" s="4537"/>
      <c r="AF143" s="4537"/>
      <c r="AG143" s="4537"/>
      <c r="AH143" s="4537"/>
      <c r="AI143" s="4537"/>
      <c r="AJ143" s="4537"/>
      <c r="AK143" s="4537"/>
      <c r="AL143" s="4537"/>
      <c r="AM143" s="4537"/>
      <c r="AN143" s="4537"/>
      <c r="AO143" s="4537"/>
      <c r="AP143" s="4537"/>
      <c r="AQ143" s="4537"/>
      <c r="AR143" s="4537"/>
      <c r="AS143" s="4550"/>
      <c r="AT143" s="4550"/>
      <c r="AU143" s="4550"/>
      <c r="AV143" s="4550"/>
      <c r="AW143" s="4550"/>
      <c r="AX143" s="4550"/>
      <c r="AY143" s="4550"/>
      <c r="AZ143" s="4550"/>
      <c r="BA143" s="4550"/>
      <c r="BB143" s="4550"/>
      <c r="BC143" s="4550"/>
      <c r="BD143" s="4550"/>
      <c r="BE143" s="4550"/>
      <c r="BF143" s="4550"/>
      <c r="BG143" s="4550"/>
      <c r="BH143" s="4550"/>
      <c r="BI143" s="4550"/>
      <c r="BJ143" s="4550"/>
      <c r="BK143" s="4550"/>
      <c r="BL143" s="4550"/>
      <c r="BM143" s="4550"/>
      <c r="BN143" s="4550"/>
      <c r="BO143" s="4550"/>
      <c r="BP143" s="4550"/>
      <c r="BQ143" s="4550"/>
      <c r="BR143" s="4550"/>
      <c r="BS143" s="4550"/>
      <c r="BT143" s="4550"/>
      <c r="BU143" s="4550"/>
      <c r="BV143" s="4550"/>
      <c r="BW143" s="4550"/>
      <c r="BX143" s="4550"/>
      <c r="BY143" s="4550"/>
      <c r="BZ143" s="4550"/>
      <c r="CA143" s="4550"/>
      <c r="CB143" s="4550"/>
      <c r="CC143" s="4550"/>
      <c r="CD143" s="4550"/>
      <c r="CE143" s="4550"/>
      <c r="CF143" s="4550"/>
      <c r="CG143" s="4550"/>
      <c r="CH143" s="4550"/>
      <c r="CI143" s="4550"/>
      <c r="CJ143" s="4550"/>
      <c r="CK143" s="4550"/>
      <c r="CL143" s="4550"/>
      <c r="CM143" s="4550"/>
      <c r="CN143" s="4550"/>
      <c r="CO143" s="4550"/>
      <c r="CP143" s="4550"/>
      <c r="CQ143" s="4550"/>
      <c r="CR143" s="4550"/>
      <c r="CS143" s="4550"/>
      <c r="CT143" s="4550"/>
      <c r="CU143" s="4550"/>
      <c r="CV143" s="4550"/>
      <c r="CW143" s="4550"/>
      <c r="CX143" s="4550"/>
      <c r="CY143" s="4550"/>
      <c r="CZ143" s="4550"/>
      <c r="DA143" s="4550"/>
      <c r="DB143" s="4550"/>
      <c r="DC143" s="4550"/>
      <c r="DD143" s="4550"/>
      <c r="DE143" s="4550"/>
      <c r="DF143" s="4550"/>
      <c r="DG143" s="4550"/>
      <c r="DH143" s="4550"/>
      <c r="DI143" s="4550"/>
      <c r="DJ143" s="4550"/>
      <c r="DK143" s="4550"/>
      <c r="DL143" s="4550"/>
      <c r="DM143" s="4550"/>
      <c r="DN143" s="4550"/>
      <c r="DO143" s="4550"/>
      <c r="DP143" s="4550"/>
      <c r="DQ143" s="4550"/>
      <c r="DR143" s="4550"/>
      <c r="DS143" s="4550"/>
      <c r="DT143" s="4550"/>
      <c r="DU143" s="4550"/>
      <c r="DV143" s="4550"/>
      <c r="DW143" s="4550"/>
      <c r="DX143" s="4550"/>
      <c r="DY143" s="4550"/>
      <c r="DZ143" s="4550"/>
      <c r="EA143" s="4550"/>
      <c r="EB143" s="4550"/>
      <c r="EC143" s="4550"/>
      <c r="ED143" s="4550"/>
      <c r="EE143" s="4550"/>
      <c r="EF143" s="4550"/>
      <c r="EG143" s="4550"/>
      <c r="EH143" s="4550"/>
      <c r="EI143" s="4550"/>
      <c r="EJ143" s="4550"/>
      <c r="EK143" s="4550"/>
      <c r="EL143" s="4550"/>
      <c r="EM143" s="4550"/>
      <c r="EN143" s="4550"/>
      <c r="EO143" s="4550"/>
      <c r="EP143" s="4550"/>
      <c r="EQ143" s="4550"/>
      <c r="ER143" s="4550"/>
      <c r="ES143" s="4550"/>
      <c r="ET143" s="4550"/>
      <c r="EU143" s="4550"/>
      <c r="EV143" s="4550"/>
      <c r="EW143" s="4550"/>
      <c r="EX143" s="4550"/>
      <c r="EY143" s="4550"/>
      <c r="EZ143" s="4550"/>
      <c r="FA143" s="4550"/>
      <c r="FB143" s="4550"/>
      <c r="FC143" s="4550"/>
      <c r="FD143" s="4550"/>
      <c r="FE143" s="4550"/>
      <c r="FF143" s="4550"/>
      <c r="FG143" s="4550"/>
      <c r="FH143" s="4550"/>
      <c r="FI143" s="4550"/>
      <c r="FJ143" s="4550"/>
      <c r="FK143" s="4550"/>
      <c r="FL143" s="4550"/>
      <c r="FM143" s="4550"/>
      <c r="FN143" s="4550"/>
      <c r="FO143" s="4550"/>
      <c r="FP143" s="4550"/>
      <c r="FQ143" s="4550"/>
      <c r="FR143" s="4550"/>
      <c r="FS143" s="4550"/>
      <c r="FT143" s="4550"/>
      <c r="FU143" s="4550"/>
      <c r="FV143" s="4550"/>
      <c r="FW143" s="4550"/>
      <c r="FX143" s="4550"/>
      <c r="FY143" s="4550"/>
      <c r="FZ143" s="4550"/>
      <c r="GA143" s="4550"/>
      <c r="GB143" s="4550"/>
      <c r="GC143" s="4550"/>
      <c r="GD143" s="4550"/>
      <c r="GE143" s="4550"/>
      <c r="GF143" s="4550"/>
      <c r="GG143" s="4550"/>
      <c r="GH143" s="4550"/>
      <c r="GI143" s="4550"/>
      <c r="GJ143" s="4550"/>
      <c r="GK143" s="4550"/>
      <c r="GL143" s="4550"/>
      <c r="GM143" s="4550"/>
      <c r="GN143" s="4550"/>
      <c r="GO143" s="4550"/>
      <c r="GP143" s="4550"/>
      <c r="GQ143" s="4550"/>
      <c r="GR143" s="4550"/>
      <c r="GS143" s="4550"/>
      <c r="GT143" s="4550"/>
      <c r="GU143" s="4550"/>
      <c r="GV143" s="4550"/>
      <c r="GW143" s="4550"/>
      <c r="GX143" s="4550"/>
      <c r="GY143" s="4550"/>
      <c r="GZ143" s="4550"/>
      <c r="HA143" s="4550"/>
      <c r="HB143" s="4550"/>
      <c r="HC143" s="4550"/>
      <c r="HD143" s="4550"/>
      <c r="HE143" s="4550"/>
      <c r="HF143" s="4550"/>
      <c r="HG143" s="4550"/>
      <c r="HH143" s="4550"/>
      <c r="HI143" s="4550"/>
      <c r="HJ143" s="4550"/>
      <c r="HK143" s="4550"/>
      <c r="HL143" s="4550"/>
      <c r="HM143" s="4550"/>
      <c r="HN143" s="4550"/>
      <c r="HO143" s="4550"/>
      <c r="HP143" s="4550"/>
      <c r="HQ143" s="4550"/>
      <c r="HR143" s="4550"/>
      <c r="HS143" s="4550"/>
      <c r="HT143" s="4550"/>
      <c r="HU143" s="4550"/>
      <c r="HV143" s="4550"/>
      <c r="HW143" s="4550"/>
      <c r="HX143" s="4550"/>
      <c r="HY143" s="4550"/>
      <c r="HZ143" s="4550"/>
      <c r="IA143" s="4550"/>
      <c r="IB143" s="4550"/>
      <c r="IC143" s="4550"/>
      <c r="ID143" s="4550"/>
      <c r="IE143" s="4550"/>
    </row>
    <row r="144" spans="1:239" s="4549" customFormat="1" ht="9" customHeight="1">
      <c r="A144" s="4167"/>
      <c r="B144" s="4736"/>
      <c r="C144" s="4737"/>
      <c r="D144" s="4737"/>
      <c r="E144" s="4983"/>
      <c r="F144" s="4965"/>
      <c r="G144" s="4537"/>
      <c r="H144" s="4537"/>
      <c r="I144" s="4537"/>
      <c r="J144" s="4537"/>
      <c r="K144" s="4537"/>
      <c r="L144" s="4537"/>
      <c r="M144" s="4537"/>
      <c r="N144" s="4537"/>
      <c r="O144" s="4537"/>
      <c r="P144" s="4537"/>
      <c r="Q144" s="4537"/>
      <c r="R144" s="4537"/>
      <c r="S144" s="4537"/>
      <c r="T144" s="4537"/>
      <c r="U144" s="4537"/>
      <c r="V144" s="4537"/>
      <c r="W144" s="4537"/>
      <c r="X144" s="4537"/>
      <c r="Y144" s="4537"/>
      <c r="Z144" s="4537"/>
      <c r="AA144" s="4537"/>
      <c r="AB144" s="4537"/>
      <c r="AC144" s="4537"/>
      <c r="AD144" s="4537"/>
      <c r="AE144" s="4537"/>
      <c r="AF144" s="4537"/>
      <c r="AG144" s="4537"/>
      <c r="AH144" s="4537"/>
      <c r="AI144" s="4537"/>
      <c r="AJ144" s="4537"/>
      <c r="AK144" s="4537"/>
      <c r="AL144" s="4537"/>
      <c r="AM144" s="4537"/>
      <c r="AN144" s="4537"/>
      <c r="AO144" s="4537"/>
      <c r="AP144" s="4537"/>
      <c r="AQ144" s="4537"/>
      <c r="AR144" s="4537"/>
      <c r="AS144" s="4550"/>
      <c r="AT144" s="4550"/>
      <c r="AU144" s="4550"/>
      <c r="AV144" s="4550"/>
      <c r="AW144" s="4550"/>
      <c r="AX144" s="4550"/>
      <c r="AY144" s="4550"/>
      <c r="AZ144" s="4550"/>
      <c r="BA144" s="4550"/>
      <c r="BB144" s="4550"/>
      <c r="BC144" s="4550"/>
      <c r="BD144" s="4550"/>
      <c r="BE144" s="4550"/>
      <c r="BF144" s="4550"/>
      <c r="BG144" s="4550"/>
      <c r="BH144" s="4550"/>
      <c r="BI144" s="4550"/>
      <c r="BJ144" s="4550"/>
      <c r="BK144" s="4550"/>
      <c r="BL144" s="4550"/>
      <c r="BM144" s="4550"/>
      <c r="BN144" s="4550"/>
      <c r="BO144" s="4550"/>
      <c r="BP144" s="4550"/>
      <c r="BQ144" s="4550"/>
      <c r="BR144" s="4550"/>
      <c r="BS144" s="4550"/>
      <c r="BT144" s="4550"/>
      <c r="BU144" s="4550"/>
      <c r="BV144" s="4550"/>
      <c r="BW144" s="4550"/>
      <c r="BX144" s="4550"/>
      <c r="BY144" s="4550"/>
      <c r="BZ144" s="4550"/>
      <c r="CA144" s="4550"/>
      <c r="CB144" s="4550"/>
      <c r="CC144" s="4550"/>
      <c r="CD144" s="4550"/>
      <c r="CE144" s="4550"/>
      <c r="CF144" s="4550"/>
      <c r="CG144" s="4550"/>
      <c r="CH144" s="4550"/>
      <c r="CI144" s="4550"/>
      <c r="CJ144" s="4550"/>
      <c r="CK144" s="4550"/>
      <c r="CL144" s="4550"/>
      <c r="CM144" s="4550"/>
      <c r="CN144" s="4550"/>
      <c r="CO144" s="4550"/>
      <c r="CP144" s="4550"/>
      <c r="CQ144" s="4550"/>
      <c r="CR144" s="4550"/>
      <c r="CS144" s="4550"/>
      <c r="CT144" s="4550"/>
      <c r="CU144" s="4550"/>
      <c r="CV144" s="4550"/>
      <c r="CW144" s="4550"/>
      <c r="CX144" s="4550"/>
      <c r="CY144" s="4550"/>
      <c r="CZ144" s="4550"/>
      <c r="DA144" s="4550"/>
      <c r="DB144" s="4550"/>
      <c r="DC144" s="4550"/>
      <c r="DD144" s="4550"/>
      <c r="DE144" s="4550"/>
      <c r="DF144" s="4550"/>
      <c r="DG144" s="4550"/>
      <c r="DH144" s="4550"/>
      <c r="DI144" s="4550"/>
      <c r="DJ144" s="4550"/>
      <c r="DK144" s="4550"/>
      <c r="DL144" s="4550"/>
      <c r="DM144" s="4550"/>
      <c r="DN144" s="4550"/>
      <c r="DO144" s="4550"/>
      <c r="DP144" s="4550"/>
      <c r="DQ144" s="4550"/>
      <c r="DR144" s="4550"/>
      <c r="DS144" s="4550"/>
      <c r="DT144" s="4550"/>
      <c r="DU144" s="4550"/>
      <c r="DV144" s="4550"/>
      <c r="DW144" s="4550"/>
      <c r="DX144" s="4550"/>
      <c r="DY144" s="4550"/>
      <c r="DZ144" s="4550"/>
      <c r="EA144" s="4550"/>
      <c r="EB144" s="4550"/>
      <c r="EC144" s="4550"/>
      <c r="ED144" s="4550"/>
      <c r="EE144" s="4550"/>
      <c r="EF144" s="4550"/>
      <c r="EG144" s="4550"/>
      <c r="EH144" s="4550"/>
      <c r="EI144" s="4550"/>
      <c r="EJ144" s="4550"/>
      <c r="EK144" s="4550"/>
      <c r="EL144" s="4550"/>
      <c r="EM144" s="4550"/>
      <c r="EN144" s="4550"/>
      <c r="EO144" s="4550"/>
      <c r="EP144" s="4550"/>
      <c r="EQ144" s="4550"/>
      <c r="ER144" s="4550"/>
      <c r="ES144" s="4550"/>
      <c r="ET144" s="4550"/>
      <c r="EU144" s="4550"/>
      <c r="EV144" s="4550"/>
      <c r="EW144" s="4550"/>
      <c r="EX144" s="4550"/>
      <c r="EY144" s="4550"/>
      <c r="EZ144" s="4550"/>
      <c r="FA144" s="4550"/>
      <c r="FB144" s="4550"/>
      <c r="FC144" s="4550"/>
      <c r="FD144" s="4550"/>
      <c r="FE144" s="4550"/>
      <c r="FF144" s="4550"/>
      <c r="FG144" s="4550"/>
      <c r="FH144" s="4550"/>
      <c r="FI144" s="4550"/>
      <c r="FJ144" s="4550"/>
      <c r="FK144" s="4550"/>
      <c r="FL144" s="4550"/>
      <c r="FM144" s="4550"/>
      <c r="FN144" s="4550"/>
      <c r="FO144" s="4550"/>
      <c r="FP144" s="4550"/>
      <c r="FQ144" s="4550"/>
      <c r="FR144" s="4550"/>
      <c r="FS144" s="4550"/>
      <c r="FT144" s="4550"/>
      <c r="FU144" s="4550"/>
      <c r="FV144" s="4550"/>
      <c r="FW144" s="4550"/>
      <c r="FX144" s="4550"/>
      <c r="FY144" s="4550"/>
      <c r="FZ144" s="4550"/>
      <c r="GA144" s="4550"/>
      <c r="GB144" s="4550"/>
      <c r="GC144" s="4550"/>
      <c r="GD144" s="4550"/>
      <c r="GE144" s="4550"/>
      <c r="GF144" s="4550"/>
      <c r="GG144" s="4550"/>
      <c r="GH144" s="4550"/>
      <c r="GI144" s="4550"/>
      <c r="GJ144" s="4550"/>
      <c r="GK144" s="4550"/>
      <c r="GL144" s="4550"/>
      <c r="GM144" s="4550"/>
      <c r="GN144" s="4550"/>
      <c r="GO144" s="4550"/>
      <c r="GP144" s="4550"/>
      <c r="GQ144" s="4550"/>
      <c r="GR144" s="4550"/>
      <c r="GS144" s="4550"/>
      <c r="GT144" s="4550"/>
      <c r="GU144" s="4550"/>
      <c r="GV144" s="4550"/>
      <c r="GW144" s="4550"/>
      <c r="GX144" s="4550"/>
      <c r="GY144" s="4550"/>
      <c r="GZ144" s="4550"/>
      <c r="HA144" s="4550"/>
      <c r="HB144" s="4550"/>
      <c r="HC144" s="4550"/>
      <c r="HD144" s="4550"/>
      <c r="HE144" s="4550"/>
      <c r="HF144" s="4550"/>
      <c r="HG144" s="4550"/>
      <c r="HH144" s="4550"/>
      <c r="HI144" s="4550"/>
      <c r="HJ144" s="4550"/>
      <c r="HK144" s="4550"/>
      <c r="HL144" s="4550"/>
      <c r="HM144" s="4550"/>
      <c r="HN144" s="4550"/>
      <c r="HO144" s="4550"/>
      <c r="HP144" s="4550"/>
      <c r="HQ144" s="4550"/>
      <c r="HR144" s="4550"/>
      <c r="HS144" s="4550"/>
      <c r="HT144" s="4550"/>
      <c r="HU144" s="4550"/>
      <c r="HV144" s="4550"/>
      <c r="HW144" s="4550"/>
      <c r="HX144" s="4550"/>
      <c r="HY144" s="4550"/>
      <c r="HZ144" s="4550"/>
      <c r="IA144" s="4550"/>
      <c r="IB144" s="4550"/>
      <c r="IC144" s="4550"/>
      <c r="ID144" s="4550"/>
      <c r="IE144" s="4550"/>
    </row>
    <row r="145" spans="1:239" s="4549" customFormat="1" ht="25.5">
      <c r="A145" s="4168">
        <v>4</v>
      </c>
      <c r="B145" s="4706" t="s">
        <v>4654</v>
      </c>
      <c r="C145" s="4727"/>
      <c r="D145" s="4600"/>
      <c r="E145" s="4965"/>
      <c r="F145" s="4965"/>
      <c r="G145" s="4537"/>
      <c r="H145" s="4537"/>
      <c r="I145" s="4537"/>
      <c r="J145" s="4537"/>
      <c r="K145" s="4537"/>
      <c r="L145" s="4537"/>
      <c r="M145" s="4537"/>
      <c r="N145" s="4537"/>
      <c r="O145" s="4537"/>
      <c r="P145" s="4537"/>
      <c r="Q145" s="4537"/>
      <c r="R145" s="4537"/>
      <c r="S145" s="4537"/>
      <c r="T145" s="4537"/>
      <c r="U145" s="4537"/>
      <c r="V145" s="4537"/>
      <c r="W145" s="4537"/>
      <c r="X145" s="4537"/>
      <c r="Y145" s="4537"/>
      <c r="Z145" s="4537"/>
      <c r="AA145" s="4537"/>
      <c r="AB145" s="4537"/>
      <c r="AC145" s="4537"/>
      <c r="AD145" s="4537"/>
      <c r="AE145" s="4537"/>
      <c r="AF145" s="4537"/>
      <c r="AG145" s="4537"/>
      <c r="AH145" s="4537"/>
      <c r="AI145" s="4537"/>
      <c r="AJ145" s="4537"/>
      <c r="AK145" s="4537"/>
      <c r="AL145" s="4537"/>
      <c r="AM145" s="4537"/>
      <c r="AN145" s="4537"/>
      <c r="AO145" s="4537"/>
      <c r="AP145" s="4537"/>
      <c r="AQ145" s="4537"/>
      <c r="AR145" s="4537"/>
      <c r="AS145" s="4550"/>
      <c r="AT145" s="4550"/>
      <c r="AU145" s="4550"/>
      <c r="AV145" s="4550"/>
      <c r="AW145" s="4550"/>
      <c r="AX145" s="4550"/>
      <c r="AY145" s="4550"/>
      <c r="AZ145" s="4550"/>
      <c r="BA145" s="4550"/>
      <c r="BB145" s="4550"/>
      <c r="BC145" s="4550"/>
      <c r="BD145" s="4550"/>
      <c r="BE145" s="4550"/>
      <c r="BF145" s="4550"/>
      <c r="BG145" s="4550"/>
      <c r="BH145" s="4550"/>
      <c r="BI145" s="4550"/>
      <c r="BJ145" s="4550"/>
      <c r="BK145" s="4550"/>
      <c r="BL145" s="4550"/>
      <c r="BM145" s="4550"/>
      <c r="BN145" s="4550"/>
      <c r="BO145" s="4550"/>
      <c r="BP145" s="4550"/>
      <c r="BQ145" s="4550"/>
      <c r="BR145" s="4550"/>
      <c r="BS145" s="4550"/>
      <c r="BT145" s="4550"/>
      <c r="BU145" s="4550"/>
      <c r="BV145" s="4550"/>
      <c r="BW145" s="4550"/>
      <c r="BX145" s="4550"/>
      <c r="BY145" s="4550"/>
      <c r="BZ145" s="4550"/>
      <c r="CA145" s="4550"/>
      <c r="CB145" s="4550"/>
      <c r="CC145" s="4550"/>
      <c r="CD145" s="4550"/>
      <c r="CE145" s="4550"/>
      <c r="CF145" s="4550"/>
      <c r="CG145" s="4550"/>
      <c r="CH145" s="4550"/>
      <c r="CI145" s="4550"/>
      <c r="CJ145" s="4550"/>
      <c r="CK145" s="4550"/>
      <c r="CL145" s="4550"/>
      <c r="CM145" s="4550"/>
      <c r="CN145" s="4550"/>
      <c r="CO145" s="4550"/>
      <c r="CP145" s="4550"/>
      <c r="CQ145" s="4550"/>
      <c r="CR145" s="4550"/>
      <c r="CS145" s="4550"/>
      <c r="CT145" s="4550"/>
      <c r="CU145" s="4550"/>
      <c r="CV145" s="4550"/>
      <c r="CW145" s="4550"/>
      <c r="CX145" s="4550"/>
      <c r="CY145" s="4550"/>
      <c r="CZ145" s="4550"/>
      <c r="DA145" s="4550"/>
      <c r="DB145" s="4550"/>
      <c r="DC145" s="4550"/>
      <c r="DD145" s="4550"/>
      <c r="DE145" s="4550"/>
      <c r="DF145" s="4550"/>
      <c r="DG145" s="4550"/>
      <c r="DH145" s="4550"/>
      <c r="DI145" s="4550"/>
      <c r="DJ145" s="4550"/>
      <c r="DK145" s="4550"/>
      <c r="DL145" s="4550"/>
      <c r="DM145" s="4550"/>
      <c r="DN145" s="4550"/>
      <c r="DO145" s="4550"/>
      <c r="DP145" s="4550"/>
      <c r="DQ145" s="4550"/>
      <c r="DR145" s="4550"/>
      <c r="DS145" s="4550"/>
      <c r="DT145" s="4550"/>
      <c r="DU145" s="4550"/>
      <c r="DV145" s="4550"/>
      <c r="DW145" s="4550"/>
      <c r="DX145" s="4550"/>
      <c r="DY145" s="4550"/>
      <c r="DZ145" s="4550"/>
      <c r="EA145" s="4550"/>
      <c r="EB145" s="4550"/>
      <c r="EC145" s="4550"/>
      <c r="ED145" s="4550"/>
      <c r="EE145" s="4550"/>
      <c r="EF145" s="4550"/>
      <c r="EG145" s="4550"/>
      <c r="EH145" s="4550"/>
      <c r="EI145" s="4550"/>
      <c r="EJ145" s="4550"/>
      <c r="EK145" s="4550"/>
      <c r="EL145" s="4550"/>
      <c r="EM145" s="4550"/>
      <c r="EN145" s="4550"/>
      <c r="EO145" s="4550"/>
      <c r="EP145" s="4550"/>
      <c r="EQ145" s="4550"/>
      <c r="ER145" s="4550"/>
      <c r="ES145" s="4550"/>
      <c r="ET145" s="4550"/>
      <c r="EU145" s="4550"/>
      <c r="EV145" s="4550"/>
      <c r="EW145" s="4550"/>
      <c r="EX145" s="4550"/>
      <c r="EY145" s="4550"/>
      <c r="EZ145" s="4550"/>
      <c r="FA145" s="4550"/>
      <c r="FB145" s="4550"/>
      <c r="FC145" s="4550"/>
      <c r="FD145" s="4550"/>
      <c r="FE145" s="4550"/>
      <c r="FF145" s="4550"/>
      <c r="FG145" s="4550"/>
      <c r="FH145" s="4550"/>
      <c r="FI145" s="4550"/>
      <c r="FJ145" s="4550"/>
      <c r="FK145" s="4550"/>
      <c r="FL145" s="4550"/>
      <c r="FM145" s="4550"/>
      <c r="FN145" s="4550"/>
      <c r="FO145" s="4550"/>
      <c r="FP145" s="4550"/>
      <c r="FQ145" s="4550"/>
      <c r="FR145" s="4550"/>
      <c r="FS145" s="4550"/>
      <c r="FT145" s="4550"/>
      <c r="FU145" s="4550"/>
      <c r="FV145" s="4550"/>
      <c r="FW145" s="4550"/>
      <c r="FX145" s="4550"/>
      <c r="FY145" s="4550"/>
      <c r="FZ145" s="4550"/>
      <c r="GA145" s="4550"/>
      <c r="GB145" s="4550"/>
      <c r="GC145" s="4550"/>
      <c r="GD145" s="4550"/>
      <c r="GE145" s="4550"/>
      <c r="GF145" s="4550"/>
      <c r="GG145" s="4550"/>
      <c r="GH145" s="4550"/>
      <c r="GI145" s="4550"/>
      <c r="GJ145" s="4550"/>
      <c r="GK145" s="4550"/>
      <c r="GL145" s="4550"/>
      <c r="GM145" s="4550"/>
      <c r="GN145" s="4550"/>
      <c r="GO145" s="4550"/>
      <c r="GP145" s="4550"/>
      <c r="GQ145" s="4550"/>
      <c r="GR145" s="4550"/>
      <c r="GS145" s="4550"/>
      <c r="GT145" s="4550"/>
      <c r="GU145" s="4550"/>
      <c r="GV145" s="4550"/>
      <c r="GW145" s="4550"/>
      <c r="GX145" s="4550"/>
      <c r="GY145" s="4550"/>
      <c r="GZ145" s="4550"/>
      <c r="HA145" s="4550"/>
      <c r="HB145" s="4550"/>
      <c r="HC145" s="4550"/>
      <c r="HD145" s="4550"/>
      <c r="HE145" s="4550"/>
      <c r="HF145" s="4550"/>
      <c r="HG145" s="4550"/>
      <c r="HH145" s="4550"/>
      <c r="HI145" s="4550"/>
      <c r="HJ145" s="4550"/>
      <c r="HK145" s="4550"/>
      <c r="HL145" s="4550"/>
      <c r="HM145" s="4550"/>
      <c r="HN145" s="4550"/>
      <c r="HO145" s="4550"/>
      <c r="HP145" s="4550"/>
      <c r="HQ145" s="4550"/>
      <c r="HR145" s="4550"/>
      <c r="HS145" s="4550"/>
      <c r="HT145" s="4550"/>
      <c r="HU145" s="4550"/>
      <c r="HV145" s="4550"/>
      <c r="HW145" s="4550"/>
      <c r="HX145" s="4550"/>
      <c r="HY145" s="4550"/>
      <c r="HZ145" s="4550"/>
      <c r="IA145" s="4550"/>
      <c r="IB145" s="4550"/>
      <c r="IC145" s="4550"/>
      <c r="ID145" s="4550"/>
      <c r="IE145" s="4550"/>
    </row>
    <row r="146" spans="1:239" s="4549" customFormat="1" ht="28.5" customHeight="1">
      <c r="A146" s="4167">
        <v>4.0999999999999996</v>
      </c>
      <c r="B146" s="4728" t="s">
        <v>4128</v>
      </c>
      <c r="C146" s="4727">
        <v>2</v>
      </c>
      <c r="D146" s="4600" t="s">
        <v>2433</v>
      </c>
      <c r="E146" s="4965"/>
      <c r="F146" s="4965">
        <f>ROUND(C146*E146,2)</f>
        <v>0</v>
      </c>
      <c r="G146" s="4537"/>
      <c r="H146" s="4537"/>
      <c r="I146" s="4537"/>
      <c r="J146" s="4537"/>
      <c r="K146" s="4537"/>
      <c r="L146" s="4537"/>
      <c r="M146" s="4537"/>
      <c r="N146" s="4537"/>
      <c r="O146" s="4537"/>
      <c r="P146" s="4537"/>
      <c r="Q146" s="4537"/>
      <c r="R146" s="4537"/>
      <c r="S146" s="4537"/>
      <c r="T146" s="4537"/>
      <c r="U146" s="4537"/>
      <c r="V146" s="4537"/>
      <c r="W146" s="4537"/>
      <c r="X146" s="4537"/>
      <c r="Y146" s="4537"/>
      <c r="Z146" s="4537"/>
      <c r="AA146" s="4537"/>
      <c r="AB146" s="4537"/>
      <c r="AC146" s="4537"/>
      <c r="AD146" s="4537"/>
      <c r="AE146" s="4537"/>
      <c r="AF146" s="4537"/>
      <c r="AG146" s="4537"/>
      <c r="AH146" s="4537"/>
      <c r="AI146" s="4537"/>
      <c r="AJ146" s="4537"/>
      <c r="AK146" s="4537"/>
      <c r="AL146" s="4537"/>
      <c r="AM146" s="4537"/>
      <c r="AN146" s="4537"/>
      <c r="AO146" s="4537"/>
      <c r="AP146" s="4537"/>
      <c r="AQ146" s="4537"/>
      <c r="AR146" s="4537"/>
      <c r="AS146" s="4550"/>
      <c r="AT146" s="4550"/>
      <c r="AU146" s="4550"/>
      <c r="AV146" s="4550"/>
      <c r="AW146" s="4550"/>
      <c r="AX146" s="4550"/>
      <c r="AY146" s="4550"/>
      <c r="AZ146" s="4550"/>
      <c r="BA146" s="4550"/>
      <c r="BB146" s="4550"/>
      <c r="BC146" s="4550"/>
      <c r="BD146" s="4550"/>
      <c r="BE146" s="4550"/>
      <c r="BF146" s="4550"/>
      <c r="BG146" s="4550"/>
      <c r="BH146" s="4550"/>
      <c r="BI146" s="4550"/>
      <c r="BJ146" s="4550"/>
      <c r="BK146" s="4550"/>
      <c r="BL146" s="4550"/>
      <c r="BM146" s="4550"/>
      <c r="BN146" s="4550"/>
      <c r="BO146" s="4550"/>
      <c r="BP146" s="4550"/>
      <c r="BQ146" s="4550"/>
      <c r="BR146" s="4550"/>
      <c r="BS146" s="4550"/>
      <c r="BT146" s="4550"/>
      <c r="BU146" s="4550"/>
      <c r="BV146" s="4550"/>
      <c r="BW146" s="4550"/>
      <c r="BX146" s="4550"/>
      <c r="BY146" s="4550"/>
      <c r="BZ146" s="4550"/>
      <c r="CA146" s="4550"/>
      <c r="CB146" s="4550"/>
      <c r="CC146" s="4550"/>
      <c r="CD146" s="4550"/>
      <c r="CE146" s="4550"/>
      <c r="CF146" s="4550"/>
      <c r="CG146" s="4550"/>
      <c r="CH146" s="4550"/>
      <c r="CI146" s="4550"/>
      <c r="CJ146" s="4550"/>
      <c r="CK146" s="4550"/>
      <c r="CL146" s="4550"/>
      <c r="CM146" s="4550"/>
      <c r="CN146" s="4550"/>
      <c r="CO146" s="4550"/>
      <c r="CP146" s="4550"/>
      <c r="CQ146" s="4550"/>
      <c r="CR146" s="4550"/>
      <c r="CS146" s="4550"/>
      <c r="CT146" s="4550"/>
      <c r="CU146" s="4550"/>
      <c r="CV146" s="4550"/>
      <c r="CW146" s="4550"/>
      <c r="CX146" s="4550"/>
      <c r="CY146" s="4550"/>
      <c r="CZ146" s="4550"/>
      <c r="DA146" s="4550"/>
      <c r="DB146" s="4550"/>
      <c r="DC146" s="4550"/>
      <c r="DD146" s="4550"/>
      <c r="DE146" s="4550"/>
      <c r="DF146" s="4550"/>
      <c r="DG146" s="4550"/>
      <c r="DH146" s="4550"/>
      <c r="DI146" s="4550"/>
      <c r="DJ146" s="4550"/>
      <c r="DK146" s="4550"/>
      <c r="DL146" s="4550"/>
      <c r="DM146" s="4550"/>
      <c r="DN146" s="4550"/>
      <c r="DO146" s="4550"/>
      <c r="DP146" s="4550"/>
      <c r="DQ146" s="4550"/>
      <c r="DR146" s="4550"/>
      <c r="DS146" s="4550"/>
      <c r="DT146" s="4550"/>
      <c r="DU146" s="4550"/>
      <c r="DV146" s="4550"/>
      <c r="DW146" s="4550"/>
      <c r="DX146" s="4550"/>
      <c r="DY146" s="4550"/>
      <c r="DZ146" s="4550"/>
      <c r="EA146" s="4550"/>
      <c r="EB146" s="4550"/>
      <c r="EC146" s="4550"/>
      <c r="ED146" s="4550"/>
      <c r="EE146" s="4550"/>
      <c r="EF146" s="4550"/>
      <c r="EG146" s="4550"/>
      <c r="EH146" s="4550"/>
      <c r="EI146" s="4550"/>
      <c r="EJ146" s="4550"/>
      <c r="EK146" s="4550"/>
      <c r="EL146" s="4550"/>
      <c r="EM146" s="4550"/>
      <c r="EN146" s="4550"/>
      <c r="EO146" s="4550"/>
      <c r="EP146" s="4550"/>
      <c r="EQ146" s="4550"/>
      <c r="ER146" s="4550"/>
      <c r="ES146" s="4550"/>
      <c r="ET146" s="4550"/>
      <c r="EU146" s="4550"/>
      <c r="EV146" s="4550"/>
      <c r="EW146" s="4550"/>
      <c r="EX146" s="4550"/>
      <c r="EY146" s="4550"/>
      <c r="EZ146" s="4550"/>
      <c r="FA146" s="4550"/>
      <c r="FB146" s="4550"/>
      <c r="FC146" s="4550"/>
      <c r="FD146" s="4550"/>
      <c r="FE146" s="4550"/>
      <c r="FF146" s="4550"/>
      <c r="FG146" s="4550"/>
      <c r="FH146" s="4550"/>
      <c r="FI146" s="4550"/>
      <c r="FJ146" s="4550"/>
      <c r="FK146" s="4550"/>
      <c r="FL146" s="4550"/>
      <c r="FM146" s="4550"/>
      <c r="FN146" s="4550"/>
      <c r="FO146" s="4550"/>
      <c r="FP146" s="4550"/>
      <c r="FQ146" s="4550"/>
      <c r="FR146" s="4550"/>
      <c r="FS146" s="4550"/>
      <c r="FT146" s="4550"/>
      <c r="FU146" s="4550"/>
      <c r="FV146" s="4550"/>
      <c r="FW146" s="4550"/>
      <c r="FX146" s="4550"/>
      <c r="FY146" s="4550"/>
      <c r="FZ146" s="4550"/>
      <c r="GA146" s="4550"/>
      <c r="GB146" s="4550"/>
      <c r="GC146" s="4550"/>
      <c r="GD146" s="4550"/>
      <c r="GE146" s="4550"/>
      <c r="GF146" s="4550"/>
      <c r="GG146" s="4550"/>
      <c r="GH146" s="4550"/>
      <c r="GI146" s="4550"/>
      <c r="GJ146" s="4550"/>
      <c r="GK146" s="4550"/>
      <c r="GL146" s="4550"/>
      <c r="GM146" s="4550"/>
      <c r="GN146" s="4550"/>
      <c r="GO146" s="4550"/>
      <c r="GP146" s="4550"/>
      <c r="GQ146" s="4550"/>
      <c r="GR146" s="4550"/>
      <c r="GS146" s="4550"/>
      <c r="GT146" s="4550"/>
      <c r="GU146" s="4550"/>
      <c r="GV146" s="4550"/>
      <c r="GW146" s="4550"/>
      <c r="GX146" s="4550"/>
      <c r="GY146" s="4550"/>
      <c r="GZ146" s="4550"/>
      <c r="HA146" s="4550"/>
      <c r="HB146" s="4550"/>
      <c r="HC146" s="4550"/>
      <c r="HD146" s="4550"/>
      <c r="HE146" s="4550"/>
      <c r="HF146" s="4550"/>
      <c r="HG146" s="4550"/>
      <c r="HH146" s="4550"/>
      <c r="HI146" s="4550"/>
      <c r="HJ146" s="4550"/>
      <c r="HK146" s="4550"/>
      <c r="HL146" s="4550"/>
      <c r="HM146" s="4550"/>
      <c r="HN146" s="4550"/>
      <c r="HO146" s="4550"/>
      <c r="HP146" s="4550"/>
      <c r="HQ146" s="4550"/>
      <c r="HR146" s="4550"/>
      <c r="HS146" s="4550"/>
      <c r="HT146" s="4550"/>
      <c r="HU146" s="4550"/>
      <c r="HV146" s="4550"/>
      <c r="HW146" s="4550"/>
      <c r="HX146" s="4550"/>
      <c r="HY146" s="4550"/>
      <c r="HZ146" s="4550"/>
      <c r="IA146" s="4550"/>
      <c r="IB146" s="4550"/>
      <c r="IC146" s="4550"/>
      <c r="ID146" s="4550"/>
      <c r="IE146" s="4550"/>
    </row>
    <row r="147" spans="1:239" s="4549" customFormat="1" ht="15">
      <c r="A147" s="4739">
        <v>4.2</v>
      </c>
      <c r="B147" s="4728" t="s">
        <v>4129</v>
      </c>
      <c r="C147" s="4740">
        <v>2</v>
      </c>
      <c r="D147" s="4600" t="s">
        <v>2433</v>
      </c>
      <c r="E147" s="4982"/>
      <c r="F147" s="4965">
        <f>ROUND(C147*E147,2)</f>
        <v>0</v>
      </c>
      <c r="G147" s="4537"/>
      <c r="H147" s="4537"/>
      <c r="I147" s="4537"/>
      <c r="J147" s="4537"/>
      <c r="K147" s="4537"/>
      <c r="L147" s="4537"/>
      <c r="M147" s="4537"/>
      <c r="N147" s="4537"/>
      <c r="O147" s="4537"/>
      <c r="P147" s="4537"/>
      <c r="Q147" s="4537"/>
      <c r="R147" s="4537"/>
      <c r="S147" s="4537"/>
      <c r="T147" s="4537"/>
      <c r="U147" s="4537"/>
      <c r="V147" s="4537"/>
      <c r="W147" s="4537"/>
      <c r="X147" s="4537"/>
      <c r="Y147" s="4537"/>
      <c r="Z147" s="4537"/>
      <c r="AA147" s="4537"/>
      <c r="AB147" s="4537"/>
      <c r="AC147" s="4537"/>
      <c r="AD147" s="4537"/>
      <c r="AE147" s="4537"/>
      <c r="AF147" s="4537"/>
      <c r="AG147" s="4537"/>
      <c r="AH147" s="4537"/>
      <c r="AI147" s="4537"/>
      <c r="AJ147" s="4537"/>
      <c r="AK147" s="4537"/>
      <c r="AL147" s="4537"/>
      <c r="AM147" s="4537"/>
      <c r="AN147" s="4537"/>
      <c r="AO147" s="4537"/>
      <c r="AP147" s="4537"/>
      <c r="AQ147" s="4537"/>
      <c r="AR147" s="4537"/>
      <c r="AS147" s="4550"/>
      <c r="AT147" s="4550"/>
      <c r="AU147" s="4550"/>
      <c r="AV147" s="4550"/>
      <c r="AW147" s="4550"/>
      <c r="AX147" s="4550"/>
      <c r="AY147" s="4550"/>
      <c r="AZ147" s="4550"/>
      <c r="BA147" s="4550"/>
      <c r="BB147" s="4550"/>
      <c r="BC147" s="4550"/>
      <c r="BD147" s="4550"/>
      <c r="BE147" s="4550"/>
      <c r="BF147" s="4550"/>
      <c r="BG147" s="4550"/>
      <c r="BH147" s="4550"/>
      <c r="BI147" s="4550"/>
      <c r="BJ147" s="4550"/>
      <c r="BK147" s="4550"/>
      <c r="BL147" s="4550"/>
      <c r="BM147" s="4550"/>
      <c r="BN147" s="4550"/>
      <c r="BO147" s="4550"/>
      <c r="BP147" s="4550"/>
      <c r="BQ147" s="4550"/>
      <c r="BR147" s="4550"/>
      <c r="BS147" s="4550"/>
      <c r="BT147" s="4550"/>
      <c r="BU147" s="4550"/>
      <c r="BV147" s="4550"/>
      <c r="BW147" s="4550"/>
      <c r="BX147" s="4550"/>
      <c r="BY147" s="4550"/>
      <c r="BZ147" s="4550"/>
      <c r="CA147" s="4550"/>
      <c r="CB147" s="4550"/>
      <c r="CC147" s="4550"/>
      <c r="CD147" s="4550"/>
      <c r="CE147" s="4550"/>
      <c r="CF147" s="4550"/>
      <c r="CG147" s="4550"/>
      <c r="CH147" s="4550"/>
      <c r="CI147" s="4550"/>
      <c r="CJ147" s="4550"/>
      <c r="CK147" s="4550"/>
      <c r="CL147" s="4550"/>
      <c r="CM147" s="4550"/>
      <c r="CN147" s="4550"/>
      <c r="CO147" s="4550"/>
      <c r="CP147" s="4550"/>
      <c r="CQ147" s="4550"/>
      <c r="CR147" s="4550"/>
      <c r="CS147" s="4550"/>
      <c r="CT147" s="4550"/>
      <c r="CU147" s="4550"/>
      <c r="CV147" s="4550"/>
      <c r="CW147" s="4550"/>
      <c r="CX147" s="4550"/>
      <c r="CY147" s="4550"/>
      <c r="CZ147" s="4550"/>
      <c r="DA147" s="4550"/>
      <c r="DB147" s="4550"/>
      <c r="DC147" s="4550"/>
      <c r="DD147" s="4550"/>
      <c r="DE147" s="4550"/>
      <c r="DF147" s="4550"/>
      <c r="DG147" s="4550"/>
      <c r="DH147" s="4550"/>
      <c r="DI147" s="4550"/>
      <c r="DJ147" s="4550"/>
      <c r="DK147" s="4550"/>
      <c r="DL147" s="4550"/>
      <c r="DM147" s="4550"/>
      <c r="DN147" s="4550"/>
      <c r="DO147" s="4550"/>
      <c r="DP147" s="4550"/>
      <c r="DQ147" s="4550"/>
      <c r="DR147" s="4550"/>
      <c r="DS147" s="4550"/>
      <c r="DT147" s="4550"/>
      <c r="DU147" s="4550"/>
      <c r="DV147" s="4550"/>
      <c r="DW147" s="4550"/>
      <c r="DX147" s="4550"/>
      <c r="DY147" s="4550"/>
      <c r="DZ147" s="4550"/>
      <c r="EA147" s="4550"/>
      <c r="EB147" s="4550"/>
      <c r="EC147" s="4550"/>
      <c r="ED147" s="4550"/>
      <c r="EE147" s="4550"/>
      <c r="EF147" s="4550"/>
      <c r="EG147" s="4550"/>
      <c r="EH147" s="4550"/>
      <c r="EI147" s="4550"/>
      <c r="EJ147" s="4550"/>
      <c r="EK147" s="4550"/>
      <c r="EL147" s="4550"/>
      <c r="EM147" s="4550"/>
      <c r="EN147" s="4550"/>
      <c r="EO147" s="4550"/>
      <c r="EP147" s="4550"/>
      <c r="EQ147" s="4550"/>
      <c r="ER147" s="4550"/>
      <c r="ES147" s="4550"/>
      <c r="ET147" s="4550"/>
      <c r="EU147" s="4550"/>
      <c r="EV147" s="4550"/>
      <c r="EW147" s="4550"/>
      <c r="EX147" s="4550"/>
      <c r="EY147" s="4550"/>
      <c r="EZ147" s="4550"/>
      <c r="FA147" s="4550"/>
      <c r="FB147" s="4550"/>
      <c r="FC147" s="4550"/>
      <c r="FD147" s="4550"/>
      <c r="FE147" s="4550"/>
      <c r="FF147" s="4550"/>
      <c r="FG147" s="4550"/>
      <c r="FH147" s="4550"/>
      <c r="FI147" s="4550"/>
      <c r="FJ147" s="4550"/>
      <c r="FK147" s="4550"/>
      <c r="FL147" s="4550"/>
      <c r="FM147" s="4550"/>
      <c r="FN147" s="4550"/>
      <c r="FO147" s="4550"/>
      <c r="FP147" s="4550"/>
      <c r="FQ147" s="4550"/>
      <c r="FR147" s="4550"/>
      <c r="FS147" s="4550"/>
      <c r="FT147" s="4550"/>
      <c r="FU147" s="4550"/>
      <c r="FV147" s="4550"/>
      <c r="FW147" s="4550"/>
      <c r="FX147" s="4550"/>
      <c r="FY147" s="4550"/>
      <c r="FZ147" s="4550"/>
      <c r="GA147" s="4550"/>
      <c r="GB147" s="4550"/>
      <c r="GC147" s="4550"/>
      <c r="GD147" s="4550"/>
      <c r="GE147" s="4550"/>
      <c r="GF147" s="4550"/>
      <c r="GG147" s="4550"/>
      <c r="GH147" s="4550"/>
      <c r="GI147" s="4550"/>
      <c r="GJ147" s="4550"/>
      <c r="GK147" s="4550"/>
      <c r="GL147" s="4550"/>
      <c r="GM147" s="4550"/>
      <c r="GN147" s="4550"/>
      <c r="GO147" s="4550"/>
      <c r="GP147" s="4550"/>
      <c r="GQ147" s="4550"/>
      <c r="GR147" s="4550"/>
      <c r="GS147" s="4550"/>
      <c r="GT147" s="4550"/>
      <c r="GU147" s="4550"/>
      <c r="GV147" s="4550"/>
      <c r="GW147" s="4550"/>
      <c r="GX147" s="4550"/>
      <c r="GY147" s="4550"/>
      <c r="GZ147" s="4550"/>
      <c r="HA147" s="4550"/>
      <c r="HB147" s="4550"/>
      <c r="HC147" s="4550"/>
      <c r="HD147" s="4550"/>
      <c r="HE147" s="4550"/>
      <c r="HF147" s="4550"/>
      <c r="HG147" s="4550"/>
      <c r="HH147" s="4550"/>
      <c r="HI147" s="4550"/>
      <c r="HJ147" s="4550"/>
      <c r="HK147" s="4550"/>
      <c r="HL147" s="4550"/>
      <c r="HM147" s="4550"/>
      <c r="HN147" s="4550"/>
      <c r="HO147" s="4550"/>
      <c r="HP147" s="4550"/>
      <c r="HQ147" s="4550"/>
      <c r="HR147" s="4550"/>
      <c r="HS147" s="4550"/>
      <c r="HT147" s="4550"/>
      <c r="HU147" s="4550"/>
      <c r="HV147" s="4550"/>
      <c r="HW147" s="4550"/>
      <c r="HX147" s="4550"/>
      <c r="HY147" s="4550"/>
      <c r="HZ147" s="4550"/>
      <c r="IA147" s="4550"/>
      <c r="IB147" s="4550"/>
      <c r="IC147" s="4550"/>
      <c r="ID147" s="4550"/>
      <c r="IE147" s="4550"/>
    </row>
    <row r="148" spans="1:239" s="4549" customFormat="1" ht="15">
      <c r="A148" s="4167">
        <v>4.3</v>
      </c>
      <c r="B148" s="4728" t="s">
        <v>4130</v>
      </c>
      <c r="C148" s="4740">
        <v>150</v>
      </c>
      <c r="D148" s="4741" t="s">
        <v>3970</v>
      </c>
      <c r="E148" s="4982"/>
      <c r="F148" s="4965">
        <f>ROUND(C148*E148,2)</f>
        <v>0</v>
      </c>
      <c r="G148" s="4537"/>
      <c r="H148" s="4537"/>
      <c r="I148" s="4537"/>
      <c r="J148" s="4537"/>
      <c r="K148" s="4537"/>
      <c r="L148" s="4537"/>
      <c r="M148" s="4537"/>
      <c r="N148" s="4537"/>
      <c r="O148" s="4537"/>
      <c r="P148" s="4537"/>
      <c r="Q148" s="4537"/>
      <c r="R148" s="4537"/>
      <c r="S148" s="4537"/>
      <c r="T148" s="4537"/>
      <c r="U148" s="4537"/>
      <c r="V148" s="4537"/>
      <c r="W148" s="4537"/>
      <c r="X148" s="4537"/>
      <c r="Y148" s="4537"/>
      <c r="Z148" s="4537"/>
      <c r="AA148" s="4537"/>
      <c r="AB148" s="4537"/>
      <c r="AC148" s="4537"/>
      <c r="AD148" s="4537"/>
      <c r="AE148" s="4537"/>
      <c r="AF148" s="4537"/>
      <c r="AG148" s="4537"/>
      <c r="AH148" s="4537"/>
      <c r="AI148" s="4537"/>
      <c r="AJ148" s="4537"/>
      <c r="AK148" s="4537"/>
      <c r="AL148" s="4537"/>
      <c r="AM148" s="4537"/>
      <c r="AN148" s="4537"/>
      <c r="AO148" s="4537"/>
      <c r="AP148" s="4537"/>
      <c r="AQ148" s="4537"/>
      <c r="AR148" s="4537"/>
      <c r="AS148" s="4550"/>
      <c r="AT148" s="4550"/>
      <c r="AU148" s="4550"/>
      <c r="AV148" s="4550"/>
      <c r="AW148" s="4550"/>
      <c r="AX148" s="4550"/>
      <c r="AY148" s="4550"/>
      <c r="AZ148" s="4550"/>
      <c r="BA148" s="4550"/>
      <c r="BB148" s="4550"/>
      <c r="BC148" s="4550"/>
      <c r="BD148" s="4550"/>
      <c r="BE148" s="4550"/>
      <c r="BF148" s="4550"/>
      <c r="BG148" s="4550"/>
      <c r="BH148" s="4550"/>
      <c r="BI148" s="4550"/>
      <c r="BJ148" s="4550"/>
      <c r="BK148" s="4550"/>
      <c r="BL148" s="4550"/>
      <c r="BM148" s="4550"/>
      <c r="BN148" s="4550"/>
      <c r="BO148" s="4550"/>
      <c r="BP148" s="4550"/>
      <c r="BQ148" s="4550"/>
      <c r="BR148" s="4550"/>
      <c r="BS148" s="4550"/>
      <c r="BT148" s="4550"/>
      <c r="BU148" s="4550"/>
      <c r="BV148" s="4550"/>
      <c r="BW148" s="4550"/>
      <c r="BX148" s="4550"/>
      <c r="BY148" s="4550"/>
      <c r="BZ148" s="4550"/>
      <c r="CA148" s="4550"/>
      <c r="CB148" s="4550"/>
      <c r="CC148" s="4550"/>
      <c r="CD148" s="4550"/>
      <c r="CE148" s="4550"/>
      <c r="CF148" s="4550"/>
      <c r="CG148" s="4550"/>
      <c r="CH148" s="4550"/>
      <c r="CI148" s="4550"/>
      <c r="CJ148" s="4550"/>
      <c r="CK148" s="4550"/>
      <c r="CL148" s="4550"/>
      <c r="CM148" s="4550"/>
      <c r="CN148" s="4550"/>
      <c r="CO148" s="4550"/>
      <c r="CP148" s="4550"/>
      <c r="CQ148" s="4550"/>
      <c r="CR148" s="4550"/>
      <c r="CS148" s="4550"/>
      <c r="CT148" s="4550"/>
      <c r="CU148" s="4550"/>
      <c r="CV148" s="4550"/>
      <c r="CW148" s="4550"/>
      <c r="CX148" s="4550"/>
      <c r="CY148" s="4550"/>
      <c r="CZ148" s="4550"/>
      <c r="DA148" s="4550"/>
      <c r="DB148" s="4550"/>
      <c r="DC148" s="4550"/>
      <c r="DD148" s="4550"/>
      <c r="DE148" s="4550"/>
      <c r="DF148" s="4550"/>
      <c r="DG148" s="4550"/>
      <c r="DH148" s="4550"/>
      <c r="DI148" s="4550"/>
      <c r="DJ148" s="4550"/>
      <c r="DK148" s="4550"/>
      <c r="DL148" s="4550"/>
      <c r="DM148" s="4550"/>
      <c r="DN148" s="4550"/>
      <c r="DO148" s="4550"/>
      <c r="DP148" s="4550"/>
      <c r="DQ148" s="4550"/>
      <c r="DR148" s="4550"/>
      <c r="DS148" s="4550"/>
      <c r="DT148" s="4550"/>
      <c r="DU148" s="4550"/>
      <c r="DV148" s="4550"/>
      <c r="DW148" s="4550"/>
      <c r="DX148" s="4550"/>
      <c r="DY148" s="4550"/>
      <c r="DZ148" s="4550"/>
      <c r="EA148" s="4550"/>
      <c r="EB148" s="4550"/>
      <c r="EC148" s="4550"/>
      <c r="ED148" s="4550"/>
      <c r="EE148" s="4550"/>
      <c r="EF148" s="4550"/>
      <c r="EG148" s="4550"/>
      <c r="EH148" s="4550"/>
      <c r="EI148" s="4550"/>
      <c r="EJ148" s="4550"/>
      <c r="EK148" s="4550"/>
      <c r="EL148" s="4550"/>
      <c r="EM148" s="4550"/>
      <c r="EN148" s="4550"/>
      <c r="EO148" s="4550"/>
      <c r="EP148" s="4550"/>
      <c r="EQ148" s="4550"/>
      <c r="ER148" s="4550"/>
      <c r="ES148" s="4550"/>
      <c r="ET148" s="4550"/>
      <c r="EU148" s="4550"/>
      <c r="EV148" s="4550"/>
      <c r="EW148" s="4550"/>
      <c r="EX148" s="4550"/>
      <c r="EY148" s="4550"/>
      <c r="EZ148" s="4550"/>
      <c r="FA148" s="4550"/>
      <c r="FB148" s="4550"/>
      <c r="FC148" s="4550"/>
      <c r="FD148" s="4550"/>
      <c r="FE148" s="4550"/>
      <c r="FF148" s="4550"/>
      <c r="FG148" s="4550"/>
      <c r="FH148" s="4550"/>
      <c r="FI148" s="4550"/>
      <c r="FJ148" s="4550"/>
      <c r="FK148" s="4550"/>
      <c r="FL148" s="4550"/>
      <c r="FM148" s="4550"/>
      <c r="FN148" s="4550"/>
      <c r="FO148" s="4550"/>
      <c r="FP148" s="4550"/>
      <c r="FQ148" s="4550"/>
      <c r="FR148" s="4550"/>
      <c r="FS148" s="4550"/>
      <c r="FT148" s="4550"/>
      <c r="FU148" s="4550"/>
      <c r="FV148" s="4550"/>
      <c r="FW148" s="4550"/>
      <c r="FX148" s="4550"/>
      <c r="FY148" s="4550"/>
      <c r="FZ148" s="4550"/>
      <c r="GA148" s="4550"/>
      <c r="GB148" s="4550"/>
      <c r="GC148" s="4550"/>
      <c r="GD148" s="4550"/>
      <c r="GE148" s="4550"/>
      <c r="GF148" s="4550"/>
      <c r="GG148" s="4550"/>
      <c r="GH148" s="4550"/>
      <c r="GI148" s="4550"/>
      <c r="GJ148" s="4550"/>
      <c r="GK148" s="4550"/>
      <c r="GL148" s="4550"/>
      <c r="GM148" s="4550"/>
      <c r="GN148" s="4550"/>
      <c r="GO148" s="4550"/>
      <c r="GP148" s="4550"/>
      <c r="GQ148" s="4550"/>
      <c r="GR148" s="4550"/>
      <c r="GS148" s="4550"/>
      <c r="GT148" s="4550"/>
      <c r="GU148" s="4550"/>
      <c r="GV148" s="4550"/>
      <c r="GW148" s="4550"/>
      <c r="GX148" s="4550"/>
      <c r="GY148" s="4550"/>
      <c r="GZ148" s="4550"/>
      <c r="HA148" s="4550"/>
      <c r="HB148" s="4550"/>
      <c r="HC148" s="4550"/>
      <c r="HD148" s="4550"/>
      <c r="HE148" s="4550"/>
      <c r="HF148" s="4550"/>
      <c r="HG148" s="4550"/>
      <c r="HH148" s="4550"/>
      <c r="HI148" s="4550"/>
      <c r="HJ148" s="4550"/>
      <c r="HK148" s="4550"/>
      <c r="HL148" s="4550"/>
      <c r="HM148" s="4550"/>
      <c r="HN148" s="4550"/>
      <c r="HO148" s="4550"/>
      <c r="HP148" s="4550"/>
      <c r="HQ148" s="4550"/>
      <c r="HR148" s="4550"/>
      <c r="HS148" s="4550"/>
      <c r="HT148" s="4550"/>
      <c r="HU148" s="4550"/>
      <c r="HV148" s="4550"/>
      <c r="HW148" s="4550"/>
      <c r="HX148" s="4550"/>
      <c r="HY148" s="4550"/>
      <c r="HZ148" s="4550"/>
      <c r="IA148" s="4550"/>
      <c r="IB148" s="4550"/>
      <c r="IC148" s="4550"/>
      <c r="ID148" s="4550"/>
      <c r="IE148" s="4550"/>
    </row>
    <row r="149" spans="1:239" s="4553" customFormat="1" ht="15">
      <c r="A149" s="4691"/>
      <c r="B149" s="4742" t="s">
        <v>4371</v>
      </c>
      <c r="C149" s="4691"/>
      <c r="D149" s="4691"/>
      <c r="E149" s="4984"/>
      <c r="F149" s="4984">
        <f>ROUND(SUM(F87:F148),2)</f>
        <v>0</v>
      </c>
      <c r="G149" s="4551"/>
      <c r="H149" s="4551"/>
      <c r="I149" s="4551"/>
      <c r="J149" s="4551"/>
      <c r="K149" s="4551"/>
      <c r="L149" s="4551"/>
      <c r="M149" s="4551"/>
      <c r="N149" s="4551"/>
      <c r="O149" s="4551"/>
      <c r="P149" s="4551"/>
      <c r="Q149" s="4551"/>
      <c r="R149" s="4551"/>
      <c r="S149" s="4551"/>
      <c r="T149" s="4551"/>
      <c r="U149" s="4551"/>
      <c r="V149" s="4551"/>
      <c r="W149" s="4551"/>
      <c r="X149" s="4551"/>
      <c r="Y149" s="4551"/>
      <c r="Z149" s="4551"/>
      <c r="AA149" s="4551"/>
      <c r="AB149" s="4551"/>
      <c r="AC149" s="4551"/>
      <c r="AD149" s="4551"/>
      <c r="AE149" s="4551"/>
      <c r="AF149" s="4551"/>
      <c r="AG149" s="4551"/>
      <c r="AH149" s="4551"/>
      <c r="AI149" s="4551"/>
      <c r="AJ149" s="4551"/>
      <c r="AK149" s="4551"/>
      <c r="AL149" s="4551"/>
      <c r="AM149" s="4551"/>
      <c r="AN149" s="4551"/>
      <c r="AO149" s="4551"/>
      <c r="AP149" s="4551"/>
      <c r="AQ149" s="4551"/>
      <c r="AR149" s="4551"/>
      <c r="AS149" s="4552"/>
      <c r="AT149" s="4552"/>
      <c r="AU149" s="4552"/>
      <c r="AV149" s="4552"/>
      <c r="AW149" s="4552"/>
      <c r="AX149" s="4552"/>
      <c r="AY149" s="4552"/>
      <c r="AZ149" s="4552"/>
      <c r="BA149" s="4552"/>
      <c r="BB149" s="4552"/>
      <c r="BC149" s="4552"/>
      <c r="BD149" s="4552"/>
      <c r="BE149" s="4552"/>
      <c r="BF149" s="4552"/>
      <c r="BG149" s="4552"/>
      <c r="BH149" s="4552"/>
      <c r="BI149" s="4552"/>
      <c r="BJ149" s="4552"/>
      <c r="BK149" s="4552"/>
      <c r="BL149" s="4552"/>
      <c r="BM149" s="4552"/>
      <c r="BN149" s="4552"/>
      <c r="BO149" s="4552"/>
      <c r="BP149" s="4552"/>
      <c r="BQ149" s="4552"/>
      <c r="BR149" s="4552"/>
      <c r="BS149" s="4552"/>
      <c r="BT149" s="4552"/>
      <c r="BU149" s="4552"/>
      <c r="BV149" s="4552"/>
      <c r="BW149" s="4552"/>
      <c r="BX149" s="4552"/>
      <c r="BY149" s="4552"/>
      <c r="BZ149" s="4552"/>
      <c r="CA149" s="4552"/>
      <c r="CB149" s="4552"/>
      <c r="CC149" s="4552"/>
      <c r="CD149" s="4552"/>
      <c r="CE149" s="4552"/>
      <c r="CF149" s="4552"/>
      <c r="CG149" s="4552"/>
      <c r="CH149" s="4552"/>
      <c r="CI149" s="4552"/>
      <c r="CJ149" s="4552"/>
      <c r="CK149" s="4552"/>
      <c r="CL149" s="4552"/>
      <c r="CM149" s="4552"/>
      <c r="CN149" s="4552"/>
      <c r="CO149" s="4552"/>
      <c r="CP149" s="4552"/>
      <c r="CQ149" s="4552"/>
      <c r="CR149" s="4552"/>
      <c r="CS149" s="4552"/>
      <c r="CT149" s="4552"/>
      <c r="CU149" s="4552"/>
      <c r="CV149" s="4552"/>
      <c r="CW149" s="4552"/>
      <c r="CX149" s="4552"/>
      <c r="CY149" s="4552"/>
      <c r="CZ149" s="4552"/>
      <c r="DA149" s="4552"/>
      <c r="DB149" s="4552"/>
      <c r="DC149" s="4552"/>
      <c r="DD149" s="4552"/>
      <c r="DE149" s="4552"/>
      <c r="DF149" s="4552"/>
      <c r="DG149" s="4552"/>
      <c r="DH149" s="4552"/>
      <c r="DI149" s="4552"/>
      <c r="DJ149" s="4552"/>
      <c r="DK149" s="4552"/>
      <c r="DL149" s="4552"/>
      <c r="DM149" s="4552"/>
      <c r="DN149" s="4552"/>
      <c r="DO149" s="4552"/>
      <c r="DP149" s="4552"/>
      <c r="DQ149" s="4552"/>
      <c r="DR149" s="4552"/>
      <c r="DS149" s="4552"/>
      <c r="DT149" s="4552"/>
      <c r="DU149" s="4552"/>
      <c r="DV149" s="4552"/>
      <c r="DW149" s="4552"/>
      <c r="DX149" s="4552"/>
      <c r="DY149" s="4552"/>
      <c r="DZ149" s="4552"/>
      <c r="EA149" s="4552"/>
      <c r="EB149" s="4552"/>
      <c r="EC149" s="4552"/>
      <c r="ED149" s="4552"/>
      <c r="EE149" s="4552"/>
      <c r="EF149" s="4552"/>
      <c r="EG149" s="4552"/>
      <c r="EH149" s="4552"/>
      <c r="EI149" s="4552"/>
      <c r="EJ149" s="4552"/>
      <c r="EK149" s="4552"/>
      <c r="EL149" s="4552"/>
      <c r="EM149" s="4552"/>
      <c r="EN149" s="4552"/>
      <c r="EO149" s="4552"/>
      <c r="EP149" s="4552"/>
      <c r="EQ149" s="4552"/>
      <c r="ER149" s="4552"/>
      <c r="ES149" s="4552"/>
      <c r="ET149" s="4552"/>
      <c r="EU149" s="4552"/>
      <c r="EV149" s="4552"/>
      <c r="EW149" s="4552"/>
      <c r="EX149" s="4552"/>
      <c r="EY149" s="4552"/>
      <c r="EZ149" s="4552"/>
      <c r="FA149" s="4552"/>
      <c r="FB149" s="4552"/>
      <c r="FC149" s="4552"/>
      <c r="FD149" s="4552"/>
      <c r="FE149" s="4552"/>
      <c r="FF149" s="4552"/>
      <c r="FG149" s="4552"/>
      <c r="FH149" s="4552"/>
      <c r="FI149" s="4552"/>
      <c r="FJ149" s="4552"/>
      <c r="FK149" s="4552"/>
      <c r="FL149" s="4552"/>
      <c r="FM149" s="4552"/>
      <c r="FN149" s="4552"/>
      <c r="FO149" s="4552"/>
      <c r="FP149" s="4552"/>
      <c r="FQ149" s="4552"/>
      <c r="FR149" s="4552"/>
      <c r="FS149" s="4552"/>
      <c r="FT149" s="4552"/>
      <c r="FU149" s="4552"/>
      <c r="FV149" s="4552"/>
      <c r="FW149" s="4552"/>
      <c r="FX149" s="4552"/>
      <c r="FY149" s="4552"/>
      <c r="FZ149" s="4552"/>
      <c r="GA149" s="4552"/>
      <c r="GB149" s="4552"/>
      <c r="GC149" s="4552"/>
      <c r="GD149" s="4552"/>
      <c r="GE149" s="4552"/>
      <c r="GF149" s="4552"/>
      <c r="GG149" s="4552"/>
      <c r="GH149" s="4552"/>
      <c r="GI149" s="4552"/>
      <c r="GJ149" s="4552"/>
      <c r="GK149" s="4552"/>
      <c r="GL149" s="4552"/>
      <c r="GM149" s="4552"/>
      <c r="GN149" s="4552"/>
      <c r="GO149" s="4552"/>
      <c r="GP149" s="4552"/>
      <c r="GQ149" s="4552"/>
      <c r="GR149" s="4552"/>
      <c r="GS149" s="4552"/>
      <c r="GT149" s="4552"/>
      <c r="GU149" s="4552"/>
      <c r="GV149" s="4552"/>
      <c r="GW149" s="4552"/>
      <c r="GX149" s="4552"/>
      <c r="GY149" s="4552"/>
      <c r="GZ149" s="4552"/>
      <c r="HA149" s="4552"/>
      <c r="HB149" s="4552"/>
      <c r="HC149" s="4552"/>
      <c r="HD149" s="4552"/>
      <c r="HE149" s="4552"/>
      <c r="HF149" s="4552"/>
      <c r="HG149" s="4552"/>
      <c r="HH149" s="4552"/>
      <c r="HI149" s="4552"/>
      <c r="HJ149" s="4552"/>
      <c r="HK149" s="4552"/>
      <c r="HL149" s="4552"/>
      <c r="HM149" s="4552"/>
      <c r="HN149" s="4552"/>
      <c r="HO149" s="4552"/>
      <c r="HP149" s="4552"/>
      <c r="HQ149" s="4552"/>
      <c r="HR149" s="4552"/>
      <c r="HS149" s="4552"/>
      <c r="HT149" s="4552"/>
      <c r="HU149" s="4552"/>
      <c r="HV149" s="4552"/>
      <c r="HW149" s="4552"/>
      <c r="HX149" s="4552"/>
      <c r="HY149" s="4552"/>
      <c r="HZ149" s="4552"/>
      <c r="IA149" s="4552"/>
      <c r="IB149" s="4552"/>
      <c r="IC149" s="4552"/>
      <c r="ID149" s="4552"/>
      <c r="IE149" s="4552"/>
    </row>
    <row r="150" spans="1:239" s="4553" customFormat="1" ht="15">
      <c r="A150" s="4168"/>
      <c r="B150" s="4676"/>
      <c r="C150" s="4168"/>
      <c r="D150" s="4168"/>
      <c r="E150" s="4985"/>
      <c r="F150" s="4985"/>
      <c r="G150" s="4551"/>
      <c r="H150" s="4551"/>
      <c r="I150" s="4551"/>
      <c r="J150" s="4551"/>
      <c r="K150" s="4551"/>
      <c r="L150" s="4551"/>
      <c r="M150" s="4551"/>
      <c r="N150" s="4551"/>
      <c r="O150" s="4551"/>
      <c r="P150" s="4551"/>
      <c r="Q150" s="4551"/>
      <c r="R150" s="4551"/>
      <c r="S150" s="4551"/>
      <c r="T150" s="4551"/>
      <c r="U150" s="4551"/>
      <c r="V150" s="4551"/>
      <c r="W150" s="4551"/>
      <c r="X150" s="4551"/>
      <c r="Y150" s="4551"/>
      <c r="Z150" s="4551"/>
      <c r="AA150" s="4551"/>
      <c r="AB150" s="4551"/>
      <c r="AC150" s="4551"/>
      <c r="AD150" s="4551"/>
      <c r="AE150" s="4551"/>
      <c r="AF150" s="4551"/>
      <c r="AG150" s="4551"/>
      <c r="AH150" s="4551"/>
      <c r="AI150" s="4551"/>
      <c r="AJ150" s="4551"/>
      <c r="AK150" s="4551"/>
      <c r="AL150" s="4551"/>
      <c r="AM150" s="4551"/>
      <c r="AN150" s="4551"/>
      <c r="AO150" s="4551"/>
      <c r="AP150" s="4551"/>
      <c r="AQ150" s="4551"/>
      <c r="AR150" s="4551"/>
      <c r="AS150" s="4552"/>
      <c r="AT150" s="4552"/>
      <c r="AU150" s="4552"/>
      <c r="AV150" s="4552"/>
      <c r="AW150" s="4552"/>
      <c r="AX150" s="4552"/>
      <c r="AY150" s="4552"/>
      <c r="AZ150" s="4552"/>
      <c r="BA150" s="4552"/>
      <c r="BB150" s="4552"/>
      <c r="BC150" s="4552"/>
      <c r="BD150" s="4552"/>
      <c r="BE150" s="4552"/>
      <c r="BF150" s="4552"/>
      <c r="BG150" s="4552"/>
      <c r="BH150" s="4552"/>
      <c r="BI150" s="4552"/>
      <c r="BJ150" s="4552"/>
      <c r="BK150" s="4552"/>
      <c r="BL150" s="4552"/>
      <c r="BM150" s="4552"/>
      <c r="BN150" s="4552"/>
      <c r="BO150" s="4552"/>
      <c r="BP150" s="4552"/>
      <c r="BQ150" s="4552"/>
      <c r="BR150" s="4552"/>
      <c r="BS150" s="4552"/>
      <c r="BT150" s="4552"/>
      <c r="BU150" s="4552"/>
      <c r="BV150" s="4552"/>
      <c r="BW150" s="4552"/>
      <c r="BX150" s="4552"/>
      <c r="BY150" s="4552"/>
      <c r="BZ150" s="4552"/>
      <c r="CA150" s="4552"/>
      <c r="CB150" s="4552"/>
      <c r="CC150" s="4552"/>
      <c r="CD150" s="4552"/>
      <c r="CE150" s="4552"/>
      <c r="CF150" s="4552"/>
      <c r="CG150" s="4552"/>
      <c r="CH150" s="4552"/>
      <c r="CI150" s="4552"/>
      <c r="CJ150" s="4552"/>
      <c r="CK150" s="4552"/>
      <c r="CL150" s="4552"/>
      <c r="CM150" s="4552"/>
      <c r="CN150" s="4552"/>
      <c r="CO150" s="4552"/>
      <c r="CP150" s="4552"/>
      <c r="CQ150" s="4552"/>
      <c r="CR150" s="4552"/>
      <c r="CS150" s="4552"/>
      <c r="CT150" s="4552"/>
      <c r="CU150" s="4552"/>
      <c r="CV150" s="4552"/>
      <c r="CW150" s="4552"/>
      <c r="CX150" s="4552"/>
      <c r="CY150" s="4552"/>
      <c r="CZ150" s="4552"/>
      <c r="DA150" s="4552"/>
      <c r="DB150" s="4552"/>
      <c r="DC150" s="4552"/>
      <c r="DD150" s="4552"/>
      <c r="DE150" s="4552"/>
      <c r="DF150" s="4552"/>
      <c r="DG150" s="4552"/>
      <c r="DH150" s="4552"/>
      <c r="DI150" s="4552"/>
      <c r="DJ150" s="4552"/>
      <c r="DK150" s="4552"/>
      <c r="DL150" s="4552"/>
      <c r="DM150" s="4552"/>
      <c r="DN150" s="4552"/>
      <c r="DO150" s="4552"/>
      <c r="DP150" s="4552"/>
      <c r="DQ150" s="4552"/>
      <c r="DR150" s="4552"/>
      <c r="DS150" s="4552"/>
      <c r="DT150" s="4552"/>
      <c r="DU150" s="4552"/>
      <c r="DV150" s="4552"/>
      <c r="DW150" s="4552"/>
      <c r="DX150" s="4552"/>
      <c r="DY150" s="4552"/>
      <c r="DZ150" s="4552"/>
      <c r="EA150" s="4552"/>
      <c r="EB150" s="4552"/>
      <c r="EC150" s="4552"/>
      <c r="ED150" s="4552"/>
      <c r="EE150" s="4552"/>
      <c r="EF150" s="4552"/>
      <c r="EG150" s="4552"/>
      <c r="EH150" s="4552"/>
      <c r="EI150" s="4552"/>
      <c r="EJ150" s="4552"/>
      <c r="EK150" s="4552"/>
      <c r="EL150" s="4552"/>
      <c r="EM150" s="4552"/>
      <c r="EN150" s="4552"/>
      <c r="EO150" s="4552"/>
      <c r="EP150" s="4552"/>
      <c r="EQ150" s="4552"/>
      <c r="ER150" s="4552"/>
      <c r="ES150" s="4552"/>
      <c r="ET150" s="4552"/>
      <c r="EU150" s="4552"/>
      <c r="EV150" s="4552"/>
      <c r="EW150" s="4552"/>
      <c r="EX150" s="4552"/>
      <c r="EY150" s="4552"/>
      <c r="EZ150" s="4552"/>
      <c r="FA150" s="4552"/>
      <c r="FB150" s="4552"/>
      <c r="FC150" s="4552"/>
      <c r="FD150" s="4552"/>
      <c r="FE150" s="4552"/>
      <c r="FF150" s="4552"/>
      <c r="FG150" s="4552"/>
      <c r="FH150" s="4552"/>
      <c r="FI150" s="4552"/>
      <c r="FJ150" s="4552"/>
      <c r="FK150" s="4552"/>
      <c r="FL150" s="4552"/>
      <c r="FM150" s="4552"/>
      <c r="FN150" s="4552"/>
      <c r="FO150" s="4552"/>
      <c r="FP150" s="4552"/>
      <c r="FQ150" s="4552"/>
      <c r="FR150" s="4552"/>
      <c r="FS150" s="4552"/>
      <c r="FT150" s="4552"/>
      <c r="FU150" s="4552"/>
      <c r="FV150" s="4552"/>
      <c r="FW150" s="4552"/>
      <c r="FX150" s="4552"/>
      <c r="FY150" s="4552"/>
      <c r="FZ150" s="4552"/>
      <c r="GA150" s="4552"/>
      <c r="GB150" s="4552"/>
      <c r="GC150" s="4552"/>
      <c r="GD150" s="4552"/>
      <c r="GE150" s="4552"/>
      <c r="GF150" s="4552"/>
      <c r="GG150" s="4552"/>
      <c r="GH150" s="4552"/>
      <c r="GI150" s="4552"/>
      <c r="GJ150" s="4552"/>
      <c r="GK150" s="4552"/>
      <c r="GL150" s="4552"/>
      <c r="GM150" s="4552"/>
      <c r="GN150" s="4552"/>
      <c r="GO150" s="4552"/>
      <c r="GP150" s="4552"/>
      <c r="GQ150" s="4552"/>
      <c r="GR150" s="4552"/>
      <c r="GS150" s="4552"/>
      <c r="GT150" s="4552"/>
      <c r="GU150" s="4552"/>
      <c r="GV150" s="4552"/>
      <c r="GW150" s="4552"/>
      <c r="GX150" s="4552"/>
      <c r="GY150" s="4552"/>
      <c r="GZ150" s="4552"/>
      <c r="HA150" s="4552"/>
      <c r="HB150" s="4552"/>
      <c r="HC150" s="4552"/>
      <c r="HD150" s="4552"/>
      <c r="HE150" s="4552"/>
      <c r="HF150" s="4552"/>
      <c r="HG150" s="4552"/>
      <c r="HH150" s="4552"/>
      <c r="HI150" s="4552"/>
      <c r="HJ150" s="4552"/>
      <c r="HK150" s="4552"/>
      <c r="HL150" s="4552"/>
      <c r="HM150" s="4552"/>
      <c r="HN150" s="4552"/>
      <c r="HO150" s="4552"/>
      <c r="HP150" s="4552"/>
      <c r="HQ150" s="4552"/>
      <c r="HR150" s="4552"/>
      <c r="HS150" s="4552"/>
      <c r="HT150" s="4552"/>
      <c r="HU150" s="4552"/>
      <c r="HV150" s="4552"/>
      <c r="HW150" s="4552"/>
      <c r="HX150" s="4552"/>
      <c r="HY150" s="4552"/>
      <c r="HZ150" s="4552"/>
      <c r="IA150" s="4552"/>
      <c r="IB150" s="4552"/>
      <c r="IC150" s="4552"/>
      <c r="ID150" s="4552"/>
      <c r="IE150" s="4552"/>
    </row>
    <row r="151" spans="1:239" s="4549" customFormat="1" ht="15">
      <c r="A151" s="4651" t="s">
        <v>4372</v>
      </c>
      <c r="B151" s="4706" t="s">
        <v>4131</v>
      </c>
      <c r="C151" s="4590"/>
      <c r="D151" s="4591"/>
      <c r="E151" s="4986"/>
      <c r="F151" s="4986"/>
      <c r="G151" s="4537"/>
      <c r="H151" s="4537"/>
      <c r="I151" s="4537"/>
      <c r="J151" s="4537"/>
      <c r="K151" s="4537"/>
      <c r="L151" s="4537"/>
      <c r="M151" s="4537"/>
      <c r="N151" s="4537"/>
      <c r="O151" s="4537"/>
      <c r="P151" s="4537"/>
      <c r="Q151" s="4537"/>
      <c r="R151" s="4537"/>
      <c r="S151" s="4537"/>
      <c r="T151" s="4537"/>
      <c r="U151" s="4537"/>
      <c r="V151" s="4537"/>
      <c r="W151" s="4537"/>
      <c r="X151" s="4537"/>
      <c r="Y151" s="4537"/>
      <c r="Z151" s="4537"/>
      <c r="AA151" s="4537"/>
      <c r="AB151" s="4537"/>
      <c r="AC151" s="4537"/>
      <c r="AD151" s="4537"/>
      <c r="AE151" s="4537"/>
      <c r="AF151" s="4537"/>
      <c r="AG151" s="4537"/>
      <c r="AH151" s="4537"/>
      <c r="AI151" s="4537"/>
      <c r="AJ151" s="4537"/>
      <c r="AK151" s="4537"/>
      <c r="AL151" s="4537"/>
      <c r="AM151" s="4537"/>
      <c r="AN151" s="4537"/>
      <c r="AO151" s="4537"/>
      <c r="AP151" s="4537"/>
      <c r="AQ151" s="4537"/>
      <c r="AR151" s="4537"/>
      <c r="AS151" s="4550"/>
      <c r="AT151" s="4550"/>
      <c r="AU151" s="4550"/>
      <c r="AV151" s="4550"/>
      <c r="AW151" s="4550"/>
      <c r="AX151" s="4550"/>
      <c r="AY151" s="4550"/>
      <c r="AZ151" s="4550"/>
      <c r="BA151" s="4550"/>
      <c r="BB151" s="4550"/>
      <c r="BC151" s="4550"/>
      <c r="BD151" s="4550"/>
      <c r="BE151" s="4550"/>
      <c r="BF151" s="4550"/>
      <c r="BG151" s="4550"/>
      <c r="BH151" s="4550"/>
      <c r="BI151" s="4550"/>
      <c r="BJ151" s="4550"/>
      <c r="BK151" s="4550"/>
      <c r="BL151" s="4550"/>
      <c r="BM151" s="4550"/>
      <c r="BN151" s="4550"/>
      <c r="BO151" s="4550"/>
      <c r="BP151" s="4550"/>
      <c r="BQ151" s="4550"/>
      <c r="BR151" s="4550"/>
      <c r="BS151" s="4550"/>
      <c r="BT151" s="4550"/>
      <c r="BU151" s="4550"/>
      <c r="BV151" s="4550"/>
      <c r="BW151" s="4550"/>
      <c r="BX151" s="4550"/>
      <c r="BY151" s="4550"/>
      <c r="BZ151" s="4550"/>
      <c r="CA151" s="4550"/>
      <c r="CB151" s="4550"/>
      <c r="CC151" s="4550"/>
      <c r="CD151" s="4550"/>
      <c r="CE151" s="4550"/>
      <c r="CF151" s="4550"/>
      <c r="CG151" s="4550"/>
      <c r="CH151" s="4550"/>
      <c r="CI151" s="4550"/>
      <c r="CJ151" s="4550"/>
      <c r="CK151" s="4550"/>
      <c r="CL151" s="4550"/>
      <c r="CM151" s="4550"/>
      <c r="CN151" s="4550"/>
      <c r="CO151" s="4550"/>
      <c r="CP151" s="4550"/>
      <c r="CQ151" s="4550"/>
      <c r="CR151" s="4550"/>
      <c r="CS151" s="4550"/>
      <c r="CT151" s="4550"/>
      <c r="CU151" s="4550"/>
      <c r="CV151" s="4550"/>
      <c r="CW151" s="4550"/>
      <c r="CX151" s="4550"/>
      <c r="CY151" s="4550"/>
      <c r="CZ151" s="4550"/>
      <c r="DA151" s="4550"/>
      <c r="DB151" s="4550"/>
      <c r="DC151" s="4550"/>
      <c r="DD151" s="4550"/>
      <c r="DE151" s="4550"/>
      <c r="DF151" s="4550"/>
      <c r="DG151" s="4550"/>
      <c r="DH151" s="4550"/>
      <c r="DI151" s="4550"/>
      <c r="DJ151" s="4550"/>
      <c r="DK151" s="4550"/>
      <c r="DL151" s="4550"/>
      <c r="DM151" s="4550"/>
      <c r="DN151" s="4550"/>
      <c r="DO151" s="4550"/>
      <c r="DP151" s="4550"/>
      <c r="DQ151" s="4550"/>
      <c r="DR151" s="4550"/>
      <c r="DS151" s="4550"/>
      <c r="DT151" s="4550"/>
      <c r="DU151" s="4550"/>
      <c r="DV151" s="4550"/>
      <c r="DW151" s="4550"/>
      <c r="DX151" s="4550"/>
      <c r="DY151" s="4550"/>
      <c r="DZ151" s="4550"/>
      <c r="EA151" s="4550"/>
      <c r="EB151" s="4550"/>
      <c r="EC151" s="4550"/>
      <c r="ED151" s="4550"/>
      <c r="EE151" s="4550"/>
      <c r="EF151" s="4550"/>
      <c r="EG151" s="4550"/>
      <c r="EH151" s="4550"/>
      <c r="EI151" s="4550"/>
      <c r="EJ151" s="4550"/>
      <c r="EK151" s="4550"/>
      <c r="EL151" s="4550"/>
      <c r="EM151" s="4550"/>
      <c r="EN151" s="4550"/>
      <c r="EO151" s="4550"/>
      <c r="EP151" s="4550"/>
      <c r="EQ151" s="4550"/>
      <c r="ER151" s="4550"/>
      <c r="ES151" s="4550"/>
      <c r="ET151" s="4550"/>
      <c r="EU151" s="4550"/>
      <c r="EV151" s="4550"/>
      <c r="EW151" s="4550"/>
      <c r="EX151" s="4550"/>
      <c r="EY151" s="4550"/>
      <c r="EZ151" s="4550"/>
      <c r="FA151" s="4550"/>
      <c r="FB151" s="4550"/>
      <c r="FC151" s="4550"/>
      <c r="FD151" s="4550"/>
      <c r="FE151" s="4550"/>
      <c r="FF151" s="4550"/>
      <c r="FG151" s="4550"/>
      <c r="FH151" s="4550"/>
      <c r="FI151" s="4550"/>
      <c r="FJ151" s="4550"/>
      <c r="FK151" s="4550"/>
      <c r="FL151" s="4550"/>
      <c r="FM151" s="4550"/>
      <c r="FN151" s="4550"/>
      <c r="FO151" s="4550"/>
      <c r="FP151" s="4550"/>
      <c r="FQ151" s="4550"/>
      <c r="FR151" s="4550"/>
      <c r="FS151" s="4550"/>
      <c r="FT151" s="4550"/>
      <c r="FU151" s="4550"/>
      <c r="FV151" s="4550"/>
      <c r="FW151" s="4550"/>
      <c r="FX151" s="4550"/>
      <c r="FY151" s="4550"/>
      <c r="FZ151" s="4550"/>
      <c r="GA151" s="4550"/>
      <c r="GB151" s="4550"/>
      <c r="GC151" s="4550"/>
      <c r="GD151" s="4550"/>
      <c r="GE151" s="4550"/>
      <c r="GF151" s="4550"/>
      <c r="GG151" s="4550"/>
      <c r="GH151" s="4550"/>
      <c r="GI151" s="4550"/>
      <c r="GJ151" s="4550"/>
      <c r="GK151" s="4550"/>
      <c r="GL151" s="4550"/>
      <c r="GM151" s="4550"/>
      <c r="GN151" s="4550"/>
      <c r="GO151" s="4550"/>
      <c r="GP151" s="4550"/>
      <c r="GQ151" s="4550"/>
      <c r="GR151" s="4550"/>
      <c r="GS151" s="4550"/>
      <c r="GT151" s="4550"/>
      <c r="GU151" s="4550"/>
      <c r="GV151" s="4550"/>
      <c r="GW151" s="4550"/>
      <c r="GX151" s="4550"/>
      <c r="GY151" s="4550"/>
      <c r="GZ151" s="4550"/>
      <c r="HA151" s="4550"/>
      <c r="HB151" s="4550"/>
      <c r="HC151" s="4550"/>
      <c r="HD151" s="4550"/>
      <c r="HE151" s="4550"/>
      <c r="HF151" s="4550"/>
      <c r="HG151" s="4550"/>
      <c r="HH151" s="4550"/>
      <c r="HI151" s="4550"/>
      <c r="HJ151" s="4550"/>
      <c r="HK151" s="4550"/>
      <c r="HL151" s="4550"/>
      <c r="HM151" s="4550"/>
      <c r="HN151" s="4550"/>
      <c r="HO151" s="4550"/>
      <c r="HP151" s="4550"/>
      <c r="HQ151" s="4550"/>
      <c r="HR151" s="4550"/>
      <c r="HS151" s="4550"/>
      <c r="HT151" s="4550"/>
      <c r="HU151" s="4550"/>
      <c r="HV151" s="4550"/>
      <c r="HW151" s="4550"/>
      <c r="HX151" s="4550"/>
      <c r="HY151" s="4550"/>
      <c r="HZ151" s="4550"/>
      <c r="IA151" s="4550"/>
      <c r="IB151" s="4550"/>
      <c r="IC151" s="4550"/>
      <c r="ID151" s="4550"/>
      <c r="IE151" s="4550"/>
    </row>
    <row r="152" spans="1:239" s="4549" customFormat="1" ht="15">
      <c r="A152" s="4652"/>
      <c r="B152" s="4554"/>
      <c r="C152" s="4590"/>
      <c r="D152" s="4591"/>
      <c r="E152" s="4986"/>
      <c r="F152" s="4986"/>
      <c r="G152" s="4537"/>
      <c r="H152" s="4537"/>
      <c r="I152" s="4537"/>
      <c r="J152" s="4537"/>
      <c r="K152" s="4537"/>
      <c r="L152" s="4537"/>
      <c r="M152" s="4537"/>
      <c r="N152" s="4537"/>
      <c r="O152" s="4537"/>
      <c r="P152" s="4537"/>
      <c r="Q152" s="4537"/>
      <c r="R152" s="4537"/>
      <c r="S152" s="4537"/>
      <c r="T152" s="4537"/>
      <c r="U152" s="4537"/>
      <c r="V152" s="4537"/>
      <c r="W152" s="4537"/>
      <c r="X152" s="4537"/>
      <c r="Y152" s="4537"/>
      <c r="Z152" s="4537"/>
      <c r="AA152" s="4537"/>
      <c r="AB152" s="4537"/>
      <c r="AC152" s="4537"/>
      <c r="AD152" s="4537"/>
      <c r="AE152" s="4537"/>
      <c r="AF152" s="4537"/>
      <c r="AG152" s="4537"/>
      <c r="AH152" s="4537"/>
      <c r="AI152" s="4537"/>
      <c r="AJ152" s="4537"/>
      <c r="AK152" s="4537"/>
      <c r="AL152" s="4537"/>
      <c r="AM152" s="4537"/>
      <c r="AN152" s="4537"/>
      <c r="AO152" s="4537"/>
      <c r="AP152" s="4537"/>
      <c r="AQ152" s="4537"/>
      <c r="AR152" s="4537"/>
      <c r="AS152" s="4550"/>
      <c r="AT152" s="4550"/>
      <c r="AU152" s="4550"/>
      <c r="AV152" s="4550"/>
      <c r="AW152" s="4550"/>
      <c r="AX152" s="4550"/>
      <c r="AY152" s="4550"/>
      <c r="AZ152" s="4550"/>
      <c r="BA152" s="4550"/>
      <c r="BB152" s="4550"/>
      <c r="BC152" s="4550"/>
      <c r="BD152" s="4550"/>
      <c r="BE152" s="4550"/>
      <c r="BF152" s="4550"/>
      <c r="BG152" s="4550"/>
      <c r="BH152" s="4550"/>
      <c r="BI152" s="4550"/>
      <c r="BJ152" s="4550"/>
      <c r="BK152" s="4550"/>
      <c r="BL152" s="4550"/>
      <c r="BM152" s="4550"/>
      <c r="BN152" s="4550"/>
      <c r="BO152" s="4550"/>
      <c r="BP152" s="4550"/>
      <c r="BQ152" s="4550"/>
      <c r="BR152" s="4550"/>
      <c r="BS152" s="4550"/>
      <c r="BT152" s="4550"/>
      <c r="BU152" s="4550"/>
      <c r="BV152" s="4550"/>
      <c r="BW152" s="4550"/>
      <c r="BX152" s="4550"/>
      <c r="BY152" s="4550"/>
      <c r="BZ152" s="4550"/>
      <c r="CA152" s="4550"/>
      <c r="CB152" s="4550"/>
      <c r="CC152" s="4550"/>
      <c r="CD152" s="4550"/>
      <c r="CE152" s="4550"/>
      <c r="CF152" s="4550"/>
      <c r="CG152" s="4550"/>
      <c r="CH152" s="4550"/>
      <c r="CI152" s="4550"/>
      <c r="CJ152" s="4550"/>
      <c r="CK152" s="4550"/>
      <c r="CL152" s="4550"/>
      <c r="CM152" s="4550"/>
      <c r="CN152" s="4550"/>
      <c r="CO152" s="4550"/>
      <c r="CP152" s="4550"/>
      <c r="CQ152" s="4550"/>
      <c r="CR152" s="4550"/>
      <c r="CS152" s="4550"/>
      <c r="CT152" s="4550"/>
      <c r="CU152" s="4550"/>
      <c r="CV152" s="4550"/>
      <c r="CW152" s="4550"/>
      <c r="CX152" s="4550"/>
      <c r="CY152" s="4550"/>
      <c r="CZ152" s="4550"/>
      <c r="DA152" s="4550"/>
      <c r="DB152" s="4550"/>
      <c r="DC152" s="4550"/>
      <c r="DD152" s="4550"/>
      <c r="DE152" s="4550"/>
      <c r="DF152" s="4550"/>
      <c r="DG152" s="4550"/>
      <c r="DH152" s="4550"/>
      <c r="DI152" s="4550"/>
      <c r="DJ152" s="4550"/>
      <c r="DK152" s="4550"/>
      <c r="DL152" s="4550"/>
      <c r="DM152" s="4550"/>
      <c r="DN152" s="4550"/>
      <c r="DO152" s="4550"/>
      <c r="DP152" s="4550"/>
      <c r="DQ152" s="4550"/>
      <c r="DR152" s="4550"/>
      <c r="DS152" s="4550"/>
      <c r="DT152" s="4550"/>
      <c r="DU152" s="4550"/>
      <c r="DV152" s="4550"/>
      <c r="DW152" s="4550"/>
      <c r="DX152" s="4550"/>
      <c r="DY152" s="4550"/>
      <c r="DZ152" s="4550"/>
      <c r="EA152" s="4550"/>
      <c r="EB152" s="4550"/>
      <c r="EC152" s="4550"/>
      <c r="ED152" s="4550"/>
      <c r="EE152" s="4550"/>
      <c r="EF152" s="4550"/>
      <c r="EG152" s="4550"/>
      <c r="EH152" s="4550"/>
      <c r="EI152" s="4550"/>
      <c r="EJ152" s="4550"/>
      <c r="EK152" s="4550"/>
      <c r="EL152" s="4550"/>
      <c r="EM152" s="4550"/>
      <c r="EN152" s="4550"/>
      <c r="EO152" s="4550"/>
      <c r="EP152" s="4550"/>
      <c r="EQ152" s="4550"/>
      <c r="ER152" s="4550"/>
      <c r="ES152" s="4550"/>
      <c r="ET152" s="4550"/>
      <c r="EU152" s="4550"/>
      <c r="EV152" s="4550"/>
      <c r="EW152" s="4550"/>
      <c r="EX152" s="4550"/>
      <c r="EY152" s="4550"/>
      <c r="EZ152" s="4550"/>
      <c r="FA152" s="4550"/>
      <c r="FB152" s="4550"/>
      <c r="FC152" s="4550"/>
      <c r="FD152" s="4550"/>
      <c r="FE152" s="4550"/>
      <c r="FF152" s="4550"/>
      <c r="FG152" s="4550"/>
      <c r="FH152" s="4550"/>
      <c r="FI152" s="4550"/>
      <c r="FJ152" s="4550"/>
      <c r="FK152" s="4550"/>
      <c r="FL152" s="4550"/>
      <c r="FM152" s="4550"/>
      <c r="FN152" s="4550"/>
      <c r="FO152" s="4550"/>
      <c r="FP152" s="4550"/>
      <c r="FQ152" s="4550"/>
      <c r="FR152" s="4550"/>
      <c r="FS152" s="4550"/>
      <c r="FT152" s="4550"/>
      <c r="FU152" s="4550"/>
      <c r="FV152" s="4550"/>
      <c r="FW152" s="4550"/>
      <c r="FX152" s="4550"/>
      <c r="FY152" s="4550"/>
      <c r="FZ152" s="4550"/>
      <c r="GA152" s="4550"/>
      <c r="GB152" s="4550"/>
      <c r="GC152" s="4550"/>
      <c r="GD152" s="4550"/>
      <c r="GE152" s="4550"/>
      <c r="GF152" s="4550"/>
      <c r="GG152" s="4550"/>
      <c r="GH152" s="4550"/>
      <c r="GI152" s="4550"/>
      <c r="GJ152" s="4550"/>
      <c r="GK152" s="4550"/>
      <c r="GL152" s="4550"/>
      <c r="GM152" s="4550"/>
      <c r="GN152" s="4550"/>
      <c r="GO152" s="4550"/>
      <c r="GP152" s="4550"/>
      <c r="GQ152" s="4550"/>
      <c r="GR152" s="4550"/>
      <c r="GS152" s="4550"/>
      <c r="GT152" s="4550"/>
      <c r="GU152" s="4550"/>
      <c r="GV152" s="4550"/>
      <c r="GW152" s="4550"/>
      <c r="GX152" s="4550"/>
      <c r="GY152" s="4550"/>
      <c r="GZ152" s="4550"/>
      <c r="HA152" s="4550"/>
      <c r="HB152" s="4550"/>
      <c r="HC152" s="4550"/>
      <c r="HD152" s="4550"/>
      <c r="HE152" s="4550"/>
      <c r="HF152" s="4550"/>
      <c r="HG152" s="4550"/>
      <c r="HH152" s="4550"/>
      <c r="HI152" s="4550"/>
      <c r="HJ152" s="4550"/>
      <c r="HK152" s="4550"/>
      <c r="HL152" s="4550"/>
      <c r="HM152" s="4550"/>
      <c r="HN152" s="4550"/>
      <c r="HO152" s="4550"/>
      <c r="HP152" s="4550"/>
      <c r="HQ152" s="4550"/>
      <c r="HR152" s="4550"/>
      <c r="HS152" s="4550"/>
      <c r="HT152" s="4550"/>
      <c r="HU152" s="4550"/>
      <c r="HV152" s="4550"/>
      <c r="HW152" s="4550"/>
      <c r="HX152" s="4550"/>
      <c r="HY152" s="4550"/>
      <c r="HZ152" s="4550"/>
      <c r="IA152" s="4550"/>
      <c r="IB152" s="4550"/>
      <c r="IC152" s="4550"/>
      <c r="ID152" s="4550"/>
      <c r="IE152" s="4550"/>
    </row>
    <row r="153" spans="1:239" s="4549" customFormat="1" ht="12.75" customHeight="1">
      <c r="A153" s="4745">
        <v>1</v>
      </c>
      <c r="B153" s="4610" t="s">
        <v>37</v>
      </c>
      <c r="C153" s="4592">
        <v>1</v>
      </c>
      <c r="D153" s="4593" t="s">
        <v>61</v>
      </c>
      <c r="E153" s="4987"/>
      <c r="F153" s="4594">
        <f>ROUND(C153*E153,2)</f>
        <v>0</v>
      </c>
      <c r="G153" s="4537"/>
      <c r="H153" s="4537"/>
      <c r="I153" s="4537"/>
      <c r="J153" s="4537"/>
      <c r="K153" s="4537"/>
      <c r="L153" s="4537"/>
      <c r="M153" s="4537"/>
      <c r="N153" s="4537"/>
      <c r="O153" s="4537"/>
      <c r="P153" s="4537"/>
      <c r="Q153" s="4537"/>
      <c r="R153" s="4537"/>
      <c r="S153" s="4537"/>
      <c r="T153" s="4537"/>
      <c r="U153" s="4537"/>
      <c r="V153" s="4537"/>
      <c r="W153" s="4537"/>
      <c r="X153" s="4537"/>
      <c r="Y153" s="4537"/>
      <c r="Z153" s="4537"/>
      <c r="AA153" s="4537"/>
      <c r="AB153" s="4537"/>
      <c r="AC153" s="4537"/>
      <c r="AD153" s="4537"/>
      <c r="AE153" s="4537"/>
      <c r="AF153" s="4537"/>
      <c r="AG153" s="4537"/>
      <c r="AH153" s="4537"/>
      <c r="AI153" s="4537"/>
      <c r="AJ153" s="4537"/>
      <c r="AK153" s="4537"/>
      <c r="AL153" s="4537"/>
      <c r="AM153" s="4537"/>
      <c r="AN153" s="4537"/>
      <c r="AO153" s="4537"/>
      <c r="AP153" s="4537"/>
      <c r="AQ153" s="4537"/>
      <c r="AR153" s="4537"/>
      <c r="AS153" s="4550"/>
      <c r="AT153" s="4550"/>
      <c r="AU153" s="4550"/>
      <c r="AV153" s="4550"/>
      <c r="AW153" s="4550"/>
      <c r="AX153" s="4550"/>
      <c r="AY153" s="4550"/>
      <c r="AZ153" s="4550"/>
      <c r="BA153" s="4550"/>
      <c r="BB153" s="4550"/>
      <c r="BC153" s="4550"/>
      <c r="BD153" s="4550"/>
      <c r="BE153" s="4550"/>
      <c r="BF153" s="4550"/>
      <c r="BG153" s="4550"/>
      <c r="BH153" s="4550"/>
      <c r="BI153" s="4550"/>
      <c r="BJ153" s="4550"/>
      <c r="BK153" s="4550"/>
      <c r="BL153" s="4550"/>
      <c r="BM153" s="4550"/>
      <c r="BN153" s="4550"/>
      <c r="BO153" s="4550"/>
      <c r="BP153" s="4550"/>
      <c r="BQ153" s="4550"/>
      <c r="BR153" s="4550"/>
      <c r="BS153" s="4550"/>
      <c r="BT153" s="4550"/>
      <c r="BU153" s="4550"/>
      <c r="BV153" s="4550"/>
      <c r="BW153" s="4550"/>
      <c r="BX153" s="4550"/>
      <c r="BY153" s="4550"/>
      <c r="BZ153" s="4550"/>
      <c r="CA153" s="4550"/>
      <c r="CB153" s="4550"/>
      <c r="CC153" s="4550"/>
      <c r="CD153" s="4550"/>
      <c r="CE153" s="4550"/>
      <c r="CF153" s="4550"/>
      <c r="CG153" s="4550"/>
      <c r="CH153" s="4550"/>
      <c r="CI153" s="4550"/>
      <c r="CJ153" s="4550"/>
      <c r="CK153" s="4550"/>
      <c r="CL153" s="4550"/>
      <c r="CM153" s="4550"/>
      <c r="CN153" s="4550"/>
      <c r="CO153" s="4550"/>
      <c r="CP153" s="4550"/>
      <c r="CQ153" s="4550"/>
      <c r="CR153" s="4550"/>
      <c r="CS153" s="4550"/>
      <c r="CT153" s="4550"/>
      <c r="CU153" s="4550"/>
      <c r="CV153" s="4550"/>
      <c r="CW153" s="4550"/>
      <c r="CX153" s="4550"/>
      <c r="CY153" s="4550"/>
      <c r="CZ153" s="4550"/>
      <c r="DA153" s="4550"/>
      <c r="DB153" s="4550"/>
      <c r="DC153" s="4550"/>
      <c r="DD153" s="4550"/>
      <c r="DE153" s="4550"/>
      <c r="DF153" s="4550"/>
      <c r="DG153" s="4550"/>
      <c r="DH153" s="4550"/>
      <c r="DI153" s="4550"/>
      <c r="DJ153" s="4550"/>
      <c r="DK153" s="4550"/>
      <c r="DL153" s="4550"/>
      <c r="DM153" s="4550"/>
      <c r="DN153" s="4550"/>
      <c r="DO153" s="4550"/>
      <c r="DP153" s="4550"/>
      <c r="DQ153" s="4550"/>
      <c r="DR153" s="4550"/>
      <c r="DS153" s="4550"/>
      <c r="DT153" s="4550"/>
      <c r="DU153" s="4550"/>
      <c r="DV153" s="4550"/>
      <c r="DW153" s="4550"/>
      <c r="DX153" s="4550"/>
      <c r="DY153" s="4550"/>
      <c r="DZ153" s="4550"/>
      <c r="EA153" s="4550"/>
      <c r="EB153" s="4550"/>
      <c r="EC153" s="4550"/>
      <c r="ED153" s="4550"/>
      <c r="EE153" s="4550"/>
      <c r="EF153" s="4550"/>
      <c r="EG153" s="4550"/>
      <c r="EH153" s="4550"/>
      <c r="EI153" s="4550"/>
      <c r="EJ153" s="4550"/>
      <c r="EK153" s="4550"/>
      <c r="EL153" s="4550"/>
      <c r="EM153" s="4550"/>
      <c r="EN153" s="4550"/>
      <c r="EO153" s="4550"/>
      <c r="EP153" s="4550"/>
      <c r="EQ153" s="4550"/>
      <c r="ER153" s="4550"/>
      <c r="ES153" s="4550"/>
      <c r="ET153" s="4550"/>
      <c r="EU153" s="4550"/>
      <c r="EV153" s="4550"/>
      <c r="EW153" s="4550"/>
      <c r="EX153" s="4550"/>
      <c r="EY153" s="4550"/>
      <c r="EZ153" s="4550"/>
      <c r="FA153" s="4550"/>
      <c r="FB153" s="4550"/>
      <c r="FC153" s="4550"/>
      <c r="FD153" s="4550"/>
      <c r="FE153" s="4550"/>
      <c r="FF153" s="4550"/>
      <c r="FG153" s="4550"/>
      <c r="FH153" s="4550"/>
      <c r="FI153" s="4550"/>
      <c r="FJ153" s="4550"/>
      <c r="FK153" s="4550"/>
      <c r="FL153" s="4550"/>
      <c r="FM153" s="4550"/>
      <c r="FN153" s="4550"/>
      <c r="FO153" s="4550"/>
      <c r="FP153" s="4550"/>
      <c r="FQ153" s="4550"/>
      <c r="FR153" s="4550"/>
      <c r="FS153" s="4550"/>
      <c r="FT153" s="4550"/>
      <c r="FU153" s="4550"/>
      <c r="FV153" s="4550"/>
      <c r="FW153" s="4550"/>
      <c r="FX153" s="4550"/>
      <c r="FY153" s="4550"/>
      <c r="FZ153" s="4550"/>
      <c r="GA153" s="4550"/>
      <c r="GB153" s="4550"/>
      <c r="GC153" s="4550"/>
      <c r="GD153" s="4550"/>
      <c r="GE153" s="4550"/>
      <c r="GF153" s="4550"/>
      <c r="GG153" s="4550"/>
      <c r="GH153" s="4550"/>
      <c r="GI153" s="4550"/>
      <c r="GJ153" s="4550"/>
      <c r="GK153" s="4550"/>
      <c r="GL153" s="4550"/>
      <c r="GM153" s="4550"/>
      <c r="GN153" s="4550"/>
      <c r="GO153" s="4550"/>
      <c r="GP153" s="4550"/>
      <c r="GQ153" s="4550"/>
      <c r="GR153" s="4550"/>
      <c r="GS153" s="4550"/>
      <c r="GT153" s="4550"/>
      <c r="GU153" s="4550"/>
      <c r="GV153" s="4550"/>
      <c r="GW153" s="4550"/>
      <c r="GX153" s="4550"/>
      <c r="GY153" s="4550"/>
      <c r="GZ153" s="4550"/>
      <c r="HA153" s="4550"/>
      <c r="HB153" s="4550"/>
      <c r="HC153" s="4550"/>
      <c r="HD153" s="4550"/>
      <c r="HE153" s="4550"/>
      <c r="HF153" s="4550"/>
      <c r="HG153" s="4550"/>
      <c r="HH153" s="4550"/>
      <c r="HI153" s="4550"/>
      <c r="HJ153" s="4550"/>
      <c r="HK153" s="4550"/>
      <c r="HL153" s="4550"/>
      <c r="HM153" s="4550"/>
      <c r="HN153" s="4550"/>
      <c r="HO153" s="4550"/>
      <c r="HP153" s="4550"/>
      <c r="HQ153" s="4550"/>
      <c r="HR153" s="4550"/>
      <c r="HS153" s="4550"/>
      <c r="HT153" s="4550"/>
      <c r="HU153" s="4550"/>
      <c r="HV153" s="4550"/>
      <c r="HW153" s="4550"/>
      <c r="HX153" s="4550"/>
      <c r="HY153" s="4550"/>
      <c r="HZ153" s="4550"/>
      <c r="IA153" s="4550"/>
      <c r="IB153" s="4550"/>
      <c r="IC153" s="4550"/>
      <c r="ID153" s="4550"/>
      <c r="IE153" s="4550"/>
    </row>
    <row r="154" spans="1:239" s="4549" customFormat="1" ht="12.75" customHeight="1">
      <c r="A154" s="4745"/>
      <c r="B154" s="4706"/>
      <c r="C154" s="4592"/>
      <c r="D154" s="4593"/>
      <c r="E154" s="4988"/>
      <c r="F154" s="4594"/>
      <c r="G154" s="4537"/>
      <c r="H154" s="4537"/>
      <c r="I154" s="4537"/>
      <c r="J154" s="4537"/>
      <c r="K154" s="4537"/>
      <c r="L154" s="4537"/>
      <c r="M154" s="4537"/>
      <c r="N154" s="4537"/>
      <c r="O154" s="4537"/>
      <c r="P154" s="4537"/>
      <c r="Q154" s="4537"/>
      <c r="R154" s="4537"/>
      <c r="S154" s="4537"/>
      <c r="T154" s="4537"/>
      <c r="U154" s="4537"/>
      <c r="V154" s="4537"/>
      <c r="W154" s="4537"/>
      <c r="X154" s="4537"/>
      <c r="Y154" s="4537"/>
      <c r="Z154" s="4537"/>
      <c r="AA154" s="4537"/>
      <c r="AB154" s="4537"/>
      <c r="AC154" s="4537"/>
      <c r="AD154" s="4537"/>
      <c r="AE154" s="4537"/>
      <c r="AF154" s="4537"/>
      <c r="AG154" s="4537"/>
      <c r="AH154" s="4537"/>
      <c r="AI154" s="4537"/>
      <c r="AJ154" s="4537"/>
      <c r="AK154" s="4537"/>
      <c r="AL154" s="4537"/>
      <c r="AM154" s="4537"/>
      <c r="AN154" s="4537"/>
      <c r="AO154" s="4537"/>
      <c r="AP154" s="4537"/>
      <c r="AQ154" s="4537"/>
      <c r="AR154" s="4537"/>
      <c r="AS154" s="4550"/>
      <c r="AT154" s="4550"/>
      <c r="AU154" s="4550"/>
      <c r="AV154" s="4550"/>
      <c r="AW154" s="4550"/>
      <c r="AX154" s="4550"/>
      <c r="AY154" s="4550"/>
      <c r="AZ154" s="4550"/>
      <c r="BA154" s="4550"/>
      <c r="BB154" s="4550"/>
      <c r="BC154" s="4550"/>
      <c r="BD154" s="4550"/>
      <c r="BE154" s="4550"/>
      <c r="BF154" s="4550"/>
      <c r="BG154" s="4550"/>
      <c r="BH154" s="4550"/>
      <c r="BI154" s="4550"/>
      <c r="BJ154" s="4550"/>
      <c r="BK154" s="4550"/>
      <c r="BL154" s="4550"/>
      <c r="BM154" s="4550"/>
      <c r="BN154" s="4550"/>
      <c r="BO154" s="4550"/>
      <c r="BP154" s="4550"/>
      <c r="BQ154" s="4550"/>
      <c r="BR154" s="4550"/>
      <c r="BS154" s="4550"/>
      <c r="BT154" s="4550"/>
      <c r="BU154" s="4550"/>
      <c r="BV154" s="4550"/>
      <c r="BW154" s="4550"/>
      <c r="BX154" s="4550"/>
      <c r="BY154" s="4550"/>
      <c r="BZ154" s="4550"/>
      <c r="CA154" s="4550"/>
      <c r="CB154" s="4550"/>
      <c r="CC154" s="4550"/>
      <c r="CD154" s="4550"/>
      <c r="CE154" s="4550"/>
      <c r="CF154" s="4550"/>
      <c r="CG154" s="4550"/>
      <c r="CH154" s="4550"/>
      <c r="CI154" s="4550"/>
      <c r="CJ154" s="4550"/>
      <c r="CK154" s="4550"/>
      <c r="CL154" s="4550"/>
      <c r="CM154" s="4550"/>
      <c r="CN154" s="4550"/>
      <c r="CO154" s="4550"/>
      <c r="CP154" s="4550"/>
      <c r="CQ154" s="4550"/>
      <c r="CR154" s="4550"/>
      <c r="CS154" s="4550"/>
      <c r="CT154" s="4550"/>
      <c r="CU154" s="4550"/>
      <c r="CV154" s="4550"/>
      <c r="CW154" s="4550"/>
      <c r="CX154" s="4550"/>
      <c r="CY154" s="4550"/>
      <c r="CZ154" s="4550"/>
      <c r="DA154" s="4550"/>
      <c r="DB154" s="4550"/>
      <c r="DC154" s="4550"/>
      <c r="DD154" s="4550"/>
      <c r="DE154" s="4550"/>
      <c r="DF154" s="4550"/>
      <c r="DG154" s="4550"/>
      <c r="DH154" s="4550"/>
      <c r="DI154" s="4550"/>
      <c r="DJ154" s="4550"/>
      <c r="DK154" s="4550"/>
      <c r="DL154" s="4550"/>
      <c r="DM154" s="4550"/>
      <c r="DN154" s="4550"/>
      <c r="DO154" s="4550"/>
      <c r="DP154" s="4550"/>
      <c r="DQ154" s="4550"/>
      <c r="DR154" s="4550"/>
      <c r="DS154" s="4550"/>
      <c r="DT154" s="4550"/>
      <c r="DU154" s="4550"/>
      <c r="DV154" s="4550"/>
      <c r="DW154" s="4550"/>
      <c r="DX154" s="4550"/>
      <c r="DY154" s="4550"/>
      <c r="DZ154" s="4550"/>
      <c r="EA154" s="4550"/>
      <c r="EB154" s="4550"/>
      <c r="EC154" s="4550"/>
      <c r="ED154" s="4550"/>
      <c r="EE154" s="4550"/>
      <c r="EF154" s="4550"/>
      <c r="EG154" s="4550"/>
      <c r="EH154" s="4550"/>
      <c r="EI154" s="4550"/>
      <c r="EJ154" s="4550"/>
      <c r="EK154" s="4550"/>
      <c r="EL154" s="4550"/>
      <c r="EM154" s="4550"/>
      <c r="EN154" s="4550"/>
      <c r="EO154" s="4550"/>
      <c r="EP154" s="4550"/>
      <c r="EQ154" s="4550"/>
      <c r="ER154" s="4550"/>
      <c r="ES154" s="4550"/>
      <c r="ET154" s="4550"/>
      <c r="EU154" s="4550"/>
      <c r="EV154" s="4550"/>
      <c r="EW154" s="4550"/>
      <c r="EX154" s="4550"/>
      <c r="EY154" s="4550"/>
      <c r="EZ154" s="4550"/>
      <c r="FA154" s="4550"/>
      <c r="FB154" s="4550"/>
      <c r="FC154" s="4550"/>
      <c r="FD154" s="4550"/>
      <c r="FE154" s="4550"/>
      <c r="FF154" s="4550"/>
      <c r="FG154" s="4550"/>
      <c r="FH154" s="4550"/>
      <c r="FI154" s="4550"/>
      <c r="FJ154" s="4550"/>
      <c r="FK154" s="4550"/>
      <c r="FL154" s="4550"/>
      <c r="FM154" s="4550"/>
      <c r="FN154" s="4550"/>
      <c r="FO154" s="4550"/>
      <c r="FP154" s="4550"/>
      <c r="FQ154" s="4550"/>
      <c r="FR154" s="4550"/>
      <c r="FS154" s="4550"/>
      <c r="FT154" s="4550"/>
      <c r="FU154" s="4550"/>
      <c r="FV154" s="4550"/>
      <c r="FW154" s="4550"/>
      <c r="FX154" s="4550"/>
      <c r="FY154" s="4550"/>
      <c r="FZ154" s="4550"/>
      <c r="GA154" s="4550"/>
      <c r="GB154" s="4550"/>
      <c r="GC154" s="4550"/>
      <c r="GD154" s="4550"/>
      <c r="GE154" s="4550"/>
      <c r="GF154" s="4550"/>
      <c r="GG154" s="4550"/>
      <c r="GH154" s="4550"/>
      <c r="GI154" s="4550"/>
      <c r="GJ154" s="4550"/>
      <c r="GK154" s="4550"/>
      <c r="GL154" s="4550"/>
      <c r="GM154" s="4550"/>
      <c r="GN154" s="4550"/>
      <c r="GO154" s="4550"/>
      <c r="GP154" s="4550"/>
      <c r="GQ154" s="4550"/>
      <c r="GR154" s="4550"/>
      <c r="GS154" s="4550"/>
      <c r="GT154" s="4550"/>
      <c r="GU154" s="4550"/>
      <c r="GV154" s="4550"/>
      <c r="GW154" s="4550"/>
      <c r="GX154" s="4550"/>
      <c r="GY154" s="4550"/>
      <c r="GZ154" s="4550"/>
      <c r="HA154" s="4550"/>
      <c r="HB154" s="4550"/>
      <c r="HC154" s="4550"/>
      <c r="HD154" s="4550"/>
      <c r="HE154" s="4550"/>
      <c r="HF154" s="4550"/>
      <c r="HG154" s="4550"/>
      <c r="HH154" s="4550"/>
      <c r="HI154" s="4550"/>
      <c r="HJ154" s="4550"/>
      <c r="HK154" s="4550"/>
      <c r="HL154" s="4550"/>
      <c r="HM154" s="4550"/>
      <c r="HN154" s="4550"/>
      <c r="HO154" s="4550"/>
      <c r="HP154" s="4550"/>
      <c r="HQ154" s="4550"/>
      <c r="HR154" s="4550"/>
      <c r="HS154" s="4550"/>
      <c r="HT154" s="4550"/>
      <c r="HU154" s="4550"/>
      <c r="HV154" s="4550"/>
      <c r="HW154" s="4550"/>
      <c r="HX154" s="4550"/>
      <c r="HY154" s="4550"/>
      <c r="HZ154" s="4550"/>
      <c r="IA154" s="4550"/>
      <c r="IB154" s="4550"/>
      <c r="IC154" s="4550"/>
      <c r="ID154" s="4550"/>
      <c r="IE154" s="4550"/>
    </row>
    <row r="155" spans="1:239" s="4549" customFormat="1" ht="29.25" customHeight="1">
      <c r="A155" s="4745">
        <v>2</v>
      </c>
      <c r="B155" s="4531" t="s">
        <v>4626</v>
      </c>
      <c r="C155" s="4592">
        <v>1</v>
      </c>
      <c r="D155" s="4593" t="s">
        <v>61</v>
      </c>
      <c r="E155" s="4987"/>
      <c r="F155" s="4594">
        <f>ROUND(C155*E155,2)</f>
        <v>0</v>
      </c>
      <c r="G155" s="4537"/>
      <c r="H155" s="4537"/>
      <c r="I155" s="4537"/>
      <c r="J155" s="4537"/>
      <c r="K155" s="4537"/>
      <c r="L155" s="4537"/>
      <c r="M155" s="4537"/>
      <c r="N155" s="4537"/>
      <c r="O155" s="4537"/>
      <c r="P155" s="4537"/>
      <c r="Q155" s="4537"/>
      <c r="R155" s="4537"/>
      <c r="S155" s="4537"/>
      <c r="T155" s="4537"/>
      <c r="U155" s="4537"/>
      <c r="V155" s="4537"/>
      <c r="W155" s="4537"/>
      <c r="X155" s="4537"/>
      <c r="Y155" s="4537"/>
      <c r="Z155" s="4537"/>
      <c r="AA155" s="4537"/>
      <c r="AB155" s="4537"/>
      <c r="AC155" s="4537"/>
      <c r="AD155" s="4537"/>
      <c r="AE155" s="4537"/>
      <c r="AF155" s="4537"/>
      <c r="AG155" s="4537"/>
      <c r="AH155" s="4537"/>
      <c r="AI155" s="4537"/>
      <c r="AJ155" s="4537"/>
      <c r="AK155" s="4537"/>
      <c r="AL155" s="4537"/>
      <c r="AM155" s="4537"/>
      <c r="AN155" s="4537"/>
      <c r="AO155" s="4537"/>
      <c r="AP155" s="4537"/>
      <c r="AQ155" s="4537"/>
      <c r="AR155" s="4537"/>
      <c r="AS155" s="4550"/>
      <c r="AT155" s="4550"/>
      <c r="AU155" s="4550"/>
      <c r="AV155" s="4550"/>
      <c r="AW155" s="4550"/>
      <c r="AX155" s="4550"/>
      <c r="AY155" s="4550"/>
      <c r="AZ155" s="4550"/>
      <c r="BA155" s="4550"/>
      <c r="BB155" s="4550"/>
      <c r="BC155" s="4550"/>
      <c r="BD155" s="4550"/>
      <c r="BE155" s="4550"/>
      <c r="BF155" s="4550"/>
      <c r="BG155" s="4550"/>
      <c r="BH155" s="4550"/>
      <c r="BI155" s="4550"/>
      <c r="BJ155" s="4550"/>
      <c r="BK155" s="4550"/>
      <c r="BL155" s="4550"/>
      <c r="BM155" s="4550"/>
      <c r="BN155" s="4550"/>
      <c r="BO155" s="4550"/>
      <c r="BP155" s="4550"/>
      <c r="BQ155" s="4550"/>
      <c r="BR155" s="4550"/>
      <c r="BS155" s="4550"/>
      <c r="BT155" s="4550"/>
      <c r="BU155" s="4550"/>
      <c r="BV155" s="4550"/>
      <c r="BW155" s="4550"/>
      <c r="BX155" s="4550"/>
      <c r="BY155" s="4550"/>
      <c r="BZ155" s="4550"/>
      <c r="CA155" s="4550"/>
      <c r="CB155" s="4550"/>
      <c r="CC155" s="4550"/>
      <c r="CD155" s="4550"/>
      <c r="CE155" s="4550"/>
      <c r="CF155" s="4550"/>
      <c r="CG155" s="4550"/>
      <c r="CH155" s="4550"/>
      <c r="CI155" s="4550"/>
      <c r="CJ155" s="4550"/>
      <c r="CK155" s="4550"/>
      <c r="CL155" s="4550"/>
      <c r="CM155" s="4550"/>
      <c r="CN155" s="4550"/>
      <c r="CO155" s="4550"/>
      <c r="CP155" s="4550"/>
      <c r="CQ155" s="4550"/>
      <c r="CR155" s="4550"/>
      <c r="CS155" s="4550"/>
      <c r="CT155" s="4550"/>
      <c r="CU155" s="4550"/>
      <c r="CV155" s="4550"/>
      <c r="CW155" s="4550"/>
      <c r="CX155" s="4550"/>
      <c r="CY155" s="4550"/>
      <c r="CZ155" s="4550"/>
      <c r="DA155" s="4550"/>
      <c r="DB155" s="4550"/>
      <c r="DC155" s="4550"/>
      <c r="DD155" s="4550"/>
      <c r="DE155" s="4550"/>
      <c r="DF155" s="4550"/>
      <c r="DG155" s="4550"/>
      <c r="DH155" s="4550"/>
      <c r="DI155" s="4550"/>
      <c r="DJ155" s="4550"/>
      <c r="DK155" s="4550"/>
      <c r="DL155" s="4550"/>
      <c r="DM155" s="4550"/>
      <c r="DN155" s="4550"/>
      <c r="DO155" s="4550"/>
      <c r="DP155" s="4550"/>
      <c r="DQ155" s="4550"/>
      <c r="DR155" s="4550"/>
      <c r="DS155" s="4550"/>
      <c r="DT155" s="4550"/>
      <c r="DU155" s="4550"/>
      <c r="DV155" s="4550"/>
      <c r="DW155" s="4550"/>
      <c r="DX155" s="4550"/>
      <c r="DY155" s="4550"/>
      <c r="DZ155" s="4550"/>
      <c r="EA155" s="4550"/>
      <c r="EB155" s="4550"/>
      <c r="EC155" s="4550"/>
      <c r="ED155" s="4550"/>
      <c r="EE155" s="4550"/>
      <c r="EF155" s="4550"/>
      <c r="EG155" s="4550"/>
      <c r="EH155" s="4550"/>
      <c r="EI155" s="4550"/>
      <c r="EJ155" s="4550"/>
      <c r="EK155" s="4550"/>
      <c r="EL155" s="4550"/>
      <c r="EM155" s="4550"/>
      <c r="EN155" s="4550"/>
      <c r="EO155" s="4550"/>
      <c r="EP155" s="4550"/>
      <c r="EQ155" s="4550"/>
      <c r="ER155" s="4550"/>
      <c r="ES155" s="4550"/>
      <c r="ET155" s="4550"/>
      <c r="EU155" s="4550"/>
      <c r="EV155" s="4550"/>
      <c r="EW155" s="4550"/>
      <c r="EX155" s="4550"/>
      <c r="EY155" s="4550"/>
      <c r="EZ155" s="4550"/>
      <c r="FA155" s="4550"/>
      <c r="FB155" s="4550"/>
      <c r="FC155" s="4550"/>
      <c r="FD155" s="4550"/>
      <c r="FE155" s="4550"/>
      <c r="FF155" s="4550"/>
      <c r="FG155" s="4550"/>
      <c r="FH155" s="4550"/>
      <c r="FI155" s="4550"/>
      <c r="FJ155" s="4550"/>
      <c r="FK155" s="4550"/>
      <c r="FL155" s="4550"/>
      <c r="FM155" s="4550"/>
      <c r="FN155" s="4550"/>
      <c r="FO155" s="4550"/>
      <c r="FP155" s="4550"/>
      <c r="FQ155" s="4550"/>
      <c r="FR155" s="4550"/>
      <c r="FS155" s="4550"/>
      <c r="FT155" s="4550"/>
      <c r="FU155" s="4550"/>
      <c r="FV155" s="4550"/>
      <c r="FW155" s="4550"/>
      <c r="FX155" s="4550"/>
      <c r="FY155" s="4550"/>
      <c r="FZ155" s="4550"/>
      <c r="GA155" s="4550"/>
      <c r="GB155" s="4550"/>
      <c r="GC155" s="4550"/>
      <c r="GD155" s="4550"/>
      <c r="GE155" s="4550"/>
      <c r="GF155" s="4550"/>
      <c r="GG155" s="4550"/>
      <c r="GH155" s="4550"/>
      <c r="GI155" s="4550"/>
      <c r="GJ155" s="4550"/>
      <c r="GK155" s="4550"/>
      <c r="GL155" s="4550"/>
      <c r="GM155" s="4550"/>
      <c r="GN155" s="4550"/>
      <c r="GO155" s="4550"/>
      <c r="GP155" s="4550"/>
      <c r="GQ155" s="4550"/>
      <c r="GR155" s="4550"/>
      <c r="GS155" s="4550"/>
      <c r="GT155" s="4550"/>
      <c r="GU155" s="4550"/>
      <c r="GV155" s="4550"/>
      <c r="GW155" s="4550"/>
      <c r="GX155" s="4550"/>
      <c r="GY155" s="4550"/>
      <c r="GZ155" s="4550"/>
      <c r="HA155" s="4550"/>
      <c r="HB155" s="4550"/>
      <c r="HC155" s="4550"/>
      <c r="HD155" s="4550"/>
      <c r="HE155" s="4550"/>
      <c r="HF155" s="4550"/>
      <c r="HG155" s="4550"/>
      <c r="HH155" s="4550"/>
      <c r="HI155" s="4550"/>
      <c r="HJ155" s="4550"/>
      <c r="HK155" s="4550"/>
      <c r="HL155" s="4550"/>
      <c r="HM155" s="4550"/>
      <c r="HN155" s="4550"/>
      <c r="HO155" s="4550"/>
      <c r="HP155" s="4550"/>
      <c r="HQ155" s="4550"/>
      <c r="HR155" s="4550"/>
      <c r="HS155" s="4550"/>
      <c r="HT155" s="4550"/>
      <c r="HU155" s="4550"/>
      <c r="HV155" s="4550"/>
      <c r="HW155" s="4550"/>
      <c r="HX155" s="4550"/>
      <c r="HY155" s="4550"/>
      <c r="HZ155" s="4550"/>
      <c r="IA155" s="4550"/>
      <c r="IB155" s="4550"/>
      <c r="IC155" s="4550"/>
      <c r="ID155" s="4550"/>
      <c r="IE155" s="4550"/>
    </row>
    <row r="156" spans="1:239" s="4549" customFormat="1" ht="13.5" customHeight="1">
      <c r="A156" s="4745"/>
      <c r="B156" s="4532"/>
      <c r="C156" s="4592"/>
      <c r="D156" s="4593"/>
      <c r="E156" s="4988"/>
      <c r="F156" s="4594"/>
      <c r="G156" s="4537"/>
      <c r="H156" s="4537"/>
      <c r="I156" s="4537"/>
      <c r="J156" s="4537"/>
      <c r="K156" s="4537"/>
      <c r="L156" s="4537"/>
      <c r="M156" s="4537"/>
      <c r="N156" s="4537"/>
      <c r="O156" s="4537"/>
      <c r="P156" s="4537"/>
      <c r="Q156" s="4537"/>
      <c r="R156" s="4537"/>
      <c r="S156" s="4537"/>
      <c r="T156" s="4537"/>
      <c r="U156" s="4537"/>
      <c r="V156" s="4537"/>
      <c r="W156" s="4537"/>
      <c r="X156" s="4537"/>
      <c r="Y156" s="4537"/>
      <c r="Z156" s="4537"/>
      <c r="AA156" s="4537"/>
      <c r="AB156" s="4537"/>
      <c r="AC156" s="4537"/>
      <c r="AD156" s="4537"/>
      <c r="AE156" s="4537"/>
      <c r="AF156" s="4537"/>
      <c r="AG156" s="4537"/>
      <c r="AH156" s="4537"/>
      <c r="AI156" s="4537"/>
      <c r="AJ156" s="4537"/>
      <c r="AK156" s="4537"/>
      <c r="AL156" s="4537"/>
      <c r="AM156" s="4537"/>
      <c r="AN156" s="4537"/>
      <c r="AO156" s="4537"/>
      <c r="AP156" s="4537"/>
      <c r="AQ156" s="4537"/>
      <c r="AR156" s="4537"/>
      <c r="AS156" s="4550"/>
      <c r="AT156" s="4550"/>
      <c r="AU156" s="4550"/>
      <c r="AV156" s="4550"/>
      <c r="AW156" s="4550"/>
      <c r="AX156" s="4550"/>
      <c r="AY156" s="4550"/>
      <c r="AZ156" s="4550"/>
      <c r="BA156" s="4550"/>
      <c r="BB156" s="4550"/>
      <c r="BC156" s="4550"/>
      <c r="BD156" s="4550"/>
      <c r="BE156" s="4550"/>
      <c r="BF156" s="4550"/>
      <c r="BG156" s="4550"/>
      <c r="BH156" s="4550"/>
      <c r="BI156" s="4550"/>
      <c r="BJ156" s="4550"/>
      <c r="BK156" s="4550"/>
      <c r="BL156" s="4550"/>
      <c r="BM156" s="4550"/>
      <c r="BN156" s="4550"/>
      <c r="BO156" s="4550"/>
      <c r="BP156" s="4550"/>
      <c r="BQ156" s="4550"/>
      <c r="BR156" s="4550"/>
      <c r="BS156" s="4550"/>
      <c r="BT156" s="4550"/>
      <c r="BU156" s="4550"/>
      <c r="BV156" s="4550"/>
      <c r="BW156" s="4550"/>
      <c r="BX156" s="4550"/>
      <c r="BY156" s="4550"/>
      <c r="BZ156" s="4550"/>
      <c r="CA156" s="4550"/>
      <c r="CB156" s="4550"/>
      <c r="CC156" s="4550"/>
      <c r="CD156" s="4550"/>
      <c r="CE156" s="4550"/>
      <c r="CF156" s="4550"/>
      <c r="CG156" s="4550"/>
      <c r="CH156" s="4550"/>
      <c r="CI156" s="4550"/>
      <c r="CJ156" s="4550"/>
      <c r="CK156" s="4550"/>
      <c r="CL156" s="4550"/>
      <c r="CM156" s="4550"/>
      <c r="CN156" s="4550"/>
      <c r="CO156" s="4550"/>
      <c r="CP156" s="4550"/>
      <c r="CQ156" s="4550"/>
      <c r="CR156" s="4550"/>
      <c r="CS156" s="4550"/>
      <c r="CT156" s="4550"/>
      <c r="CU156" s="4550"/>
      <c r="CV156" s="4550"/>
      <c r="CW156" s="4550"/>
      <c r="CX156" s="4550"/>
      <c r="CY156" s="4550"/>
      <c r="CZ156" s="4550"/>
      <c r="DA156" s="4550"/>
      <c r="DB156" s="4550"/>
      <c r="DC156" s="4550"/>
      <c r="DD156" s="4550"/>
      <c r="DE156" s="4550"/>
      <c r="DF156" s="4550"/>
      <c r="DG156" s="4550"/>
      <c r="DH156" s="4550"/>
      <c r="DI156" s="4550"/>
      <c r="DJ156" s="4550"/>
      <c r="DK156" s="4550"/>
      <c r="DL156" s="4550"/>
      <c r="DM156" s="4550"/>
      <c r="DN156" s="4550"/>
      <c r="DO156" s="4550"/>
      <c r="DP156" s="4550"/>
      <c r="DQ156" s="4550"/>
      <c r="DR156" s="4550"/>
      <c r="DS156" s="4550"/>
      <c r="DT156" s="4550"/>
      <c r="DU156" s="4550"/>
      <c r="DV156" s="4550"/>
      <c r="DW156" s="4550"/>
      <c r="DX156" s="4550"/>
      <c r="DY156" s="4550"/>
      <c r="DZ156" s="4550"/>
      <c r="EA156" s="4550"/>
      <c r="EB156" s="4550"/>
      <c r="EC156" s="4550"/>
      <c r="ED156" s="4550"/>
      <c r="EE156" s="4550"/>
      <c r="EF156" s="4550"/>
      <c r="EG156" s="4550"/>
      <c r="EH156" s="4550"/>
      <c r="EI156" s="4550"/>
      <c r="EJ156" s="4550"/>
      <c r="EK156" s="4550"/>
      <c r="EL156" s="4550"/>
      <c r="EM156" s="4550"/>
      <c r="EN156" s="4550"/>
      <c r="EO156" s="4550"/>
      <c r="EP156" s="4550"/>
      <c r="EQ156" s="4550"/>
      <c r="ER156" s="4550"/>
      <c r="ES156" s="4550"/>
      <c r="ET156" s="4550"/>
      <c r="EU156" s="4550"/>
      <c r="EV156" s="4550"/>
      <c r="EW156" s="4550"/>
      <c r="EX156" s="4550"/>
      <c r="EY156" s="4550"/>
      <c r="EZ156" s="4550"/>
      <c r="FA156" s="4550"/>
      <c r="FB156" s="4550"/>
      <c r="FC156" s="4550"/>
      <c r="FD156" s="4550"/>
      <c r="FE156" s="4550"/>
      <c r="FF156" s="4550"/>
      <c r="FG156" s="4550"/>
      <c r="FH156" s="4550"/>
      <c r="FI156" s="4550"/>
      <c r="FJ156" s="4550"/>
      <c r="FK156" s="4550"/>
      <c r="FL156" s="4550"/>
      <c r="FM156" s="4550"/>
      <c r="FN156" s="4550"/>
      <c r="FO156" s="4550"/>
      <c r="FP156" s="4550"/>
      <c r="FQ156" s="4550"/>
      <c r="FR156" s="4550"/>
      <c r="FS156" s="4550"/>
      <c r="FT156" s="4550"/>
      <c r="FU156" s="4550"/>
      <c r="FV156" s="4550"/>
      <c r="FW156" s="4550"/>
      <c r="FX156" s="4550"/>
      <c r="FY156" s="4550"/>
      <c r="FZ156" s="4550"/>
      <c r="GA156" s="4550"/>
      <c r="GB156" s="4550"/>
      <c r="GC156" s="4550"/>
      <c r="GD156" s="4550"/>
      <c r="GE156" s="4550"/>
      <c r="GF156" s="4550"/>
      <c r="GG156" s="4550"/>
      <c r="GH156" s="4550"/>
      <c r="GI156" s="4550"/>
      <c r="GJ156" s="4550"/>
      <c r="GK156" s="4550"/>
      <c r="GL156" s="4550"/>
      <c r="GM156" s="4550"/>
      <c r="GN156" s="4550"/>
      <c r="GO156" s="4550"/>
      <c r="GP156" s="4550"/>
      <c r="GQ156" s="4550"/>
      <c r="GR156" s="4550"/>
      <c r="GS156" s="4550"/>
      <c r="GT156" s="4550"/>
      <c r="GU156" s="4550"/>
      <c r="GV156" s="4550"/>
      <c r="GW156" s="4550"/>
      <c r="GX156" s="4550"/>
      <c r="GY156" s="4550"/>
      <c r="GZ156" s="4550"/>
      <c r="HA156" s="4550"/>
      <c r="HB156" s="4550"/>
      <c r="HC156" s="4550"/>
      <c r="HD156" s="4550"/>
      <c r="HE156" s="4550"/>
      <c r="HF156" s="4550"/>
      <c r="HG156" s="4550"/>
      <c r="HH156" s="4550"/>
      <c r="HI156" s="4550"/>
      <c r="HJ156" s="4550"/>
      <c r="HK156" s="4550"/>
      <c r="HL156" s="4550"/>
      <c r="HM156" s="4550"/>
      <c r="HN156" s="4550"/>
      <c r="HO156" s="4550"/>
      <c r="HP156" s="4550"/>
      <c r="HQ156" s="4550"/>
      <c r="HR156" s="4550"/>
      <c r="HS156" s="4550"/>
      <c r="HT156" s="4550"/>
      <c r="HU156" s="4550"/>
      <c r="HV156" s="4550"/>
      <c r="HW156" s="4550"/>
      <c r="HX156" s="4550"/>
      <c r="HY156" s="4550"/>
      <c r="HZ156" s="4550"/>
      <c r="IA156" s="4550"/>
      <c r="IB156" s="4550"/>
      <c r="IC156" s="4550"/>
      <c r="ID156" s="4550"/>
      <c r="IE156" s="4550"/>
    </row>
    <row r="157" spans="1:239" s="4549" customFormat="1" ht="15">
      <c r="A157" s="4745">
        <v>3</v>
      </c>
      <c r="B157" s="4610" t="s">
        <v>4627</v>
      </c>
      <c r="C157" s="4592"/>
      <c r="D157" s="4593"/>
      <c r="E157" s="4988"/>
      <c r="F157" s="4594"/>
      <c r="G157" s="4537"/>
      <c r="H157" s="4537"/>
      <c r="I157" s="4537"/>
      <c r="J157" s="4537"/>
      <c r="K157" s="4537"/>
      <c r="L157" s="4537"/>
      <c r="M157" s="4537"/>
      <c r="N157" s="4537"/>
      <c r="O157" s="4537"/>
      <c r="P157" s="4537"/>
      <c r="Q157" s="4537"/>
      <c r="R157" s="4537"/>
      <c r="S157" s="4537"/>
      <c r="T157" s="4537"/>
      <c r="U157" s="4537"/>
      <c r="V157" s="4537"/>
      <c r="W157" s="4537"/>
      <c r="X157" s="4537"/>
      <c r="Y157" s="4537"/>
      <c r="Z157" s="4537"/>
      <c r="AA157" s="4537"/>
      <c r="AB157" s="4537"/>
      <c r="AC157" s="4537"/>
      <c r="AD157" s="4537"/>
      <c r="AE157" s="4537"/>
      <c r="AF157" s="4537"/>
      <c r="AG157" s="4537"/>
      <c r="AH157" s="4537"/>
      <c r="AI157" s="4537"/>
      <c r="AJ157" s="4537"/>
      <c r="AK157" s="4537"/>
      <c r="AL157" s="4537"/>
      <c r="AM157" s="4537"/>
      <c r="AN157" s="4537"/>
      <c r="AO157" s="4537"/>
      <c r="AP157" s="4537"/>
      <c r="AQ157" s="4537"/>
      <c r="AR157" s="4537"/>
      <c r="AS157" s="4550"/>
      <c r="AT157" s="4550"/>
      <c r="AU157" s="4550"/>
      <c r="AV157" s="4550"/>
      <c r="AW157" s="4550"/>
      <c r="AX157" s="4550"/>
      <c r="AY157" s="4550"/>
      <c r="AZ157" s="4550"/>
      <c r="BA157" s="4550"/>
      <c r="BB157" s="4550"/>
      <c r="BC157" s="4550"/>
      <c r="BD157" s="4550"/>
      <c r="BE157" s="4550"/>
      <c r="BF157" s="4550"/>
      <c r="BG157" s="4550"/>
      <c r="BH157" s="4550"/>
      <c r="BI157" s="4550"/>
      <c r="BJ157" s="4550"/>
      <c r="BK157" s="4550"/>
      <c r="BL157" s="4550"/>
      <c r="BM157" s="4550"/>
      <c r="BN157" s="4550"/>
      <c r="BO157" s="4550"/>
      <c r="BP157" s="4550"/>
      <c r="BQ157" s="4550"/>
      <c r="BR157" s="4550"/>
      <c r="BS157" s="4550"/>
      <c r="BT157" s="4550"/>
      <c r="BU157" s="4550"/>
      <c r="BV157" s="4550"/>
      <c r="BW157" s="4550"/>
      <c r="BX157" s="4550"/>
      <c r="BY157" s="4550"/>
      <c r="BZ157" s="4550"/>
      <c r="CA157" s="4550"/>
      <c r="CB157" s="4550"/>
      <c r="CC157" s="4550"/>
      <c r="CD157" s="4550"/>
      <c r="CE157" s="4550"/>
      <c r="CF157" s="4550"/>
      <c r="CG157" s="4550"/>
      <c r="CH157" s="4550"/>
      <c r="CI157" s="4550"/>
      <c r="CJ157" s="4550"/>
      <c r="CK157" s="4550"/>
      <c r="CL157" s="4550"/>
      <c r="CM157" s="4550"/>
      <c r="CN157" s="4550"/>
      <c r="CO157" s="4550"/>
      <c r="CP157" s="4550"/>
      <c r="CQ157" s="4550"/>
      <c r="CR157" s="4550"/>
      <c r="CS157" s="4550"/>
      <c r="CT157" s="4550"/>
      <c r="CU157" s="4550"/>
      <c r="CV157" s="4550"/>
      <c r="CW157" s="4550"/>
      <c r="CX157" s="4550"/>
      <c r="CY157" s="4550"/>
      <c r="CZ157" s="4550"/>
      <c r="DA157" s="4550"/>
      <c r="DB157" s="4550"/>
      <c r="DC157" s="4550"/>
      <c r="DD157" s="4550"/>
      <c r="DE157" s="4550"/>
      <c r="DF157" s="4550"/>
      <c r="DG157" s="4550"/>
      <c r="DH157" s="4550"/>
      <c r="DI157" s="4550"/>
      <c r="DJ157" s="4550"/>
      <c r="DK157" s="4550"/>
      <c r="DL157" s="4550"/>
      <c r="DM157" s="4550"/>
      <c r="DN157" s="4550"/>
      <c r="DO157" s="4550"/>
      <c r="DP157" s="4550"/>
      <c r="DQ157" s="4550"/>
      <c r="DR157" s="4550"/>
      <c r="DS157" s="4550"/>
      <c r="DT157" s="4550"/>
      <c r="DU157" s="4550"/>
      <c r="DV157" s="4550"/>
      <c r="DW157" s="4550"/>
      <c r="DX157" s="4550"/>
      <c r="DY157" s="4550"/>
      <c r="DZ157" s="4550"/>
      <c r="EA157" s="4550"/>
      <c r="EB157" s="4550"/>
      <c r="EC157" s="4550"/>
      <c r="ED157" s="4550"/>
      <c r="EE157" s="4550"/>
      <c r="EF157" s="4550"/>
      <c r="EG157" s="4550"/>
      <c r="EH157" s="4550"/>
      <c r="EI157" s="4550"/>
      <c r="EJ157" s="4550"/>
      <c r="EK157" s="4550"/>
      <c r="EL157" s="4550"/>
      <c r="EM157" s="4550"/>
      <c r="EN157" s="4550"/>
      <c r="EO157" s="4550"/>
      <c r="EP157" s="4550"/>
      <c r="EQ157" s="4550"/>
      <c r="ER157" s="4550"/>
      <c r="ES157" s="4550"/>
      <c r="ET157" s="4550"/>
      <c r="EU157" s="4550"/>
      <c r="EV157" s="4550"/>
      <c r="EW157" s="4550"/>
      <c r="EX157" s="4550"/>
      <c r="EY157" s="4550"/>
      <c r="EZ157" s="4550"/>
      <c r="FA157" s="4550"/>
      <c r="FB157" s="4550"/>
      <c r="FC157" s="4550"/>
      <c r="FD157" s="4550"/>
      <c r="FE157" s="4550"/>
      <c r="FF157" s="4550"/>
      <c r="FG157" s="4550"/>
      <c r="FH157" s="4550"/>
      <c r="FI157" s="4550"/>
      <c r="FJ157" s="4550"/>
      <c r="FK157" s="4550"/>
      <c r="FL157" s="4550"/>
      <c r="FM157" s="4550"/>
      <c r="FN157" s="4550"/>
      <c r="FO157" s="4550"/>
      <c r="FP157" s="4550"/>
      <c r="FQ157" s="4550"/>
      <c r="FR157" s="4550"/>
      <c r="FS157" s="4550"/>
      <c r="FT157" s="4550"/>
      <c r="FU157" s="4550"/>
      <c r="FV157" s="4550"/>
      <c r="FW157" s="4550"/>
      <c r="FX157" s="4550"/>
      <c r="FY157" s="4550"/>
      <c r="FZ157" s="4550"/>
      <c r="GA157" s="4550"/>
      <c r="GB157" s="4550"/>
      <c r="GC157" s="4550"/>
      <c r="GD157" s="4550"/>
      <c r="GE157" s="4550"/>
      <c r="GF157" s="4550"/>
      <c r="GG157" s="4550"/>
      <c r="GH157" s="4550"/>
      <c r="GI157" s="4550"/>
      <c r="GJ157" s="4550"/>
      <c r="GK157" s="4550"/>
      <c r="GL157" s="4550"/>
      <c r="GM157" s="4550"/>
      <c r="GN157" s="4550"/>
      <c r="GO157" s="4550"/>
      <c r="GP157" s="4550"/>
      <c r="GQ157" s="4550"/>
      <c r="GR157" s="4550"/>
      <c r="GS157" s="4550"/>
      <c r="GT157" s="4550"/>
      <c r="GU157" s="4550"/>
      <c r="GV157" s="4550"/>
      <c r="GW157" s="4550"/>
      <c r="GX157" s="4550"/>
      <c r="GY157" s="4550"/>
      <c r="GZ157" s="4550"/>
      <c r="HA157" s="4550"/>
      <c r="HB157" s="4550"/>
      <c r="HC157" s="4550"/>
      <c r="HD157" s="4550"/>
      <c r="HE157" s="4550"/>
      <c r="HF157" s="4550"/>
      <c r="HG157" s="4550"/>
      <c r="HH157" s="4550"/>
      <c r="HI157" s="4550"/>
      <c r="HJ157" s="4550"/>
      <c r="HK157" s="4550"/>
      <c r="HL157" s="4550"/>
      <c r="HM157" s="4550"/>
      <c r="HN157" s="4550"/>
      <c r="HO157" s="4550"/>
      <c r="HP157" s="4550"/>
      <c r="HQ157" s="4550"/>
      <c r="HR157" s="4550"/>
      <c r="HS157" s="4550"/>
      <c r="HT157" s="4550"/>
      <c r="HU157" s="4550"/>
      <c r="HV157" s="4550"/>
      <c r="HW157" s="4550"/>
      <c r="HX157" s="4550"/>
      <c r="HY157" s="4550"/>
      <c r="HZ157" s="4550"/>
      <c r="IA157" s="4550"/>
      <c r="IB157" s="4550"/>
      <c r="IC157" s="4550"/>
      <c r="ID157" s="4550"/>
      <c r="IE157" s="4550"/>
    </row>
    <row r="158" spans="1:239" s="4549" customFormat="1" ht="16.5">
      <c r="A158" s="4746">
        <v>3.1</v>
      </c>
      <c r="B158" s="4728" t="s">
        <v>4569</v>
      </c>
      <c r="C158" s="4592">
        <v>1.45</v>
      </c>
      <c r="D158" s="4595" t="s">
        <v>4624</v>
      </c>
      <c r="E158" s="4987"/>
      <c r="F158" s="4594">
        <f>ROUND(C158*E158,2)</f>
        <v>0</v>
      </c>
      <c r="G158" s="4537"/>
      <c r="H158" s="4537"/>
      <c r="I158" s="4537"/>
      <c r="J158" s="4537"/>
      <c r="K158" s="4537"/>
      <c r="L158" s="4537"/>
      <c r="M158" s="4537"/>
      <c r="N158" s="4537"/>
      <c r="O158" s="4537"/>
      <c r="P158" s="4537"/>
      <c r="Q158" s="4537"/>
      <c r="R158" s="4537"/>
      <c r="S158" s="4537"/>
      <c r="T158" s="4537"/>
      <c r="U158" s="4537"/>
      <c r="V158" s="4537"/>
      <c r="W158" s="4537"/>
      <c r="X158" s="4537"/>
      <c r="Y158" s="4537"/>
      <c r="Z158" s="4537"/>
      <c r="AA158" s="4537"/>
      <c r="AB158" s="4537"/>
      <c r="AC158" s="4537"/>
      <c r="AD158" s="4537"/>
      <c r="AE158" s="4537"/>
      <c r="AF158" s="4537"/>
      <c r="AG158" s="4537"/>
      <c r="AH158" s="4537"/>
      <c r="AI158" s="4537"/>
      <c r="AJ158" s="4537"/>
      <c r="AK158" s="4537"/>
      <c r="AL158" s="4537"/>
      <c r="AM158" s="4537"/>
      <c r="AN158" s="4537"/>
      <c r="AO158" s="4537"/>
      <c r="AP158" s="4537"/>
      <c r="AQ158" s="4537"/>
      <c r="AR158" s="4537"/>
      <c r="AS158" s="4550"/>
      <c r="AT158" s="4550"/>
      <c r="AU158" s="4550"/>
      <c r="AV158" s="4550"/>
      <c r="AW158" s="4550"/>
      <c r="AX158" s="4550"/>
      <c r="AY158" s="4550"/>
      <c r="AZ158" s="4550"/>
      <c r="BA158" s="4550"/>
      <c r="BB158" s="4550"/>
      <c r="BC158" s="4550"/>
      <c r="BD158" s="4550"/>
      <c r="BE158" s="4550"/>
      <c r="BF158" s="4550"/>
      <c r="BG158" s="4550"/>
      <c r="BH158" s="4550"/>
      <c r="BI158" s="4550"/>
      <c r="BJ158" s="4550"/>
      <c r="BK158" s="4550"/>
      <c r="BL158" s="4550"/>
      <c r="BM158" s="4550"/>
      <c r="BN158" s="4550"/>
      <c r="BO158" s="4550"/>
      <c r="BP158" s="4550"/>
      <c r="BQ158" s="4550"/>
      <c r="BR158" s="4550"/>
      <c r="BS158" s="4550"/>
      <c r="BT158" s="4550"/>
      <c r="BU158" s="4550"/>
      <c r="BV158" s="4550"/>
      <c r="BW158" s="4550"/>
      <c r="BX158" s="4550"/>
      <c r="BY158" s="4550"/>
      <c r="BZ158" s="4550"/>
      <c r="CA158" s="4550"/>
      <c r="CB158" s="4550"/>
      <c r="CC158" s="4550"/>
      <c r="CD158" s="4550"/>
      <c r="CE158" s="4550"/>
      <c r="CF158" s="4550"/>
      <c r="CG158" s="4550"/>
      <c r="CH158" s="4550"/>
      <c r="CI158" s="4550"/>
      <c r="CJ158" s="4550"/>
      <c r="CK158" s="4550"/>
      <c r="CL158" s="4550"/>
      <c r="CM158" s="4550"/>
      <c r="CN158" s="4550"/>
      <c r="CO158" s="4550"/>
      <c r="CP158" s="4550"/>
      <c r="CQ158" s="4550"/>
      <c r="CR158" s="4550"/>
      <c r="CS158" s="4550"/>
      <c r="CT158" s="4550"/>
      <c r="CU158" s="4550"/>
      <c r="CV158" s="4550"/>
      <c r="CW158" s="4550"/>
      <c r="CX158" s="4550"/>
      <c r="CY158" s="4550"/>
      <c r="CZ158" s="4550"/>
      <c r="DA158" s="4550"/>
      <c r="DB158" s="4550"/>
      <c r="DC158" s="4550"/>
      <c r="DD158" s="4550"/>
      <c r="DE158" s="4550"/>
      <c r="DF158" s="4550"/>
      <c r="DG158" s="4550"/>
      <c r="DH158" s="4550"/>
      <c r="DI158" s="4550"/>
      <c r="DJ158" s="4550"/>
      <c r="DK158" s="4550"/>
      <c r="DL158" s="4550"/>
      <c r="DM158" s="4550"/>
      <c r="DN158" s="4550"/>
      <c r="DO158" s="4550"/>
      <c r="DP158" s="4550"/>
      <c r="DQ158" s="4550"/>
      <c r="DR158" s="4550"/>
      <c r="DS158" s="4550"/>
      <c r="DT158" s="4550"/>
      <c r="DU158" s="4550"/>
      <c r="DV158" s="4550"/>
      <c r="DW158" s="4550"/>
      <c r="DX158" s="4550"/>
      <c r="DY158" s="4550"/>
      <c r="DZ158" s="4550"/>
      <c r="EA158" s="4550"/>
      <c r="EB158" s="4550"/>
      <c r="EC158" s="4550"/>
      <c r="ED158" s="4550"/>
      <c r="EE158" s="4550"/>
      <c r="EF158" s="4550"/>
      <c r="EG158" s="4550"/>
      <c r="EH158" s="4550"/>
      <c r="EI158" s="4550"/>
      <c r="EJ158" s="4550"/>
      <c r="EK158" s="4550"/>
      <c r="EL158" s="4550"/>
      <c r="EM158" s="4550"/>
      <c r="EN158" s="4550"/>
      <c r="EO158" s="4550"/>
      <c r="EP158" s="4550"/>
      <c r="EQ158" s="4550"/>
      <c r="ER158" s="4550"/>
      <c r="ES158" s="4550"/>
      <c r="ET158" s="4550"/>
      <c r="EU158" s="4550"/>
      <c r="EV158" s="4550"/>
      <c r="EW158" s="4550"/>
      <c r="EX158" s="4550"/>
      <c r="EY158" s="4550"/>
      <c r="EZ158" s="4550"/>
      <c r="FA158" s="4550"/>
      <c r="FB158" s="4550"/>
      <c r="FC158" s="4550"/>
      <c r="FD158" s="4550"/>
      <c r="FE158" s="4550"/>
      <c r="FF158" s="4550"/>
      <c r="FG158" s="4550"/>
      <c r="FH158" s="4550"/>
      <c r="FI158" s="4550"/>
      <c r="FJ158" s="4550"/>
      <c r="FK158" s="4550"/>
      <c r="FL158" s="4550"/>
      <c r="FM158" s="4550"/>
      <c r="FN158" s="4550"/>
      <c r="FO158" s="4550"/>
      <c r="FP158" s="4550"/>
      <c r="FQ158" s="4550"/>
      <c r="FR158" s="4550"/>
      <c r="FS158" s="4550"/>
      <c r="FT158" s="4550"/>
      <c r="FU158" s="4550"/>
      <c r="FV158" s="4550"/>
      <c r="FW158" s="4550"/>
      <c r="FX158" s="4550"/>
      <c r="FY158" s="4550"/>
      <c r="FZ158" s="4550"/>
      <c r="GA158" s="4550"/>
      <c r="GB158" s="4550"/>
      <c r="GC158" s="4550"/>
      <c r="GD158" s="4550"/>
      <c r="GE158" s="4550"/>
      <c r="GF158" s="4550"/>
      <c r="GG158" s="4550"/>
      <c r="GH158" s="4550"/>
      <c r="GI158" s="4550"/>
      <c r="GJ158" s="4550"/>
      <c r="GK158" s="4550"/>
      <c r="GL158" s="4550"/>
      <c r="GM158" s="4550"/>
      <c r="GN158" s="4550"/>
      <c r="GO158" s="4550"/>
      <c r="GP158" s="4550"/>
      <c r="GQ158" s="4550"/>
      <c r="GR158" s="4550"/>
      <c r="GS158" s="4550"/>
      <c r="GT158" s="4550"/>
      <c r="GU158" s="4550"/>
      <c r="GV158" s="4550"/>
      <c r="GW158" s="4550"/>
      <c r="GX158" s="4550"/>
      <c r="GY158" s="4550"/>
      <c r="GZ158" s="4550"/>
      <c r="HA158" s="4550"/>
      <c r="HB158" s="4550"/>
      <c r="HC158" s="4550"/>
      <c r="HD158" s="4550"/>
      <c r="HE158" s="4550"/>
      <c r="HF158" s="4550"/>
      <c r="HG158" s="4550"/>
      <c r="HH158" s="4550"/>
      <c r="HI158" s="4550"/>
      <c r="HJ158" s="4550"/>
      <c r="HK158" s="4550"/>
      <c r="HL158" s="4550"/>
      <c r="HM158" s="4550"/>
      <c r="HN158" s="4550"/>
      <c r="HO158" s="4550"/>
      <c r="HP158" s="4550"/>
      <c r="HQ158" s="4550"/>
      <c r="HR158" s="4550"/>
      <c r="HS158" s="4550"/>
      <c r="HT158" s="4550"/>
      <c r="HU158" s="4550"/>
      <c r="HV158" s="4550"/>
      <c r="HW158" s="4550"/>
      <c r="HX158" s="4550"/>
      <c r="HY158" s="4550"/>
      <c r="HZ158" s="4550"/>
      <c r="IA158" s="4550"/>
      <c r="IB158" s="4550"/>
      <c r="IC158" s="4550"/>
      <c r="ID158" s="4550"/>
      <c r="IE158" s="4550"/>
    </row>
    <row r="159" spans="1:239" s="4549" customFormat="1" ht="16.5">
      <c r="A159" s="4746">
        <v>3.2</v>
      </c>
      <c r="B159" s="4728" t="s">
        <v>4570</v>
      </c>
      <c r="C159" s="4592">
        <v>0.32</v>
      </c>
      <c r="D159" s="4595" t="s">
        <v>4624</v>
      </c>
      <c r="E159" s="4987"/>
      <c r="F159" s="4594">
        <f>ROUND(C159*E159,2)</f>
        <v>0</v>
      </c>
      <c r="G159" s="4537"/>
      <c r="H159" s="4537"/>
      <c r="I159" s="4537"/>
      <c r="J159" s="4537"/>
      <c r="K159" s="4537"/>
      <c r="L159" s="4537"/>
      <c r="M159" s="4537"/>
      <c r="N159" s="4537"/>
      <c r="O159" s="4537"/>
      <c r="P159" s="4537"/>
      <c r="Q159" s="4537"/>
      <c r="R159" s="4537"/>
      <c r="S159" s="4537"/>
      <c r="T159" s="4537"/>
      <c r="U159" s="4537"/>
      <c r="V159" s="4537"/>
      <c r="W159" s="4537"/>
      <c r="X159" s="4537"/>
      <c r="Y159" s="4537"/>
      <c r="Z159" s="4537"/>
      <c r="AA159" s="4537"/>
      <c r="AB159" s="4537"/>
      <c r="AC159" s="4537"/>
      <c r="AD159" s="4537"/>
      <c r="AE159" s="4537"/>
      <c r="AF159" s="4537"/>
      <c r="AG159" s="4537"/>
      <c r="AH159" s="4537"/>
      <c r="AI159" s="4537"/>
      <c r="AJ159" s="4537"/>
      <c r="AK159" s="4537"/>
      <c r="AL159" s="4537"/>
      <c r="AM159" s="4537"/>
      <c r="AN159" s="4537"/>
      <c r="AO159" s="4537"/>
      <c r="AP159" s="4537"/>
      <c r="AQ159" s="4537"/>
      <c r="AR159" s="4537"/>
      <c r="AS159" s="4550"/>
      <c r="AT159" s="4550"/>
      <c r="AU159" s="4550"/>
      <c r="AV159" s="4550"/>
      <c r="AW159" s="4550"/>
      <c r="AX159" s="4550"/>
      <c r="AY159" s="4550"/>
      <c r="AZ159" s="4550"/>
      <c r="BA159" s="4550"/>
      <c r="BB159" s="4550"/>
      <c r="BC159" s="4550"/>
      <c r="BD159" s="4550"/>
      <c r="BE159" s="4550"/>
      <c r="BF159" s="4550"/>
      <c r="BG159" s="4550"/>
      <c r="BH159" s="4550"/>
      <c r="BI159" s="4550"/>
      <c r="BJ159" s="4550"/>
      <c r="BK159" s="4550"/>
      <c r="BL159" s="4550"/>
      <c r="BM159" s="4550"/>
      <c r="BN159" s="4550"/>
      <c r="BO159" s="4550"/>
      <c r="BP159" s="4550"/>
      <c r="BQ159" s="4550"/>
      <c r="BR159" s="4550"/>
      <c r="BS159" s="4550"/>
      <c r="BT159" s="4550"/>
      <c r="BU159" s="4550"/>
      <c r="BV159" s="4550"/>
      <c r="BW159" s="4550"/>
      <c r="BX159" s="4550"/>
      <c r="BY159" s="4550"/>
      <c r="BZ159" s="4550"/>
      <c r="CA159" s="4550"/>
      <c r="CB159" s="4550"/>
      <c r="CC159" s="4550"/>
      <c r="CD159" s="4550"/>
      <c r="CE159" s="4550"/>
      <c r="CF159" s="4550"/>
      <c r="CG159" s="4550"/>
      <c r="CH159" s="4550"/>
      <c r="CI159" s="4550"/>
      <c r="CJ159" s="4550"/>
      <c r="CK159" s="4550"/>
      <c r="CL159" s="4550"/>
      <c r="CM159" s="4550"/>
      <c r="CN159" s="4550"/>
      <c r="CO159" s="4550"/>
      <c r="CP159" s="4550"/>
      <c r="CQ159" s="4550"/>
      <c r="CR159" s="4550"/>
      <c r="CS159" s="4550"/>
      <c r="CT159" s="4550"/>
      <c r="CU159" s="4550"/>
      <c r="CV159" s="4550"/>
      <c r="CW159" s="4550"/>
      <c r="CX159" s="4550"/>
      <c r="CY159" s="4550"/>
      <c r="CZ159" s="4550"/>
      <c r="DA159" s="4550"/>
      <c r="DB159" s="4550"/>
      <c r="DC159" s="4550"/>
      <c r="DD159" s="4550"/>
      <c r="DE159" s="4550"/>
      <c r="DF159" s="4550"/>
      <c r="DG159" s="4550"/>
      <c r="DH159" s="4550"/>
      <c r="DI159" s="4550"/>
      <c r="DJ159" s="4550"/>
      <c r="DK159" s="4550"/>
      <c r="DL159" s="4550"/>
      <c r="DM159" s="4550"/>
      <c r="DN159" s="4550"/>
      <c r="DO159" s="4550"/>
      <c r="DP159" s="4550"/>
      <c r="DQ159" s="4550"/>
      <c r="DR159" s="4550"/>
      <c r="DS159" s="4550"/>
      <c r="DT159" s="4550"/>
      <c r="DU159" s="4550"/>
      <c r="DV159" s="4550"/>
      <c r="DW159" s="4550"/>
      <c r="DX159" s="4550"/>
      <c r="DY159" s="4550"/>
      <c r="DZ159" s="4550"/>
      <c r="EA159" s="4550"/>
      <c r="EB159" s="4550"/>
      <c r="EC159" s="4550"/>
      <c r="ED159" s="4550"/>
      <c r="EE159" s="4550"/>
      <c r="EF159" s="4550"/>
      <c r="EG159" s="4550"/>
      <c r="EH159" s="4550"/>
      <c r="EI159" s="4550"/>
      <c r="EJ159" s="4550"/>
      <c r="EK159" s="4550"/>
      <c r="EL159" s="4550"/>
      <c r="EM159" s="4550"/>
      <c r="EN159" s="4550"/>
      <c r="EO159" s="4550"/>
      <c r="EP159" s="4550"/>
      <c r="EQ159" s="4550"/>
      <c r="ER159" s="4550"/>
      <c r="ES159" s="4550"/>
      <c r="ET159" s="4550"/>
      <c r="EU159" s="4550"/>
      <c r="EV159" s="4550"/>
      <c r="EW159" s="4550"/>
      <c r="EX159" s="4550"/>
      <c r="EY159" s="4550"/>
      <c r="EZ159" s="4550"/>
      <c r="FA159" s="4550"/>
      <c r="FB159" s="4550"/>
      <c r="FC159" s="4550"/>
      <c r="FD159" s="4550"/>
      <c r="FE159" s="4550"/>
      <c r="FF159" s="4550"/>
      <c r="FG159" s="4550"/>
      <c r="FH159" s="4550"/>
      <c r="FI159" s="4550"/>
      <c r="FJ159" s="4550"/>
      <c r="FK159" s="4550"/>
      <c r="FL159" s="4550"/>
      <c r="FM159" s="4550"/>
      <c r="FN159" s="4550"/>
      <c r="FO159" s="4550"/>
      <c r="FP159" s="4550"/>
      <c r="FQ159" s="4550"/>
      <c r="FR159" s="4550"/>
      <c r="FS159" s="4550"/>
      <c r="FT159" s="4550"/>
      <c r="FU159" s="4550"/>
      <c r="FV159" s="4550"/>
      <c r="FW159" s="4550"/>
      <c r="FX159" s="4550"/>
      <c r="FY159" s="4550"/>
      <c r="FZ159" s="4550"/>
      <c r="GA159" s="4550"/>
      <c r="GB159" s="4550"/>
      <c r="GC159" s="4550"/>
      <c r="GD159" s="4550"/>
      <c r="GE159" s="4550"/>
      <c r="GF159" s="4550"/>
      <c r="GG159" s="4550"/>
      <c r="GH159" s="4550"/>
      <c r="GI159" s="4550"/>
      <c r="GJ159" s="4550"/>
      <c r="GK159" s="4550"/>
      <c r="GL159" s="4550"/>
      <c r="GM159" s="4550"/>
      <c r="GN159" s="4550"/>
      <c r="GO159" s="4550"/>
      <c r="GP159" s="4550"/>
      <c r="GQ159" s="4550"/>
      <c r="GR159" s="4550"/>
      <c r="GS159" s="4550"/>
      <c r="GT159" s="4550"/>
      <c r="GU159" s="4550"/>
      <c r="GV159" s="4550"/>
      <c r="GW159" s="4550"/>
      <c r="GX159" s="4550"/>
      <c r="GY159" s="4550"/>
      <c r="GZ159" s="4550"/>
      <c r="HA159" s="4550"/>
      <c r="HB159" s="4550"/>
      <c r="HC159" s="4550"/>
      <c r="HD159" s="4550"/>
      <c r="HE159" s="4550"/>
      <c r="HF159" s="4550"/>
      <c r="HG159" s="4550"/>
      <c r="HH159" s="4550"/>
      <c r="HI159" s="4550"/>
      <c r="HJ159" s="4550"/>
      <c r="HK159" s="4550"/>
      <c r="HL159" s="4550"/>
      <c r="HM159" s="4550"/>
      <c r="HN159" s="4550"/>
      <c r="HO159" s="4550"/>
      <c r="HP159" s="4550"/>
      <c r="HQ159" s="4550"/>
      <c r="HR159" s="4550"/>
      <c r="HS159" s="4550"/>
      <c r="HT159" s="4550"/>
      <c r="HU159" s="4550"/>
      <c r="HV159" s="4550"/>
      <c r="HW159" s="4550"/>
      <c r="HX159" s="4550"/>
      <c r="HY159" s="4550"/>
      <c r="HZ159" s="4550"/>
      <c r="IA159" s="4550"/>
      <c r="IB159" s="4550"/>
      <c r="IC159" s="4550"/>
      <c r="ID159" s="4550"/>
      <c r="IE159" s="4550"/>
    </row>
    <row r="160" spans="1:239" s="4549" customFormat="1" ht="16.5">
      <c r="A160" s="4746">
        <v>3.3</v>
      </c>
      <c r="B160" s="4728" t="s">
        <v>4571</v>
      </c>
      <c r="C160" s="4592">
        <v>0.18</v>
      </c>
      <c r="D160" s="4595" t="s">
        <v>4624</v>
      </c>
      <c r="E160" s="4987"/>
      <c r="F160" s="4594">
        <f>ROUND(C160*E160,2)</f>
        <v>0</v>
      </c>
      <c r="G160" s="4537"/>
      <c r="H160" s="4537"/>
      <c r="I160" s="4537"/>
      <c r="J160" s="4537"/>
      <c r="K160" s="4537"/>
      <c r="L160" s="4537"/>
      <c r="M160" s="4537"/>
      <c r="N160" s="4537"/>
      <c r="O160" s="4537"/>
      <c r="P160" s="4537"/>
      <c r="Q160" s="4537"/>
      <c r="R160" s="4537"/>
      <c r="S160" s="4537"/>
      <c r="T160" s="4537"/>
      <c r="U160" s="4537"/>
      <c r="V160" s="4537"/>
      <c r="W160" s="4537"/>
      <c r="X160" s="4537"/>
      <c r="Y160" s="4537"/>
      <c r="Z160" s="4537"/>
      <c r="AA160" s="4537"/>
      <c r="AB160" s="4537"/>
      <c r="AC160" s="4537"/>
      <c r="AD160" s="4537"/>
      <c r="AE160" s="4537"/>
      <c r="AF160" s="4537"/>
      <c r="AG160" s="4537"/>
      <c r="AH160" s="4537"/>
      <c r="AI160" s="4537"/>
      <c r="AJ160" s="4537"/>
      <c r="AK160" s="4537"/>
      <c r="AL160" s="4537"/>
      <c r="AM160" s="4537"/>
      <c r="AN160" s="4537"/>
      <c r="AO160" s="4537"/>
      <c r="AP160" s="4537"/>
      <c r="AQ160" s="4537"/>
      <c r="AR160" s="4537"/>
      <c r="AS160" s="4550"/>
      <c r="AT160" s="4550"/>
      <c r="AU160" s="4550"/>
      <c r="AV160" s="4550"/>
      <c r="AW160" s="4550"/>
      <c r="AX160" s="4550"/>
      <c r="AY160" s="4550"/>
      <c r="AZ160" s="4550"/>
      <c r="BA160" s="4550"/>
      <c r="BB160" s="4550"/>
      <c r="BC160" s="4550"/>
      <c r="BD160" s="4550"/>
      <c r="BE160" s="4550"/>
      <c r="BF160" s="4550"/>
      <c r="BG160" s="4550"/>
      <c r="BH160" s="4550"/>
      <c r="BI160" s="4550"/>
      <c r="BJ160" s="4550"/>
      <c r="BK160" s="4550"/>
      <c r="BL160" s="4550"/>
      <c r="BM160" s="4550"/>
      <c r="BN160" s="4550"/>
      <c r="BO160" s="4550"/>
      <c r="BP160" s="4550"/>
      <c r="BQ160" s="4550"/>
      <c r="BR160" s="4550"/>
      <c r="BS160" s="4550"/>
      <c r="BT160" s="4550"/>
      <c r="BU160" s="4550"/>
      <c r="BV160" s="4550"/>
      <c r="BW160" s="4550"/>
      <c r="BX160" s="4550"/>
      <c r="BY160" s="4550"/>
      <c r="BZ160" s="4550"/>
      <c r="CA160" s="4550"/>
      <c r="CB160" s="4550"/>
      <c r="CC160" s="4550"/>
      <c r="CD160" s="4550"/>
      <c r="CE160" s="4550"/>
      <c r="CF160" s="4550"/>
      <c r="CG160" s="4550"/>
      <c r="CH160" s="4550"/>
      <c r="CI160" s="4550"/>
      <c r="CJ160" s="4550"/>
      <c r="CK160" s="4550"/>
      <c r="CL160" s="4550"/>
      <c r="CM160" s="4550"/>
      <c r="CN160" s="4550"/>
      <c r="CO160" s="4550"/>
      <c r="CP160" s="4550"/>
      <c r="CQ160" s="4550"/>
      <c r="CR160" s="4550"/>
      <c r="CS160" s="4550"/>
      <c r="CT160" s="4550"/>
      <c r="CU160" s="4550"/>
      <c r="CV160" s="4550"/>
      <c r="CW160" s="4550"/>
      <c r="CX160" s="4550"/>
      <c r="CY160" s="4550"/>
      <c r="CZ160" s="4550"/>
      <c r="DA160" s="4550"/>
      <c r="DB160" s="4550"/>
      <c r="DC160" s="4550"/>
      <c r="DD160" s="4550"/>
      <c r="DE160" s="4550"/>
      <c r="DF160" s="4550"/>
      <c r="DG160" s="4550"/>
      <c r="DH160" s="4550"/>
      <c r="DI160" s="4550"/>
      <c r="DJ160" s="4550"/>
      <c r="DK160" s="4550"/>
      <c r="DL160" s="4550"/>
      <c r="DM160" s="4550"/>
      <c r="DN160" s="4550"/>
      <c r="DO160" s="4550"/>
      <c r="DP160" s="4550"/>
      <c r="DQ160" s="4550"/>
      <c r="DR160" s="4550"/>
      <c r="DS160" s="4550"/>
      <c r="DT160" s="4550"/>
      <c r="DU160" s="4550"/>
      <c r="DV160" s="4550"/>
      <c r="DW160" s="4550"/>
      <c r="DX160" s="4550"/>
      <c r="DY160" s="4550"/>
      <c r="DZ160" s="4550"/>
      <c r="EA160" s="4550"/>
      <c r="EB160" s="4550"/>
      <c r="EC160" s="4550"/>
      <c r="ED160" s="4550"/>
      <c r="EE160" s="4550"/>
      <c r="EF160" s="4550"/>
      <c r="EG160" s="4550"/>
      <c r="EH160" s="4550"/>
      <c r="EI160" s="4550"/>
      <c r="EJ160" s="4550"/>
      <c r="EK160" s="4550"/>
      <c r="EL160" s="4550"/>
      <c r="EM160" s="4550"/>
      <c r="EN160" s="4550"/>
      <c r="EO160" s="4550"/>
      <c r="EP160" s="4550"/>
      <c r="EQ160" s="4550"/>
      <c r="ER160" s="4550"/>
      <c r="ES160" s="4550"/>
      <c r="ET160" s="4550"/>
      <c r="EU160" s="4550"/>
      <c r="EV160" s="4550"/>
      <c r="EW160" s="4550"/>
      <c r="EX160" s="4550"/>
      <c r="EY160" s="4550"/>
      <c r="EZ160" s="4550"/>
      <c r="FA160" s="4550"/>
      <c r="FB160" s="4550"/>
      <c r="FC160" s="4550"/>
      <c r="FD160" s="4550"/>
      <c r="FE160" s="4550"/>
      <c r="FF160" s="4550"/>
      <c r="FG160" s="4550"/>
      <c r="FH160" s="4550"/>
      <c r="FI160" s="4550"/>
      <c r="FJ160" s="4550"/>
      <c r="FK160" s="4550"/>
      <c r="FL160" s="4550"/>
      <c r="FM160" s="4550"/>
      <c r="FN160" s="4550"/>
      <c r="FO160" s="4550"/>
      <c r="FP160" s="4550"/>
      <c r="FQ160" s="4550"/>
      <c r="FR160" s="4550"/>
      <c r="FS160" s="4550"/>
      <c r="FT160" s="4550"/>
      <c r="FU160" s="4550"/>
      <c r="FV160" s="4550"/>
      <c r="FW160" s="4550"/>
      <c r="FX160" s="4550"/>
      <c r="FY160" s="4550"/>
      <c r="FZ160" s="4550"/>
      <c r="GA160" s="4550"/>
      <c r="GB160" s="4550"/>
      <c r="GC160" s="4550"/>
      <c r="GD160" s="4550"/>
      <c r="GE160" s="4550"/>
      <c r="GF160" s="4550"/>
      <c r="GG160" s="4550"/>
      <c r="GH160" s="4550"/>
      <c r="GI160" s="4550"/>
      <c r="GJ160" s="4550"/>
      <c r="GK160" s="4550"/>
      <c r="GL160" s="4550"/>
      <c r="GM160" s="4550"/>
      <c r="GN160" s="4550"/>
      <c r="GO160" s="4550"/>
      <c r="GP160" s="4550"/>
      <c r="GQ160" s="4550"/>
      <c r="GR160" s="4550"/>
      <c r="GS160" s="4550"/>
      <c r="GT160" s="4550"/>
      <c r="GU160" s="4550"/>
      <c r="GV160" s="4550"/>
      <c r="GW160" s="4550"/>
      <c r="GX160" s="4550"/>
      <c r="GY160" s="4550"/>
      <c r="GZ160" s="4550"/>
      <c r="HA160" s="4550"/>
      <c r="HB160" s="4550"/>
      <c r="HC160" s="4550"/>
      <c r="HD160" s="4550"/>
      <c r="HE160" s="4550"/>
      <c r="HF160" s="4550"/>
      <c r="HG160" s="4550"/>
      <c r="HH160" s="4550"/>
      <c r="HI160" s="4550"/>
      <c r="HJ160" s="4550"/>
      <c r="HK160" s="4550"/>
      <c r="HL160" s="4550"/>
      <c r="HM160" s="4550"/>
      <c r="HN160" s="4550"/>
      <c r="HO160" s="4550"/>
      <c r="HP160" s="4550"/>
      <c r="HQ160" s="4550"/>
      <c r="HR160" s="4550"/>
      <c r="HS160" s="4550"/>
      <c r="HT160" s="4550"/>
      <c r="HU160" s="4550"/>
      <c r="HV160" s="4550"/>
      <c r="HW160" s="4550"/>
      <c r="HX160" s="4550"/>
      <c r="HY160" s="4550"/>
      <c r="HZ160" s="4550"/>
      <c r="IA160" s="4550"/>
      <c r="IB160" s="4550"/>
      <c r="IC160" s="4550"/>
      <c r="ID160" s="4550"/>
      <c r="IE160" s="4550"/>
    </row>
    <row r="161" spans="1:239" s="4549" customFormat="1" ht="15" customHeight="1">
      <c r="A161" s="4746">
        <v>3.4</v>
      </c>
      <c r="B161" s="4728" t="s">
        <v>4572</v>
      </c>
      <c r="C161" s="4592">
        <v>0.11</v>
      </c>
      <c r="D161" s="4595" t="s">
        <v>4624</v>
      </c>
      <c r="E161" s="4987"/>
      <c r="F161" s="4989">
        <f>ROUND((C161*E161),2)</f>
        <v>0</v>
      </c>
      <c r="G161" s="4537"/>
      <c r="H161" s="4537"/>
      <c r="I161" s="4537"/>
      <c r="J161" s="4537"/>
      <c r="K161" s="4537"/>
      <c r="L161" s="4537"/>
      <c r="M161" s="4537"/>
      <c r="N161" s="4537"/>
      <c r="O161" s="4537"/>
      <c r="P161" s="4537"/>
      <c r="Q161" s="4537"/>
      <c r="R161" s="4537"/>
      <c r="S161" s="4537"/>
      <c r="T161" s="4537"/>
      <c r="U161" s="4537"/>
      <c r="V161" s="4537"/>
      <c r="W161" s="4537"/>
      <c r="X161" s="4537"/>
      <c r="Y161" s="4537"/>
      <c r="Z161" s="4537"/>
      <c r="AA161" s="4537"/>
      <c r="AB161" s="4537"/>
      <c r="AC161" s="4537"/>
      <c r="AD161" s="4537"/>
      <c r="AE161" s="4537"/>
      <c r="AF161" s="4537"/>
      <c r="AG161" s="4537"/>
      <c r="AH161" s="4537"/>
      <c r="AI161" s="4537"/>
      <c r="AJ161" s="4537"/>
      <c r="AK161" s="4537"/>
      <c r="AL161" s="4537"/>
      <c r="AM161" s="4537"/>
      <c r="AN161" s="4537"/>
      <c r="AO161" s="4537"/>
      <c r="AP161" s="4537"/>
      <c r="AQ161" s="4537"/>
      <c r="AR161" s="4537"/>
      <c r="AS161" s="4550"/>
      <c r="AT161" s="4550"/>
      <c r="AU161" s="4550"/>
      <c r="AV161" s="4550"/>
      <c r="AW161" s="4550"/>
      <c r="AX161" s="4550"/>
      <c r="AY161" s="4550"/>
      <c r="AZ161" s="4550"/>
      <c r="BA161" s="4550"/>
      <c r="BB161" s="4550"/>
      <c r="BC161" s="4550"/>
      <c r="BD161" s="4550"/>
      <c r="BE161" s="4550"/>
      <c r="BF161" s="4550"/>
      <c r="BG161" s="4550"/>
      <c r="BH161" s="4550"/>
      <c r="BI161" s="4550"/>
      <c r="BJ161" s="4550"/>
      <c r="BK161" s="4550"/>
      <c r="BL161" s="4550"/>
      <c r="BM161" s="4550"/>
      <c r="BN161" s="4550"/>
      <c r="BO161" s="4550"/>
      <c r="BP161" s="4550"/>
      <c r="BQ161" s="4550"/>
      <c r="BR161" s="4550"/>
      <c r="BS161" s="4550"/>
      <c r="BT161" s="4550"/>
      <c r="BU161" s="4550"/>
      <c r="BV161" s="4550"/>
      <c r="BW161" s="4550"/>
      <c r="BX161" s="4550"/>
      <c r="BY161" s="4550"/>
      <c r="BZ161" s="4550"/>
      <c r="CA161" s="4550"/>
      <c r="CB161" s="4550"/>
      <c r="CC161" s="4550"/>
      <c r="CD161" s="4550"/>
      <c r="CE161" s="4550"/>
      <c r="CF161" s="4550"/>
      <c r="CG161" s="4550"/>
      <c r="CH161" s="4550"/>
      <c r="CI161" s="4550"/>
      <c r="CJ161" s="4550"/>
      <c r="CK161" s="4550"/>
      <c r="CL161" s="4550"/>
      <c r="CM161" s="4550"/>
      <c r="CN161" s="4550"/>
      <c r="CO161" s="4550"/>
      <c r="CP161" s="4550"/>
      <c r="CQ161" s="4550"/>
      <c r="CR161" s="4550"/>
      <c r="CS161" s="4550"/>
      <c r="CT161" s="4550"/>
      <c r="CU161" s="4550"/>
      <c r="CV161" s="4550"/>
      <c r="CW161" s="4550"/>
      <c r="CX161" s="4550"/>
      <c r="CY161" s="4550"/>
      <c r="CZ161" s="4550"/>
      <c r="DA161" s="4550"/>
      <c r="DB161" s="4550"/>
      <c r="DC161" s="4550"/>
      <c r="DD161" s="4550"/>
      <c r="DE161" s="4550"/>
      <c r="DF161" s="4550"/>
      <c r="DG161" s="4550"/>
      <c r="DH161" s="4550"/>
      <c r="DI161" s="4550"/>
      <c r="DJ161" s="4550"/>
      <c r="DK161" s="4550"/>
      <c r="DL161" s="4550"/>
      <c r="DM161" s="4550"/>
      <c r="DN161" s="4550"/>
      <c r="DO161" s="4550"/>
      <c r="DP161" s="4550"/>
      <c r="DQ161" s="4550"/>
      <c r="DR161" s="4550"/>
      <c r="DS161" s="4550"/>
      <c r="DT161" s="4550"/>
      <c r="DU161" s="4550"/>
      <c r="DV161" s="4550"/>
      <c r="DW161" s="4550"/>
      <c r="DX161" s="4550"/>
      <c r="DY161" s="4550"/>
      <c r="DZ161" s="4550"/>
      <c r="EA161" s="4550"/>
      <c r="EB161" s="4550"/>
      <c r="EC161" s="4550"/>
      <c r="ED161" s="4550"/>
      <c r="EE161" s="4550"/>
      <c r="EF161" s="4550"/>
      <c r="EG161" s="4550"/>
      <c r="EH161" s="4550"/>
      <c r="EI161" s="4550"/>
      <c r="EJ161" s="4550"/>
      <c r="EK161" s="4550"/>
      <c r="EL161" s="4550"/>
      <c r="EM161" s="4550"/>
      <c r="EN161" s="4550"/>
      <c r="EO161" s="4550"/>
      <c r="EP161" s="4550"/>
      <c r="EQ161" s="4550"/>
      <c r="ER161" s="4550"/>
      <c r="ES161" s="4550"/>
      <c r="ET161" s="4550"/>
      <c r="EU161" s="4550"/>
      <c r="EV161" s="4550"/>
      <c r="EW161" s="4550"/>
      <c r="EX161" s="4550"/>
      <c r="EY161" s="4550"/>
      <c r="EZ161" s="4550"/>
      <c r="FA161" s="4550"/>
      <c r="FB161" s="4550"/>
      <c r="FC161" s="4550"/>
      <c r="FD161" s="4550"/>
      <c r="FE161" s="4550"/>
      <c r="FF161" s="4550"/>
      <c r="FG161" s="4550"/>
      <c r="FH161" s="4550"/>
      <c r="FI161" s="4550"/>
      <c r="FJ161" s="4550"/>
      <c r="FK161" s="4550"/>
      <c r="FL161" s="4550"/>
      <c r="FM161" s="4550"/>
      <c r="FN161" s="4550"/>
      <c r="FO161" s="4550"/>
      <c r="FP161" s="4550"/>
      <c r="FQ161" s="4550"/>
      <c r="FR161" s="4550"/>
      <c r="FS161" s="4550"/>
      <c r="FT161" s="4550"/>
      <c r="FU161" s="4550"/>
      <c r="FV161" s="4550"/>
      <c r="FW161" s="4550"/>
      <c r="FX161" s="4550"/>
      <c r="FY161" s="4550"/>
      <c r="FZ161" s="4550"/>
      <c r="GA161" s="4550"/>
      <c r="GB161" s="4550"/>
      <c r="GC161" s="4550"/>
      <c r="GD161" s="4550"/>
      <c r="GE161" s="4550"/>
      <c r="GF161" s="4550"/>
      <c r="GG161" s="4550"/>
      <c r="GH161" s="4550"/>
      <c r="GI161" s="4550"/>
      <c r="GJ161" s="4550"/>
      <c r="GK161" s="4550"/>
      <c r="GL161" s="4550"/>
      <c r="GM161" s="4550"/>
      <c r="GN161" s="4550"/>
      <c r="GO161" s="4550"/>
      <c r="GP161" s="4550"/>
      <c r="GQ161" s="4550"/>
      <c r="GR161" s="4550"/>
      <c r="GS161" s="4550"/>
      <c r="GT161" s="4550"/>
      <c r="GU161" s="4550"/>
      <c r="GV161" s="4550"/>
      <c r="GW161" s="4550"/>
      <c r="GX161" s="4550"/>
      <c r="GY161" s="4550"/>
      <c r="GZ161" s="4550"/>
      <c r="HA161" s="4550"/>
      <c r="HB161" s="4550"/>
      <c r="HC161" s="4550"/>
      <c r="HD161" s="4550"/>
      <c r="HE161" s="4550"/>
      <c r="HF161" s="4550"/>
      <c r="HG161" s="4550"/>
      <c r="HH161" s="4550"/>
      <c r="HI161" s="4550"/>
      <c r="HJ161" s="4550"/>
      <c r="HK161" s="4550"/>
      <c r="HL161" s="4550"/>
      <c r="HM161" s="4550"/>
      <c r="HN161" s="4550"/>
      <c r="HO161" s="4550"/>
      <c r="HP161" s="4550"/>
      <c r="HQ161" s="4550"/>
      <c r="HR161" s="4550"/>
      <c r="HS161" s="4550"/>
      <c r="HT161" s="4550"/>
      <c r="HU161" s="4550"/>
      <c r="HV161" s="4550"/>
      <c r="HW161" s="4550"/>
      <c r="HX161" s="4550"/>
      <c r="HY161" s="4550"/>
      <c r="HZ161" s="4550"/>
      <c r="IA161" s="4550"/>
      <c r="IB161" s="4550"/>
      <c r="IC161" s="4550"/>
      <c r="ID161" s="4550"/>
      <c r="IE161" s="4550"/>
    </row>
    <row r="162" spans="1:239" s="4549" customFormat="1" ht="16.5">
      <c r="A162" s="4746">
        <v>3.5</v>
      </c>
      <c r="B162" s="4728" t="s">
        <v>4573</v>
      </c>
      <c r="C162" s="4592">
        <v>0.17</v>
      </c>
      <c r="D162" s="4595" t="s">
        <v>4624</v>
      </c>
      <c r="E162" s="4987"/>
      <c r="F162" s="4989">
        <f>ROUND((C162*E162),2)</f>
        <v>0</v>
      </c>
      <c r="G162" s="4537"/>
      <c r="H162" s="4537"/>
      <c r="I162" s="4537"/>
      <c r="J162" s="4537"/>
      <c r="K162" s="4537"/>
      <c r="L162" s="4537"/>
      <c r="M162" s="4537"/>
      <c r="N162" s="4537"/>
      <c r="O162" s="4537"/>
      <c r="P162" s="4537"/>
      <c r="Q162" s="4537"/>
      <c r="R162" s="4537"/>
      <c r="S162" s="4537"/>
      <c r="T162" s="4537"/>
      <c r="U162" s="4537"/>
      <c r="V162" s="4537"/>
      <c r="W162" s="4537"/>
      <c r="X162" s="4537"/>
      <c r="Y162" s="4537"/>
      <c r="Z162" s="4537"/>
      <c r="AA162" s="4537"/>
      <c r="AB162" s="4537"/>
      <c r="AC162" s="4537"/>
      <c r="AD162" s="4537"/>
      <c r="AE162" s="4537"/>
      <c r="AF162" s="4537"/>
      <c r="AG162" s="4537"/>
      <c r="AH162" s="4537"/>
      <c r="AI162" s="4537"/>
      <c r="AJ162" s="4537"/>
      <c r="AK162" s="4537"/>
      <c r="AL162" s="4537"/>
      <c r="AM162" s="4537"/>
      <c r="AN162" s="4537"/>
      <c r="AO162" s="4537"/>
      <c r="AP162" s="4537"/>
      <c r="AQ162" s="4537"/>
      <c r="AR162" s="4537"/>
      <c r="AS162" s="4550"/>
      <c r="AT162" s="4550"/>
      <c r="AU162" s="4550"/>
      <c r="AV162" s="4550"/>
      <c r="AW162" s="4550"/>
      <c r="AX162" s="4550"/>
      <c r="AY162" s="4550"/>
      <c r="AZ162" s="4550"/>
      <c r="BA162" s="4550"/>
      <c r="BB162" s="4550"/>
      <c r="BC162" s="4550"/>
      <c r="BD162" s="4550"/>
      <c r="BE162" s="4550"/>
      <c r="BF162" s="4550"/>
      <c r="BG162" s="4550"/>
      <c r="BH162" s="4550"/>
      <c r="BI162" s="4550"/>
      <c r="BJ162" s="4550"/>
      <c r="BK162" s="4550"/>
      <c r="BL162" s="4550"/>
      <c r="BM162" s="4550"/>
      <c r="BN162" s="4550"/>
      <c r="BO162" s="4550"/>
      <c r="BP162" s="4550"/>
      <c r="BQ162" s="4550"/>
      <c r="BR162" s="4550"/>
      <c r="BS162" s="4550"/>
      <c r="BT162" s="4550"/>
      <c r="BU162" s="4550"/>
      <c r="BV162" s="4550"/>
      <c r="BW162" s="4550"/>
      <c r="BX162" s="4550"/>
      <c r="BY162" s="4550"/>
      <c r="BZ162" s="4550"/>
      <c r="CA162" s="4550"/>
      <c r="CB162" s="4550"/>
      <c r="CC162" s="4550"/>
      <c r="CD162" s="4550"/>
      <c r="CE162" s="4550"/>
      <c r="CF162" s="4550"/>
      <c r="CG162" s="4550"/>
      <c r="CH162" s="4550"/>
      <c r="CI162" s="4550"/>
      <c r="CJ162" s="4550"/>
      <c r="CK162" s="4550"/>
      <c r="CL162" s="4550"/>
      <c r="CM162" s="4550"/>
      <c r="CN162" s="4550"/>
      <c r="CO162" s="4550"/>
      <c r="CP162" s="4550"/>
      <c r="CQ162" s="4550"/>
      <c r="CR162" s="4550"/>
      <c r="CS162" s="4550"/>
      <c r="CT162" s="4550"/>
      <c r="CU162" s="4550"/>
      <c r="CV162" s="4550"/>
      <c r="CW162" s="4550"/>
      <c r="CX162" s="4550"/>
      <c r="CY162" s="4550"/>
      <c r="CZ162" s="4550"/>
      <c r="DA162" s="4550"/>
      <c r="DB162" s="4550"/>
      <c r="DC162" s="4550"/>
      <c r="DD162" s="4550"/>
      <c r="DE162" s="4550"/>
      <c r="DF162" s="4550"/>
      <c r="DG162" s="4550"/>
      <c r="DH162" s="4550"/>
      <c r="DI162" s="4550"/>
      <c r="DJ162" s="4550"/>
      <c r="DK162" s="4550"/>
      <c r="DL162" s="4550"/>
      <c r="DM162" s="4550"/>
      <c r="DN162" s="4550"/>
      <c r="DO162" s="4550"/>
      <c r="DP162" s="4550"/>
      <c r="DQ162" s="4550"/>
      <c r="DR162" s="4550"/>
      <c r="DS162" s="4550"/>
      <c r="DT162" s="4550"/>
      <c r="DU162" s="4550"/>
      <c r="DV162" s="4550"/>
      <c r="DW162" s="4550"/>
      <c r="DX162" s="4550"/>
      <c r="DY162" s="4550"/>
      <c r="DZ162" s="4550"/>
      <c r="EA162" s="4550"/>
      <c r="EB162" s="4550"/>
      <c r="EC162" s="4550"/>
      <c r="ED162" s="4550"/>
      <c r="EE162" s="4550"/>
      <c r="EF162" s="4550"/>
      <c r="EG162" s="4550"/>
      <c r="EH162" s="4550"/>
      <c r="EI162" s="4550"/>
      <c r="EJ162" s="4550"/>
      <c r="EK162" s="4550"/>
      <c r="EL162" s="4550"/>
      <c r="EM162" s="4550"/>
      <c r="EN162" s="4550"/>
      <c r="EO162" s="4550"/>
      <c r="EP162" s="4550"/>
      <c r="EQ162" s="4550"/>
      <c r="ER162" s="4550"/>
      <c r="ES162" s="4550"/>
      <c r="ET162" s="4550"/>
      <c r="EU162" s="4550"/>
      <c r="EV162" s="4550"/>
      <c r="EW162" s="4550"/>
      <c r="EX162" s="4550"/>
      <c r="EY162" s="4550"/>
      <c r="EZ162" s="4550"/>
      <c r="FA162" s="4550"/>
      <c r="FB162" s="4550"/>
      <c r="FC162" s="4550"/>
      <c r="FD162" s="4550"/>
      <c r="FE162" s="4550"/>
      <c r="FF162" s="4550"/>
      <c r="FG162" s="4550"/>
      <c r="FH162" s="4550"/>
      <c r="FI162" s="4550"/>
      <c r="FJ162" s="4550"/>
      <c r="FK162" s="4550"/>
      <c r="FL162" s="4550"/>
      <c r="FM162" s="4550"/>
      <c r="FN162" s="4550"/>
      <c r="FO162" s="4550"/>
      <c r="FP162" s="4550"/>
      <c r="FQ162" s="4550"/>
      <c r="FR162" s="4550"/>
      <c r="FS162" s="4550"/>
      <c r="FT162" s="4550"/>
      <c r="FU162" s="4550"/>
      <c r="FV162" s="4550"/>
      <c r="FW162" s="4550"/>
      <c r="FX162" s="4550"/>
      <c r="FY162" s="4550"/>
      <c r="FZ162" s="4550"/>
      <c r="GA162" s="4550"/>
      <c r="GB162" s="4550"/>
      <c r="GC162" s="4550"/>
      <c r="GD162" s="4550"/>
      <c r="GE162" s="4550"/>
      <c r="GF162" s="4550"/>
      <c r="GG162" s="4550"/>
      <c r="GH162" s="4550"/>
      <c r="GI162" s="4550"/>
      <c r="GJ162" s="4550"/>
      <c r="GK162" s="4550"/>
      <c r="GL162" s="4550"/>
      <c r="GM162" s="4550"/>
      <c r="GN162" s="4550"/>
      <c r="GO162" s="4550"/>
      <c r="GP162" s="4550"/>
      <c r="GQ162" s="4550"/>
      <c r="GR162" s="4550"/>
      <c r="GS162" s="4550"/>
      <c r="GT162" s="4550"/>
      <c r="GU162" s="4550"/>
      <c r="GV162" s="4550"/>
      <c r="GW162" s="4550"/>
      <c r="GX162" s="4550"/>
      <c r="GY162" s="4550"/>
      <c r="GZ162" s="4550"/>
      <c r="HA162" s="4550"/>
      <c r="HB162" s="4550"/>
      <c r="HC162" s="4550"/>
      <c r="HD162" s="4550"/>
      <c r="HE162" s="4550"/>
      <c r="HF162" s="4550"/>
      <c r="HG162" s="4550"/>
      <c r="HH162" s="4550"/>
      <c r="HI162" s="4550"/>
      <c r="HJ162" s="4550"/>
      <c r="HK162" s="4550"/>
      <c r="HL162" s="4550"/>
      <c r="HM162" s="4550"/>
      <c r="HN162" s="4550"/>
      <c r="HO162" s="4550"/>
      <c r="HP162" s="4550"/>
      <c r="HQ162" s="4550"/>
      <c r="HR162" s="4550"/>
      <c r="HS162" s="4550"/>
      <c r="HT162" s="4550"/>
      <c r="HU162" s="4550"/>
      <c r="HV162" s="4550"/>
      <c r="HW162" s="4550"/>
      <c r="HX162" s="4550"/>
      <c r="HY162" s="4550"/>
      <c r="HZ162" s="4550"/>
      <c r="IA162" s="4550"/>
      <c r="IB162" s="4550"/>
      <c r="IC162" s="4550"/>
      <c r="ID162" s="4550"/>
      <c r="IE162" s="4550"/>
    </row>
    <row r="163" spans="1:239" s="4549" customFormat="1" ht="16.5">
      <c r="A163" s="4746">
        <v>3.6</v>
      </c>
      <c r="B163" s="4728" t="s">
        <v>4574</v>
      </c>
      <c r="C163" s="4592">
        <v>0.12</v>
      </c>
      <c r="D163" s="4595" t="s">
        <v>4624</v>
      </c>
      <c r="E163" s="4987"/>
      <c r="F163" s="4594">
        <f>ROUND(C163*E163,2)</f>
        <v>0</v>
      </c>
      <c r="G163" s="4537"/>
      <c r="H163" s="4537"/>
      <c r="I163" s="4537"/>
      <c r="J163" s="4537"/>
      <c r="K163" s="4537"/>
      <c r="L163" s="4537"/>
      <c r="M163" s="4537"/>
      <c r="N163" s="4537"/>
      <c r="O163" s="4537"/>
      <c r="P163" s="4537"/>
      <c r="Q163" s="4537"/>
      <c r="R163" s="4537"/>
      <c r="S163" s="4537"/>
      <c r="T163" s="4537"/>
      <c r="U163" s="4537"/>
      <c r="V163" s="4537"/>
      <c r="W163" s="4537"/>
      <c r="X163" s="4537"/>
      <c r="Y163" s="4537"/>
      <c r="Z163" s="4537"/>
      <c r="AA163" s="4537"/>
      <c r="AB163" s="4537"/>
      <c r="AC163" s="4537"/>
      <c r="AD163" s="4537"/>
      <c r="AE163" s="4537"/>
      <c r="AF163" s="4537"/>
      <c r="AG163" s="4537"/>
      <c r="AH163" s="4537"/>
      <c r="AI163" s="4537"/>
      <c r="AJ163" s="4537"/>
      <c r="AK163" s="4537"/>
      <c r="AL163" s="4537"/>
      <c r="AM163" s="4537"/>
      <c r="AN163" s="4537"/>
      <c r="AO163" s="4537"/>
      <c r="AP163" s="4537"/>
      <c r="AQ163" s="4537"/>
      <c r="AR163" s="4537"/>
      <c r="AS163" s="4550"/>
      <c r="AT163" s="4550"/>
      <c r="AU163" s="4550"/>
      <c r="AV163" s="4550"/>
      <c r="AW163" s="4550"/>
      <c r="AX163" s="4550"/>
      <c r="AY163" s="4550"/>
      <c r="AZ163" s="4550"/>
      <c r="BA163" s="4550"/>
      <c r="BB163" s="4550"/>
      <c r="BC163" s="4550"/>
      <c r="BD163" s="4550"/>
      <c r="BE163" s="4550"/>
      <c r="BF163" s="4550"/>
      <c r="BG163" s="4550"/>
      <c r="BH163" s="4550"/>
      <c r="BI163" s="4550"/>
      <c r="BJ163" s="4550"/>
      <c r="BK163" s="4550"/>
      <c r="BL163" s="4550"/>
      <c r="BM163" s="4550"/>
      <c r="BN163" s="4550"/>
      <c r="BO163" s="4550"/>
      <c r="BP163" s="4550"/>
      <c r="BQ163" s="4550"/>
      <c r="BR163" s="4550"/>
      <c r="BS163" s="4550"/>
      <c r="BT163" s="4550"/>
      <c r="BU163" s="4550"/>
      <c r="BV163" s="4550"/>
      <c r="BW163" s="4550"/>
      <c r="BX163" s="4550"/>
      <c r="BY163" s="4550"/>
      <c r="BZ163" s="4550"/>
      <c r="CA163" s="4550"/>
      <c r="CB163" s="4550"/>
      <c r="CC163" s="4550"/>
      <c r="CD163" s="4550"/>
      <c r="CE163" s="4550"/>
      <c r="CF163" s="4550"/>
      <c r="CG163" s="4550"/>
      <c r="CH163" s="4550"/>
      <c r="CI163" s="4550"/>
      <c r="CJ163" s="4550"/>
      <c r="CK163" s="4550"/>
      <c r="CL163" s="4550"/>
      <c r="CM163" s="4550"/>
      <c r="CN163" s="4550"/>
      <c r="CO163" s="4550"/>
      <c r="CP163" s="4550"/>
      <c r="CQ163" s="4550"/>
      <c r="CR163" s="4550"/>
      <c r="CS163" s="4550"/>
      <c r="CT163" s="4550"/>
      <c r="CU163" s="4550"/>
      <c r="CV163" s="4550"/>
      <c r="CW163" s="4550"/>
      <c r="CX163" s="4550"/>
      <c r="CY163" s="4550"/>
      <c r="CZ163" s="4550"/>
      <c r="DA163" s="4550"/>
      <c r="DB163" s="4550"/>
      <c r="DC163" s="4550"/>
      <c r="DD163" s="4550"/>
      <c r="DE163" s="4550"/>
      <c r="DF163" s="4550"/>
      <c r="DG163" s="4550"/>
      <c r="DH163" s="4550"/>
      <c r="DI163" s="4550"/>
      <c r="DJ163" s="4550"/>
      <c r="DK163" s="4550"/>
      <c r="DL163" s="4550"/>
      <c r="DM163" s="4550"/>
      <c r="DN163" s="4550"/>
      <c r="DO163" s="4550"/>
      <c r="DP163" s="4550"/>
      <c r="DQ163" s="4550"/>
      <c r="DR163" s="4550"/>
      <c r="DS163" s="4550"/>
      <c r="DT163" s="4550"/>
      <c r="DU163" s="4550"/>
      <c r="DV163" s="4550"/>
      <c r="DW163" s="4550"/>
      <c r="DX163" s="4550"/>
      <c r="DY163" s="4550"/>
      <c r="DZ163" s="4550"/>
      <c r="EA163" s="4550"/>
      <c r="EB163" s="4550"/>
      <c r="EC163" s="4550"/>
      <c r="ED163" s="4550"/>
      <c r="EE163" s="4550"/>
      <c r="EF163" s="4550"/>
      <c r="EG163" s="4550"/>
      <c r="EH163" s="4550"/>
      <c r="EI163" s="4550"/>
      <c r="EJ163" s="4550"/>
      <c r="EK163" s="4550"/>
      <c r="EL163" s="4550"/>
      <c r="EM163" s="4550"/>
      <c r="EN163" s="4550"/>
      <c r="EO163" s="4550"/>
      <c r="EP163" s="4550"/>
      <c r="EQ163" s="4550"/>
      <c r="ER163" s="4550"/>
      <c r="ES163" s="4550"/>
      <c r="ET163" s="4550"/>
      <c r="EU163" s="4550"/>
      <c r="EV163" s="4550"/>
      <c r="EW163" s="4550"/>
      <c r="EX163" s="4550"/>
      <c r="EY163" s="4550"/>
      <c r="EZ163" s="4550"/>
      <c r="FA163" s="4550"/>
      <c r="FB163" s="4550"/>
      <c r="FC163" s="4550"/>
      <c r="FD163" s="4550"/>
      <c r="FE163" s="4550"/>
      <c r="FF163" s="4550"/>
      <c r="FG163" s="4550"/>
      <c r="FH163" s="4550"/>
      <c r="FI163" s="4550"/>
      <c r="FJ163" s="4550"/>
      <c r="FK163" s="4550"/>
      <c r="FL163" s="4550"/>
      <c r="FM163" s="4550"/>
      <c r="FN163" s="4550"/>
      <c r="FO163" s="4550"/>
      <c r="FP163" s="4550"/>
      <c r="FQ163" s="4550"/>
      <c r="FR163" s="4550"/>
      <c r="FS163" s="4550"/>
      <c r="FT163" s="4550"/>
      <c r="FU163" s="4550"/>
      <c r="FV163" s="4550"/>
      <c r="FW163" s="4550"/>
      <c r="FX163" s="4550"/>
      <c r="FY163" s="4550"/>
      <c r="FZ163" s="4550"/>
      <c r="GA163" s="4550"/>
      <c r="GB163" s="4550"/>
      <c r="GC163" s="4550"/>
      <c r="GD163" s="4550"/>
      <c r="GE163" s="4550"/>
      <c r="GF163" s="4550"/>
      <c r="GG163" s="4550"/>
      <c r="GH163" s="4550"/>
      <c r="GI163" s="4550"/>
      <c r="GJ163" s="4550"/>
      <c r="GK163" s="4550"/>
      <c r="GL163" s="4550"/>
      <c r="GM163" s="4550"/>
      <c r="GN163" s="4550"/>
      <c r="GO163" s="4550"/>
      <c r="GP163" s="4550"/>
      <c r="GQ163" s="4550"/>
      <c r="GR163" s="4550"/>
      <c r="GS163" s="4550"/>
      <c r="GT163" s="4550"/>
      <c r="GU163" s="4550"/>
      <c r="GV163" s="4550"/>
      <c r="GW163" s="4550"/>
      <c r="GX163" s="4550"/>
      <c r="GY163" s="4550"/>
      <c r="GZ163" s="4550"/>
      <c r="HA163" s="4550"/>
      <c r="HB163" s="4550"/>
      <c r="HC163" s="4550"/>
      <c r="HD163" s="4550"/>
      <c r="HE163" s="4550"/>
      <c r="HF163" s="4550"/>
      <c r="HG163" s="4550"/>
      <c r="HH163" s="4550"/>
      <c r="HI163" s="4550"/>
      <c r="HJ163" s="4550"/>
      <c r="HK163" s="4550"/>
      <c r="HL163" s="4550"/>
      <c r="HM163" s="4550"/>
      <c r="HN163" s="4550"/>
      <c r="HO163" s="4550"/>
      <c r="HP163" s="4550"/>
      <c r="HQ163" s="4550"/>
      <c r="HR163" s="4550"/>
      <c r="HS163" s="4550"/>
      <c r="HT163" s="4550"/>
      <c r="HU163" s="4550"/>
      <c r="HV163" s="4550"/>
      <c r="HW163" s="4550"/>
      <c r="HX163" s="4550"/>
      <c r="HY163" s="4550"/>
      <c r="HZ163" s="4550"/>
      <c r="IA163" s="4550"/>
      <c r="IB163" s="4550"/>
      <c r="IC163" s="4550"/>
      <c r="ID163" s="4550"/>
      <c r="IE163" s="4550"/>
    </row>
    <row r="164" spans="1:239" s="4549" customFormat="1" ht="16.5">
      <c r="A164" s="4746">
        <v>3.7</v>
      </c>
      <c r="B164" s="4728" t="s">
        <v>4575</v>
      </c>
      <c r="C164" s="4592">
        <v>0.81</v>
      </c>
      <c r="D164" s="4595" t="s">
        <v>4624</v>
      </c>
      <c r="E164" s="4987"/>
      <c r="F164" s="4594">
        <f>ROUND(C164*E164,2)</f>
        <v>0</v>
      </c>
      <c r="G164" s="4537"/>
      <c r="H164" s="4537"/>
      <c r="I164" s="4537"/>
      <c r="J164" s="4537"/>
      <c r="K164" s="4537"/>
      <c r="L164" s="4537"/>
      <c r="M164" s="4537"/>
      <c r="N164" s="4537"/>
      <c r="O164" s="4537"/>
      <c r="P164" s="4537"/>
      <c r="Q164" s="4537"/>
      <c r="R164" s="4537"/>
      <c r="S164" s="4537"/>
      <c r="T164" s="4537"/>
      <c r="U164" s="4537"/>
      <c r="V164" s="4537"/>
      <c r="W164" s="4537"/>
      <c r="X164" s="4537"/>
      <c r="Y164" s="4537"/>
      <c r="Z164" s="4537"/>
      <c r="AA164" s="4537"/>
      <c r="AB164" s="4537"/>
      <c r="AC164" s="4537"/>
      <c r="AD164" s="4537"/>
      <c r="AE164" s="4537"/>
      <c r="AF164" s="4537"/>
      <c r="AG164" s="4537"/>
      <c r="AH164" s="4537"/>
      <c r="AI164" s="4537"/>
      <c r="AJ164" s="4537"/>
      <c r="AK164" s="4537"/>
      <c r="AL164" s="4537"/>
      <c r="AM164" s="4537"/>
      <c r="AN164" s="4537"/>
      <c r="AO164" s="4537"/>
      <c r="AP164" s="4537"/>
      <c r="AQ164" s="4537"/>
      <c r="AR164" s="4537"/>
      <c r="AS164" s="4550"/>
      <c r="AT164" s="4550"/>
      <c r="AU164" s="4550"/>
      <c r="AV164" s="4550"/>
      <c r="AW164" s="4550"/>
      <c r="AX164" s="4550"/>
      <c r="AY164" s="4550"/>
      <c r="AZ164" s="4550"/>
      <c r="BA164" s="4550"/>
      <c r="BB164" s="4550"/>
      <c r="BC164" s="4550"/>
      <c r="BD164" s="4550"/>
      <c r="BE164" s="4550"/>
      <c r="BF164" s="4550"/>
      <c r="BG164" s="4550"/>
      <c r="BH164" s="4550"/>
      <c r="BI164" s="4550"/>
      <c r="BJ164" s="4550"/>
      <c r="BK164" s="4550"/>
      <c r="BL164" s="4550"/>
      <c r="BM164" s="4550"/>
      <c r="BN164" s="4550"/>
      <c r="BO164" s="4550"/>
      <c r="BP164" s="4550"/>
      <c r="BQ164" s="4550"/>
      <c r="BR164" s="4550"/>
      <c r="BS164" s="4550"/>
      <c r="BT164" s="4550"/>
      <c r="BU164" s="4550"/>
      <c r="BV164" s="4550"/>
      <c r="BW164" s="4550"/>
      <c r="BX164" s="4550"/>
      <c r="BY164" s="4550"/>
      <c r="BZ164" s="4550"/>
      <c r="CA164" s="4550"/>
      <c r="CB164" s="4550"/>
      <c r="CC164" s="4550"/>
      <c r="CD164" s="4550"/>
      <c r="CE164" s="4550"/>
      <c r="CF164" s="4550"/>
      <c r="CG164" s="4550"/>
      <c r="CH164" s="4550"/>
      <c r="CI164" s="4550"/>
      <c r="CJ164" s="4550"/>
      <c r="CK164" s="4550"/>
      <c r="CL164" s="4550"/>
      <c r="CM164" s="4550"/>
      <c r="CN164" s="4550"/>
      <c r="CO164" s="4550"/>
      <c r="CP164" s="4550"/>
      <c r="CQ164" s="4550"/>
      <c r="CR164" s="4550"/>
      <c r="CS164" s="4550"/>
      <c r="CT164" s="4550"/>
      <c r="CU164" s="4550"/>
      <c r="CV164" s="4550"/>
      <c r="CW164" s="4550"/>
      <c r="CX164" s="4550"/>
      <c r="CY164" s="4550"/>
      <c r="CZ164" s="4550"/>
      <c r="DA164" s="4550"/>
      <c r="DB164" s="4550"/>
      <c r="DC164" s="4550"/>
      <c r="DD164" s="4550"/>
      <c r="DE164" s="4550"/>
      <c r="DF164" s="4550"/>
      <c r="DG164" s="4550"/>
      <c r="DH164" s="4550"/>
      <c r="DI164" s="4550"/>
      <c r="DJ164" s="4550"/>
      <c r="DK164" s="4550"/>
      <c r="DL164" s="4550"/>
      <c r="DM164" s="4550"/>
      <c r="DN164" s="4550"/>
      <c r="DO164" s="4550"/>
      <c r="DP164" s="4550"/>
      <c r="DQ164" s="4550"/>
      <c r="DR164" s="4550"/>
      <c r="DS164" s="4550"/>
      <c r="DT164" s="4550"/>
      <c r="DU164" s="4550"/>
      <c r="DV164" s="4550"/>
      <c r="DW164" s="4550"/>
      <c r="DX164" s="4550"/>
      <c r="DY164" s="4550"/>
      <c r="DZ164" s="4550"/>
      <c r="EA164" s="4550"/>
      <c r="EB164" s="4550"/>
      <c r="EC164" s="4550"/>
      <c r="ED164" s="4550"/>
      <c r="EE164" s="4550"/>
      <c r="EF164" s="4550"/>
      <c r="EG164" s="4550"/>
      <c r="EH164" s="4550"/>
      <c r="EI164" s="4550"/>
      <c r="EJ164" s="4550"/>
      <c r="EK164" s="4550"/>
      <c r="EL164" s="4550"/>
      <c r="EM164" s="4550"/>
      <c r="EN164" s="4550"/>
      <c r="EO164" s="4550"/>
      <c r="EP164" s="4550"/>
      <c r="EQ164" s="4550"/>
      <c r="ER164" s="4550"/>
      <c r="ES164" s="4550"/>
      <c r="ET164" s="4550"/>
      <c r="EU164" s="4550"/>
      <c r="EV164" s="4550"/>
      <c r="EW164" s="4550"/>
      <c r="EX164" s="4550"/>
      <c r="EY164" s="4550"/>
      <c r="EZ164" s="4550"/>
      <c r="FA164" s="4550"/>
      <c r="FB164" s="4550"/>
      <c r="FC164" s="4550"/>
      <c r="FD164" s="4550"/>
      <c r="FE164" s="4550"/>
      <c r="FF164" s="4550"/>
      <c r="FG164" s="4550"/>
      <c r="FH164" s="4550"/>
      <c r="FI164" s="4550"/>
      <c r="FJ164" s="4550"/>
      <c r="FK164" s="4550"/>
      <c r="FL164" s="4550"/>
      <c r="FM164" s="4550"/>
      <c r="FN164" s="4550"/>
      <c r="FO164" s="4550"/>
      <c r="FP164" s="4550"/>
      <c r="FQ164" s="4550"/>
      <c r="FR164" s="4550"/>
      <c r="FS164" s="4550"/>
      <c r="FT164" s="4550"/>
      <c r="FU164" s="4550"/>
      <c r="FV164" s="4550"/>
      <c r="FW164" s="4550"/>
      <c r="FX164" s="4550"/>
      <c r="FY164" s="4550"/>
      <c r="FZ164" s="4550"/>
      <c r="GA164" s="4550"/>
      <c r="GB164" s="4550"/>
      <c r="GC164" s="4550"/>
      <c r="GD164" s="4550"/>
      <c r="GE164" s="4550"/>
      <c r="GF164" s="4550"/>
      <c r="GG164" s="4550"/>
      <c r="GH164" s="4550"/>
      <c r="GI164" s="4550"/>
      <c r="GJ164" s="4550"/>
      <c r="GK164" s="4550"/>
      <c r="GL164" s="4550"/>
      <c r="GM164" s="4550"/>
      <c r="GN164" s="4550"/>
      <c r="GO164" s="4550"/>
      <c r="GP164" s="4550"/>
      <c r="GQ164" s="4550"/>
      <c r="GR164" s="4550"/>
      <c r="GS164" s="4550"/>
      <c r="GT164" s="4550"/>
      <c r="GU164" s="4550"/>
      <c r="GV164" s="4550"/>
      <c r="GW164" s="4550"/>
      <c r="GX164" s="4550"/>
      <c r="GY164" s="4550"/>
      <c r="GZ164" s="4550"/>
      <c r="HA164" s="4550"/>
      <c r="HB164" s="4550"/>
      <c r="HC164" s="4550"/>
      <c r="HD164" s="4550"/>
      <c r="HE164" s="4550"/>
      <c r="HF164" s="4550"/>
      <c r="HG164" s="4550"/>
      <c r="HH164" s="4550"/>
      <c r="HI164" s="4550"/>
      <c r="HJ164" s="4550"/>
      <c r="HK164" s="4550"/>
      <c r="HL164" s="4550"/>
      <c r="HM164" s="4550"/>
      <c r="HN164" s="4550"/>
      <c r="HO164" s="4550"/>
      <c r="HP164" s="4550"/>
      <c r="HQ164" s="4550"/>
      <c r="HR164" s="4550"/>
      <c r="HS164" s="4550"/>
      <c r="HT164" s="4550"/>
      <c r="HU164" s="4550"/>
      <c r="HV164" s="4550"/>
      <c r="HW164" s="4550"/>
      <c r="HX164" s="4550"/>
      <c r="HY164" s="4550"/>
      <c r="HZ164" s="4550"/>
      <c r="IA164" s="4550"/>
      <c r="IB164" s="4550"/>
      <c r="IC164" s="4550"/>
      <c r="ID164" s="4550"/>
      <c r="IE164" s="4550"/>
    </row>
    <row r="165" spans="1:239" s="4549" customFormat="1" ht="15">
      <c r="A165" s="4745"/>
      <c r="B165" s="4532"/>
      <c r="C165" s="4592"/>
      <c r="D165" s="4593"/>
      <c r="E165" s="4987"/>
      <c r="F165" s="4594"/>
      <c r="G165" s="4537"/>
      <c r="H165" s="4537"/>
      <c r="I165" s="4537"/>
      <c r="J165" s="4537"/>
      <c r="K165" s="4537"/>
      <c r="L165" s="4537"/>
      <c r="M165" s="4537"/>
      <c r="N165" s="4537"/>
      <c r="O165" s="4537"/>
      <c r="P165" s="4537"/>
      <c r="Q165" s="4537"/>
      <c r="R165" s="4537"/>
      <c r="S165" s="4537"/>
      <c r="T165" s="4537"/>
      <c r="U165" s="4537"/>
      <c r="V165" s="4537"/>
      <c r="W165" s="4537"/>
      <c r="X165" s="4537"/>
      <c r="Y165" s="4537"/>
      <c r="Z165" s="4537"/>
      <c r="AA165" s="4537"/>
      <c r="AB165" s="4537"/>
      <c r="AC165" s="4537"/>
      <c r="AD165" s="4537"/>
      <c r="AE165" s="4537"/>
      <c r="AF165" s="4537"/>
      <c r="AG165" s="4537"/>
      <c r="AH165" s="4537"/>
      <c r="AI165" s="4537"/>
      <c r="AJ165" s="4537"/>
      <c r="AK165" s="4537"/>
      <c r="AL165" s="4537"/>
      <c r="AM165" s="4537"/>
      <c r="AN165" s="4537"/>
      <c r="AO165" s="4537"/>
      <c r="AP165" s="4537"/>
      <c r="AQ165" s="4537"/>
      <c r="AR165" s="4537"/>
      <c r="AS165" s="4550"/>
      <c r="AT165" s="4550"/>
      <c r="AU165" s="4550"/>
      <c r="AV165" s="4550"/>
      <c r="AW165" s="4550"/>
      <c r="AX165" s="4550"/>
      <c r="AY165" s="4550"/>
      <c r="AZ165" s="4550"/>
      <c r="BA165" s="4550"/>
      <c r="BB165" s="4550"/>
      <c r="BC165" s="4550"/>
      <c r="BD165" s="4550"/>
      <c r="BE165" s="4550"/>
      <c r="BF165" s="4550"/>
      <c r="BG165" s="4550"/>
      <c r="BH165" s="4550"/>
      <c r="BI165" s="4550"/>
      <c r="BJ165" s="4550"/>
      <c r="BK165" s="4550"/>
      <c r="BL165" s="4550"/>
      <c r="BM165" s="4550"/>
      <c r="BN165" s="4550"/>
      <c r="BO165" s="4550"/>
      <c r="BP165" s="4550"/>
      <c r="BQ165" s="4550"/>
      <c r="BR165" s="4550"/>
      <c r="BS165" s="4550"/>
      <c r="BT165" s="4550"/>
      <c r="BU165" s="4550"/>
      <c r="BV165" s="4550"/>
      <c r="BW165" s="4550"/>
      <c r="BX165" s="4550"/>
      <c r="BY165" s="4550"/>
      <c r="BZ165" s="4550"/>
      <c r="CA165" s="4550"/>
      <c r="CB165" s="4550"/>
      <c r="CC165" s="4550"/>
      <c r="CD165" s="4550"/>
      <c r="CE165" s="4550"/>
      <c r="CF165" s="4550"/>
      <c r="CG165" s="4550"/>
      <c r="CH165" s="4550"/>
      <c r="CI165" s="4550"/>
      <c r="CJ165" s="4550"/>
      <c r="CK165" s="4550"/>
      <c r="CL165" s="4550"/>
      <c r="CM165" s="4550"/>
      <c r="CN165" s="4550"/>
      <c r="CO165" s="4550"/>
      <c r="CP165" s="4550"/>
      <c r="CQ165" s="4550"/>
      <c r="CR165" s="4550"/>
      <c r="CS165" s="4550"/>
      <c r="CT165" s="4550"/>
      <c r="CU165" s="4550"/>
      <c r="CV165" s="4550"/>
      <c r="CW165" s="4550"/>
      <c r="CX165" s="4550"/>
      <c r="CY165" s="4550"/>
      <c r="CZ165" s="4550"/>
      <c r="DA165" s="4550"/>
      <c r="DB165" s="4550"/>
      <c r="DC165" s="4550"/>
      <c r="DD165" s="4550"/>
      <c r="DE165" s="4550"/>
      <c r="DF165" s="4550"/>
      <c r="DG165" s="4550"/>
      <c r="DH165" s="4550"/>
      <c r="DI165" s="4550"/>
      <c r="DJ165" s="4550"/>
      <c r="DK165" s="4550"/>
      <c r="DL165" s="4550"/>
      <c r="DM165" s="4550"/>
      <c r="DN165" s="4550"/>
      <c r="DO165" s="4550"/>
      <c r="DP165" s="4550"/>
      <c r="DQ165" s="4550"/>
      <c r="DR165" s="4550"/>
      <c r="DS165" s="4550"/>
      <c r="DT165" s="4550"/>
      <c r="DU165" s="4550"/>
      <c r="DV165" s="4550"/>
      <c r="DW165" s="4550"/>
      <c r="DX165" s="4550"/>
      <c r="DY165" s="4550"/>
      <c r="DZ165" s="4550"/>
      <c r="EA165" s="4550"/>
      <c r="EB165" s="4550"/>
      <c r="EC165" s="4550"/>
      <c r="ED165" s="4550"/>
      <c r="EE165" s="4550"/>
      <c r="EF165" s="4550"/>
      <c r="EG165" s="4550"/>
      <c r="EH165" s="4550"/>
      <c r="EI165" s="4550"/>
      <c r="EJ165" s="4550"/>
      <c r="EK165" s="4550"/>
      <c r="EL165" s="4550"/>
      <c r="EM165" s="4550"/>
      <c r="EN165" s="4550"/>
      <c r="EO165" s="4550"/>
      <c r="EP165" s="4550"/>
      <c r="EQ165" s="4550"/>
      <c r="ER165" s="4550"/>
      <c r="ES165" s="4550"/>
      <c r="ET165" s="4550"/>
      <c r="EU165" s="4550"/>
      <c r="EV165" s="4550"/>
      <c r="EW165" s="4550"/>
      <c r="EX165" s="4550"/>
      <c r="EY165" s="4550"/>
      <c r="EZ165" s="4550"/>
      <c r="FA165" s="4550"/>
      <c r="FB165" s="4550"/>
      <c r="FC165" s="4550"/>
      <c r="FD165" s="4550"/>
      <c r="FE165" s="4550"/>
      <c r="FF165" s="4550"/>
      <c r="FG165" s="4550"/>
      <c r="FH165" s="4550"/>
      <c r="FI165" s="4550"/>
      <c r="FJ165" s="4550"/>
      <c r="FK165" s="4550"/>
      <c r="FL165" s="4550"/>
      <c r="FM165" s="4550"/>
      <c r="FN165" s="4550"/>
      <c r="FO165" s="4550"/>
      <c r="FP165" s="4550"/>
      <c r="FQ165" s="4550"/>
      <c r="FR165" s="4550"/>
      <c r="FS165" s="4550"/>
      <c r="FT165" s="4550"/>
      <c r="FU165" s="4550"/>
      <c r="FV165" s="4550"/>
      <c r="FW165" s="4550"/>
      <c r="FX165" s="4550"/>
      <c r="FY165" s="4550"/>
      <c r="FZ165" s="4550"/>
      <c r="GA165" s="4550"/>
      <c r="GB165" s="4550"/>
      <c r="GC165" s="4550"/>
      <c r="GD165" s="4550"/>
      <c r="GE165" s="4550"/>
      <c r="GF165" s="4550"/>
      <c r="GG165" s="4550"/>
      <c r="GH165" s="4550"/>
      <c r="GI165" s="4550"/>
      <c r="GJ165" s="4550"/>
      <c r="GK165" s="4550"/>
      <c r="GL165" s="4550"/>
      <c r="GM165" s="4550"/>
      <c r="GN165" s="4550"/>
      <c r="GO165" s="4550"/>
      <c r="GP165" s="4550"/>
      <c r="GQ165" s="4550"/>
      <c r="GR165" s="4550"/>
      <c r="GS165" s="4550"/>
      <c r="GT165" s="4550"/>
      <c r="GU165" s="4550"/>
      <c r="GV165" s="4550"/>
      <c r="GW165" s="4550"/>
      <c r="GX165" s="4550"/>
      <c r="GY165" s="4550"/>
      <c r="GZ165" s="4550"/>
      <c r="HA165" s="4550"/>
      <c r="HB165" s="4550"/>
      <c r="HC165" s="4550"/>
      <c r="HD165" s="4550"/>
      <c r="HE165" s="4550"/>
      <c r="HF165" s="4550"/>
      <c r="HG165" s="4550"/>
      <c r="HH165" s="4550"/>
      <c r="HI165" s="4550"/>
      <c r="HJ165" s="4550"/>
      <c r="HK165" s="4550"/>
      <c r="HL165" s="4550"/>
      <c r="HM165" s="4550"/>
      <c r="HN165" s="4550"/>
      <c r="HO165" s="4550"/>
      <c r="HP165" s="4550"/>
      <c r="HQ165" s="4550"/>
      <c r="HR165" s="4550"/>
      <c r="HS165" s="4550"/>
      <c r="HT165" s="4550"/>
      <c r="HU165" s="4550"/>
      <c r="HV165" s="4550"/>
      <c r="HW165" s="4550"/>
      <c r="HX165" s="4550"/>
      <c r="HY165" s="4550"/>
      <c r="HZ165" s="4550"/>
      <c r="IA165" s="4550"/>
      <c r="IB165" s="4550"/>
      <c r="IC165" s="4550"/>
      <c r="ID165" s="4550"/>
      <c r="IE165" s="4550"/>
    </row>
    <row r="166" spans="1:239" s="4549" customFormat="1" ht="15">
      <c r="A166" s="4745">
        <v>4</v>
      </c>
      <c r="B166" s="4610" t="s">
        <v>1294</v>
      </c>
      <c r="C166" s="4592"/>
      <c r="D166" s="4593"/>
      <c r="E166" s="4988"/>
      <c r="F166" s="4594"/>
      <c r="G166" s="4537"/>
      <c r="H166" s="4537"/>
      <c r="I166" s="4537"/>
      <c r="J166" s="4537"/>
      <c r="K166" s="4537"/>
      <c r="L166" s="4537"/>
      <c r="M166" s="4537"/>
      <c r="N166" s="4537"/>
      <c r="O166" s="4537"/>
      <c r="P166" s="4537"/>
      <c r="Q166" s="4537"/>
      <c r="R166" s="4537"/>
      <c r="S166" s="4537"/>
      <c r="T166" s="4537"/>
      <c r="U166" s="4537"/>
      <c r="V166" s="4537"/>
      <c r="W166" s="4537"/>
      <c r="X166" s="4537"/>
      <c r="Y166" s="4537"/>
      <c r="Z166" s="4537"/>
      <c r="AA166" s="4537"/>
      <c r="AB166" s="4537"/>
      <c r="AC166" s="4537"/>
      <c r="AD166" s="4537"/>
      <c r="AE166" s="4537"/>
      <c r="AF166" s="4537"/>
      <c r="AG166" s="4537"/>
      <c r="AH166" s="4537"/>
      <c r="AI166" s="4537"/>
      <c r="AJ166" s="4537"/>
      <c r="AK166" s="4537"/>
      <c r="AL166" s="4537"/>
      <c r="AM166" s="4537"/>
      <c r="AN166" s="4537"/>
      <c r="AO166" s="4537"/>
      <c r="AP166" s="4537"/>
      <c r="AQ166" s="4537"/>
      <c r="AR166" s="4537"/>
      <c r="AS166" s="4550"/>
      <c r="AT166" s="4550"/>
      <c r="AU166" s="4550"/>
      <c r="AV166" s="4550"/>
      <c r="AW166" s="4550"/>
      <c r="AX166" s="4550"/>
      <c r="AY166" s="4550"/>
      <c r="AZ166" s="4550"/>
      <c r="BA166" s="4550"/>
      <c r="BB166" s="4550"/>
      <c r="BC166" s="4550"/>
      <c r="BD166" s="4550"/>
      <c r="BE166" s="4550"/>
      <c r="BF166" s="4550"/>
      <c r="BG166" s="4550"/>
      <c r="BH166" s="4550"/>
      <c r="BI166" s="4550"/>
      <c r="BJ166" s="4550"/>
      <c r="BK166" s="4550"/>
      <c r="BL166" s="4550"/>
      <c r="BM166" s="4550"/>
      <c r="BN166" s="4550"/>
      <c r="BO166" s="4550"/>
      <c r="BP166" s="4550"/>
      <c r="BQ166" s="4550"/>
      <c r="BR166" s="4550"/>
      <c r="BS166" s="4550"/>
      <c r="BT166" s="4550"/>
      <c r="BU166" s="4550"/>
      <c r="BV166" s="4550"/>
      <c r="BW166" s="4550"/>
      <c r="BX166" s="4550"/>
      <c r="BY166" s="4550"/>
      <c r="BZ166" s="4550"/>
      <c r="CA166" s="4550"/>
      <c r="CB166" s="4550"/>
      <c r="CC166" s="4550"/>
      <c r="CD166" s="4550"/>
      <c r="CE166" s="4550"/>
      <c r="CF166" s="4550"/>
      <c r="CG166" s="4550"/>
      <c r="CH166" s="4550"/>
      <c r="CI166" s="4550"/>
      <c r="CJ166" s="4550"/>
      <c r="CK166" s="4550"/>
      <c r="CL166" s="4550"/>
      <c r="CM166" s="4550"/>
      <c r="CN166" s="4550"/>
      <c r="CO166" s="4550"/>
      <c r="CP166" s="4550"/>
      <c r="CQ166" s="4550"/>
      <c r="CR166" s="4550"/>
      <c r="CS166" s="4550"/>
      <c r="CT166" s="4550"/>
      <c r="CU166" s="4550"/>
      <c r="CV166" s="4550"/>
      <c r="CW166" s="4550"/>
      <c r="CX166" s="4550"/>
      <c r="CY166" s="4550"/>
      <c r="CZ166" s="4550"/>
      <c r="DA166" s="4550"/>
      <c r="DB166" s="4550"/>
      <c r="DC166" s="4550"/>
      <c r="DD166" s="4550"/>
      <c r="DE166" s="4550"/>
      <c r="DF166" s="4550"/>
      <c r="DG166" s="4550"/>
      <c r="DH166" s="4550"/>
      <c r="DI166" s="4550"/>
      <c r="DJ166" s="4550"/>
      <c r="DK166" s="4550"/>
      <c r="DL166" s="4550"/>
      <c r="DM166" s="4550"/>
      <c r="DN166" s="4550"/>
      <c r="DO166" s="4550"/>
      <c r="DP166" s="4550"/>
      <c r="DQ166" s="4550"/>
      <c r="DR166" s="4550"/>
      <c r="DS166" s="4550"/>
      <c r="DT166" s="4550"/>
      <c r="DU166" s="4550"/>
      <c r="DV166" s="4550"/>
      <c r="DW166" s="4550"/>
      <c r="DX166" s="4550"/>
      <c r="DY166" s="4550"/>
      <c r="DZ166" s="4550"/>
      <c r="EA166" s="4550"/>
      <c r="EB166" s="4550"/>
      <c r="EC166" s="4550"/>
      <c r="ED166" s="4550"/>
      <c r="EE166" s="4550"/>
      <c r="EF166" s="4550"/>
      <c r="EG166" s="4550"/>
      <c r="EH166" s="4550"/>
      <c r="EI166" s="4550"/>
      <c r="EJ166" s="4550"/>
      <c r="EK166" s="4550"/>
      <c r="EL166" s="4550"/>
      <c r="EM166" s="4550"/>
      <c r="EN166" s="4550"/>
      <c r="EO166" s="4550"/>
      <c r="EP166" s="4550"/>
      <c r="EQ166" s="4550"/>
      <c r="ER166" s="4550"/>
      <c r="ES166" s="4550"/>
      <c r="ET166" s="4550"/>
      <c r="EU166" s="4550"/>
      <c r="EV166" s="4550"/>
      <c r="EW166" s="4550"/>
      <c r="EX166" s="4550"/>
      <c r="EY166" s="4550"/>
      <c r="EZ166" s="4550"/>
      <c r="FA166" s="4550"/>
      <c r="FB166" s="4550"/>
      <c r="FC166" s="4550"/>
      <c r="FD166" s="4550"/>
      <c r="FE166" s="4550"/>
      <c r="FF166" s="4550"/>
      <c r="FG166" s="4550"/>
      <c r="FH166" s="4550"/>
      <c r="FI166" s="4550"/>
      <c r="FJ166" s="4550"/>
      <c r="FK166" s="4550"/>
      <c r="FL166" s="4550"/>
      <c r="FM166" s="4550"/>
      <c r="FN166" s="4550"/>
      <c r="FO166" s="4550"/>
      <c r="FP166" s="4550"/>
      <c r="FQ166" s="4550"/>
      <c r="FR166" s="4550"/>
      <c r="FS166" s="4550"/>
      <c r="FT166" s="4550"/>
      <c r="FU166" s="4550"/>
      <c r="FV166" s="4550"/>
      <c r="FW166" s="4550"/>
      <c r="FX166" s="4550"/>
      <c r="FY166" s="4550"/>
      <c r="FZ166" s="4550"/>
      <c r="GA166" s="4550"/>
      <c r="GB166" s="4550"/>
      <c r="GC166" s="4550"/>
      <c r="GD166" s="4550"/>
      <c r="GE166" s="4550"/>
      <c r="GF166" s="4550"/>
      <c r="GG166" s="4550"/>
      <c r="GH166" s="4550"/>
      <c r="GI166" s="4550"/>
      <c r="GJ166" s="4550"/>
      <c r="GK166" s="4550"/>
      <c r="GL166" s="4550"/>
      <c r="GM166" s="4550"/>
      <c r="GN166" s="4550"/>
      <c r="GO166" s="4550"/>
      <c r="GP166" s="4550"/>
      <c r="GQ166" s="4550"/>
      <c r="GR166" s="4550"/>
      <c r="GS166" s="4550"/>
      <c r="GT166" s="4550"/>
      <c r="GU166" s="4550"/>
      <c r="GV166" s="4550"/>
      <c r="GW166" s="4550"/>
      <c r="GX166" s="4550"/>
      <c r="GY166" s="4550"/>
      <c r="GZ166" s="4550"/>
      <c r="HA166" s="4550"/>
      <c r="HB166" s="4550"/>
      <c r="HC166" s="4550"/>
      <c r="HD166" s="4550"/>
      <c r="HE166" s="4550"/>
      <c r="HF166" s="4550"/>
      <c r="HG166" s="4550"/>
      <c r="HH166" s="4550"/>
      <c r="HI166" s="4550"/>
      <c r="HJ166" s="4550"/>
      <c r="HK166" s="4550"/>
      <c r="HL166" s="4550"/>
      <c r="HM166" s="4550"/>
      <c r="HN166" s="4550"/>
      <c r="HO166" s="4550"/>
      <c r="HP166" s="4550"/>
      <c r="HQ166" s="4550"/>
      <c r="HR166" s="4550"/>
      <c r="HS166" s="4550"/>
      <c r="HT166" s="4550"/>
      <c r="HU166" s="4550"/>
      <c r="HV166" s="4550"/>
      <c r="HW166" s="4550"/>
      <c r="HX166" s="4550"/>
      <c r="HY166" s="4550"/>
      <c r="HZ166" s="4550"/>
      <c r="IA166" s="4550"/>
      <c r="IB166" s="4550"/>
      <c r="IC166" s="4550"/>
      <c r="ID166" s="4550"/>
      <c r="IE166" s="4550"/>
    </row>
    <row r="167" spans="1:239" s="4549" customFormat="1" ht="15">
      <c r="A167" s="4747">
        <v>4.0999999999999996</v>
      </c>
      <c r="B167" s="4728" t="s">
        <v>4132</v>
      </c>
      <c r="C167" s="4592">
        <v>4.82</v>
      </c>
      <c r="D167" s="4595" t="s">
        <v>4625</v>
      </c>
      <c r="E167" s="4987"/>
      <c r="F167" s="4594">
        <f>ROUND(C167*E167,2)</f>
        <v>0</v>
      </c>
      <c r="G167" s="4537"/>
      <c r="H167" s="4537"/>
      <c r="I167" s="4537"/>
      <c r="J167" s="4537"/>
      <c r="K167" s="4537"/>
      <c r="L167" s="4537"/>
      <c r="M167" s="4537"/>
      <c r="N167" s="4537"/>
      <c r="O167" s="4537"/>
      <c r="P167" s="4537"/>
      <c r="Q167" s="4537"/>
      <c r="R167" s="4537"/>
      <c r="S167" s="4537"/>
      <c r="T167" s="4537"/>
      <c r="U167" s="4537"/>
      <c r="V167" s="4537"/>
      <c r="W167" s="4537"/>
      <c r="X167" s="4537"/>
      <c r="Y167" s="4537"/>
      <c r="Z167" s="4537"/>
      <c r="AA167" s="4537"/>
      <c r="AB167" s="4537"/>
      <c r="AC167" s="4537"/>
      <c r="AD167" s="4537"/>
      <c r="AE167" s="4537"/>
      <c r="AF167" s="4537"/>
      <c r="AG167" s="4537"/>
      <c r="AH167" s="4537"/>
      <c r="AI167" s="4537"/>
      <c r="AJ167" s="4537"/>
      <c r="AK167" s="4537"/>
      <c r="AL167" s="4537"/>
      <c r="AM167" s="4537"/>
      <c r="AN167" s="4537"/>
      <c r="AO167" s="4537"/>
      <c r="AP167" s="4537"/>
      <c r="AQ167" s="4537"/>
      <c r="AR167" s="4537"/>
      <c r="AS167" s="4550"/>
      <c r="AT167" s="4550"/>
      <c r="AU167" s="4550"/>
      <c r="AV167" s="4550"/>
      <c r="AW167" s="4550"/>
      <c r="AX167" s="4550"/>
      <c r="AY167" s="4550"/>
      <c r="AZ167" s="4550"/>
      <c r="BA167" s="4550"/>
      <c r="BB167" s="4550"/>
      <c r="BC167" s="4550"/>
      <c r="BD167" s="4550"/>
      <c r="BE167" s="4550"/>
      <c r="BF167" s="4550"/>
      <c r="BG167" s="4550"/>
      <c r="BH167" s="4550"/>
      <c r="BI167" s="4550"/>
      <c r="BJ167" s="4550"/>
      <c r="BK167" s="4550"/>
      <c r="BL167" s="4550"/>
      <c r="BM167" s="4550"/>
      <c r="BN167" s="4550"/>
      <c r="BO167" s="4550"/>
      <c r="BP167" s="4550"/>
      <c r="BQ167" s="4550"/>
      <c r="BR167" s="4550"/>
      <c r="BS167" s="4550"/>
      <c r="BT167" s="4550"/>
      <c r="BU167" s="4550"/>
      <c r="BV167" s="4550"/>
      <c r="BW167" s="4550"/>
      <c r="BX167" s="4550"/>
      <c r="BY167" s="4550"/>
      <c r="BZ167" s="4550"/>
      <c r="CA167" s="4550"/>
      <c r="CB167" s="4550"/>
      <c r="CC167" s="4550"/>
      <c r="CD167" s="4550"/>
      <c r="CE167" s="4550"/>
      <c r="CF167" s="4550"/>
      <c r="CG167" s="4550"/>
      <c r="CH167" s="4550"/>
      <c r="CI167" s="4550"/>
      <c r="CJ167" s="4550"/>
      <c r="CK167" s="4550"/>
      <c r="CL167" s="4550"/>
      <c r="CM167" s="4550"/>
      <c r="CN167" s="4550"/>
      <c r="CO167" s="4550"/>
      <c r="CP167" s="4550"/>
      <c r="CQ167" s="4550"/>
      <c r="CR167" s="4550"/>
      <c r="CS167" s="4550"/>
      <c r="CT167" s="4550"/>
      <c r="CU167" s="4550"/>
      <c r="CV167" s="4550"/>
      <c r="CW167" s="4550"/>
      <c r="CX167" s="4550"/>
      <c r="CY167" s="4550"/>
      <c r="CZ167" s="4550"/>
      <c r="DA167" s="4550"/>
      <c r="DB167" s="4550"/>
      <c r="DC167" s="4550"/>
      <c r="DD167" s="4550"/>
      <c r="DE167" s="4550"/>
      <c r="DF167" s="4550"/>
      <c r="DG167" s="4550"/>
      <c r="DH167" s="4550"/>
      <c r="DI167" s="4550"/>
      <c r="DJ167" s="4550"/>
      <c r="DK167" s="4550"/>
      <c r="DL167" s="4550"/>
      <c r="DM167" s="4550"/>
      <c r="DN167" s="4550"/>
      <c r="DO167" s="4550"/>
      <c r="DP167" s="4550"/>
      <c r="DQ167" s="4550"/>
      <c r="DR167" s="4550"/>
      <c r="DS167" s="4550"/>
      <c r="DT167" s="4550"/>
      <c r="DU167" s="4550"/>
      <c r="DV167" s="4550"/>
      <c r="DW167" s="4550"/>
      <c r="DX167" s="4550"/>
      <c r="DY167" s="4550"/>
      <c r="DZ167" s="4550"/>
      <c r="EA167" s="4550"/>
      <c r="EB167" s="4550"/>
      <c r="EC167" s="4550"/>
      <c r="ED167" s="4550"/>
      <c r="EE167" s="4550"/>
      <c r="EF167" s="4550"/>
      <c r="EG167" s="4550"/>
      <c r="EH167" s="4550"/>
      <c r="EI167" s="4550"/>
      <c r="EJ167" s="4550"/>
      <c r="EK167" s="4550"/>
      <c r="EL167" s="4550"/>
      <c r="EM167" s="4550"/>
      <c r="EN167" s="4550"/>
      <c r="EO167" s="4550"/>
      <c r="EP167" s="4550"/>
      <c r="EQ167" s="4550"/>
      <c r="ER167" s="4550"/>
      <c r="ES167" s="4550"/>
      <c r="ET167" s="4550"/>
      <c r="EU167" s="4550"/>
      <c r="EV167" s="4550"/>
      <c r="EW167" s="4550"/>
      <c r="EX167" s="4550"/>
      <c r="EY167" s="4550"/>
      <c r="EZ167" s="4550"/>
      <c r="FA167" s="4550"/>
      <c r="FB167" s="4550"/>
      <c r="FC167" s="4550"/>
      <c r="FD167" s="4550"/>
      <c r="FE167" s="4550"/>
      <c r="FF167" s="4550"/>
      <c r="FG167" s="4550"/>
      <c r="FH167" s="4550"/>
      <c r="FI167" s="4550"/>
      <c r="FJ167" s="4550"/>
      <c r="FK167" s="4550"/>
      <c r="FL167" s="4550"/>
      <c r="FM167" s="4550"/>
      <c r="FN167" s="4550"/>
      <c r="FO167" s="4550"/>
      <c r="FP167" s="4550"/>
      <c r="FQ167" s="4550"/>
      <c r="FR167" s="4550"/>
      <c r="FS167" s="4550"/>
      <c r="FT167" s="4550"/>
      <c r="FU167" s="4550"/>
      <c r="FV167" s="4550"/>
      <c r="FW167" s="4550"/>
      <c r="FX167" s="4550"/>
      <c r="FY167" s="4550"/>
      <c r="FZ167" s="4550"/>
      <c r="GA167" s="4550"/>
      <c r="GB167" s="4550"/>
      <c r="GC167" s="4550"/>
      <c r="GD167" s="4550"/>
      <c r="GE167" s="4550"/>
      <c r="GF167" s="4550"/>
      <c r="GG167" s="4550"/>
      <c r="GH167" s="4550"/>
      <c r="GI167" s="4550"/>
      <c r="GJ167" s="4550"/>
      <c r="GK167" s="4550"/>
      <c r="GL167" s="4550"/>
      <c r="GM167" s="4550"/>
      <c r="GN167" s="4550"/>
      <c r="GO167" s="4550"/>
      <c r="GP167" s="4550"/>
      <c r="GQ167" s="4550"/>
      <c r="GR167" s="4550"/>
      <c r="GS167" s="4550"/>
      <c r="GT167" s="4550"/>
      <c r="GU167" s="4550"/>
      <c r="GV167" s="4550"/>
      <c r="GW167" s="4550"/>
      <c r="GX167" s="4550"/>
      <c r="GY167" s="4550"/>
      <c r="GZ167" s="4550"/>
      <c r="HA167" s="4550"/>
      <c r="HB167" s="4550"/>
      <c r="HC167" s="4550"/>
      <c r="HD167" s="4550"/>
      <c r="HE167" s="4550"/>
      <c r="HF167" s="4550"/>
      <c r="HG167" s="4550"/>
      <c r="HH167" s="4550"/>
      <c r="HI167" s="4550"/>
      <c r="HJ167" s="4550"/>
      <c r="HK167" s="4550"/>
      <c r="HL167" s="4550"/>
      <c r="HM167" s="4550"/>
      <c r="HN167" s="4550"/>
      <c r="HO167" s="4550"/>
      <c r="HP167" s="4550"/>
      <c r="HQ167" s="4550"/>
      <c r="HR167" s="4550"/>
      <c r="HS167" s="4550"/>
      <c r="HT167" s="4550"/>
      <c r="HU167" s="4550"/>
      <c r="HV167" s="4550"/>
      <c r="HW167" s="4550"/>
      <c r="HX167" s="4550"/>
      <c r="HY167" s="4550"/>
      <c r="HZ167" s="4550"/>
      <c r="IA167" s="4550"/>
      <c r="IB167" s="4550"/>
      <c r="IC167" s="4550"/>
      <c r="ID167" s="4550"/>
      <c r="IE167" s="4550"/>
    </row>
    <row r="168" spans="1:239" s="4549" customFormat="1" ht="15">
      <c r="A168" s="4747">
        <v>4.2</v>
      </c>
      <c r="B168" s="4728" t="s">
        <v>4133</v>
      </c>
      <c r="C168" s="4592">
        <v>22.69</v>
      </c>
      <c r="D168" s="4595" t="s">
        <v>4625</v>
      </c>
      <c r="E168" s="4987"/>
      <c r="F168" s="4594">
        <f>ROUND(C168*E168,2)</f>
        <v>0</v>
      </c>
      <c r="G168" s="4537"/>
      <c r="H168" s="4537"/>
      <c r="I168" s="4537"/>
      <c r="J168" s="4537"/>
      <c r="K168" s="4537"/>
      <c r="L168" s="4537"/>
      <c r="M168" s="4537"/>
      <c r="N168" s="4537"/>
      <c r="O168" s="4537"/>
      <c r="P168" s="4537"/>
      <c r="Q168" s="4537"/>
      <c r="R168" s="4537"/>
      <c r="S168" s="4537"/>
      <c r="T168" s="4537"/>
      <c r="U168" s="4537"/>
      <c r="V168" s="4537"/>
      <c r="W168" s="4537"/>
      <c r="X168" s="4537"/>
      <c r="Y168" s="4537"/>
      <c r="Z168" s="4537"/>
      <c r="AA168" s="4537"/>
      <c r="AB168" s="4537"/>
      <c r="AC168" s="4537"/>
      <c r="AD168" s="4537"/>
      <c r="AE168" s="4537"/>
      <c r="AF168" s="4537"/>
      <c r="AG168" s="4537"/>
      <c r="AH168" s="4537"/>
      <c r="AI168" s="4537"/>
      <c r="AJ168" s="4537"/>
      <c r="AK168" s="4537"/>
      <c r="AL168" s="4537"/>
      <c r="AM168" s="4537"/>
      <c r="AN168" s="4537"/>
      <c r="AO168" s="4537"/>
      <c r="AP168" s="4537"/>
      <c r="AQ168" s="4537"/>
      <c r="AR168" s="4537"/>
      <c r="AS168" s="4550"/>
      <c r="AT168" s="4550"/>
      <c r="AU168" s="4550"/>
      <c r="AV168" s="4550"/>
      <c r="AW168" s="4550"/>
      <c r="AX168" s="4550"/>
      <c r="AY168" s="4550"/>
      <c r="AZ168" s="4550"/>
      <c r="BA168" s="4550"/>
      <c r="BB168" s="4550"/>
      <c r="BC168" s="4550"/>
      <c r="BD168" s="4550"/>
      <c r="BE168" s="4550"/>
      <c r="BF168" s="4550"/>
      <c r="BG168" s="4550"/>
      <c r="BH168" s="4550"/>
      <c r="BI168" s="4550"/>
      <c r="BJ168" s="4550"/>
      <c r="BK168" s="4550"/>
      <c r="BL168" s="4550"/>
      <c r="BM168" s="4550"/>
      <c r="BN168" s="4550"/>
      <c r="BO168" s="4550"/>
      <c r="BP168" s="4550"/>
      <c r="BQ168" s="4550"/>
      <c r="BR168" s="4550"/>
      <c r="BS168" s="4550"/>
      <c r="BT168" s="4550"/>
      <c r="BU168" s="4550"/>
      <c r="BV168" s="4550"/>
      <c r="BW168" s="4550"/>
      <c r="BX168" s="4550"/>
      <c r="BY168" s="4550"/>
      <c r="BZ168" s="4550"/>
      <c r="CA168" s="4550"/>
      <c r="CB168" s="4550"/>
      <c r="CC168" s="4550"/>
      <c r="CD168" s="4550"/>
      <c r="CE168" s="4550"/>
      <c r="CF168" s="4550"/>
      <c r="CG168" s="4550"/>
      <c r="CH168" s="4550"/>
      <c r="CI168" s="4550"/>
      <c r="CJ168" s="4550"/>
      <c r="CK168" s="4550"/>
      <c r="CL168" s="4550"/>
      <c r="CM168" s="4550"/>
      <c r="CN168" s="4550"/>
      <c r="CO168" s="4550"/>
      <c r="CP168" s="4550"/>
      <c r="CQ168" s="4550"/>
      <c r="CR168" s="4550"/>
      <c r="CS168" s="4550"/>
      <c r="CT168" s="4550"/>
      <c r="CU168" s="4550"/>
      <c r="CV168" s="4550"/>
      <c r="CW168" s="4550"/>
      <c r="CX168" s="4550"/>
      <c r="CY168" s="4550"/>
      <c r="CZ168" s="4550"/>
      <c r="DA168" s="4550"/>
      <c r="DB168" s="4550"/>
      <c r="DC168" s="4550"/>
      <c r="DD168" s="4550"/>
      <c r="DE168" s="4550"/>
      <c r="DF168" s="4550"/>
      <c r="DG168" s="4550"/>
      <c r="DH168" s="4550"/>
      <c r="DI168" s="4550"/>
      <c r="DJ168" s="4550"/>
      <c r="DK168" s="4550"/>
      <c r="DL168" s="4550"/>
      <c r="DM168" s="4550"/>
      <c r="DN168" s="4550"/>
      <c r="DO168" s="4550"/>
      <c r="DP168" s="4550"/>
      <c r="DQ168" s="4550"/>
      <c r="DR168" s="4550"/>
      <c r="DS168" s="4550"/>
      <c r="DT168" s="4550"/>
      <c r="DU168" s="4550"/>
      <c r="DV168" s="4550"/>
      <c r="DW168" s="4550"/>
      <c r="DX168" s="4550"/>
      <c r="DY168" s="4550"/>
      <c r="DZ168" s="4550"/>
      <c r="EA168" s="4550"/>
      <c r="EB168" s="4550"/>
      <c r="EC168" s="4550"/>
      <c r="ED168" s="4550"/>
      <c r="EE168" s="4550"/>
      <c r="EF168" s="4550"/>
      <c r="EG168" s="4550"/>
      <c r="EH168" s="4550"/>
      <c r="EI168" s="4550"/>
      <c r="EJ168" s="4550"/>
      <c r="EK168" s="4550"/>
      <c r="EL168" s="4550"/>
      <c r="EM168" s="4550"/>
      <c r="EN168" s="4550"/>
      <c r="EO168" s="4550"/>
      <c r="EP168" s="4550"/>
      <c r="EQ168" s="4550"/>
      <c r="ER168" s="4550"/>
      <c r="ES168" s="4550"/>
      <c r="ET168" s="4550"/>
      <c r="EU168" s="4550"/>
      <c r="EV168" s="4550"/>
      <c r="EW168" s="4550"/>
      <c r="EX168" s="4550"/>
      <c r="EY168" s="4550"/>
      <c r="EZ168" s="4550"/>
      <c r="FA168" s="4550"/>
      <c r="FB168" s="4550"/>
      <c r="FC168" s="4550"/>
      <c r="FD168" s="4550"/>
      <c r="FE168" s="4550"/>
      <c r="FF168" s="4550"/>
      <c r="FG168" s="4550"/>
      <c r="FH168" s="4550"/>
      <c r="FI168" s="4550"/>
      <c r="FJ168" s="4550"/>
      <c r="FK168" s="4550"/>
      <c r="FL168" s="4550"/>
      <c r="FM168" s="4550"/>
      <c r="FN168" s="4550"/>
      <c r="FO168" s="4550"/>
      <c r="FP168" s="4550"/>
      <c r="FQ168" s="4550"/>
      <c r="FR168" s="4550"/>
      <c r="FS168" s="4550"/>
      <c r="FT168" s="4550"/>
      <c r="FU168" s="4550"/>
      <c r="FV168" s="4550"/>
      <c r="FW168" s="4550"/>
      <c r="FX168" s="4550"/>
      <c r="FY168" s="4550"/>
      <c r="FZ168" s="4550"/>
      <c r="GA168" s="4550"/>
      <c r="GB168" s="4550"/>
      <c r="GC168" s="4550"/>
      <c r="GD168" s="4550"/>
      <c r="GE168" s="4550"/>
      <c r="GF168" s="4550"/>
      <c r="GG168" s="4550"/>
      <c r="GH168" s="4550"/>
      <c r="GI168" s="4550"/>
      <c r="GJ168" s="4550"/>
      <c r="GK168" s="4550"/>
      <c r="GL168" s="4550"/>
      <c r="GM168" s="4550"/>
      <c r="GN168" s="4550"/>
      <c r="GO168" s="4550"/>
      <c r="GP168" s="4550"/>
      <c r="GQ168" s="4550"/>
      <c r="GR168" s="4550"/>
      <c r="GS168" s="4550"/>
      <c r="GT168" s="4550"/>
      <c r="GU168" s="4550"/>
      <c r="GV168" s="4550"/>
      <c r="GW168" s="4550"/>
      <c r="GX168" s="4550"/>
      <c r="GY168" s="4550"/>
      <c r="GZ168" s="4550"/>
      <c r="HA168" s="4550"/>
      <c r="HB168" s="4550"/>
      <c r="HC168" s="4550"/>
      <c r="HD168" s="4550"/>
      <c r="HE168" s="4550"/>
      <c r="HF168" s="4550"/>
      <c r="HG168" s="4550"/>
      <c r="HH168" s="4550"/>
      <c r="HI168" s="4550"/>
      <c r="HJ168" s="4550"/>
      <c r="HK168" s="4550"/>
      <c r="HL168" s="4550"/>
      <c r="HM168" s="4550"/>
      <c r="HN168" s="4550"/>
      <c r="HO168" s="4550"/>
      <c r="HP168" s="4550"/>
      <c r="HQ168" s="4550"/>
      <c r="HR168" s="4550"/>
      <c r="HS168" s="4550"/>
      <c r="HT168" s="4550"/>
      <c r="HU168" s="4550"/>
      <c r="HV168" s="4550"/>
      <c r="HW168" s="4550"/>
      <c r="HX168" s="4550"/>
      <c r="HY168" s="4550"/>
      <c r="HZ168" s="4550"/>
      <c r="IA168" s="4550"/>
      <c r="IB168" s="4550"/>
      <c r="IC168" s="4550"/>
      <c r="ID168" s="4550"/>
      <c r="IE168" s="4550"/>
    </row>
    <row r="169" spans="1:239" s="4549" customFormat="1" ht="15">
      <c r="A169" s="4747">
        <v>4.3</v>
      </c>
      <c r="B169" s="4728" t="s">
        <v>4134</v>
      </c>
      <c r="C169" s="4592">
        <v>1.62</v>
      </c>
      <c r="D169" s="4595" t="s">
        <v>4625</v>
      </c>
      <c r="E169" s="4987"/>
      <c r="F169" s="4594">
        <f>ROUND(C169*E169,2)</f>
        <v>0</v>
      </c>
      <c r="G169" s="4537"/>
      <c r="H169" s="4537"/>
      <c r="I169" s="4537"/>
      <c r="J169" s="4537"/>
      <c r="K169" s="4537"/>
      <c r="L169" s="4537"/>
      <c r="M169" s="4537"/>
      <c r="N169" s="4537"/>
      <c r="O169" s="4537"/>
      <c r="P169" s="4537"/>
      <c r="Q169" s="4537"/>
      <c r="R169" s="4537"/>
      <c r="S169" s="4537"/>
      <c r="T169" s="4537"/>
      <c r="U169" s="4537"/>
      <c r="V169" s="4537"/>
      <c r="W169" s="4537"/>
      <c r="X169" s="4537"/>
      <c r="Y169" s="4537"/>
      <c r="Z169" s="4537"/>
      <c r="AA169" s="4537"/>
      <c r="AB169" s="4537"/>
      <c r="AC169" s="4537"/>
      <c r="AD169" s="4537"/>
      <c r="AE169" s="4537"/>
      <c r="AF169" s="4537"/>
      <c r="AG169" s="4537"/>
      <c r="AH169" s="4537"/>
      <c r="AI169" s="4537"/>
      <c r="AJ169" s="4537"/>
      <c r="AK169" s="4537"/>
      <c r="AL169" s="4537"/>
      <c r="AM169" s="4537"/>
      <c r="AN169" s="4537"/>
      <c r="AO169" s="4537"/>
      <c r="AP169" s="4537"/>
      <c r="AQ169" s="4537"/>
      <c r="AR169" s="4537"/>
      <c r="AS169" s="4550"/>
      <c r="AT169" s="4550"/>
      <c r="AU169" s="4550"/>
      <c r="AV169" s="4550"/>
      <c r="AW169" s="4550"/>
      <c r="AX169" s="4550"/>
      <c r="AY169" s="4550"/>
      <c r="AZ169" s="4550"/>
      <c r="BA169" s="4550"/>
      <c r="BB169" s="4550"/>
      <c r="BC169" s="4550"/>
      <c r="BD169" s="4550"/>
      <c r="BE169" s="4550"/>
      <c r="BF169" s="4550"/>
      <c r="BG169" s="4550"/>
      <c r="BH169" s="4550"/>
      <c r="BI169" s="4550"/>
      <c r="BJ169" s="4550"/>
      <c r="BK169" s="4550"/>
      <c r="BL169" s="4550"/>
      <c r="BM169" s="4550"/>
      <c r="BN169" s="4550"/>
      <c r="BO169" s="4550"/>
      <c r="BP169" s="4550"/>
      <c r="BQ169" s="4550"/>
      <c r="BR169" s="4550"/>
      <c r="BS169" s="4550"/>
      <c r="BT169" s="4550"/>
      <c r="BU169" s="4550"/>
      <c r="BV169" s="4550"/>
      <c r="BW169" s="4550"/>
      <c r="BX169" s="4550"/>
      <c r="BY169" s="4550"/>
      <c r="BZ169" s="4550"/>
      <c r="CA169" s="4550"/>
      <c r="CB169" s="4550"/>
      <c r="CC169" s="4550"/>
      <c r="CD169" s="4550"/>
      <c r="CE169" s="4550"/>
      <c r="CF169" s="4550"/>
      <c r="CG169" s="4550"/>
      <c r="CH169" s="4550"/>
      <c r="CI169" s="4550"/>
      <c r="CJ169" s="4550"/>
      <c r="CK169" s="4550"/>
      <c r="CL169" s="4550"/>
      <c r="CM169" s="4550"/>
      <c r="CN169" s="4550"/>
      <c r="CO169" s="4550"/>
      <c r="CP169" s="4550"/>
      <c r="CQ169" s="4550"/>
      <c r="CR169" s="4550"/>
      <c r="CS169" s="4550"/>
      <c r="CT169" s="4550"/>
      <c r="CU169" s="4550"/>
      <c r="CV169" s="4550"/>
      <c r="CW169" s="4550"/>
      <c r="CX169" s="4550"/>
      <c r="CY169" s="4550"/>
      <c r="CZ169" s="4550"/>
      <c r="DA169" s="4550"/>
      <c r="DB169" s="4550"/>
      <c r="DC169" s="4550"/>
      <c r="DD169" s="4550"/>
      <c r="DE169" s="4550"/>
      <c r="DF169" s="4550"/>
      <c r="DG169" s="4550"/>
      <c r="DH169" s="4550"/>
      <c r="DI169" s="4550"/>
      <c r="DJ169" s="4550"/>
      <c r="DK169" s="4550"/>
      <c r="DL169" s="4550"/>
      <c r="DM169" s="4550"/>
      <c r="DN169" s="4550"/>
      <c r="DO169" s="4550"/>
      <c r="DP169" s="4550"/>
      <c r="DQ169" s="4550"/>
      <c r="DR169" s="4550"/>
      <c r="DS169" s="4550"/>
      <c r="DT169" s="4550"/>
      <c r="DU169" s="4550"/>
      <c r="DV169" s="4550"/>
      <c r="DW169" s="4550"/>
      <c r="DX169" s="4550"/>
      <c r="DY169" s="4550"/>
      <c r="DZ169" s="4550"/>
      <c r="EA169" s="4550"/>
      <c r="EB169" s="4550"/>
      <c r="EC169" s="4550"/>
      <c r="ED169" s="4550"/>
      <c r="EE169" s="4550"/>
      <c r="EF169" s="4550"/>
      <c r="EG169" s="4550"/>
      <c r="EH169" s="4550"/>
      <c r="EI169" s="4550"/>
      <c r="EJ169" s="4550"/>
      <c r="EK169" s="4550"/>
      <c r="EL169" s="4550"/>
      <c r="EM169" s="4550"/>
      <c r="EN169" s="4550"/>
      <c r="EO169" s="4550"/>
      <c r="EP169" s="4550"/>
      <c r="EQ169" s="4550"/>
      <c r="ER169" s="4550"/>
      <c r="ES169" s="4550"/>
      <c r="ET169" s="4550"/>
      <c r="EU169" s="4550"/>
      <c r="EV169" s="4550"/>
      <c r="EW169" s="4550"/>
      <c r="EX169" s="4550"/>
      <c r="EY169" s="4550"/>
      <c r="EZ169" s="4550"/>
      <c r="FA169" s="4550"/>
      <c r="FB169" s="4550"/>
      <c r="FC169" s="4550"/>
      <c r="FD169" s="4550"/>
      <c r="FE169" s="4550"/>
      <c r="FF169" s="4550"/>
      <c r="FG169" s="4550"/>
      <c r="FH169" s="4550"/>
      <c r="FI169" s="4550"/>
      <c r="FJ169" s="4550"/>
      <c r="FK169" s="4550"/>
      <c r="FL169" s="4550"/>
      <c r="FM169" s="4550"/>
      <c r="FN169" s="4550"/>
      <c r="FO169" s="4550"/>
      <c r="FP169" s="4550"/>
      <c r="FQ169" s="4550"/>
      <c r="FR169" s="4550"/>
      <c r="FS169" s="4550"/>
      <c r="FT169" s="4550"/>
      <c r="FU169" s="4550"/>
      <c r="FV169" s="4550"/>
      <c r="FW169" s="4550"/>
      <c r="FX169" s="4550"/>
      <c r="FY169" s="4550"/>
      <c r="FZ169" s="4550"/>
      <c r="GA169" s="4550"/>
      <c r="GB169" s="4550"/>
      <c r="GC169" s="4550"/>
      <c r="GD169" s="4550"/>
      <c r="GE169" s="4550"/>
      <c r="GF169" s="4550"/>
      <c r="GG169" s="4550"/>
      <c r="GH169" s="4550"/>
      <c r="GI169" s="4550"/>
      <c r="GJ169" s="4550"/>
      <c r="GK169" s="4550"/>
      <c r="GL169" s="4550"/>
      <c r="GM169" s="4550"/>
      <c r="GN169" s="4550"/>
      <c r="GO169" s="4550"/>
      <c r="GP169" s="4550"/>
      <c r="GQ169" s="4550"/>
      <c r="GR169" s="4550"/>
      <c r="GS169" s="4550"/>
      <c r="GT169" s="4550"/>
      <c r="GU169" s="4550"/>
      <c r="GV169" s="4550"/>
      <c r="GW169" s="4550"/>
      <c r="GX169" s="4550"/>
      <c r="GY169" s="4550"/>
      <c r="GZ169" s="4550"/>
      <c r="HA169" s="4550"/>
      <c r="HB169" s="4550"/>
      <c r="HC169" s="4550"/>
      <c r="HD169" s="4550"/>
      <c r="HE169" s="4550"/>
      <c r="HF169" s="4550"/>
      <c r="HG169" s="4550"/>
      <c r="HH169" s="4550"/>
      <c r="HI169" s="4550"/>
      <c r="HJ169" s="4550"/>
      <c r="HK169" s="4550"/>
      <c r="HL169" s="4550"/>
      <c r="HM169" s="4550"/>
      <c r="HN169" s="4550"/>
      <c r="HO169" s="4550"/>
      <c r="HP169" s="4550"/>
      <c r="HQ169" s="4550"/>
      <c r="HR169" s="4550"/>
      <c r="HS169" s="4550"/>
      <c r="HT169" s="4550"/>
      <c r="HU169" s="4550"/>
      <c r="HV169" s="4550"/>
      <c r="HW169" s="4550"/>
      <c r="HX169" s="4550"/>
      <c r="HY169" s="4550"/>
      <c r="HZ169" s="4550"/>
      <c r="IA169" s="4550"/>
      <c r="IB169" s="4550"/>
      <c r="IC169" s="4550"/>
      <c r="ID169" s="4550"/>
      <c r="IE169" s="4550"/>
    </row>
    <row r="170" spans="1:239" s="4549" customFormat="1" ht="15">
      <c r="A170" s="4748"/>
      <c r="B170" s="4532"/>
      <c r="C170" s="4592"/>
      <c r="D170" s="4593"/>
      <c r="E170" s="4987"/>
      <c r="F170" s="4594"/>
      <c r="G170" s="4537"/>
      <c r="H170" s="4537"/>
      <c r="I170" s="4537"/>
      <c r="J170" s="4537"/>
      <c r="K170" s="4537"/>
      <c r="L170" s="4537"/>
      <c r="M170" s="4537"/>
      <c r="N170" s="4537"/>
      <c r="O170" s="4537"/>
      <c r="P170" s="4537"/>
      <c r="Q170" s="4537"/>
      <c r="R170" s="4537"/>
      <c r="S170" s="4537"/>
      <c r="T170" s="4537"/>
      <c r="U170" s="4537"/>
      <c r="V170" s="4537"/>
      <c r="W170" s="4537"/>
      <c r="X170" s="4537"/>
      <c r="Y170" s="4537"/>
      <c r="Z170" s="4537"/>
      <c r="AA170" s="4537"/>
      <c r="AB170" s="4537"/>
      <c r="AC170" s="4537"/>
      <c r="AD170" s="4537"/>
      <c r="AE170" s="4537"/>
      <c r="AF170" s="4537"/>
      <c r="AG170" s="4537"/>
      <c r="AH170" s="4537"/>
      <c r="AI170" s="4537"/>
      <c r="AJ170" s="4537"/>
      <c r="AK170" s="4537"/>
      <c r="AL170" s="4537"/>
      <c r="AM170" s="4537"/>
      <c r="AN170" s="4537"/>
      <c r="AO170" s="4537"/>
      <c r="AP170" s="4537"/>
      <c r="AQ170" s="4537"/>
      <c r="AR170" s="4537"/>
      <c r="AS170" s="4550"/>
      <c r="AT170" s="4550"/>
      <c r="AU170" s="4550"/>
      <c r="AV170" s="4550"/>
      <c r="AW170" s="4550"/>
      <c r="AX170" s="4550"/>
      <c r="AY170" s="4550"/>
      <c r="AZ170" s="4550"/>
      <c r="BA170" s="4550"/>
      <c r="BB170" s="4550"/>
      <c r="BC170" s="4550"/>
      <c r="BD170" s="4550"/>
      <c r="BE170" s="4550"/>
      <c r="BF170" s="4550"/>
      <c r="BG170" s="4550"/>
      <c r="BH170" s="4550"/>
      <c r="BI170" s="4550"/>
      <c r="BJ170" s="4550"/>
      <c r="BK170" s="4550"/>
      <c r="BL170" s="4550"/>
      <c r="BM170" s="4550"/>
      <c r="BN170" s="4550"/>
      <c r="BO170" s="4550"/>
      <c r="BP170" s="4550"/>
      <c r="BQ170" s="4550"/>
      <c r="BR170" s="4550"/>
      <c r="BS170" s="4550"/>
      <c r="BT170" s="4550"/>
      <c r="BU170" s="4550"/>
      <c r="BV170" s="4550"/>
      <c r="BW170" s="4550"/>
      <c r="BX170" s="4550"/>
      <c r="BY170" s="4550"/>
      <c r="BZ170" s="4550"/>
      <c r="CA170" s="4550"/>
      <c r="CB170" s="4550"/>
      <c r="CC170" s="4550"/>
      <c r="CD170" s="4550"/>
      <c r="CE170" s="4550"/>
      <c r="CF170" s="4550"/>
      <c r="CG170" s="4550"/>
      <c r="CH170" s="4550"/>
      <c r="CI170" s="4550"/>
      <c r="CJ170" s="4550"/>
      <c r="CK170" s="4550"/>
      <c r="CL170" s="4550"/>
      <c r="CM170" s="4550"/>
      <c r="CN170" s="4550"/>
      <c r="CO170" s="4550"/>
      <c r="CP170" s="4550"/>
      <c r="CQ170" s="4550"/>
      <c r="CR170" s="4550"/>
      <c r="CS170" s="4550"/>
      <c r="CT170" s="4550"/>
      <c r="CU170" s="4550"/>
      <c r="CV170" s="4550"/>
      <c r="CW170" s="4550"/>
      <c r="CX170" s="4550"/>
      <c r="CY170" s="4550"/>
      <c r="CZ170" s="4550"/>
      <c r="DA170" s="4550"/>
      <c r="DB170" s="4550"/>
      <c r="DC170" s="4550"/>
      <c r="DD170" s="4550"/>
      <c r="DE170" s="4550"/>
      <c r="DF170" s="4550"/>
      <c r="DG170" s="4550"/>
      <c r="DH170" s="4550"/>
      <c r="DI170" s="4550"/>
      <c r="DJ170" s="4550"/>
      <c r="DK170" s="4550"/>
      <c r="DL170" s="4550"/>
      <c r="DM170" s="4550"/>
      <c r="DN170" s="4550"/>
      <c r="DO170" s="4550"/>
      <c r="DP170" s="4550"/>
      <c r="DQ170" s="4550"/>
      <c r="DR170" s="4550"/>
      <c r="DS170" s="4550"/>
      <c r="DT170" s="4550"/>
      <c r="DU170" s="4550"/>
      <c r="DV170" s="4550"/>
      <c r="DW170" s="4550"/>
      <c r="DX170" s="4550"/>
      <c r="DY170" s="4550"/>
      <c r="DZ170" s="4550"/>
      <c r="EA170" s="4550"/>
      <c r="EB170" s="4550"/>
      <c r="EC170" s="4550"/>
      <c r="ED170" s="4550"/>
      <c r="EE170" s="4550"/>
      <c r="EF170" s="4550"/>
      <c r="EG170" s="4550"/>
      <c r="EH170" s="4550"/>
      <c r="EI170" s="4550"/>
      <c r="EJ170" s="4550"/>
      <c r="EK170" s="4550"/>
      <c r="EL170" s="4550"/>
      <c r="EM170" s="4550"/>
      <c r="EN170" s="4550"/>
      <c r="EO170" s="4550"/>
      <c r="EP170" s="4550"/>
      <c r="EQ170" s="4550"/>
      <c r="ER170" s="4550"/>
      <c r="ES170" s="4550"/>
      <c r="ET170" s="4550"/>
      <c r="EU170" s="4550"/>
      <c r="EV170" s="4550"/>
      <c r="EW170" s="4550"/>
      <c r="EX170" s="4550"/>
      <c r="EY170" s="4550"/>
      <c r="EZ170" s="4550"/>
      <c r="FA170" s="4550"/>
      <c r="FB170" s="4550"/>
      <c r="FC170" s="4550"/>
      <c r="FD170" s="4550"/>
      <c r="FE170" s="4550"/>
      <c r="FF170" s="4550"/>
      <c r="FG170" s="4550"/>
      <c r="FH170" s="4550"/>
      <c r="FI170" s="4550"/>
      <c r="FJ170" s="4550"/>
      <c r="FK170" s="4550"/>
      <c r="FL170" s="4550"/>
      <c r="FM170" s="4550"/>
      <c r="FN170" s="4550"/>
      <c r="FO170" s="4550"/>
      <c r="FP170" s="4550"/>
      <c r="FQ170" s="4550"/>
      <c r="FR170" s="4550"/>
      <c r="FS170" s="4550"/>
      <c r="FT170" s="4550"/>
      <c r="FU170" s="4550"/>
      <c r="FV170" s="4550"/>
      <c r="FW170" s="4550"/>
      <c r="FX170" s="4550"/>
      <c r="FY170" s="4550"/>
      <c r="FZ170" s="4550"/>
      <c r="GA170" s="4550"/>
      <c r="GB170" s="4550"/>
      <c r="GC170" s="4550"/>
      <c r="GD170" s="4550"/>
      <c r="GE170" s="4550"/>
      <c r="GF170" s="4550"/>
      <c r="GG170" s="4550"/>
      <c r="GH170" s="4550"/>
      <c r="GI170" s="4550"/>
      <c r="GJ170" s="4550"/>
      <c r="GK170" s="4550"/>
      <c r="GL170" s="4550"/>
      <c r="GM170" s="4550"/>
      <c r="GN170" s="4550"/>
      <c r="GO170" s="4550"/>
      <c r="GP170" s="4550"/>
      <c r="GQ170" s="4550"/>
      <c r="GR170" s="4550"/>
      <c r="GS170" s="4550"/>
      <c r="GT170" s="4550"/>
      <c r="GU170" s="4550"/>
      <c r="GV170" s="4550"/>
      <c r="GW170" s="4550"/>
      <c r="GX170" s="4550"/>
      <c r="GY170" s="4550"/>
      <c r="GZ170" s="4550"/>
      <c r="HA170" s="4550"/>
      <c r="HB170" s="4550"/>
      <c r="HC170" s="4550"/>
      <c r="HD170" s="4550"/>
      <c r="HE170" s="4550"/>
      <c r="HF170" s="4550"/>
      <c r="HG170" s="4550"/>
      <c r="HH170" s="4550"/>
      <c r="HI170" s="4550"/>
      <c r="HJ170" s="4550"/>
      <c r="HK170" s="4550"/>
      <c r="HL170" s="4550"/>
      <c r="HM170" s="4550"/>
      <c r="HN170" s="4550"/>
      <c r="HO170" s="4550"/>
      <c r="HP170" s="4550"/>
      <c r="HQ170" s="4550"/>
      <c r="HR170" s="4550"/>
      <c r="HS170" s="4550"/>
      <c r="HT170" s="4550"/>
      <c r="HU170" s="4550"/>
      <c r="HV170" s="4550"/>
      <c r="HW170" s="4550"/>
      <c r="HX170" s="4550"/>
      <c r="HY170" s="4550"/>
      <c r="HZ170" s="4550"/>
      <c r="IA170" s="4550"/>
      <c r="IB170" s="4550"/>
      <c r="IC170" s="4550"/>
      <c r="ID170" s="4550"/>
      <c r="IE170" s="4550"/>
    </row>
    <row r="171" spans="1:239" s="4549" customFormat="1" ht="15">
      <c r="A171" s="4745">
        <v>5</v>
      </c>
      <c r="B171" s="4610" t="s">
        <v>787</v>
      </c>
      <c r="C171" s="4592"/>
      <c r="D171" s="4593"/>
      <c r="E171" s="4988"/>
      <c r="F171" s="4594"/>
      <c r="G171" s="4537"/>
      <c r="H171" s="4537"/>
      <c r="I171" s="4537"/>
      <c r="J171" s="4537"/>
      <c r="K171" s="4537"/>
      <c r="L171" s="4537"/>
      <c r="M171" s="4537"/>
      <c r="N171" s="4537"/>
      <c r="O171" s="4537"/>
      <c r="P171" s="4537"/>
      <c r="Q171" s="4537"/>
      <c r="R171" s="4537"/>
      <c r="S171" s="4537"/>
      <c r="T171" s="4537"/>
      <c r="U171" s="4537"/>
      <c r="V171" s="4537"/>
      <c r="W171" s="4537"/>
      <c r="X171" s="4537"/>
      <c r="Y171" s="4537"/>
      <c r="Z171" s="4537"/>
      <c r="AA171" s="4537"/>
      <c r="AB171" s="4537"/>
      <c r="AC171" s="4537"/>
      <c r="AD171" s="4537"/>
      <c r="AE171" s="4537"/>
      <c r="AF171" s="4537"/>
      <c r="AG171" s="4537"/>
      <c r="AH171" s="4537"/>
      <c r="AI171" s="4537"/>
      <c r="AJ171" s="4537"/>
      <c r="AK171" s="4537"/>
      <c r="AL171" s="4537"/>
      <c r="AM171" s="4537"/>
      <c r="AN171" s="4537"/>
      <c r="AO171" s="4537"/>
      <c r="AP171" s="4537"/>
      <c r="AQ171" s="4537"/>
      <c r="AR171" s="4537"/>
      <c r="AS171" s="4550"/>
      <c r="AT171" s="4550"/>
      <c r="AU171" s="4550"/>
      <c r="AV171" s="4550"/>
      <c r="AW171" s="4550"/>
      <c r="AX171" s="4550"/>
      <c r="AY171" s="4550"/>
      <c r="AZ171" s="4550"/>
      <c r="BA171" s="4550"/>
      <c r="BB171" s="4550"/>
      <c r="BC171" s="4550"/>
      <c r="BD171" s="4550"/>
      <c r="BE171" s="4550"/>
      <c r="BF171" s="4550"/>
      <c r="BG171" s="4550"/>
      <c r="BH171" s="4550"/>
      <c r="BI171" s="4550"/>
      <c r="BJ171" s="4550"/>
      <c r="BK171" s="4550"/>
      <c r="BL171" s="4550"/>
      <c r="BM171" s="4550"/>
      <c r="BN171" s="4550"/>
      <c r="BO171" s="4550"/>
      <c r="BP171" s="4550"/>
      <c r="BQ171" s="4550"/>
      <c r="BR171" s="4550"/>
      <c r="BS171" s="4550"/>
      <c r="BT171" s="4550"/>
      <c r="BU171" s="4550"/>
      <c r="BV171" s="4550"/>
      <c r="BW171" s="4550"/>
      <c r="BX171" s="4550"/>
      <c r="BY171" s="4550"/>
      <c r="BZ171" s="4550"/>
      <c r="CA171" s="4550"/>
      <c r="CB171" s="4550"/>
      <c r="CC171" s="4550"/>
      <c r="CD171" s="4550"/>
      <c r="CE171" s="4550"/>
      <c r="CF171" s="4550"/>
      <c r="CG171" s="4550"/>
      <c r="CH171" s="4550"/>
      <c r="CI171" s="4550"/>
      <c r="CJ171" s="4550"/>
      <c r="CK171" s="4550"/>
      <c r="CL171" s="4550"/>
      <c r="CM171" s="4550"/>
      <c r="CN171" s="4550"/>
      <c r="CO171" s="4550"/>
      <c r="CP171" s="4550"/>
      <c r="CQ171" s="4550"/>
      <c r="CR171" s="4550"/>
      <c r="CS171" s="4550"/>
      <c r="CT171" s="4550"/>
      <c r="CU171" s="4550"/>
      <c r="CV171" s="4550"/>
      <c r="CW171" s="4550"/>
      <c r="CX171" s="4550"/>
      <c r="CY171" s="4550"/>
      <c r="CZ171" s="4550"/>
      <c r="DA171" s="4550"/>
      <c r="DB171" s="4550"/>
      <c r="DC171" s="4550"/>
      <c r="DD171" s="4550"/>
      <c r="DE171" s="4550"/>
      <c r="DF171" s="4550"/>
      <c r="DG171" s="4550"/>
      <c r="DH171" s="4550"/>
      <c r="DI171" s="4550"/>
      <c r="DJ171" s="4550"/>
      <c r="DK171" s="4550"/>
      <c r="DL171" s="4550"/>
      <c r="DM171" s="4550"/>
      <c r="DN171" s="4550"/>
      <c r="DO171" s="4550"/>
      <c r="DP171" s="4550"/>
      <c r="DQ171" s="4550"/>
      <c r="DR171" s="4550"/>
      <c r="DS171" s="4550"/>
      <c r="DT171" s="4550"/>
      <c r="DU171" s="4550"/>
      <c r="DV171" s="4550"/>
      <c r="DW171" s="4550"/>
      <c r="DX171" s="4550"/>
      <c r="DY171" s="4550"/>
      <c r="DZ171" s="4550"/>
      <c r="EA171" s="4550"/>
      <c r="EB171" s="4550"/>
      <c r="EC171" s="4550"/>
      <c r="ED171" s="4550"/>
      <c r="EE171" s="4550"/>
      <c r="EF171" s="4550"/>
      <c r="EG171" s="4550"/>
      <c r="EH171" s="4550"/>
      <c r="EI171" s="4550"/>
      <c r="EJ171" s="4550"/>
      <c r="EK171" s="4550"/>
      <c r="EL171" s="4550"/>
      <c r="EM171" s="4550"/>
      <c r="EN171" s="4550"/>
      <c r="EO171" s="4550"/>
      <c r="EP171" s="4550"/>
      <c r="EQ171" s="4550"/>
      <c r="ER171" s="4550"/>
      <c r="ES171" s="4550"/>
      <c r="ET171" s="4550"/>
      <c r="EU171" s="4550"/>
      <c r="EV171" s="4550"/>
      <c r="EW171" s="4550"/>
      <c r="EX171" s="4550"/>
      <c r="EY171" s="4550"/>
      <c r="EZ171" s="4550"/>
      <c r="FA171" s="4550"/>
      <c r="FB171" s="4550"/>
      <c r="FC171" s="4550"/>
      <c r="FD171" s="4550"/>
      <c r="FE171" s="4550"/>
      <c r="FF171" s="4550"/>
      <c r="FG171" s="4550"/>
      <c r="FH171" s="4550"/>
      <c r="FI171" s="4550"/>
      <c r="FJ171" s="4550"/>
      <c r="FK171" s="4550"/>
      <c r="FL171" s="4550"/>
      <c r="FM171" s="4550"/>
      <c r="FN171" s="4550"/>
      <c r="FO171" s="4550"/>
      <c r="FP171" s="4550"/>
      <c r="FQ171" s="4550"/>
      <c r="FR171" s="4550"/>
      <c r="FS171" s="4550"/>
      <c r="FT171" s="4550"/>
      <c r="FU171" s="4550"/>
      <c r="FV171" s="4550"/>
      <c r="FW171" s="4550"/>
      <c r="FX171" s="4550"/>
      <c r="FY171" s="4550"/>
      <c r="FZ171" s="4550"/>
      <c r="GA171" s="4550"/>
      <c r="GB171" s="4550"/>
      <c r="GC171" s="4550"/>
      <c r="GD171" s="4550"/>
      <c r="GE171" s="4550"/>
      <c r="GF171" s="4550"/>
      <c r="GG171" s="4550"/>
      <c r="GH171" s="4550"/>
      <c r="GI171" s="4550"/>
      <c r="GJ171" s="4550"/>
      <c r="GK171" s="4550"/>
      <c r="GL171" s="4550"/>
      <c r="GM171" s="4550"/>
      <c r="GN171" s="4550"/>
      <c r="GO171" s="4550"/>
      <c r="GP171" s="4550"/>
      <c r="GQ171" s="4550"/>
      <c r="GR171" s="4550"/>
      <c r="GS171" s="4550"/>
      <c r="GT171" s="4550"/>
      <c r="GU171" s="4550"/>
      <c r="GV171" s="4550"/>
      <c r="GW171" s="4550"/>
      <c r="GX171" s="4550"/>
      <c r="GY171" s="4550"/>
      <c r="GZ171" s="4550"/>
      <c r="HA171" s="4550"/>
      <c r="HB171" s="4550"/>
      <c r="HC171" s="4550"/>
      <c r="HD171" s="4550"/>
      <c r="HE171" s="4550"/>
      <c r="HF171" s="4550"/>
      <c r="HG171" s="4550"/>
      <c r="HH171" s="4550"/>
      <c r="HI171" s="4550"/>
      <c r="HJ171" s="4550"/>
      <c r="HK171" s="4550"/>
      <c r="HL171" s="4550"/>
      <c r="HM171" s="4550"/>
      <c r="HN171" s="4550"/>
      <c r="HO171" s="4550"/>
      <c r="HP171" s="4550"/>
      <c r="HQ171" s="4550"/>
      <c r="HR171" s="4550"/>
      <c r="HS171" s="4550"/>
      <c r="HT171" s="4550"/>
      <c r="HU171" s="4550"/>
      <c r="HV171" s="4550"/>
      <c r="HW171" s="4550"/>
      <c r="HX171" s="4550"/>
      <c r="HY171" s="4550"/>
      <c r="HZ171" s="4550"/>
      <c r="IA171" s="4550"/>
      <c r="IB171" s="4550"/>
      <c r="IC171" s="4550"/>
      <c r="ID171" s="4550"/>
      <c r="IE171" s="4550"/>
    </row>
    <row r="172" spans="1:239" s="4549" customFormat="1" ht="15">
      <c r="A172" s="4747">
        <v>5.0999999999999996</v>
      </c>
      <c r="B172" s="4728" t="s">
        <v>2568</v>
      </c>
      <c r="C172" s="4592">
        <v>52.43</v>
      </c>
      <c r="D172" s="4595" t="s">
        <v>4625</v>
      </c>
      <c r="E172" s="4987"/>
      <c r="F172" s="4594">
        <f t="shared" ref="F172:F179" si="4">ROUND(C172*E172,2)</f>
        <v>0</v>
      </c>
      <c r="G172" s="4537"/>
      <c r="H172" s="4537"/>
      <c r="I172" s="4537"/>
      <c r="J172" s="4537"/>
      <c r="K172" s="4537"/>
      <c r="L172" s="4537"/>
      <c r="M172" s="4537"/>
      <c r="N172" s="4537"/>
      <c r="O172" s="4537"/>
      <c r="P172" s="4537"/>
      <c r="Q172" s="4537"/>
      <c r="R172" s="4537"/>
      <c r="S172" s="4537"/>
      <c r="T172" s="4537"/>
      <c r="U172" s="4537"/>
      <c r="V172" s="4537"/>
      <c r="W172" s="4537"/>
      <c r="X172" s="4537"/>
      <c r="Y172" s="4537"/>
      <c r="Z172" s="4537"/>
      <c r="AA172" s="4537"/>
      <c r="AB172" s="4537"/>
      <c r="AC172" s="4537"/>
      <c r="AD172" s="4537"/>
      <c r="AE172" s="4537"/>
      <c r="AF172" s="4537"/>
      <c r="AG172" s="4537"/>
      <c r="AH172" s="4537"/>
      <c r="AI172" s="4537"/>
      <c r="AJ172" s="4537"/>
      <c r="AK172" s="4537"/>
      <c r="AL172" s="4537"/>
      <c r="AM172" s="4537"/>
      <c r="AN172" s="4537"/>
      <c r="AO172" s="4537"/>
      <c r="AP172" s="4537"/>
      <c r="AQ172" s="4537"/>
      <c r="AR172" s="4537"/>
      <c r="AS172" s="4550"/>
      <c r="AT172" s="4550"/>
      <c r="AU172" s="4550"/>
      <c r="AV172" s="4550"/>
      <c r="AW172" s="4550"/>
      <c r="AX172" s="4550"/>
      <c r="AY172" s="4550"/>
      <c r="AZ172" s="4550"/>
      <c r="BA172" s="4550"/>
      <c r="BB172" s="4550"/>
      <c r="BC172" s="4550"/>
      <c r="BD172" s="4550"/>
      <c r="BE172" s="4550"/>
      <c r="BF172" s="4550"/>
      <c r="BG172" s="4550"/>
      <c r="BH172" s="4550"/>
      <c r="BI172" s="4550"/>
      <c r="BJ172" s="4550"/>
      <c r="BK172" s="4550"/>
      <c r="BL172" s="4550"/>
      <c r="BM172" s="4550"/>
      <c r="BN172" s="4550"/>
      <c r="BO172" s="4550"/>
      <c r="BP172" s="4550"/>
      <c r="BQ172" s="4550"/>
      <c r="BR172" s="4550"/>
      <c r="BS172" s="4550"/>
      <c r="BT172" s="4550"/>
      <c r="BU172" s="4550"/>
      <c r="BV172" s="4550"/>
      <c r="BW172" s="4550"/>
      <c r="BX172" s="4550"/>
      <c r="BY172" s="4550"/>
      <c r="BZ172" s="4550"/>
      <c r="CA172" s="4550"/>
      <c r="CB172" s="4550"/>
      <c r="CC172" s="4550"/>
      <c r="CD172" s="4550"/>
      <c r="CE172" s="4550"/>
      <c r="CF172" s="4550"/>
      <c r="CG172" s="4550"/>
      <c r="CH172" s="4550"/>
      <c r="CI172" s="4550"/>
      <c r="CJ172" s="4550"/>
      <c r="CK172" s="4550"/>
      <c r="CL172" s="4550"/>
      <c r="CM172" s="4550"/>
      <c r="CN172" s="4550"/>
      <c r="CO172" s="4550"/>
      <c r="CP172" s="4550"/>
      <c r="CQ172" s="4550"/>
      <c r="CR172" s="4550"/>
      <c r="CS172" s="4550"/>
      <c r="CT172" s="4550"/>
      <c r="CU172" s="4550"/>
      <c r="CV172" s="4550"/>
      <c r="CW172" s="4550"/>
      <c r="CX172" s="4550"/>
      <c r="CY172" s="4550"/>
      <c r="CZ172" s="4550"/>
      <c r="DA172" s="4550"/>
      <c r="DB172" s="4550"/>
      <c r="DC172" s="4550"/>
      <c r="DD172" s="4550"/>
      <c r="DE172" s="4550"/>
      <c r="DF172" s="4550"/>
      <c r="DG172" s="4550"/>
      <c r="DH172" s="4550"/>
      <c r="DI172" s="4550"/>
      <c r="DJ172" s="4550"/>
      <c r="DK172" s="4550"/>
      <c r="DL172" s="4550"/>
      <c r="DM172" s="4550"/>
      <c r="DN172" s="4550"/>
      <c r="DO172" s="4550"/>
      <c r="DP172" s="4550"/>
      <c r="DQ172" s="4550"/>
      <c r="DR172" s="4550"/>
      <c r="DS172" s="4550"/>
      <c r="DT172" s="4550"/>
      <c r="DU172" s="4550"/>
      <c r="DV172" s="4550"/>
      <c r="DW172" s="4550"/>
      <c r="DX172" s="4550"/>
      <c r="DY172" s="4550"/>
      <c r="DZ172" s="4550"/>
      <c r="EA172" s="4550"/>
      <c r="EB172" s="4550"/>
      <c r="EC172" s="4550"/>
      <c r="ED172" s="4550"/>
      <c r="EE172" s="4550"/>
      <c r="EF172" s="4550"/>
      <c r="EG172" s="4550"/>
      <c r="EH172" s="4550"/>
      <c r="EI172" s="4550"/>
      <c r="EJ172" s="4550"/>
      <c r="EK172" s="4550"/>
      <c r="EL172" s="4550"/>
      <c r="EM172" s="4550"/>
      <c r="EN172" s="4550"/>
      <c r="EO172" s="4550"/>
      <c r="EP172" s="4550"/>
      <c r="EQ172" s="4550"/>
      <c r="ER172" s="4550"/>
      <c r="ES172" s="4550"/>
      <c r="ET172" s="4550"/>
      <c r="EU172" s="4550"/>
      <c r="EV172" s="4550"/>
      <c r="EW172" s="4550"/>
      <c r="EX172" s="4550"/>
      <c r="EY172" s="4550"/>
      <c r="EZ172" s="4550"/>
      <c r="FA172" s="4550"/>
      <c r="FB172" s="4550"/>
      <c r="FC172" s="4550"/>
      <c r="FD172" s="4550"/>
      <c r="FE172" s="4550"/>
      <c r="FF172" s="4550"/>
      <c r="FG172" s="4550"/>
      <c r="FH172" s="4550"/>
      <c r="FI172" s="4550"/>
      <c r="FJ172" s="4550"/>
      <c r="FK172" s="4550"/>
      <c r="FL172" s="4550"/>
      <c r="FM172" s="4550"/>
      <c r="FN172" s="4550"/>
      <c r="FO172" s="4550"/>
      <c r="FP172" s="4550"/>
      <c r="FQ172" s="4550"/>
      <c r="FR172" s="4550"/>
      <c r="FS172" s="4550"/>
      <c r="FT172" s="4550"/>
      <c r="FU172" s="4550"/>
      <c r="FV172" s="4550"/>
      <c r="FW172" s="4550"/>
      <c r="FX172" s="4550"/>
      <c r="FY172" s="4550"/>
      <c r="FZ172" s="4550"/>
      <c r="GA172" s="4550"/>
      <c r="GB172" s="4550"/>
      <c r="GC172" s="4550"/>
      <c r="GD172" s="4550"/>
      <c r="GE172" s="4550"/>
      <c r="GF172" s="4550"/>
      <c r="GG172" s="4550"/>
      <c r="GH172" s="4550"/>
      <c r="GI172" s="4550"/>
      <c r="GJ172" s="4550"/>
      <c r="GK172" s="4550"/>
      <c r="GL172" s="4550"/>
      <c r="GM172" s="4550"/>
      <c r="GN172" s="4550"/>
      <c r="GO172" s="4550"/>
      <c r="GP172" s="4550"/>
      <c r="GQ172" s="4550"/>
      <c r="GR172" s="4550"/>
      <c r="GS172" s="4550"/>
      <c r="GT172" s="4550"/>
      <c r="GU172" s="4550"/>
      <c r="GV172" s="4550"/>
      <c r="GW172" s="4550"/>
      <c r="GX172" s="4550"/>
      <c r="GY172" s="4550"/>
      <c r="GZ172" s="4550"/>
      <c r="HA172" s="4550"/>
      <c r="HB172" s="4550"/>
      <c r="HC172" s="4550"/>
      <c r="HD172" s="4550"/>
      <c r="HE172" s="4550"/>
      <c r="HF172" s="4550"/>
      <c r="HG172" s="4550"/>
      <c r="HH172" s="4550"/>
      <c r="HI172" s="4550"/>
      <c r="HJ172" s="4550"/>
      <c r="HK172" s="4550"/>
      <c r="HL172" s="4550"/>
      <c r="HM172" s="4550"/>
      <c r="HN172" s="4550"/>
      <c r="HO172" s="4550"/>
      <c r="HP172" s="4550"/>
      <c r="HQ172" s="4550"/>
      <c r="HR172" s="4550"/>
      <c r="HS172" s="4550"/>
      <c r="HT172" s="4550"/>
      <c r="HU172" s="4550"/>
      <c r="HV172" s="4550"/>
      <c r="HW172" s="4550"/>
      <c r="HX172" s="4550"/>
      <c r="HY172" s="4550"/>
      <c r="HZ172" s="4550"/>
      <c r="IA172" s="4550"/>
      <c r="IB172" s="4550"/>
      <c r="IC172" s="4550"/>
      <c r="ID172" s="4550"/>
      <c r="IE172" s="4550"/>
    </row>
    <row r="173" spans="1:239" s="4549" customFormat="1" ht="15">
      <c r="A173" s="4747">
        <v>5.2</v>
      </c>
      <c r="B173" s="4728" t="s">
        <v>2396</v>
      </c>
      <c r="C173" s="4592">
        <v>26.04</v>
      </c>
      <c r="D173" s="4595" t="s">
        <v>4625</v>
      </c>
      <c r="E173" s="4987"/>
      <c r="F173" s="4594">
        <f t="shared" si="4"/>
        <v>0</v>
      </c>
      <c r="G173" s="4537"/>
      <c r="H173" s="4537"/>
      <c r="I173" s="4537"/>
      <c r="J173" s="4537"/>
      <c r="K173" s="4537"/>
      <c r="L173" s="4537"/>
      <c r="M173" s="4537"/>
      <c r="N173" s="4537"/>
      <c r="O173" s="4537"/>
      <c r="P173" s="4537"/>
      <c r="Q173" s="4537"/>
      <c r="R173" s="4537"/>
      <c r="S173" s="4537"/>
      <c r="T173" s="4537"/>
      <c r="U173" s="4537"/>
      <c r="V173" s="4537"/>
      <c r="W173" s="4537"/>
      <c r="X173" s="4537"/>
      <c r="Y173" s="4537"/>
      <c r="Z173" s="4537"/>
      <c r="AA173" s="4537"/>
      <c r="AB173" s="4537"/>
      <c r="AC173" s="4537"/>
      <c r="AD173" s="4537"/>
      <c r="AE173" s="4537"/>
      <c r="AF173" s="4537"/>
      <c r="AG173" s="4537"/>
      <c r="AH173" s="4537"/>
      <c r="AI173" s="4537"/>
      <c r="AJ173" s="4537"/>
      <c r="AK173" s="4537"/>
      <c r="AL173" s="4537"/>
      <c r="AM173" s="4537"/>
      <c r="AN173" s="4537"/>
      <c r="AO173" s="4537"/>
      <c r="AP173" s="4537"/>
      <c r="AQ173" s="4537"/>
      <c r="AR173" s="4537"/>
      <c r="AS173" s="4550"/>
      <c r="AT173" s="4550"/>
      <c r="AU173" s="4550"/>
      <c r="AV173" s="4550"/>
      <c r="AW173" s="4550"/>
      <c r="AX173" s="4550"/>
      <c r="AY173" s="4550"/>
      <c r="AZ173" s="4550"/>
      <c r="BA173" s="4550"/>
      <c r="BB173" s="4550"/>
      <c r="BC173" s="4550"/>
      <c r="BD173" s="4550"/>
      <c r="BE173" s="4550"/>
      <c r="BF173" s="4550"/>
      <c r="BG173" s="4550"/>
      <c r="BH173" s="4550"/>
      <c r="BI173" s="4550"/>
      <c r="BJ173" s="4550"/>
      <c r="BK173" s="4550"/>
      <c r="BL173" s="4550"/>
      <c r="BM173" s="4550"/>
      <c r="BN173" s="4550"/>
      <c r="BO173" s="4550"/>
      <c r="BP173" s="4550"/>
      <c r="BQ173" s="4550"/>
      <c r="BR173" s="4550"/>
      <c r="BS173" s="4550"/>
      <c r="BT173" s="4550"/>
      <c r="BU173" s="4550"/>
      <c r="BV173" s="4550"/>
      <c r="BW173" s="4550"/>
      <c r="BX173" s="4550"/>
      <c r="BY173" s="4550"/>
      <c r="BZ173" s="4550"/>
      <c r="CA173" s="4550"/>
      <c r="CB173" s="4550"/>
      <c r="CC173" s="4550"/>
      <c r="CD173" s="4550"/>
      <c r="CE173" s="4550"/>
      <c r="CF173" s="4550"/>
      <c r="CG173" s="4550"/>
      <c r="CH173" s="4550"/>
      <c r="CI173" s="4550"/>
      <c r="CJ173" s="4550"/>
      <c r="CK173" s="4550"/>
      <c r="CL173" s="4550"/>
      <c r="CM173" s="4550"/>
      <c r="CN173" s="4550"/>
      <c r="CO173" s="4550"/>
      <c r="CP173" s="4550"/>
      <c r="CQ173" s="4550"/>
      <c r="CR173" s="4550"/>
      <c r="CS173" s="4550"/>
      <c r="CT173" s="4550"/>
      <c r="CU173" s="4550"/>
      <c r="CV173" s="4550"/>
      <c r="CW173" s="4550"/>
      <c r="CX173" s="4550"/>
      <c r="CY173" s="4550"/>
      <c r="CZ173" s="4550"/>
      <c r="DA173" s="4550"/>
      <c r="DB173" s="4550"/>
      <c r="DC173" s="4550"/>
      <c r="DD173" s="4550"/>
      <c r="DE173" s="4550"/>
      <c r="DF173" s="4550"/>
      <c r="DG173" s="4550"/>
      <c r="DH173" s="4550"/>
      <c r="DI173" s="4550"/>
      <c r="DJ173" s="4550"/>
      <c r="DK173" s="4550"/>
      <c r="DL173" s="4550"/>
      <c r="DM173" s="4550"/>
      <c r="DN173" s="4550"/>
      <c r="DO173" s="4550"/>
      <c r="DP173" s="4550"/>
      <c r="DQ173" s="4550"/>
      <c r="DR173" s="4550"/>
      <c r="DS173" s="4550"/>
      <c r="DT173" s="4550"/>
      <c r="DU173" s="4550"/>
      <c r="DV173" s="4550"/>
      <c r="DW173" s="4550"/>
      <c r="DX173" s="4550"/>
      <c r="DY173" s="4550"/>
      <c r="DZ173" s="4550"/>
      <c r="EA173" s="4550"/>
      <c r="EB173" s="4550"/>
      <c r="EC173" s="4550"/>
      <c r="ED173" s="4550"/>
      <c r="EE173" s="4550"/>
      <c r="EF173" s="4550"/>
      <c r="EG173" s="4550"/>
      <c r="EH173" s="4550"/>
      <c r="EI173" s="4550"/>
      <c r="EJ173" s="4550"/>
      <c r="EK173" s="4550"/>
      <c r="EL173" s="4550"/>
      <c r="EM173" s="4550"/>
      <c r="EN173" s="4550"/>
      <c r="EO173" s="4550"/>
      <c r="EP173" s="4550"/>
      <c r="EQ173" s="4550"/>
      <c r="ER173" s="4550"/>
      <c r="ES173" s="4550"/>
      <c r="ET173" s="4550"/>
      <c r="EU173" s="4550"/>
      <c r="EV173" s="4550"/>
      <c r="EW173" s="4550"/>
      <c r="EX173" s="4550"/>
      <c r="EY173" s="4550"/>
      <c r="EZ173" s="4550"/>
      <c r="FA173" s="4550"/>
      <c r="FB173" s="4550"/>
      <c r="FC173" s="4550"/>
      <c r="FD173" s="4550"/>
      <c r="FE173" s="4550"/>
      <c r="FF173" s="4550"/>
      <c r="FG173" s="4550"/>
      <c r="FH173" s="4550"/>
      <c r="FI173" s="4550"/>
      <c r="FJ173" s="4550"/>
      <c r="FK173" s="4550"/>
      <c r="FL173" s="4550"/>
      <c r="FM173" s="4550"/>
      <c r="FN173" s="4550"/>
      <c r="FO173" s="4550"/>
      <c r="FP173" s="4550"/>
      <c r="FQ173" s="4550"/>
      <c r="FR173" s="4550"/>
      <c r="FS173" s="4550"/>
      <c r="FT173" s="4550"/>
      <c r="FU173" s="4550"/>
      <c r="FV173" s="4550"/>
      <c r="FW173" s="4550"/>
      <c r="FX173" s="4550"/>
      <c r="FY173" s="4550"/>
      <c r="FZ173" s="4550"/>
      <c r="GA173" s="4550"/>
      <c r="GB173" s="4550"/>
      <c r="GC173" s="4550"/>
      <c r="GD173" s="4550"/>
      <c r="GE173" s="4550"/>
      <c r="GF173" s="4550"/>
      <c r="GG173" s="4550"/>
      <c r="GH173" s="4550"/>
      <c r="GI173" s="4550"/>
      <c r="GJ173" s="4550"/>
      <c r="GK173" s="4550"/>
      <c r="GL173" s="4550"/>
      <c r="GM173" s="4550"/>
      <c r="GN173" s="4550"/>
      <c r="GO173" s="4550"/>
      <c r="GP173" s="4550"/>
      <c r="GQ173" s="4550"/>
      <c r="GR173" s="4550"/>
      <c r="GS173" s="4550"/>
      <c r="GT173" s="4550"/>
      <c r="GU173" s="4550"/>
      <c r="GV173" s="4550"/>
      <c r="GW173" s="4550"/>
      <c r="GX173" s="4550"/>
      <c r="GY173" s="4550"/>
      <c r="GZ173" s="4550"/>
      <c r="HA173" s="4550"/>
      <c r="HB173" s="4550"/>
      <c r="HC173" s="4550"/>
      <c r="HD173" s="4550"/>
      <c r="HE173" s="4550"/>
      <c r="HF173" s="4550"/>
      <c r="HG173" s="4550"/>
      <c r="HH173" s="4550"/>
      <c r="HI173" s="4550"/>
      <c r="HJ173" s="4550"/>
      <c r="HK173" s="4550"/>
      <c r="HL173" s="4550"/>
      <c r="HM173" s="4550"/>
      <c r="HN173" s="4550"/>
      <c r="HO173" s="4550"/>
      <c r="HP173" s="4550"/>
      <c r="HQ173" s="4550"/>
      <c r="HR173" s="4550"/>
      <c r="HS173" s="4550"/>
      <c r="HT173" s="4550"/>
      <c r="HU173" s="4550"/>
      <c r="HV173" s="4550"/>
      <c r="HW173" s="4550"/>
      <c r="HX173" s="4550"/>
      <c r="HY173" s="4550"/>
      <c r="HZ173" s="4550"/>
      <c r="IA173" s="4550"/>
      <c r="IB173" s="4550"/>
      <c r="IC173" s="4550"/>
      <c r="ID173" s="4550"/>
      <c r="IE173" s="4550"/>
    </row>
    <row r="174" spans="1:239" s="4549" customFormat="1" ht="15">
      <c r="A174" s="4747">
        <v>5.3</v>
      </c>
      <c r="B174" s="4728" t="s">
        <v>2345</v>
      </c>
      <c r="C174" s="4592">
        <v>18.97</v>
      </c>
      <c r="D174" s="4595" t="s">
        <v>4625</v>
      </c>
      <c r="E174" s="4987"/>
      <c r="F174" s="4594">
        <f t="shared" si="4"/>
        <v>0</v>
      </c>
      <c r="G174" s="4537"/>
      <c r="H174" s="4537"/>
      <c r="I174" s="4537"/>
      <c r="J174" s="4537"/>
      <c r="K174" s="4537"/>
      <c r="L174" s="4537"/>
      <c r="M174" s="4537"/>
      <c r="N174" s="4537"/>
      <c r="O174" s="4537"/>
      <c r="P174" s="4537"/>
      <c r="Q174" s="4537"/>
      <c r="R174" s="4537"/>
      <c r="S174" s="4537"/>
      <c r="T174" s="4537"/>
      <c r="U174" s="4537"/>
      <c r="V174" s="4537"/>
      <c r="W174" s="4537"/>
      <c r="X174" s="4537"/>
      <c r="Y174" s="4537"/>
      <c r="Z174" s="4537"/>
      <c r="AA174" s="4537"/>
      <c r="AB174" s="4537"/>
      <c r="AC174" s="4537"/>
      <c r="AD174" s="4537"/>
      <c r="AE174" s="4537"/>
      <c r="AF174" s="4537"/>
      <c r="AG174" s="4537"/>
      <c r="AH174" s="4537"/>
      <c r="AI174" s="4537"/>
      <c r="AJ174" s="4537"/>
      <c r="AK174" s="4537"/>
      <c r="AL174" s="4537"/>
      <c r="AM174" s="4537"/>
      <c r="AN174" s="4537"/>
      <c r="AO174" s="4537"/>
      <c r="AP174" s="4537"/>
      <c r="AQ174" s="4537"/>
      <c r="AR174" s="4537"/>
      <c r="AS174" s="4550"/>
      <c r="AT174" s="4550"/>
      <c r="AU174" s="4550"/>
      <c r="AV174" s="4550"/>
      <c r="AW174" s="4550"/>
      <c r="AX174" s="4550"/>
      <c r="AY174" s="4550"/>
      <c r="AZ174" s="4550"/>
      <c r="BA174" s="4550"/>
      <c r="BB174" s="4550"/>
      <c r="BC174" s="4550"/>
      <c r="BD174" s="4550"/>
      <c r="BE174" s="4550"/>
      <c r="BF174" s="4550"/>
      <c r="BG174" s="4550"/>
      <c r="BH174" s="4550"/>
      <c r="BI174" s="4550"/>
      <c r="BJ174" s="4550"/>
      <c r="BK174" s="4550"/>
      <c r="BL174" s="4550"/>
      <c r="BM174" s="4550"/>
      <c r="BN174" s="4550"/>
      <c r="BO174" s="4550"/>
      <c r="BP174" s="4550"/>
      <c r="BQ174" s="4550"/>
      <c r="BR174" s="4550"/>
      <c r="BS174" s="4550"/>
      <c r="BT174" s="4550"/>
      <c r="BU174" s="4550"/>
      <c r="BV174" s="4550"/>
      <c r="BW174" s="4550"/>
      <c r="BX174" s="4550"/>
      <c r="BY174" s="4550"/>
      <c r="BZ174" s="4550"/>
      <c r="CA174" s="4550"/>
      <c r="CB174" s="4550"/>
      <c r="CC174" s="4550"/>
      <c r="CD174" s="4550"/>
      <c r="CE174" s="4550"/>
      <c r="CF174" s="4550"/>
      <c r="CG174" s="4550"/>
      <c r="CH174" s="4550"/>
      <c r="CI174" s="4550"/>
      <c r="CJ174" s="4550"/>
      <c r="CK174" s="4550"/>
      <c r="CL174" s="4550"/>
      <c r="CM174" s="4550"/>
      <c r="CN174" s="4550"/>
      <c r="CO174" s="4550"/>
      <c r="CP174" s="4550"/>
      <c r="CQ174" s="4550"/>
      <c r="CR174" s="4550"/>
      <c r="CS174" s="4550"/>
      <c r="CT174" s="4550"/>
      <c r="CU174" s="4550"/>
      <c r="CV174" s="4550"/>
      <c r="CW174" s="4550"/>
      <c r="CX174" s="4550"/>
      <c r="CY174" s="4550"/>
      <c r="CZ174" s="4550"/>
      <c r="DA174" s="4550"/>
      <c r="DB174" s="4550"/>
      <c r="DC174" s="4550"/>
      <c r="DD174" s="4550"/>
      <c r="DE174" s="4550"/>
      <c r="DF174" s="4550"/>
      <c r="DG174" s="4550"/>
      <c r="DH174" s="4550"/>
      <c r="DI174" s="4550"/>
      <c r="DJ174" s="4550"/>
      <c r="DK174" s="4550"/>
      <c r="DL174" s="4550"/>
      <c r="DM174" s="4550"/>
      <c r="DN174" s="4550"/>
      <c r="DO174" s="4550"/>
      <c r="DP174" s="4550"/>
      <c r="DQ174" s="4550"/>
      <c r="DR174" s="4550"/>
      <c r="DS174" s="4550"/>
      <c r="DT174" s="4550"/>
      <c r="DU174" s="4550"/>
      <c r="DV174" s="4550"/>
      <c r="DW174" s="4550"/>
      <c r="DX174" s="4550"/>
      <c r="DY174" s="4550"/>
      <c r="DZ174" s="4550"/>
      <c r="EA174" s="4550"/>
      <c r="EB174" s="4550"/>
      <c r="EC174" s="4550"/>
      <c r="ED174" s="4550"/>
      <c r="EE174" s="4550"/>
      <c r="EF174" s="4550"/>
      <c r="EG174" s="4550"/>
      <c r="EH174" s="4550"/>
      <c r="EI174" s="4550"/>
      <c r="EJ174" s="4550"/>
      <c r="EK174" s="4550"/>
      <c r="EL174" s="4550"/>
      <c r="EM174" s="4550"/>
      <c r="EN174" s="4550"/>
      <c r="EO174" s="4550"/>
      <c r="EP174" s="4550"/>
      <c r="EQ174" s="4550"/>
      <c r="ER174" s="4550"/>
      <c r="ES174" s="4550"/>
      <c r="ET174" s="4550"/>
      <c r="EU174" s="4550"/>
      <c r="EV174" s="4550"/>
      <c r="EW174" s="4550"/>
      <c r="EX174" s="4550"/>
      <c r="EY174" s="4550"/>
      <c r="EZ174" s="4550"/>
      <c r="FA174" s="4550"/>
      <c r="FB174" s="4550"/>
      <c r="FC174" s="4550"/>
      <c r="FD174" s="4550"/>
      <c r="FE174" s="4550"/>
      <c r="FF174" s="4550"/>
      <c r="FG174" s="4550"/>
      <c r="FH174" s="4550"/>
      <c r="FI174" s="4550"/>
      <c r="FJ174" s="4550"/>
      <c r="FK174" s="4550"/>
      <c r="FL174" s="4550"/>
      <c r="FM174" s="4550"/>
      <c r="FN174" s="4550"/>
      <c r="FO174" s="4550"/>
      <c r="FP174" s="4550"/>
      <c r="FQ174" s="4550"/>
      <c r="FR174" s="4550"/>
      <c r="FS174" s="4550"/>
      <c r="FT174" s="4550"/>
      <c r="FU174" s="4550"/>
      <c r="FV174" s="4550"/>
      <c r="FW174" s="4550"/>
      <c r="FX174" s="4550"/>
      <c r="FY174" s="4550"/>
      <c r="FZ174" s="4550"/>
      <c r="GA174" s="4550"/>
      <c r="GB174" s="4550"/>
      <c r="GC174" s="4550"/>
      <c r="GD174" s="4550"/>
      <c r="GE174" s="4550"/>
      <c r="GF174" s="4550"/>
      <c r="GG174" s="4550"/>
      <c r="GH174" s="4550"/>
      <c r="GI174" s="4550"/>
      <c r="GJ174" s="4550"/>
      <c r="GK174" s="4550"/>
      <c r="GL174" s="4550"/>
      <c r="GM174" s="4550"/>
      <c r="GN174" s="4550"/>
      <c r="GO174" s="4550"/>
      <c r="GP174" s="4550"/>
      <c r="GQ174" s="4550"/>
      <c r="GR174" s="4550"/>
      <c r="GS174" s="4550"/>
      <c r="GT174" s="4550"/>
      <c r="GU174" s="4550"/>
      <c r="GV174" s="4550"/>
      <c r="GW174" s="4550"/>
      <c r="GX174" s="4550"/>
      <c r="GY174" s="4550"/>
      <c r="GZ174" s="4550"/>
      <c r="HA174" s="4550"/>
      <c r="HB174" s="4550"/>
      <c r="HC174" s="4550"/>
      <c r="HD174" s="4550"/>
      <c r="HE174" s="4550"/>
      <c r="HF174" s="4550"/>
      <c r="HG174" s="4550"/>
      <c r="HH174" s="4550"/>
      <c r="HI174" s="4550"/>
      <c r="HJ174" s="4550"/>
      <c r="HK174" s="4550"/>
      <c r="HL174" s="4550"/>
      <c r="HM174" s="4550"/>
      <c r="HN174" s="4550"/>
      <c r="HO174" s="4550"/>
      <c r="HP174" s="4550"/>
      <c r="HQ174" s="4550"/>
      <c r="HR174" s="4550"/>
      <c r="HS174" s="4550"/>
      <c r="HT174" s="4550"/>
      <c r="HU174" s="4550"/>
      <c r="HV174" s="4550"/>
      <c r="HW174" s="4550"/>
      <c r="HX174" s="4550"/>
      <c r="HY174" s="4550"/>
      <c r="HZ174" s="4550"/>
      <c r="IA174" s="4550"/>
      <c r="IB174" s="4550"/>
      <c r="IC174" s="4550"/>
      <c r="ID174" s="4550"/>
      <c r="IE174" s="4550"/>
    </row>
    <row r="175" spans="1:239" s="4549" customFormat="1" ht="15">
      <c r="A175" s="4747">
        <v>5.4</v>
      </c>
      <c r="B175" s="4728" t="s">
        <v>4073</v>
      </c>
      <c r="C175" s="4592">
        <v>7.42</v>
      </c>
      <c r="D175" s="4595" t="s">
        <v>4625</v>
      </c>
      <c r="E175" s="4987"/>
      <c r="F175" s="4594">
        <f t="shared" si="4"/>
        <v>0</v>
      </c>
      <c r="G175" s="4537"/>
      <c r="H175" s="4537"/>
      <c r="I175" s="4537"/>
      <c r="J175" s="4537"/>
      <c r="K175" s="4537"/>
      <c r="L175" s="4537"/>
      <c r="M175" s="4537"/>
      <c r="N175" s="4537"/>
      <c r="O175" s="4537"/>
      <c r="P175" s="4537"/>
      <c r="Q175" s="4537"/>
      <c r="R175" s="4537"/>
      <c r="S175" s="4537"/>
      <c r="T175" s="4537"/>
      <c r="U175" s="4537"/>
      <c r="V175" s="4537"/>
      <c r="W175" s="4537"/>
      <c r="X175" s="4537"/>
      <c r="Y175" s="4537"/>
      <c r="Z175" s="4537"/>
      <c r="AA175" s="4537"/>
      <c r="AB175" s="4537"/>
      <c r="AC175" s="4537"/>
      <c r="AD175" s="4537"/>
      <c r="AE175" s="4537"/>
      <c r="AF175" s="4537"/>
      <c r="AG175" s="4537"/>
      <c r="AH175" s="4537"/>
      <c r="AI175" s="4537"/>
      <c r="AJ175" s="4537"/>
      <c r="AK175" s="4537"/>
      <c r="AL175" s="4537"/>
      <c r="AM175" s="4537"/>
      <c r="AN175" s="4537"/>
      <c r="AO175" s="4537"/>
      <c r="AP175" s="4537"/>
      <c r="AQ175" s="4537"/>
      <c r="AR175" s="4537"/>
      <c r="AS175" s="4550"/>
      <c r="AT175" s="4550"/>
      <c r="AU175" s="4550"/>
      <c r="AV175" s="4550"/>
      <c r="AW175" s="4550"/>
      <c r="AX175" s="4550"/>
      <c r="AY175" s="4550"/>
      <c r="AZ175" s="4550"/>
      <c r="BA175" s="4550"/>
      <c r="BB175" s="4550"/>
      <c r="BC175" s="4550"/>
      <c r="BD175" s="4550"/>
      <c r="BE175" s="4550"/>
      <c r="BF175" s="4550"/>
      <c r="BG175" s="4550"/>
      <c r="BH175" s="4550"/>
      <c r="BI175" s="4550"/>
      <c r="BJ175" s="4550"/>
      <c r="BK175" s="4550"/>
      <c r="BL175" s="4550"/>
      <c r="BM175" s="4550"/>
      <c r="BN175" s="4550"/>
      <c r="BO175" s="4550"/>
      <c r="BP175" s="4550"/>
      <c r="BQ175" s="4550"/>
      <c r="BR175" s="4550"/>
      <c r="BS175" s="4550"/>
      <c r="BT175" s="4550"/>
      <c r="BU175" s="4550"/>
      <c r="BV175" s="4550"/>
      <c r="BW175" s="4550"/>
      <c r="BX175" s="4550"/>
      <c r="BY175" s="4550"/>
      <c r="BZ175" s="4550"/>
      <c r="CA175" s="4550"/>
      <c r="CB175" s="4550"/>
      <c r="CC175" s="4550"/>
      <c r="CD175" s="4550"/>
      <c r="CE175" s="4550"/>
      <c r="CF175" s="4550"/>
      <c r="CG175" s="4550"/>
      <c r="CH175" s="4550"/>
      <c r="CI175" s="4550"/>
      <c r="CJ175" s="4550"/>
      <c r="CK175" s="4550"/>
      <c r="CL175" s="4550"/>
      <c r="CM175" s="4550"/>
      <c r="CN175" s="4550"/>
      <c r="CO175" s="4550"/>
      <c r="CP175" s="4550"/>
      <c r="CQ175" s="4550"/>
      <c r="CR175" s="4550"/>
      <c r="CS175" s="4550"/>
      <c r="CT175" s="4550"/>
      <c r="CU175" s="4550"/>
      <c r="CV175" s="4550"/>
      <c r="CW175" s="4550"/>
      <c r="CX175" s="4550"/>
      <c r="CY175" s="4550"/>
      <c r="CZ175" s="4550"/>
      <c r="DA175" s="4550"/>
      <c r="DB175" s="4550"/>
      <c r="DC175" s="4550"/>
      <c r="DD175" s="4550"/>
      <c r="DE175" s="4550"/>
      <c r="DF175" s="4550"/>
      <c r="DG175" s="4550"/>
      <c r="DH175" s="4550"/>
      <c r="DI175" s="4550"/>
      <c r="DJ175" s="4550"/>
      <c r="DK175" s="4550"/>
      <c r="DL175" s="4550"/>
      <c r="DM175" s="4550"/>
      <c r="DN175" s="4550"/>
      <c r="DO175" s="4550"/>
      <c r="DP175" s="4550"/>
      <c r="DQ175" s="4550"/>
      <c r="DR175" s="4550"/>
      <c r="DS175" s="4550"/>
      <c r="DT175" s="4550"/>
      <c r="DU175" s="4550"/>
      <c r="DV175" s="4550"/>
      <c r="DW175" s="4550"/>
      <c r="DX175" s="4550"/>
      <c r="DY175" s="4550"/>
      <c r="DZ175" s="4550"/>
      <c r="EA175" s="4550"/>
      <c r="EB175" s="4550"/>
      <c r="EC175" s="4550"/>
      <c r="ED175" s="4550"/>
      <c r="EE175" s="4550"/>
      <c r="EF175" s="4550"/>
      <c r="EG175" s="4550"/>
      <c r="EH175" s="4550"/>
      <c r="EI175" s="4550"/>
      <c r="EJ175" s="4550"/>
      <c r="EK175" s="4550"/>
      <c r="EL175" s="4550"/>
      <c r="EM175" s="4550"/>
      <c r="EN175" s="4550"/>
      <c r="EO175" s="4550"/>
      <c r="EP175" s="4550"/>
      <c r="EQ175" s="4550"/>
      <c r="ER175" s="4550"/>
      <c r="ES175" s="4550"/>
      <c r="ET175" s="4550"/>
      <c r="EU175" s="4550"/>
      <c r="EV175" s="4550"/>
      <c r="EW175" s="4550"/>
      <c r="EX175" s="4550"/>
      <c r="EY175" s="4550"/>
      <c r="EZ175" s="4550"/>
      <c r="FA175" s="4550"/>
      <c r="FB175" s="4550"/>
      <c r="FC175" s="4550"/>
      <c r="FD175" s="4550"/>
      <c r="FE175" s="4550"/>
      <c r="FF175" s="4550"/>
      <c r="FG175" s="4550"/>
      <c r="FH175" s="4550"/>
      <c r="FI175" s="4550"/>
      <c r="FJ175" s="4550"/>
      <c r="FK175" s="4550"/>
      <c r="FL175" s="4550"/>
      <c r="FM175" s="4550"/>
      <c r="FN175" s="4550"/>
      <c r="FO175" s="4550"/>
      <c r="FP175" s="4550"/>
      <c r="FQ175" s="4550"/>
      <c r="FR175" s="4550"/>
      <c r="FS175" s="4550"/>
      <c r="FT175" s="4550"/>
      <c r="FU175" s="4550"/>
      <c r="FV175" s="4550"/>
      <c r="FW175" s="4550"/>
      <c r="FX175" s="4550"/>
      <c r="FY175" s="4550"/>
      <c r="FZ175" s="4550"/>
      <c r="GA175" s="4550"/>
      <c r="GB175" s="4550"/>
      <c r="GC175" s="4550"/>
      <c r="GD175" s="4550"/>
      <c r="GE175" s="4550"/>
      <c r="GF175" s="4550"/>
      <c r="GG175" s="4550"/>
      <c r="GH175" s="4550"/>
      <c r="GI175" s="4550"/>
      <c r="GJ175" s="4550"/>
      <c r="GK175" s="4550"/>
      <c r="GL175" s="4550"/>
      <c r="GM175" s="4550"/>
      <c r="GN175" s="4550"/>
      <c r="GO175" s="4550"/>
      <c r="GP175" s="4550"/>
      <c r="GQ175" s="4550"/>
      <c r="GR175" s="4550"/>
      <c r="GS175" s="4550"/>
      <c r="GT175" s="4550"/>
      <c r="GU175" s="4550"/>
      <c r="GV175" s="4550"/>
      <c r="GW175" s="4550"/>
      <c r="GX175" s="4550"/>
      <c r="GY175" s="4550"/>
      <c r="GZ175" s="4550"/>
      <c r="HA175" s="4550"/>
      <c r="HB175" s="4550"/>
      <c r="HC175" s="4550"/>
      <c r="HD175" s="4550"/>
      <c r="HE175" s="4550"/>
      <c r="HF175" s="4550"/>
      <c r="HG175" s="4550"/>
      <c r="HH175" s="4550"/>
      <c r="HI175" s="4550"/>
      <c r="HJ175" s="4550"/>
      <c r="HK175" s="4550"/>
      <c r="HL175" s="4550"/>
      <c r="HM175" s="4550"/>
      <c r="HN175" s="4550"/>
      <c r="HO175" s="4550"/>
      <c r="HP175" s="4550"/>
      <c r="HQ175" s="4550"/>
      <c r="HR175" s="4550"/>
      <c r="HS175" s="4550"/>
      <c r="HT175" s="4550"/>
      <c r="HU175" s="4550"/>
      <c r="HV175" s="4550"/>
      <c r="HW175" s="4550"/>
      <c r="HX175" s="4550"/>
      <c r="HY175" s="4550"/>
      <c r="HZ175" s="4550"/>
      <c r="IA175" s="4550"/>
      <c r="IB175" s="4550"/>
      <c r="IC175" s="4550"/>
      <c r="ID175" s="4550"/>
      <c r="IE175" s="4550"/>
    </row>
    <row r="176" spans="1:239" s="4549" customFormat="1" ht="15">
      <c r="A176" s="4747">
        <v>5.5</v>
      </c>
      <c r="B176" s="4728" t="s">
        <v>4135</v>
      </c>
      <c r="C176" s="4592">
        <v>46.64</v>
      </c>
      <c r="D176" s="4595" t="s">
        <v>4625</v>
      </c>
      <c r="E176" s="4987"/>
      <c r="F176" s="4594">
        <f t="shared" si="4"/>
        <v>0</v>
      </c>
      <c r="G176" s="4537"/>
      <c r="H176" s="4537"/>
      <c r="I176" s="4537"/>
      <c r="J176" s="4537"/>
      <c r="K176" s="4537"/>
      <c r="L176" s="4537"/>
      <c r="M176" s="4537"/>
      <c r="N176" s="4537"/>
      <c r="O176" s="4537"/>
      <c r="P176" s="4537"/>
      <c r="Q176" s="4537"/>
      <c r="R176" s="4537"/>
      <c r="S176" s="4537"/>
      <c r="T176" s="4537"/>
      <c r="U176" s="4537"/>
      <c r="V176" s="4537"/>
      <c r="W176" s="4537"/>
      <c r="X176" s="4537"/>
      <c r="Y176" s="4537"/>
      <c r="Z176" s="4537"/>
      <c r="AA176" s="4537"/>
      <c r="AB176" s="4537"/>
      <c r="AC176" s="4537"/>
      <c r="AD176" s="4537"/>
      <c r="AE176" s="4537"/>
      <c r="AF176" s="4537"/>
      <c r="AG176" s="4537"/>
      <c r="AH176" s="4537"/>
      <c r="AI176" s="4537"/>
      <c r="AJ176" s="4537"/>
      <c r="AK176" s="4537"/>
      <c r="AL176" s="4537"/>
      <c r="AM176" s="4537"/>
      <c r="AN176" s="4537"/>
      <c r="AO176" s="4537"/>
      <c r="AP176" s="4537"/>
      <c r="AQ176" s="4537"/>
      <c r="AR176" s="4537"/>
      <c r="AS176" s="4550"/>
      <c r="AT176" s="4550"/>
      <c r="AU176" s="4550"/>
      <c r="AV176" s="4550"/>
      <c r="AW176" s="4550"/>
      <c r="AX176" s="4550"/>
      <c r="AY176" s="4550"/>
      <c r="AZ176" s="4550"/>
      <c r="BA176" s="4550"/>
      <c r="BB176" s="4550"/>
      <c r="BC176" s="4550"/>
      <c r="BD176" s="4550"/>
      <c r="BE176" s="4550"/>
      <c r="BF176" s="4550"/>
      <c r="BG176" s="4550"/>
      <c r="BH176" s="4550"/>
      <c r="BI176" s="4550"/>
      <c r="BJ176" s="4550"/>
      <c r="BK176" s="4550"/>
      <c r="BL176" s="4550"/>
      <c r="BM176" s="4550"/>
      <c r="BN176" s="4550"/>
      <c r="BO176" s="4550"/>
      <c r="BP176" s="4550"/>
      <c r="BQ176" s="4550"/>
      <c r="BR176" s="4550"/>
      <c r="BS176" s="4550"/>
      <c r="BT176" s="4550"/>
      <c r="BU176" s="4550"/>
      <c r="BV176" s="4550"/>
      <c r="BW176" s="4550"/>
      <c r="BX176" s="4550"/>
      <c r="BY176" s="4550"/>
      <c r="BZ176" s="4550"/>
      <c r="CA176" s="4550"/>
      <c r="CB176" s="4550"/>
      <c r="CC176" s="4550"/>
      <c r="CD176" s="4550"/>
      <c r="CE176" s="4550"/>
      <c r="CF176" s="4550"/>
      <c r="CG176" s="4550"/>
      <c r="CH176" s="4550"/>
      <c r="CI176" s="4550"/>
      <c r="CJ176" s="4550"/>
      <c r="CK176" s="4550"/>
      <c r="CL176" s="4550"/>
      <c r="CM176" s="4550"/>
      <c r="CN176" s="4550"/>
      <c r="CO176" s="4550"/>
      <c r="CP176" s="4550"/>
      <c r="CQ176" s="4550"/>
      <c r="CR176" s="4550"/>
      <c r="CS176" s="4550"/>
      <c r="CT176" s="4550"/>
      <c r="CU176" s="4550"/>
      <c r="CV176" s="4550"/>
      <c r="CW176" s="4550"/>
      <c r="CX176" s="4550"/>
      <c r="CY176" s="4550"/>
      <c r="CZ176" s="4550"/>
      <c r="DA176" s="4550"/>
      <c r="DB176" s="4550"/>
      <c r="DC176" s="4550"/>
      <c r="DD176" s="4550"/>
      <c r="DE176" s="4550"/>
      <c r="DF176" s="4550"/>
      <c r="DG176" s="4550"/>
      <c r="DH176" s="4550"/>
      <c r="DI176" s="4550"/>
      <c r="DJ176" s="4550"/>
      <c r="DK176" s="4550"/>
      <c r="DL176" s="4550"/>
      <c r="DM176" s="4550"/>
      <c r="DN176" s="4550"/>
      <c r="DO176" s="4550"/>
      <c r="DP176" s="4550"/>
      <c r="DQ176" s="4550"/>
      <c r="DR176" s="4550"/>
      <c r="DS176" s="4550"/>
      <c r="DT176" s="4550"/>
      <c r="DU176" s="4550"/>
      <c r="DV176" s="4550"/>
      <c r="DW176" s="4550"/>
      <c r="DX176" s="4550"/>
      <c r="DY176" s="4550"/>
      <c r="DZ176" s="4550"/>
      <c r="EA176" s="4550"/>
      <c r="EB176" s="4550"/>
      <c r="EC176" s="4550"/>
      <c r="ED176" s="4550"/>
      <c r="EE176" s="4550"/>
      <c r="EF176" s="4550"/>
      <c r="EG176" s="4550"/>
      <c r="EH176" s="4550"/>
      <c r="EI176" s="4550"/>
      <c r="EJ176" s="4550"/>
      <c r="EK176" s="4550"/>
      <c r="EL176" s="4550"/>
      <c r="EM176" s="4550"/>
      <c r="EN176" s="4550"/>
      <c r="EO176" s="4550"/>
      <c r="EP176" s="4550"/>
      <c r="EQ176" s="4550"/>
      <c r="ER176" s="4550"/>
      <c r="ES176" s="4550"/>
      <c r="ET176" s="4550"/>
      <c r="EU176" s="4550"/>
      <c r="EV176" s="4550"/>
      <c r="EW176" s="4550"/>
      <c r="EX176" s="4550"/>
      <c r="EY176" s="4550"/>
      <c r="EZ176" s="4550"/>
      <c r="FA176" s="4550"/>
      <c r="FB176" s="4550"/>
      <c r="FC176" s="4550"/>
      <c r="FD176" s="4550"/>
      <c r="FE176" s="4550"/>
      <c r="FF176" s="4550"/>
      <c r="FG176" s="4550"/>
      <c r="FH176" s="4550"/>
      <c r="FI176" s="4550"/>
      <c r="FJ176" s="4550"/>
      <c r="FK176" s="4550"/>
      <c r="FL176" s="4550"/>
      <c r="FM176" s="4550"/>
      <c r="FN176" s="4550"/>
      <c r="FO176" s="4550"/>
      <c r="FP176" s="4550"/>
      <c r="FQ176" s="4550"/>
      <c r="FR176" s="4550"/>
      <c r="FS176" s="4550"/>
      <c r="FT176" s="4550"/>
      <c r="FU176" s="4550"/>
      <c r="FV176" s="4550"/>
      <c r="FW176" s="4550"/>
      <c r="FX176" s="4550"/>
      <c r="FY176" s="4550"/>
      <c r="FZ176" s="4550"/>
      <c r="GA176" s="4550"/>
      <c r="GB176" s="4550"/>
      <c r="GC176" s="4550"/>
      <c r="GD176" s="4550"/>
      <c r="GE176" s="4550"/>
      <c r="GF176" s="4550"/>
      <c r="GG176" s="4550"/>
      <c r="GH176" s="4550"/>
      <c r="GI176" s="4550"/>
      <c r="GJ176" s="4550"/>
      <c r="GK176" s="4550"/>
      <c r="GL176" s="4550"/>
      <c r="GM176" s="4550"/>
      <c r="GN176" s="4550"/>
      <c r="GO176" s="4550"/>
      <c r="GP176" s="4550"/>
      <c r="GQ176" s="4550"/>
      <c r="GR176" s="4550"/>
      <c r="GS176" s="4550"/>
      <c r="GT176" s="4550"/>
      <c r="GU176" s="4550"/>
      <c r="GV176" s="4550"/>
      <c r="GW176" s="4550"/>
      <c r="GX176" s="4550"/>
      <c r="GY176" s="4550"/>
      <c r="GZ176" s="4550"/>
      <c r="HA176" s="4550"/>
      <c r="HB176" s="4550"/>
      <c r="HC176" s="4550"/>
      <c r="HD176" s="4550"/>
      <c r="HE176" s="4550"/>
      <c r="HF176" s="4550"/>
      <c r="HG176" s="4550"/>
      <c r="HH176" s="4550"/>
      <c r="HI176" s="4550"/>
      <c r="HJ176" s="4550"/>
      <c r="HK176" s="4550"/>
      <c r="HL176" s="4550"/>
      <c r="HM176" s="4550"/>
      <c r="HN176" s="4550"/>
      <c r="HO176" s="4550"/>
      <c r="HP176" s="4550"/>
      <c r="HQ176" s="4550"/>
      <c r="HR176" s="4550"/>
      <c r="HS176" s="4550"/>
      <c r="HT176" s="4550"/>
      <c r="HU176" s="4550"/>
      <c r="HV176" s="4550"/>
      <c r="HW176" s="4550"/>
      <c r="HX176" s="4550"/>
      <c r="HY176" s="4550"/>
      <c r="HZ176" s="4550"/>
      <c r="IA176" s="4550"/>
      <c r="IB176" s="4550"/>
      <c r="IC176" s="4550"/>
      <c r="ID176" s="4550"/>
      <c r="IE176" s="4550"/>
    </row>
    <row r="177" spans="1:239" s="4549" customFormat="1" ht="15">
      <c r="A177" s="4747">
        <v>5.6</v>
      </c>
      <c r="B177" s="4728" t="s">
        <v>1548</v>
      </c>
      <c r="C177" s="4592">
        <v>35.6</v>
      </c>
      <c r="D177" s="4593" t="s">
        <v>1</v>
      </c>
      <c r="E177" s="4987"/>
      <c r="F177" s="4594">
        <f t="shared" si="4"/>
        <v>0</v>
      </c>
      <c r="G177" s="4537"/>
      <c r="H177" s="4537"/>
      <c r="I177" s="4537"/>
      <c r="J177" s="4537"/>
      <c r="K177" s="4537"/>
      <c r="L177" s="4537"/>
      <c r="M177" s="4537"/>
      <c r="N177" s="4537"/>
      <c r="O177" s="4537"/>
      <c r="P177" s="4537"/>
      <c r="Q177" s="4537"/>
      <c r="R177" s="4537"/>
      <c r="S177" s="4537"/>
      <c r="T177" s="4537"/>
      <c r="U177" s="4537"/>
      <c r="V177" s="4537"/>
      <c r="W177" s="4537"/>
      <c r="X177" s="4537"/>
      <c r="Y177" s="4537"/>
      <c r="Z177" s="4537"/>
      <c r="AA177" s="4537"/>
      <c r="AB177" s="4537"/>
      <c r="AC177" s="4537"/>
      <c r="AD177" s="4537"/>
      <c r="AE177" s="4537"/>
      <c r="AF177" s="4537"/>
      <c r="AG177" s="4537"/>
      <c r="AH177" s="4537"/>
      <c r="AI177" s="4537"/>
      <c r="AJ177" s="4537"/>
      <c r="AK177" s="4537"/>
      <c r="AL177" s="4537"/>
      <c r="AM177" s="4537"/>
      <c r="AN177" s="4537"/>
      <c r="AO177" s="4537"/>
      <c r="AP177" s="4537"/>
      <c r="AQ177" s="4537"/>
      <c r="AR177" s="4537"/>
      <c r="AS177" s="4550"/>
      <c r="AT177" s="4550"/>
      <c r="AU177" s="4550"/>
      <c r="AV177" s="4550"/>
      <c r="AW177" s="4550"/>
      <c r="AX177" s="4550"/>
      <c r="AY177" s="4550"/>
      <c r="AZ177" s="4550"/>
      <c r="BA177" s="4550"/>
      <c r="BB177" s="4550"/>
      <c r="BC177" s="4550"/>
      <c r="BD177" s="4550"/>
      <c r="BE177" s="4550"/>
      <c r="BF177" s="4550"/>
      <c r="BG177" s="4550"/>
      <c r="BH177" s="4550"/>
      <c r="BI177" s="4550"/>
      <c r="BJ177" s="4550"/>
      <c r="BK177" s="4550"/>
      <c r="BL177" s="4550"/>
      <c r="BM177" s="4550"/>
      <c r="BN177" s="4550"/>
      <c r="BO177" s="4550"/>
      <c r="BP177" s="4550"/>
      <c r="BQ177" s="4550"/>
      <c r="BR177" s="4550"/>
      <c r="BS177" s="4550"/>
      <c r="BT177" s="4550"/>
      <c r="BU177" s="4550"/>
      <c r="BV177" s="4550"/>
      <c r="BW177" s="4550"/>
      <c r="BX177" s="4550"/>
      <c r="BY177" s="4550"/>
      <c r="BZ177" s="4550"/>
      <c r="CA177" s="4550"/>
      <c r="CB177" s="4550"/>
      <c r="CC177" s="4550"/>
      <c r="CD177" s="4550"/>
      <c r="CE177" s="4550"/>
      <c r="CF177" s="4550"/>
      <c r="CG177" s="4550"/>
      <c r="CH177" s="4550"/>
      <c r="CI177" s="4550"/>
      <c r="CJ177" s="4550"/>
      <c r="CK177" s="4550"/>
      <c r="CL177" s="4550"/>
      <c r="CM177" s="4550"/>
      <c r="CN177" s="4550"/>
      <c r="CO177" s="4550"/>
      <c r="CP177" s="4550"/>
      <c r="CQ177" s="4550"/>
      <c r="CR177" s="4550"/>
      <c r="CS177" s="4550"/>
      <c r="CT177" s="4550"/>
      <c r="CU177" s="4550"/>
      <c r="CV177" s="4550"/>
      <c r="CW177" s="4550"/>
      <c r="CX177" s="4550"/>
      <c r="CY177" s="4550"/>
      <c r="CZ177" s="4550"/>
      <c r="DA177" s="4550"/>
      <c r="DB177" s="4550"/>
      <c r="DC177" s="4550"/>
      <c r="DD177" s="4550"/>
      <c r="DE177" s="4550"/>
      <c r="DF177" s="4550"/>
      <c r="DG177" s="4550"/>
      <c r="DH177" s="4550"/>
      <c r="DI177" s="4550"/>
      <c r="DJ177" s="4550"/>
      <c r="DK177" s="4550"/>
      <c r="DL177" s="4550"/>
      <c r="DM177" s="4550"/>
      <c r="DN177" s="4550"/>
      <c r="DO177" s="4550"/>
      <c r="DP177" s="4550"/>
      <c r="DQ177" s="4550"/>
      <c r="DR177" s="4550"/>
      <c r="DS177" s="4550"/>
      <c r="DT177" s="4550"/>
      <c r="DU177" s="4550"/>
      <c r="DV177" s="4550"/>
      <c r="DW177" s="4550"/>
      <c r="DX177" s="4550"/>
      <c r="DY177" s="4550"/>
      <c r="DZ177" s="4550"/>
      <c r="EA177" s="4550"/>
      <c r="EB177" s="4550"/>
      <c r="EC177" s="4550"/>
      <c r="ED177" s="4550"/>
      <c r="EE177" s="4550"/>
      <c r="EF177" s="4550"/>
      <c r="EG177" s="4550"/>
      <c r="EH177" s="4550"/>
      <c r="EI177" s="4550"/>
      <c r="EJ177" s="4550"/>
      <c r="EK177" s="4550"/>
      <c r="EL177" s="4550"/>
      <c r="EM177" s="4550"/>
      <c r="EN177" s="4550"/>
      <c r="EO177" s="4550"/>
      <c r="EP177" s="4550"/>
      <c r="EQ177" s="4550"/>
      <c r="ER177" s="4550"/>
      <c r="ES177" s="4550"/>
      <c r="ET177" s="4550"/>
      <c r="EU177" s="4550"/>
      <c r="EV177" s="4550"/>
      <c r="EW177" s="4550"/>
      <c r="EX177" s="4550"/>
      <c r="EY177" s="4550"/>
      <c r="EZ177" s="4550"/>
      <c r="FA177" s="4550"/>
      <c r="FB177" s="4550"/>
      <c r="FC177" s="4550"/>
      <c r="FD177" s="4550"/>
      <c r="FE177" s="4550"/>
      <c r="FF177" s="4550"/>
      <c r="FG177" s="4550"/>
      <c r="FH177" s="4550"/>
      <c r="FI177" s="4550"/>
      <c r="FJ177" s="4550"/>
      <c r="FK177" s="4550"/>
      <c r="FL177" s="4550"/>
      <c r="FM177" s="4550"/>
      <c r="FN177" s="4550"/>
      <c r="FO177" s="4550"/>
      <c r="FP177" s="4550"/>
      <c r="FQ177" s="4550"/>
      <c r="FR177" s="4550"/>
      <c r="FS177" s="4550"/>
      <c r="FT177" s="4550"/>
      <c r="FU177" s="4550"/>
      <c r="FV177" s="4550"/>
      <c r="FW177" s="4550"/>
      <c r="FX177" s="4550"/>
      <c r="FY177" s="4550"/>
      <c r="FZ177" s="4550"/>
      <c r="GA177" s="4550"/>
      <c r="GB177" s="4550"/>
      <c r="GC177" s="4550"/>
      <c r="GD177" s="4550"/>
      <c r="GE177" s="4550"/>
      <c r="GF177" s="4550"/>
      <c r="GG177" s="4550"/>
      <c r="GH177" s="4550"/>
      <c r="GI177" s="4550"/>
      <c r="GJ177" s="4550"/>
      <c r="GK177" s="4550"/>
      <c r="GL177" s="4550"/>
      <c r="GM177" s="4550"/>
      <c r="GN177" s="4550"/>
      <c r="GO177" s="4550"/>
      <c r="GP177" s="4550"/>
      <c r="GQ177" s="4550"/>
      <c r="GR177" s="4550"/>
      <c r="GS177" s="4550"/>
      <c r="GT177" s="4550"/>
      <c r="GU177" s="4550"/>
      <c r="GV177" s="4550"/>
      <c r="GW177" s="4550"/>
      <c r="GX177" s="4550"/>
      <c r="GY177" s="4550"/>
      <c r="GZ177" s="4550"/>
      <c r="HA177" s="4550"/>
      <c r="HB177" s="4550"/>
      <c r="HC177" s="4550"/>
      <c r="HD177" s="4550"/>
      <c r="HE177" s="4550"/>
      <c r="HF177" s="4550"/>
      <c r="HG177" s="4550"/>
      <c r="HH177" s="4550"/>
      <c r="HI177" s="4550"/>
      <c r="HJ177" s="4550"/>
      <c r="HK177" s="4550"/>
      <c r="HL177" s="4550"/>
      <c r="HM177" s="4550"/>
      <c r="HN177" s="4550"/>
      <c r="HO177" s="4550"/>
      <c r="HP177" s="4550"/>
      <c r="HQ177" s="4550"/>
      <c r="HR177" s="4550"/>
      <c r="HS177" s="4550"/>
      <c r="HT177" s="4550"/>
      <c r="HU177" s="4550"/>
      <c r="HV177" s="4550"/>
      <c r="HW177" s="4550"/>
      <c r="HX177" s="4550"/>
      <c r="HY177" s="4550"/>
      <c r="HZ177" s="4550"/>
      <c r="IA177" s="4550"/>
      <c r="IB177" s="4550"/>
      <c r="IC177" s="4550"/>
      <c r="ID177" s="4550"/>
      <c r="IE177" s="4550"/>
    </row>
    <row r="178" spans="1:239" s="4549" customFormat="1" ht="15">
      <c r="A178" s="4747">
        <v>5.7</v>
      </c>
      <c r="B178" s="4728" t="s">
        <v>2362</v>
      </c>
      <c r="C178" s="4592">
        <v>2.02</v>
      </c>
      <c r="D178" s="4593" t="s">
        <v>1</v>
      </c>
      <c r="E178" s="4987"/>
      <c r="F178" s="4594">
        <f t="shared" si="4"/>
        <v>0</v>
      </c>
      <c r="G178" s="4537"/>
      <c r="H178" s="4537"/>
      <c r="I178" s="4537"/>
      <c r="J178" s="4537"/>
      <c r="K178" s="4537"/>
      <c r="L178" s="4537"/>
      <c r="M178" s="4537"/>
      <c r="N178" s="4537"/>
      <c r="O178" s="4537"/>
      <c r="P178" s="4537"/>
      <c r="Q178" s="4537"/>
      <c r="R178" s="4537"/>
      <c r="S178" s="4537"/>
      <c r="T178" s="4537"/>
      <c r="U178" s="4537"/>
      <c r="V178" s="4537"/>
      <c r="W178" s="4537"/>
      <c r="X178" s="4537"/>
      <c r="Y178" s="4537"/>
      <c r="Z178" s="4537"/>
      <c r="AA178" s="4537"/>
      <c r="AB178" s="4537"/>
      <c r="AC178" s="4537"/>
      <c r="AD178" s="4537"/>
      <c r="AE178" s="4537"/>
      <c r="AF178" s="4537"/>
      <c r="AG178" s="4537"/>
      <c r="AH178" s="4537"/>
      <c r="AI178" s="4537"/>
      <c r="AJ178" s="4537"/>
      <c r="AK178" s="4537"/>
      <c r="AL178" s="4537"/>
      <c r="AM178" s="4537"/>
      <c r="AN178" s="4537"/>
      <c r="AO178" s="4537"/>
      <c r="AP178" s="4537"/>
      <c r="AQ178" s="4537"/>
      <c r="AR178" s="4537"/>
      <c r="AS178" s="4550"/>
      <c r="AT178" s="4550"/>
      <c r="AU178" s="4550"/>
      <c r="AV178" s="4550"/>
      <c r="AW178" s="4550"/>
      <c r="AX178" s="4550"/>
      <c r="AY178" s="4550"/>
      <c r="AZ178" s="4550"/>
      <c r="BA178" s="4550"/>
      <c r="BB178" s="4550"/>
      <c r="BC178" s="4550"/>
      <c r="BD178" s="4550"/>
      <c r="BE178" s="4550"/>
      <c r="BF178" s="4550"/>
      <c r="BG178" s="4550"/>
      <c r="BH178" s="4550"/>
      <c r="BI178" s="4550"/>
      <c r="BJ178" s="4550"/>
      <c r="BK178" s="4550"/>
      <c r="BL178" s="4550"/>
      <c r="BM178" s="4550"/>
      <c r="BN178" s="4550"/>
      <c r="BO178" s="4550"/>
      <c r="BP178" s="4550"/>
      <c r="BQ178" s="4550"/>
      <c r="BR178" s="4550"/>
      <c r="BS178" s="4550"/>
      <c r="BT178" s="4550"/>
      <c r="BU178" s="4550"/>
      <c r="BV178" s="4550"/>
      <c r="BW178" s="4550"/>
      <c r="BX178" s="4550"/>
      <c r="BY178" s="4550"/>
      <c r="BZ178" s="4550"/>
      <c r="CA178" s="4550"/>
      <c r="CB178" s="4550"/>
      <c r="CC178" s="4550"/>
      <c r="CD178" s="4550"/>
      <c r="CE178" s="4550"/>
      <c r="CF178" s="4550"/>
      <c r="CG178" s="4550"/>
      <c r="CH178" s="4550"/>
      <c r="CI178" s="4550"/>
      <c r="CJ178" s="4550"/>
      <c r="CK178" s="4550"/>
      <c r="CL178" s="4550"/>
      <c r="CM178" s="4550"/>
      <c r="CN178" s="4550"/>
      <c r="CO178" s="4550"/>
      <c r="CP178" s="4550"/>
      <c r="CQ178" s="4550"/>
      <c r="CR178" s="4550"/>
      <c r="CS178" s="4550"/>
      <c r="CT178" s="4550"/>
      <c r="CU178" s="4550"/>
      <c r="CV178" s="4550"/>
      <c r="CW178" s="4550"/>
      <c r="CX178" s="4550"/>
      <c r="CY178" s="4550"/>
      <c r="CZ178" s="4550"/>
      <c r="DA178" s="4550"/>
      <c r="DB178" s="4550"/>
      <c r="DC178" s="4550"/>
      <c r="DD178" s="4550"/>
      <c r="DE178" s="4550"/>
      <c r="DF178" s="4550"/>
      <c r="DG178" s="4550"/>
      <c r="DH178" s="4550"/>
      <c r="DI178" s="4550"/>
      <c r="DJ178" s="4550"/>
      <c r="DK178" s="4550"/>
      <c r="DL178" s="4550"/>
      <c r="DM178" s="4550"/>
      <c r="DN178" s="4550"/>
      <c r="DO178" s="4550"/>
      <c r="DP178" s="4550"/>
      <c r="DQ178" s="4550"/>
      <c r="DR178" s="4550"/>
      <c r="DS178" s="4550"/>
      <c r="DT178" s="4550"/>
      <c r="DU178" s="4550"/>
      <c r="DV178" s="4550"/>
      <c r="DW178" s="4550"/>
      <c r="DX178" s="4550"/>
      <c r="DY178" s="4550"/>
      <c r="DZ178" s="4550"/>
      <c r="EA178" s="4550"/>
      <c r="EB178" s="4550"/>
      <c r="EC178" s="4550"/>
      <c r="ED178" s="4550"/>
      <c r="EE178" s="4550"/>
      <c r="EF178" s="4550"/>
      <c r="EG178" s="4550"/>
      <c r="EH178" s="4550"/>
      <c r="EI178" s="4550"/>
      <c r="EJ178" s="4550"/>
      <c r="EK178" s="4550"/>
      <c r="EL178" s="4550"/>
      <c r="EM178" s="4550"/>
      <c r="EN178" s="4550"/>
      <c r="EO178" s="4550"/>
      <c r="EP178" s="4550"/>
      <c r="EQ178" s="4550"/>
      <c r="ER178" s="4550"/>
      <c r="ES178" s="4550"/>
      <c r="ET178" s="4550"/>
      <c r="EU178" s="4550"/>
      <c r="EV178" s="4550"/>
      <c r="EW178" s="4550"/>
      <c r="EX178" s="4550"/>
      <c r="EY178" s="4550"/>
      <c r="EZ178" s="4550"/>
      <c r="FA178" s="4550"/>
      <c r="FB178" s="4550"/>
      <c r="FC178" s="4550"/>
      <c r="FD178" s="4550"/>
      <c r="FE178" s="4550"/>
      <c r="FF178" s="4550"/>
      <c r="FG178" s="4550"/>
      <c r="FH178" s="4550"/>
      <c r="FI178" s="4550"/>
      <c r="FJ178" s="4550"/>
      <c r="FK178" s="4550"/>
      <c r="FL178" s="4550"/>
      <c r="FM178" s="4550"/>
      <c r="FN178" s="4550"/>
      <c r="FO178" s="4550"/>
      <c r="FP178" s="4550"/>
      <c r="FQ178" s="4550"/>
      <c r="FR178" s="4550"/>
      <c r="FS178" s="4550"/>
      <c r="FT178" s="4550"/>
      <c r="FU178" s="4550"/>
      <c r="FV178" s="4550"/>
      <c r="FW178" s="4550"/>
      <c r="FX178" s="4550"/>
      <c r="FY178" s="4550"/>
      <c r="FZ178" s="4550"/>
      <c r="GA178" s="4550"/>
      <c r="GB178" s="4550"/>
      <c r="GC178" s="4550"/>
      <c r="GD178" s="4550"/>
      <c r="GE178" s="4550"/>
      <c r="GF178" s="4550"/>
      <c r="GG178" s="4550"/>
      <c r="GH178" s="4550"/>
      <c r="GI178" s="4550"/>
      <c r="GJ178" s="4550"/>
      <c r="GK178" s="4550"/>
      <c r="GL178" s="4550"/>
      <c r="GM178" s="4550"/>
      <c r="GN178" s="4550"/>
      <c r="GO178" s="4550"/>
      <c r="GP178" s="4550"/>
      <c r="GQ178" s="4550"/>
      <c r="GR178" s="4550"/>
      <c r="GS178" s="4550"/>
      <c r="GT178" s="4550"/>
      <c r="GU178" s="4550"/>
      <c r="GV178" s="4550"/>
      <c r="GW178" s="4550"/>
      <c r="GX178" s="4550"/>
      <c r="GY178" s="4550"/>
      <c r="GZ178" s="4550"/>
      <c r="HA178" s="4550"/>
      <c r="HB178" s="4550"/>
      <c r="HC178" s="4550"/>
      <c r="HD178" s="4550"/>
      <c r="HE178" s="4550"/>
      <c r="HF178" s="4550"/>
      <c r="HG178" s="4550"/>
      <c r="HH178" s="4550"/>
      <c r="HI178" s="4550"/>
      <c r="HJ178" s="4550"/>
      <c r="HK178" s="4550"/>
      <c r="HL178" s="4550"/>
      <c r="HM178" s="4550"/>
      <c r="HN178" s="4550"/>
      <c r="HO178" s="4550"/>
      <c r="HP178" s="4550"/>
      <c r="HQ178" s="4550"/>
      <c r="HR178" s="4550"/>
      <c r="HS178" s="4550"/>
      <c r="HT178" s="4550"/>
      <c r="HU178" s="4550"/>
      <c r="HV178" s="4550"/>
      <c r="HW178" s="4550"/>
      <c r="HX178" s="4550"/>
      <c r="HY178" s="4550"/>
      <c r="HZ178" s="4550"/>
      <c r="IA178" s="4550"/>
      <c r="IB178" s="4550"/>
      <c r="IC178" s="4550"/>
      <c r="ID178" s="4550"/>
      <c r="IE178" s="4550"/>
    </row>
    <row r="179" spans="1:239" s="4549" customFormat="1" ht="15">
      <c r="A179" s="4747">
        <v>5.8</v>
      </c>
      <c r="B179" s="4728" t="s">
        <v>4136</v>
      </c>
      <c r="C179" s="4592">
        <v>10.1</v>
      </c>
      <c r="D179" s="4593" t="s">
        <v>1</v>
      </c>
      <c r="E179" s="4987"/>
      <c r="F179" s="4594">
        <f t="shared" si="4"/>
        <v>0</v>
      </c>
      <c r="G179" s="4537"/>
      <c r="H179" s="4537"/>
      <c r="I179" s="4537"/>
      <c r="J179" s="4537"/>
      <c r="K179" s="4537"/>
      <c r="L179" s="4537"/>
      <c r="M179" s="4537"/>
      <c r="N179" s="4537"/>
      <c r="O179" s="4537"/>
      <c r="P179" s="4537"/>
      <c r="Q179" s="4537"/>
      <c r="R179" s="4537"/>
      <c r="S179" s="4537"/>
      <c r="T179" s="4537"/>
      <c r="U179" s="4537"/>
      <c r="V179" s="4537"/>
      <c r="W179" s="4537"/>
      <c r="X179" s="4537"/>
      <c r="Y179" s="4537"/>
      <c r="Z179" s="4537"/>
      <c r="AA179" s="4537"/>
      <c r="AB179" s="4537"/>
      <c r="AC179" s="4537"/>
      <c r="AD179" s="4537"/>
      <c r="AE179" s="4537"/>
      <c r="AF179" s="4537"/>
      <c r="AG179" s="4537"/>
      <c r="AH179" s="4537"/>
      <c r="AI179" s="4537"/>
      <c r="AJ179" s="4537"/>
      <c r="AK179" s="4537"/>
      <c r="AL179" s="4537"/>
      <c r="AM179" s="4537"/>
      <c r="AN179" s="4537"/>
      <c r="AO179" s="4537"/>
      <c r="AP179" s="4537"/>
      <c r="AQ179" s="4537"/>
      <c r="AR179" s="4537"/>
      <c r="AS179" s="4550"/>
      <c r="AT179" s="4550"/>
      <c r="AU179" s="4550"/>
      <c r="AV179" s="4550"/>
      <c r="AW179" s="4550"/>
      <c r="AX179" s="4550"/>
      <c r="AY179" s="4550"/>
      <c r="AZ179" s="4550"/>
      <c r="BA179" s="4550"/>
      <c r="BB179" s="4550"/>
      <c r="BC179" s="4550"/>
      <c r="BD179" s="4550"/>
      <c r="BE179" s="4550"/>
      <c r="BF179" s="4550"/>
      <c r="BG179" s="4550"/>
      <c r="BH179" s="4550"/>
      <c r="BI179" s="4550"/>
      <c r="BJ179" s="4550"/>
      <c r="BK179" s="4550"/>
      <c r="BL179" s="4550"/>
      <c r="BM179" s="4550"/>
      <c r="BN179" s="4550"/>
      <c r="BO179" s="4550"/>
      <c r="BP179" s="4550"/>
      <c r="BQ179" s="4550"/>
      <c r="BR179" s="4550"/>
      <c r="BS179" s="4550"/>
      <c r="BT179" s="4550"/>
      <c r="BU179" s="4550"/>
      <c r="BV179" s="4550"/>
      <c r="BW179" s="4550"/>
      <c r="BX179" s="4550"/>
      <c r="BY179" s="4550"/>
      <c r="BZ179" s="4550"/>
      <c r="CA179" s="4550"/>
      <c r="CB179" s="4550"/>
      <c r="CC179" s="4550"/>
      <c r="CD179" s="4550"/>
      <c r="CE179" s="4550"/>
      <c r="CF179" s="4550"/>
      <c r="CG179" s="4550"/>
      <c r="CH179" s="4550"/>
      <c r="CI179" s="4550"/>
      <c r="CJ179" s="4550"/>
      <c r="CK179" s="4550"/>
      <c r="CL179" s="4550"/>
      <c r="CM179" s="4550"/>
      <c r="CN179" s="4550"/>
      <c r="CO179" s="4550"/>
      <c r="CP179" s="4550"/>
      <c r="CQ179" s="4550"/>
      <c r="CR179" s="4550"/>
      <c r="CS179" s="4550"/>
      <c r="CT179" s="4550"/>
      <c r="CU179" s="4550"/>
      <c r="CV179" s="4550"/>
      <c r="CW179" s="4550"/>
      <c r="CX179" s="4550"/>
      <c r="CY179" s="4550"/>
      <c r="CZ179" s="4550"/>
      <c r="DA179" s="4550"/>
      <c r="DB179" s="4550"/>
      <c r="DC179" s="4550"/>
      <c r="DD179" s="4550"/>
      <c r="DE179" s="4550"/>
      <c r="DF179" s="4550"/>
      <c r="DG179" s="4550"/>
      <c r="DH179" s="4550"/>
      <c r="DI179" s="4550"/>
      <c r="DJ179" s="4550"/>
      <c r="DK179" s="4550"/>
      <c r="DL179" s="4550"/>
      <c r="DM179" s="4550"/>
      <c r="DN179" s="4550"/>
      <c r="DO179" s="4550"/>
      <c r="DP179" s="4550"/>
      <c r="DQ179" s="4550"/>
      <c r="DR179" s="4550"/>
      <c r="DS179" s="4550"/>
      <c r="DT179" s="4550"/>
      <c r="DU179" s="4550"/>
      <c r="DV179" s="4550"/>
      <c r="DW179" s="4550"/>
      <c r="DX179" s="4550"/>
      <c r="DY179" s="4550"/>
      <c r="DZ179" s="4550"/>
      <c r="EA179" s="4550"/>
      <c r="EB179" s="4550"/>
      <c r="EC179" s="4550"/>
      <c r="ED179" s="4550"/>
      <c r="EE179" s="4550"/>
      <c r="EF179" s="4550"/>
      <c r="EG179" s="4550"/>
      <c r="EH179" s="4550"/>
      <c r="EI179" s="4550"/>
      <c r="EJ179" s="4550"/>
      <c r="EK179" s="4550"/>
      <c r="EL179" s="4550"/>
      <c r="EM179" s="4550"/>
      <c r="EN179" s="4550"/>
      <c r="EO179" s="4550"/>
      <c r="EP179" s="4550"/>
      <c r="EQ179" s="4550"/>
      <c r="ER179" s="4550"/>
      <c r="ES179" s="4550"/>
      <c r="ET179" s="4550"/>
      <c r="EU179" s="4550"/>
      <c r="EV179" s="4550"/>
      <c r="EW179" s="4550"/>
      <c r="EX179" s="4550"/>
      <c r="EY179" s="4550"/>
      <c r="EZ179" s="4550"/>
      <c r="FA179" s="4550"/>
      <c r="FB179" s="4550"/>
      <c r="FC179" s="4550"/>
      <c r="FD179" s="4550"/>
      <c r="FE179" s="4550"/>
      <c r="FF179" s="4550"/>
      <c r="FG179" s="4550"/>
      <c r="FH179" s="4550"/>
      <c r="FI179" s="4550"/>
      <c r="FJ179" s="4550"/>
      <c r="FK179" s="4550"/>
      <c r="FL179" s="4550"/>
      <c r="FM179" s="4550"/>
      <c r="FN179" s="4550"/>
      <c r="FO179" s="4550"/>
      <c r="FP179" s="4550"/>
      <c r="FQ179" s="4550"/>
      <c r="FR179" s="4550"/>
      <c r="FS179" s="4550"/>
      <c r="FT179" s="4550"/>
      <c r="FU179" s="4550"/>
      <c r="FV179" s="4550"/>
      <c r="FW179" s="4550"/>
      <c r="FX179" s="4550"/>
      <c r="FY179" s="4550"/>
      <c r="FZ179" s="4550"/>
      <c r="GA179" s="4550"/>
      <c r="GB179" s="4550"/>
      <c r="GC179" s="4550"/>
      <c r="GD179" s="4550"/>
      <c r="GE179" s="4550"/>
      <c r="GF179" s="4550"/>
      <c r="GG179" s="4550"/>
      <c r="GH179" s="4550"/>
      <c r="GI179" s="4550"/>
      <c r="GJ179" s="4550"/>
      <c r="GK179" s="4550"/>
      <c r="GL179" s="4550"/>
      <c r="GM179" s="4550"/>
      <c r="GN179" s="4550"/>
      <c r="GO179" s="4550"/>
      <c r="GP179" s="4550"/>
      <c r="GQ179" s="4550"/>
      <c r="GR179" s="4550"/>
      <c r="GS179" s="4550"/>
      <c r="GT179" s="4550"/>
      <c r="GU179" s="4550"/>
      <c r="GV179" s="4550"/>
      <c r="GW179" s="4550"/>
      <c r="GX179" s="4550"/>
      <c r="GY179" s="4550"/>
      <c r="GZ179" s="4550"/>
      <c r="HA179" s="4550"/>
      <c r="HB179" s="4550"/>
      <c r="HC179" s="4550"/>
      <c r="HD179" s="4550"/>
      <c r="HE179" s="4550"/>
      <c r="HF179" s="4550"/>
      <c r="HG179" s="4550"/>
      <c r="HH179" s="4550"/>
      <c r="HI179" s="4550"/>
      <c r="HJ179" s="4550"/>
      <c r="HK179" s="4550"/>
      <c r="HL179" s="4550"/>
      <c r="HM179" s="4550"/>
      <c r="HN179" s="4550"/>
      <c r="HO179" s="4550"/>
      <c r="HP179" s="4550"/>
      <c r="HQ179" s="4550"/>
      <c r="HR179" s="4550"/>
      <c r="HS179" s="4550"/>
      <c r="HT179" s="4550"/>
      <c r="HU179" s="4550"/>
      <c r="HV179" s="4550"/>
      <c r="HW179" s="4550"/>
      <c r="HX179" s="4550"/>
      <c r="HY179" s="4550"/>
      <c r="HZ179" s="4550"/>
      <c r="IA179" s="4550"/>
      <c r="IB179" s="4550"/>
      <c r="IC179" s="4550"/>
      <c r="ID179" s="4550"/>
      <c r="IE179" s="4550"/>
    </row>
    <row r="180" spans="1:239" s="4549" customFormat="1" ht="9" customHeight="1">
      <c r="A180" s="4748"/>
      <c r="B180" s="4728" t="s">
        <v>2564</v>
      </c>
      <c r="C180" s="4592"/>
      <c r="D180" s="4593"/>
      <c r="E180" s="4988"/>
      <c r="F180" s="4594"/>
      <c r="G180" s="4537"/>
      <c r="H180" s="4537"/>
      <c r="I180" s="4537"/>
      <c r="J180" s="4537"/>
      <c r="K180" s="4537"/>
      <c r="L180" s="4537"/>
      <c r="M180" s="4537"/>
      <c r="N180" s="4537"/>
      <c r="O180" s="4537"/>
      <c r="P180" s="4537"/>
      <c r="Q180" s="4537"/>
      <c r="R180" s="4537"/>
      <c r="S180" s="4537"/>
      <c r="T180" s="4537"/>
      <c r="U180" s="4537"/>
      <c r="V180" s="4537"/>
      <c r="W180" s="4537"/>
      <c r="X180" s="4537"/>
      <c r="Y180" s="4537"/>
      <c r="Z180" s="4537"/>
      <c r="AA180" s="4537"/>
      <c r="AB180" s="4537"/>
      <c r="AC180" s="4537"/>
      <c r="AD180" s="4537"/>
      <c r="AE180" s="4537"/>
      <c r="AF180" s="4537"/>
      <c r="AG180" s="4537"/>
      <c r="AH180" s="4537"/>
      <c r="AI180" s="4537"/>
      <c r="AJ180" s="4537"/>
      <c r="AK180" s="4537"/>
      <c r="AL180" s="4537"/>
      <c r="AM180" s="4537"/>
      <c r="AN180" s="4537"/>
      <c r="AO180" s="4537"/>
      <c r="AP180" s="4537"/>
      <c r="AQ180" s="4537"/>
      <c r="AR180" s="4537"/>
      <c r="AS180" s="4550"/>
      <c r="AT180" s="4550"/>
      <c r="AU180" s="4550"/>
      <c r="AV180" s="4550"/>
      <c r="AW180" s="4550"/>
      <c r="AX180" s="4550"/>
      <c r="AY180" s="4550"/>
      <c r="AZ180" s="4550"/>
      <c r="BA180" s="4550"/>
      <c r="BB180" s="4550"/>
      <c r="BC180" s="4550"/>
      <c r="BD180" s="4550"/>
      <c r="BE180" s="4550"/>
      <c r="BF180" s="4550"/>
      <c r="BG180" s="4550"/>
      <c r="BH180" s="4550"/>
      <c r="BI180" s="4550"/>
      <c r="BJ180" s="4550"/>
      <c r="BK180" s="4550"/>
      <c r="BL180" s="4550"/>
      <c r="BM180" s="4550"/>
      <c r="BN180" s="4550"/>
      <c r="BO180" s="4550"/>
      <c r="BP180" s="4550"/>
      <c r="BQ180" s="4550"/>
      <c r="BR180" s="4550"/>
      <c r="BS180" s="4550"/>
      <c r="BT180" s="4550"/>
      <c r="BU180" s="4550"/>
      <c r="BV180" s="4550"/>
      <c r="BW180" s="4550"/>
      <c r="BX180" s="4550"/>
      <c r="BY180" s="4550"/>
      <c r="BZ180" s="4550"/>
      <c r="CA180" s="4550"/>
      <c r="CB180" s="4550"/>
      <c r="CC180" s="4550"/>
      <c r="CD180" s="4550"/>
      <c r="CE180" s="4550"/>
      <c r="CF180" s="4550"/>
      <c r="CG180" s="4550"/>
      <c r="CH180" s="4550"/>
      <c r="CI180" s="4550"/>
      <c r="CJ180" s="4550"/>
      <c r="CK180" s="4550"/>
      <c r="CL180" s="4550"/>
      <c r="CM180" s="4550"/>
      <c r="CN180" s="4550"/>
      <c r="CO180" s="4550"/>
      <c r="CP180" s="4550"/>
      <c r="CQ180" s="4550"/>
      <c r="CR180" s="4550"/>
      <c r="CS180" s="4550"/>
      <c r="CT180" s="4550"/>
      <c r="CU180" s="4550"/>
      <c r="CV180" s="4550"/>
      <c r="CW180" s="4550"/>
      <c r="CX180" s="4550"/>
      <c r="CY180" s="4550"/>
      <c r="CZ180" s="4550"/>
      <c r="DA180" s="4550"/>
      <c r="DB180" s="4550"/>
      <c r="DC180" s="4550"/>
      <c r="DD180" s="4550"/>
      <c r="DE180" s="4550"/>
      <c r="DF180" s="4550"/>
      <c r="DG180" s="4550"/>
      <c r="DH180" s="4550"/>
      <c r="DI180" s="4550"/>
      <c r="DJ180" s="4550"/>
      <c r="DK180" s="4550"/>
      <c r="DL180" s="4550"/>
      <c r="DM180" s="4550"/>
      <c r="DN180" s="4550"/>
      <c r="DO180" s="4550"/>
      <c r="DP180" s="4550"/>
      <c r="DQ180" s="4550"/>
      <c r="DR180" s="4550"/>
      <c r="DS180" s="4550"/>
      <c r="DT180" s="4550"/>
      <c r="DU180" s="4550"/>
      <c r="DV180" s="4550"/>
      <c r="DW180" s="4550"/>
      <c r="DX180" s="4550"/>
      <c r="DY180" s="4550"/>
      <c r="DZ180" s="4550"/>
      <c r="EA180" s="4550"/>
      <c r="EB180" s="4550"/>
      <c r="EC180" s="4550"/>
      <c r="ED180" s="4550"/>
      <c r="EE180" s="4550"/>
      <c r="EF180" s="4550"/>
      <c r="EG180" s="4550"/>
      <c r="EH180" s="4550"/>
      <c r="EI180" s="4550"/>
      <c r="EJ180" s="4550"/>
      <c r="EK180" s="4550"/>
      <c r="EL180" s="4550"/>
      <c r="EM180" s="4550"/>
      <c r="EN180" s="4550"/>
      <c r="EO180" s="4550"/>
      <c r="EP180" s="4550"/>
      <c r="EQ180" s="4550"/>
      <c r="ER180" s="4550"/>
      <c r="ES180" s="4550"/>
      <c r="ET180" s="4550"/>
      <c r="EU180" s="4550"/>
      <c r="EV180" s="4550"/>
      <c r="EW180" s="4550"/>
      <c r="EX180" s="4550"/>
      <c r="EY180" s="4550"/>
      <c r="EZ180" s="4550"/>
      <c r="FA180" s="4550"/>
      <c r="FB180" s="4550"/>
      <c r="FC180" s="4550"/>
      <c r="FD180" s="4550"/>
      <c r="FE180" s="4550"/>
      <c r="FF180" s="4550"/>
      <c r="FG180" s="4550"/>
      <c r="FH180" s="4550"/>
      <c r="FI180" s="4550"/>
      <c r="FJ180" s="4550"/>
      <c r="FK180" s="4550"/>
      <c r="FL180" s="4550"/>
      <c r="FM180" s="4550"/>
      <c r="FN180" s="4550"/>
      <c r="FO180" s="4550"/>
      <c r="FP180" s="4550"/>
      <c r="FQ180" s="4550"/>
      <c r="FR180" s="4550"/>
      <c r="FS180" s="4550"/>
      <c r="FT180" s="4550"/>
      <c r="FU180" s="4550"/>
      <c r="FV180" s="4550"/>
      <c r="FW180" s="4550"/>
      <c r="FX180" s="4550"/>
      <c r="FY180" s="4550"/>
      <c r="FZ180" s="4550"/>
      <c r="GA180" s="4550"/>
      <c r="GB180" s="4550"/>
      <c r="GC180" s="4550"/>
      <c r="GD180" s="4550"/>
      <c r="GE180" s="4550"/>
      <c r="GF180" s="4550"/>
      <c r="GG180" s="4550"/>
      <c r="GH180" s="4550"/>
      <c r="GI180" s="4550"/>
      <c r="GJ180" s="4550"/>
      <c r="GK180" s="4550"/>
      <c r="GL180" s="4550"/>
      <c r="GM180" s="4550"/>
      <c r="GN180" s="4550"/>
      <c r="GO180" s="4550"/>
      <c r="GP180" s="4550"/>
      <c r="GQ180" s="4550"/>
      <c r="GR180" s="4550"/>
      <c r="GS180" s="4550"/>
      <c r="GT180" s="4550"/>
      <c r="GU180" s="4550"/>
      <c r="GV180" s="4550"/>
      <c r="GW180" s="4550"/>
      <c r="GX180" s="4550"/>
      <c r="GY180" s="4550"/>
      <c r="GZ180" s="4550"/>
      <c r="HA180" s="4550"/>
      <c r="HB180" s="4550"/>
      <c r="HC180" s="4550"/>
      <c r="HD180" s="4550"/>
      <c r="HE180" s="4550"/>
      <c r="HF180" s="4550"/>
      <c r="HG180" s="4550"/>
      <c r="HH180" s="4550"/>
      <c r="HI180" s="4550"/>
      <c r="HJ180" s="4550"/>
      <c r="HK180" s="4550"/>
      <c r="HL180" s="4550"/>
      <c r="HM180" s="4550"/>
      <c r="HN180" s="4550"/>
      <c r="HO180" s="4550"/>
      <c r="HP180" s="4550"/>
      <c r="HQ180" s="4550"/>
      <c r="HR180" s="4550"/>
      <c r="HS180" s="4550"/>
      <c r="HT180" s="4550"/>
      <c r="HU180" s="4550"/>
      <c r="HV180" s="4550"/>
      <c r="HW180" s="4550"/>
      <c r="HX180" s="4550"/>
      <c r="HY180" s="4550"/>
      <c r="HZ180" s="4550"/>
      <c r="IA180" s="4550"/>
      <c r="IB180" s="4550"/>
      <c r="IC180" s="4550"/>
      <c r="ID180" s="4550"/>
      <c r="IE180" s="4550"/>
    </row>
    <row r="181" spans="1:239" s="4549" customFormat="1" ht="28.5">
      <c r="A181" s="4745">
        <v>6</v>
      </c>
      <c r="B181" s="4728" t="s">
        <v>4137</v>
      </c>
      <c r="C181" s="4592">
        <v>5.3</v>
      </c>
      <c r="D181" s="4595" t="s">
        <v>4625</v>
      </c>
      <c r="E181" s="4987"/>
      <c r="F181" s="4594">
        <f>ROUND(C181*E181,2)</f>
        <v>0</v>
      </c>
      <c r="G181" s="4537"/>
      <c r="H181" s="4537"/>
      <c r="I181" s="4537"/>
      <c r="J181" s="4537"/>
      <c r="K181" s="4537"/>
      <c r="L181" s="4537"/>
      <c r="M181" s="4537"/>
      <c r="N181" s="4537"/>
      <c r="O181" s="4537"/>
      <c r="P181" s="4537"/>
      <c r="Q181" s="4537"/>
      <c r="R181" s="4537"/>
      <c r="S181" s="4537"/>
      <c r="T181" s="4537"/>
      <c r="U181" s="4537"/>
      <c r="V181" s="4537"/>
      <c r="W181" s="4537"/>
      <c r="X181" s="4537"/>
      <c r="Y181" s="4537"/>
      <c r="Z181" s="4537"/>
      <c r="AA181" s="4537"/>
      <c r="AB181" s="4537"/>
      <c r="AC181" s="4537"/>
      <c r="AD181" s="4537"/>
      <c r="AE181" s="4537"/>
      <c r="AF181" s="4537"/>
      <c r="AG181" s="4537"/>
      <c r="AH181" s="4537"/>
      <c r="AI181" s="4537"/>
      <c r="AJ181" s="4537"/>
      <c r="AK181" s="4537"/>
      <c r="AL181" s="4537"/>
      <c r="AM181" s="4537"/>
      <c r="AN181" s="4537"/>
      <c r="AO181" s="4537"/>
      <c r="AP181" s="4537"/>
      <c r="AQ181" s="4537"/>
      <c r="AR181" s="4537"/>
      <c r="AS181" s="4550"/>
      <c r="AT181" s="4550"/>
      <c r="AU181" s="4550"/>
      <c r="AV181" s="4550"/>
      <c r="AW181" s="4550"/>
      <c r="AX181" s="4550"/>
      <c r="AY181" s="4550"/>
      <c r="AZ181" s="4550"/>
      <c r="BA181" s="4550"/>
      <c r="BB181" s="4550"/>
      <c r="BC181" s="4550"/>
      <c r="BD181" s="4550"/>
      <c r="BE181" s="4550"/>
      <c r="BF181" s="4550"/>
      <c r="BG181" s="4550"/>
      <c r="BH181" s="4550"/>
      <c r="BI181" s="4550"/>
      <c r="BJ181" s="4550"/>
      <c r="BK181" s="4550"/>
      <c r="BL181" s="4550"/>
      <c r="BM181" s="4550"/>
      <c r="BN181" s="4550"/>
      <c r="BO181" s="4550"/>
      <c r="BP181" s="4550"/>
      <c r="BQ181" s="4550"/>
      <c r="BR181" s="4550"/>
      <c r="BS181" s="4550"/>
      <c r="BT181" s="4550"/>
      <c r="BU181" s="4550"/>
      <c r="BV181" s="4550"/>
      <c r="BW181" s="4550"/>
      <c r="BX181" s="4550"/>
      <c r="BY181" s="4550"/>
      <c r="BZ181" s="4550"/>
      <c r="CA181" s="4550"/>
      <c r="CB181" s="4550"/>
      <c r="CC181" s="4550"/>
      <c r="CD181" s="4550"/>
      <c r="CE181" s="4550"/>
      <c r="CF181" s="4550"/>
      <c r="CG181" s="4550"/>
      <c r="CH181" s="4550"/>
      <c r="CI181" s="4550"/>
      <c r="CJ181" s="4550"/>
      <c r="CK181" s="4550"/>
      <c r="CL181" s="4550"/>
      <c r="CM181" s="4550"/>
      <c r="CN181" s="4550"/>
      <c r="CO181" s="4550"/>
      <c r="CP181" s="4550"/>
      <c r="CQ181" s="4550"/>
      <c r="CR181" s="4550"/>
      <c r="CS181" s="4550"/>
      <c r="CT181" s="4550"/>
      <c r="CU181" s="4550"/>
      <c r="CV181" s="4550"/>
      <c r="CW181" s="4550"/>
      <c r="CX181" s="4550"/>
      <c r="CY181" s="4550"/>
      <c r="CZ181" s="4550"/>
      <c r="DA181" s="4550"/>
      <c r="DB181" s="4550"/>
      <c r="DC181" s="4550"/>
      <c r="DD181" s="4550"/>
      <c r="DE181" s="4550"/>
      <c r="DF181" s="4550"/>
      <c r="DG181" s="4550"/>
      <c r="DH181" s="4550"/>
      <c r="DI181" s="4550"/>
      <c r="DJ181" s="4550"/>
      <c r="DK181" s="4550"/>
      <c r="DL181" s="4550"/>
      <c r="DM181" s="4550"/>
      <c r="DN181" s="4550"/>
      <c r="DO181" s="4550"/>
      <c r="DP181" s="4550"/>
      <c r="DQ181" s="4550"/>
      <c r="DR181" s="4550"/>
      <c r="DS181" s="4550"/>
      <c r="DT181" s="4550"/>
      <c r="DU181" s="4550"/>
      <c r="DV181" s="4550"/>
      <c r="DW181" s="4550"/>
      <c r="DX181" s="4550"/>
      <c r="DY181" s="4550"/>
      <c r="DZ181" s="4550"/>
      <c r="EA181" s="4550"/>
      <c r="EB181" s="4550"/>
      <c r="EC181" s="4550"/>
      <c r="ED181" s="4550"/>
      <c r="EE181" s="4550"/>
      <c r="EF181" s="4550"/>
      <c r="EG181" s="4550"/>
      <c r="EH181" s="4550"/>
      <c r="EI181" s="4550"/>
      <c r="EJ181" s="4550"/>
      <c r="EK181" s="4550"/>
      <c r="EL181" s="4550"/>
      <c r="EM181" s="4550"/>
      <c r="EN181" s="4550"/>
      <c r="EO181" s="4550"/>
      <c r="EP181" s="4550"/>
      <c r="EQ181" s="4550"/>
      <c r="ER181" s="4550"/>
      <c r="ES181" s="4550"/>
      <c r="ET181" s="4550"/>
      <c r="EU181" s="4550"/>
      <c r="EV181" s="4550"/>
      <c r="EW181" s="4550"/>
      <c r="EX181" s="4550"/>
      <c r="EY181" s="4550"/>
      <c r="EZ181" s="4550"/>
      <c r="FA181" s="4550"/>
      <c r="FB181" s="4550"/>
      <c r="FC181" s="4550"/>
      <c r="FD181" s="4550"/>
      <c r="FE181" s="4550"/>
      <c r="FF181" s="4550"/>
      <c r="FG181" s="4550"/>
      <c r="FH181" s="4550"/>
      <c r="FI181" s="4550"/>
      <c r="FJ181" s="4550"/>
      <c r="FK181" s="4550"/>
      <c r="FL181" s="4550"/>
      <c r="FM181" s="4550"/>
      <c r="FN181" s="4550"/>
      <c r="FO181" s="4550"/>
      <c r="FP181" s="4550"/>
      <c r="FQ181" s="4550"/>
      <c r="FR181" s="4550"/>
      <c r="FS181" s="4550"/>
      <c r="FT181" s="4550"/>
      <c r="FU181" s="4550"/>
      <c r="FV181" s="4550"/>
      <c r="FW181" s="4550"/>
      <c r="FX181" s="4550"/>
      <c r="FY181" s="4550"/>
      <c r="FZ181" s="4550"/>
      <c r="GA181" s="4550"/>
      <c r="GB181" s="4550"/>
      <c r="GC181" s="4550"/>
      <c r="GD181" s="4550"/>
      <c r="GE181" s="4550"/>
      <c r="GF181" s="4550"/>
      <c r="GG181" s="4550"/>
      <c r="GH181" s="4550"/>
      <c r="GI181" s="4550"/>
      <c r="GJ181" s="4550"/>
      <c r="GK181" s="4550"/>
      <c r="GL181" s="4550"/>
      <c r="GM181" s="4550"/>
      <c r="GN181" s="4550"/>
      <c r="GO181" s="4550"/>
      <c r="GP181" s="4550"/>
      <c r="GQ181" s="4550"/>
      <c r="GR181" s="4550"/>
      <c r="GS181" s="4550"/>
      <c r="GT181" s="4550"/>
      <c r="GU181" s="4550"/>
      <c r="GV181" s="4550"/>
      <c r="GW181" s="4550"/>
      <c r="GX181" s="4550"/>
      <c r="GY181" s="4550"/>
      <c r="GZ181" s="4550"/>
      <c r="HA181" s="4550"/>
      <c r="HB181" s="4550"/>
      <c r="HC181" s="4550"/>
      <c r="HD181" s="4550"/>
      <c r="HE181" s="4550"/>
      <c r="HF181" s="4550"/>
      <c r="HG181" s="4550"/>
      <c r="HH181" s="4550"/>
      <c r="HI181" s="4550"/>
      <c r="HJ181" s="4550"/>
      <c r="HK181" s="4550"/>
      <c r="HL181" s="4550"/>
      <c r="HM181" s="4550"/>
      <c r="HN181" s="4550"/>
      <c r="HO181" s="4550"/>
      <c r="HP181" s="4550"/>
      <c r="HQ181" s="4550"/>
      <c r="HR181" s="4550"/>
      <c r="HS181" s="4550"/>
      <c r="HT181" s="4550"/>
      <c r="HU181" s="4550"/>
      <c r="HV181" s="4550"/>
      <c r="HW181" s="4550"/>
      <c r="HX181" s="4550"/>
      <c r="HY181" s="4550"/>
      <c r="HZ181" s="4550"/>
      <c r="IA181" s="4550"/>
      <c r="IB181" s="4550"/>
      <c r="IC181" s="4550"/>
      <c r="ID181" s="4550"/>
      <c r="IE181" s="4550"/>
    </row>
    <row r="182" spans="1:239" s="4549" customFormat="1" ht="6" customHeight="1">
      <c r="A182" s="4745"/>
      <c r="B182" s="4728" t="s">
        <v>2564</v>
      </c>
      <c r="C182" s="4592"/>
      <c r="D182" s="4595"/>
      <c r="E182" s="4987"/>
      <c r="F182" s="4594"/>
      <c r="G182" s="4537"/>
      <c r="H182" s="4537"/>
      <c r="I182" s="4537"/>
      <c r="J182" s="4537"/>
      <c r="K182" s="4537"/>
      <c r="L182" s="4537"/>
      <c r="M182" s="4537"/>
      <c r="N182" s="4537"/>
      <c r="O182" s="4537"/>
      <c r="P182" s="4537"/>
      <c r="Q182" s="4537"/>
      <c r="R182" s="4537"/>
      <c r="S182" s="4537"/>
      <c r="T182" s="4537"/>
      <c r="U182" s="4537"/>
      <c r="V182" s="4537"/>
      <c r="W182" s="4537"/>
      <c r="X182" s="4537"/>
      <c r="Y182" s="4537"/>
      <c r="Z182" s="4537"/>
      <c r="AA182" s="4537"/>
      <c r="AB182" s="4537"/>
      <c r="AC182" s="4537"/>
      <c r="AD182" s="4537"/>
      <c r="AE182" s="4537"/>
      <c r="AF182" s="4537"/>
      <c r="AG182" s="4537"/>
      <c r="AH182" s="4537"/>
      <c r="AI182" s="4537"/>
      <c r="AJ182" s="4537"/>
      <c r="AK182" s="4537"/>
      <c r="AL182" s="4537"/>
      <c r="AM182" s="4537"/>
      <c r="AN182" s="4537"/>
      <c r="AO182" s="4537"/>
      <c r="AP182" s="4537"/>
      <c r="AQ182" s="4537"/>
      <c r="AR182" s="4537"/>
      <c r="AS182" s="4550"/>
      <c r="AT182" s="4550"/>
      <c r="AU182" s="4550"/>
      <c r="AV182" s="4550"/>
      <c r="AW182" s="4550"/>
      <c r="AX182" s="4550"/>
      <c r="AY182" s="4550"/>
      <c r="AZ182" s="4550"/>
      <c r="BA182" s="4550"/>
      <c r="BB182" s="4550"/>
      <c r="BC182" s="4550"/>
      <c r="BD182" s="4550"/>
      <c r="BE182" s="4550"/>
      <c r="BF182" s="4550"/>
      <c r="BG182" s="4550"/>
      <c r="BH182" s="4550"/>
      <c r="BI182" s="4550"/>
      <c r="BJ182" s="4550"/>
      <c r="BK182" s="4550"/>
      <c r="BL182" s="4550"/>
      <c r="BM182" s="4550"/>
      <c r="BN182" s="4550"/>
      <c r="BO182" s="4550"/>
      <c r="BP182" s="4550"/>
      <c r="BQ182" s="4550"/>
      <c r="BR182" s="4550"/>
      <c r="BS182" s="4550"/>
      <c r="BT182" s="4550"/>
      <c r="BU182" s="4550"/>
      <c r="BV182" s="4550"/>
      <c r="BW182" s="4550"/>
      <c r="BX182" s="4550"/>
      <c r="BY182" s="4550"/>
      <c r="BZ182" s="4550"/>
      <c r="CA182" s="4550"/>
      <c r="CB182" s="4550"/>
      <c r="CC182" s="4550"/>
      <c r="CD182" s="4550"/>
      <c r="CE182" s="4550"/>
      <c r="CF182" s="4550"/>
      <c r="CG182" s="4550"/>
      <c r="CH182" s="4550"/>
      <c r="CI182" s="4550"/>
      <c r="CJ182" s="4550"/>
      <c r="CK182" s="4550"/>
      <c r="CL182" s="4550"/>
      <c r="CM182" s="4550"/>
      <c r="CN182" s="4550"/>
      <c r="CO182" s="4550"/>
      <c r="CP182" s="4550"/>
      <c r="CQ182" s="4550"/>
      <c r="CR182" s="4550"/>
      <c r="CS182" s="4550"/>
      <c r="CT182" s="4550"/>
      <c r="CU182" s="4550"/>
      <c r="CV182" s="4550"/>
      <c r="CW182" s="4550"/>
      <c r="CX182" s="4550"/>
      <c r="CY182" s="4550"/>
      <c r="CZ182" s="4550"/>
      <c r="DA182" s="4550"/>
      <c r="DB182" s="4550"/>
      <c r="DC182" s="4550"/>
      <c r="DD182" s="4550"/>
      <c r="DE182" s="4550"/>
      <c r="DF182" s="4550"/>
      <c r="DG182" s="4550"/>
      <c r="DH182" s="4550"/>
      <c r="DI182" s="4550"/>
      <c r="DJ182" s="4550"/>
      <c r="DK182" s="4550"/>
      <c r="DL182" s="4550"/>
      <c r="DM182" s="4550"/>
      <c r="DN182" s="4550"/>
      <c r="DO182" s="4550"/>
      <c r="DP182" s="4550"/>
      <c r="DQ182" s="4550"/>
      <c r="DR182" s="4550"/>
      <c r="DS182" s="4550"/>
      <c r="DT182" s="4550"/>
      <c r="DU182" s="4550"/>
      <c r="DV182" s="4550"/>
      <c r="DW182" s="4550"/>
      <c r="DX182" s="4550"/>
      <c r="DY182" s="4550"/>
      <c r="DZ182" s="4550"/>
      <c r="EA182" s="4550"/>
      <c r="EB182" s="4550"/>
      <c r="EC182" s="4550"/>
      <c r="ED182" s="4550"/>
      <c r="EE182" s="4550"/>
      <c r="EF182" s="4550"/>
      <c r="EG182" s="4550"/>
      <c r="EH182" s="4550"/>
      <c r="EI182" s="4550"/>
      <c r="EJ182" s="4550"/>
      <c r="EK182" s="4550"/>
      <c r="EL182" s="4550"/>
      <c r="EM182" s="4550"/>
      <c r="EN182" s="4550"/>
      <c r="EO182" s="4550"/>
      <c r="EP182" s="4550"/>
      <c r="EQ182" s="4550"/>
      <c r="ER182" s="4550"/>
      <c r="ES182" s="4550"/>
      <c r="ET182" s="4550"/>
      <c r="EU182" s="4550"/>
      <c r="EV182" s="4550"/>
      <c r="EW182" s="4550"/>
      <c r="EX182" s="4550"/>
      <c r="EY182" s="4550"/>
      <c r="EZ182" s="4550"/>
      <c r="FA182" s="4550"/>
      <c r="FB182" s="4550"/>
      <c r="FC182" s="4550"/>
      <c r="FD182" s="4550"/>
      <c r="FE182" s="4550"/>
      <c r="FF182" s="4550"/>
      <c r="FG182" s="4550"/>
      <c r="FH182" s="4550"/>
      <c r="FI182" s="4550"/>
      <c r="FJ182" s="4550"/>
      <c r="FK182" s="4550"/>
      <c r="FL182" s="4550"/>
      <c r="FM182" s="4550"/>
      <c r="FN182" s="4550"/>
      <c r="FO182" s="4550"/>
      <c r="FP182" s="4550"/>
      <c r="FQ182" s="4550"/>
      <c r="FR182" s="4550"/>
      <c r="FS182" s="4550"/>
      <c r="FT182" s="4550"/>
      <c r="FU182" s="4550"/>
      <c r="FV182" s="4550"/>
      <c r="FW182" s="4550"/>
      <c r="FX182" s="4550"/>
      <c r="FY182" s="4550"/>
      <c r="FZ182" s="4550"/>
      <c r="GA182" s="4550"/>
      <c r="GB182" s="4550"/>
      <c r="GC182" s="4550"/>
      <c r="GD182" s="4550"/>
      <c r="GE182" s="4550"/>
      <c r="GF182" s="4550"/>
      <c r="GG182" s="4550"/>
      <c r="GH182" s="4550"/>
      <c r="GI182" s="4550"/>
      <c r="GJ182" s="4550"/>
      <c r="GK182" s="4550"/>
      <c r="GL182" s="4550"/>
      <c r="GM182" s="4550"/>
      <c r="GN182" s="4550"/>
      <c r="GO182" s="4550"/>
      <c r="GP182" s="4550"/>
      <c r="GQ182" s="4550"/>
      <c r="GR182" s="4550"/>
      <c r="GS182" s="4550"/>
      <c r="GT182" s="4550"/>
      <c r="GU182" s="4550"/>
      <c r="GV182" s="4550"/>
      <c r="GW182" s="4550"/>
      <c r="GX182" s="4550"/>
      <c r="GY182" s="4550"/>
      <c r="GZ182" s="4550"/>
      <c r="HA182" s="4550"/>
      <c r="HB182" s="4550"/>
      <c r="HC182" s="4550"/>
      <c r="HD182" s="4550"/>
      <c r="HE182" s="4550"/>
      <c r="HF182" s="4550"/>
      <c r="HG182" s="4550"/>
      <c r="HH182" s="4550"/>
      <c r="HI182" s="4550"/>
      <c r="HJ182" s="4550"/>
      <c r="HK182" s="4550"/>
      <c r="HL182" s="4550"/>
      <c r="HM182" s="4550"/>
      <c r="HN182" s="4550"/>
      <c r="HO182" s="4550"/>
      <c r="HP182" s="4550"/>
      <c r="HQ182" s="4550"/>
      <c r="HR182" s="4550"/>
      <c r="HS182" s="4550"/>
      <c r="HT182" s="4550"/>
      <c r="HU182" s="4550"/>
      <c r="HV182" s="4550"/>
      <c r="HW182" s="4550"/>
      <c r="HX182" s="4550"/>
      <c r="HY182" s="4550"/>
      <c r="HZ182" s="4550"/>
      <c r="IA182" s="4550"/>
      <c r="IB182" s="4550"/>
      <c r="IC182" s="4550"/>
      <c r="ID182" s="4550"/>
      <c r="IE182" s="4550"/>
    </row>
    <row r="183" spans="1:239" s="4549" customFormat="1" ht="15">
      <c r="A183" s="4745">
        <v>7</v>
      </c>
      <c r="B183" s="4728" t="s">
        <v>4138</v>
      </c>
      <c r="C183" s="4592">
        <v>6.06</v>
      </c>
      <c r="D183" s="4595" t="s">
        <v>4625</v>
      </c>
      <c r="E183" s="4987"/>
      <c r="F183" s="4594">
        <f>ROUND(C183*E183,2)</f>
        <v>0</v>
      </c>
      <c r="G183" s="4537"/>
      <c r="H183" s="4537"/>
      <c r="I183" s="4537"/>
      <c r="J183" s="4537"/>
      <c r="K183" s="4537"/>
      <c r="L183" s="4537"/>
      <c r="M183" s="4537"/>
      <c r="N183" s="4537"/>
      <c r="O183" s="4537"/>
      <c r="P183" s="4537"/>
      <c r="Q183" s="4537"/>
      <c r="R183" s="4537"/>
      <c r="S183" s="4537"/>
      <c r="T183" s="4537"/>
      <c r="U183" s="4537"/>
      <c r="V183" s="4537"/>
      <c r="W183" s="4537"/>
      <c r="X183" s="4537"/>
      <c r="Y183" s="4537"/>
      <c r="Z183" s="4537"/>
      <c r="AA183" s="4537"/>
      <c r="AB183" s="4537"/>
      <c r="AC183" s="4537"/>
      <c r="AD183" s="4537"/>
      <c r="AE183" s="4537"/>
      <c r="AF183" s="4537"/>
      <c r="AG183" s="4537"/>
      <c r="AH183" s="4537"/>
      <c r="AI183" s="4537"/>
      <c r="AJ183" s="4537"/>
      <c r="AK183" s="4537"/>
      <c r="AL183" s="4537"/>
      <c r="AM183" s="4537"/>
      <c r="AN183" s="4537"/>
      <c r="AO183" s="4537"/>
      <c r="AP183" s="4537"/>
      <c r="AQ183" s="4537"/>
      <c r="AR183" s="4537"/>
      <c r="AS183" s="4550"/>
      <c r="AT183" s="4550"/>
      <c r="AU183" s="4550"/>
      <c r="AV183" s="4550"/>
      <c r="AW183" s="4550"/>
      <c r="AX183" s="4550"/>
      <c r="AY183" s="4550"/>
      <c r="AZ183" s="4550"/>
      <c r="BA183" s="4550"/>
      <c r="BB183" s="4550"/>
      <c r="BC183" s="4550"/>
      <c r="BD183" s="4550"/>
      <c r="BE183" s="4550"/>
      <c r="BF183" s="4550"/>
      <c r="BG183" s="4550"/>
      <c r="BH183" s="4550"/>
      <c r="BI183" s="4550"/>
      <c r="BJ183" s="4550"/>
      <c r="BK183" s="4550"/>
      <c r="BL183" s="4550"/>
      <c r="BM183" s="4550"/>
      <c r="BN183" s="4550"/>
      <c r="BO183" s="4550"/>
      <c r="BP183" s="4550"/>
      <c r="BQ183" s="4550"/>
      <c r="BR183" s="4550"/>
      <c r="BS183" s="4550"/>
      <c r="BT183" s="4550"/>
      <c r="BU183" s="4550"/>
      <c r="BV183" s="4550"/>
      <c r="BW183" s="4550"/>
      <c r="BX183" s="4550"/>
      <c r="BY183" s="4550"/>
      <c r="BZ183" s="4550"/>
      <c r="CA183" s="4550"/>
      <c r="CB183" s="4550"/>
      <c r="CC183" s="4550"/>
      <c r="CD183" s="4550"/>
      <c r="CE183" s="4550"/>
      <c r="CF183" s="4550"/>
      <c r="CG183" s="4550"/>
      <c r="CH183" s="4550"/>
      <c r="CI183" s="4550"/>
      <c r="CJ183" s="4550"/>
      <c r="CK183" s="4550"/>
      <c r="CL183" s="4550"/>
      <c r="CM183" s="4550"/>
      <c r="CN183" s="4550"/>
      <c r="CO183" s="4550"/>
      <c r="CP183" s="4550"/>
      <c r="CQ183" s="4550"/>
      <c r="CR183" s="4550"/>
      <c r="CS183" s="4550"/>
      <c r="CT183" s="4550"/>
      <c r="CU183" s="4550"/>
      <c r="CV183" s="4550"/>
      <c r="CW183" s="4550"/>
      <c r="CX183" s="4550"/>
      <c r="CY183" s="4550"/>
      <c r="CZ183" s="4550"/>
      <c r="DA183" s="4550"/>
      <c r="DB183" s="4550"/>
      <c r="DC183" s="4550"/>
      <c r="DD183" s="4550"/>
      <c r="DE183" s="4550"/>
      <c r="DF183" s="4550"/>
      <c r="DG183" s="4550"/>
      <c r="DH183" s="4550"/>
      <c r="DI183" s="4550"/>
      <c r="DJ183" s="4550"/>
      <c r="DK183" s="4550"/>
      <c r="DL183" s="4550"/>
      <c r="DM183" s="4550"/>
      <c r="DN183" s="4550"/>
      <c r="DO183" s="4550"/>
      <c r="DP183" s="4550"/>
      <c r="DQ183" s="4550"/>
      <c r="DR183" s="4550"/>
      <c r="DS183" s="4550"/>
      <c r="DT183" s="4550"/>
      <c r="DU183" s="4550"/>
      <c r="DV183" s="4550"/>
      <c r="DW183" s="4550"/>
      <c r="DX183" s="4550"/>
      <c r="DY183" s="4550"/>
      <c r="DZ183" s="4550"/>
      <c r="EA183" s="4550"/>
      <c r="EB183" s="4550"/>
      <c r="EC183" s="4550"/>
      <c r="ED183" s="4550"/>
      <c r="EE183" s="4550"/>
      <c r="EF183" s="4550"/>
      <c r="EG183" s="4550"/>
      <c r="EH183" s="4550"/>
      <c r="EI183" s="4550"/>
      <c r="EJ183" s="4550"/>
      <c r="EK183" s="4550"/>
      <c r="EL183" s="4550"/>
      <c r="EM183" s="4550"/>
      <c r="EN183" s="4550"/>
      <c r="EO183" s="4550"/>
      <c r="EP183" s="4550"/>
      <c r="EQ183" s="4550"/>
      <c r="ER183" s="4550"/>
      <c r="ES183" s="4550"/>
      <c r="ET183" s="4550"/>
      <c r="EU183" s="4550"/>
      <c r="EV183" s="4550"/>
      <c r="EW183" s="4550"/>
      <c r="EX183" s="4550"/>
      <c r="EY183" s="4550"/>
      <c r="EZ183" s="4550"/>
      <c r="FA183" s="4550"/>
      <c r="FB183" s="4550"/>
      <c r="FC183" s="4550"/>
      <c r="FD183" s="4550"/>
      <c r="FE183" s="4550"/>
      <c r="FF183" s="4550"/>
      <c r="FG183" s="4550"/>
      <c r="FH183" s="4550"/>
      <c r="FI183" s="4550"/>
      <c r="FJ183" s="4550"/>
      <c r="FK183" s="4550"/>
      <c r="FL183" s="4550"/>
      <c r="FM183" s="4550"/>
      <c r="FN183" s="4550"/>
      <c r="FO183" s="4550"/>
      <c r="FP183" s="4550"/>
      <c r="FQ183" s="4550"/>
      <c r="FR183" s="4550"/>
      <c r="FS183" s="4550"/>
      <c r="FT183" s="4550"/>
      <c r="FU183" s="4550"/>
      <c r="FV183" s="4550"/>
      <c r="FW183" s="4550"/>
      <c r="FX183" s="4550"/>
      <c r="FY183" s="4550"/>
      <c r="FZ183" s="4550"/>
      <c r="GA183" s="4550"/>
      <c r="GB183" s="4550"/>
      <c r="GC183" s="4550"/>
      <c r="GD183" s="4550"/>
      <c r="GE183" s="4550"/>
      <c r="GF183" s="4550"/>
      <c r="GG183" s="4550"/>
      <c r="GH183" s="4550"/>
      <c r="GI183" s="4550"/>
      <c r="GJ183" s="4550"/>
      <c r="GK183" s="4550"/>
      <c r="GL183" s="4550"/>
      <c r="GM183" s="4550"/>
      <c r="GN183" s="4550"/>
      <c r="GO183" s="4550"/>
      <c r="GP183" s="4550"/>
      <c r="GQ183" s="4550"/>
      <c r="GR183" s="4550"/>
      <c r="GS183" s="4550"/>
      <c r="GT183" s="4550"/>
      <c r="GU183" s="4550"/>
      <c r="GV183" s="4550"/>
      <c r="GW183" s="4550"/>
      <c r="GX183" s="4550"/>
      <c r="GY183" s="4550"/>
      <c r="GZ183" s="4550"/>
      <c r="HA183" s="4550"/>
      <c r="HB183" s="4550"/>
      <c r="HC183" s="4550"/>
      <c r="HD183" s="4550"/>
      <c r="HE183" s="4550"/>
      <c r="HF183" s="4550"/>
      <c r="HG183" s="4550"/>
      <c r="HH183" s="4550"/>
      <c r="HI183" s="4550"/>
      <c r="HJ183" s="4550"/>
      <c r="HK183" s="4550"/>
      <c r="HL183" s="4550"/>
      <c r="HM183" s="4550"/>
      <c r="HN183" s="4550"/>
      <c r="HO183" s="4550"/>
      <c r="HP183" s="4550"/>
      <c r="HQ183" s="4550"/>
      <c r="HR183" s="4550"/>
      <c r="HS183" s="4550"/>
      <c r="HT183" s="4550"/>
      <c r="HU183" s="4550"/>
      <c r="HV183" s="4550"/>
      <c r="HW183" s="4550"/>
      <c r="HX183" s="4550"/>
      <c r="HY183" s="4550"/>
      <c r="HZ183" s="4550"/>
      <c r="IA183" s="4550"/>
      <c r="IB183" s="4550"/>
      <c r="IC183" s="4550"/>
      <c r="ID183" s="4550"/>
      <c r="IE183" s="4550"/>
    </row>
    <row r="184" spans="1:239" s="4549" customFormat="1" ht="12" customHeight="1">
      <c r="A184" s="4745"/>
      <c r="B184" s="4728" t="s">
        <v>2564</v>
      </c>
      <c r="C184" s="4592"/>
      <c r="D184" s="4593"/>
      <c r="E184" s="4987"/>
      <c r="F184" s="4594"/>
      <c r="G184" s="4537"/>
      <c r="H184" s="4537"/>
      <c r="I184" s="4537"/>
      <c r="J184" s="4537"/>
      <c r="K184" s="4537"/>
      <c r="L184" s="4537"/>
      <c r="M184" s="4537"/>
      <c r="N184" s="4537"/>
      <c r="O184" s="4537"/>
      <c r="P184" s="4537"/>
      <c r="Q184" s="4537"/>
      <c r="R184" s="4537"/>
      <c r="S184" s="4537"/>
      <c r="T184" s="4537"/>
      <c r="U184" s="4537"/>
      <c r="V184" s="4537"/>
      <c r="W184" s="4537"/>
      <c r="X184" s="4537"/>
      <c r="Y184" s="4537"/>
      <c r="Z184" s="4537"/>
      <c r="AA184" s="4537"/>
      <c r="AB184" s="4537"/>
      <c r="AC184" s="4537"/>
      <c r="AD184" s="4537"/>
      <c r="AE184" s="4537"/>
      <c r="AF184" s="4537"/>
      <c r="AG184" s="4537"/>
      <c r="AH184" s="4537"/>
      <c r="AI184" s="4537"/>
      <c r="AJ184" s="4537"/>
      <c r="AK184" s="4537"/>
      <c r="AL184" s="4537"/>
      <c r="AM184" s="4537"/>
      <c r="AN184" s="4537"/>
      <c r="AO184" s="4537"/>
      <c r="AP184" s="4537"/>
      <c r="AQ184" s="4537"/>
      <c r="AR184" s="4537"/>
      <c r="AS184" s="4550"/>
      <c r="AT184" s="4550"/>
      <c r="AU184" s="4550"/>
      <c r="AV184" s="4550"/>
      <c r="AW184" s="4550"/>
      <c r="AX184" s="4550"/>
      <c r="AY184" s="4550"/>
      <c r="AZ184" s="4550"/>
      <c r="BA184" s="4550"/>
      <c r="BB184" s="4550"/>
      <c r="BC184" s="4550"/>
      <c r="BD184" s="4550"/>
      <c r="BE184" s="4550"/>
      <c r="BF184" s="4550"/>
      <c r="BG184" s="4550"/>
      <c r="BH184" s="4550"/>
      <c r="BI184" s="4550"/>
      <c r="BJ184" s="4550"/>
      <c r="BK184" s="4550"/>
      <c r="BL184" s="4550"/>
      <c r="BM184" s="4550"/>
      <c r="BN184" s="4550"/>
      <c r="BO184" s="4550"/>
      <c r="BP184" s="4550"/>
      <c r="BQ184" s="4550"/>
      <c r="BR184" s="4550"/>
      <c r="BS184" s="4550"/>
      <c r="BT184" s="4550"/>
      <c r="BU184" s="4550"/>
      <c r="BV184" s="4550"/>
      <c r="BW184" s="4550"/>
      <c r="BX184" s="4550"/>
      <c r="BY184" s="4550"/>
      <c r="BZ184" s="4550"/>
      <c r="CA184" s="4550"/>
      <c r="CB184" s="4550"/>
      <c r="CC184" s="4550"/>
      <c r="CD184" s="4550"/>
      <c r="CE184" s="4550"/>
      <c r="CF184" s="4550"/>
      <c r="CG184" s="4550"/>
      <c r="CH184" s="4550"/>
      <c r="CI184" s="4550"/>
      <c r="CJ184" s="4550"/>
      <c r="CK184" s="4550"/>
      <c r="CL184" s="4550"/>
      <c r="CM184" s="4550"/>
      <c r="CN184" s="4550"/>
      <c r="CO184" s="4550"/>
      <c r="CP184" s="4550"/>
      <c r="CQ184" s="4550"/>
      <c r="CR184" s="4550"/>
      <c r="CS184" s="4550"/>
      <c r="CT184" s="4550"/>
      <c r="CU184" s="4550"/>
      <c r="CV184" s="4550"/>
      <c r="CW184" s="4550"/>
      <c r="CX184" s="4550"/>
      <c r="CY184" s="4550"/>
      <c r="CZ184" s="4550"/>
      <c r="DA184" s="4550"/>
      <c r="DB184" s="4550"/>
      <c r="DC184" s="4550"/>
      <c r="DD184" s="4550"/>
      <c r="DE184" s="4550"/>
      <c r="DF184" s="4550"/>
      <c r="DG184" s="4550"/>
      <c r="DH184" s="4550"/>
      <c r="DI184" s="4550"/>
      <c r="DJ184" s="4550"/>
      <c r="DK184" s="4550"/>
      <c r="DL184" s="4550"/>
      <c r="DM184" s="4550"/>
      <c r="DN184" s="4550"/>
      <c r="DO184" s="4550"/>
      <c r="DP184" s="4550"/>
      <c r="DQ184" s="4550"/>
      <c r="DR184" s="4550"/>
      <c r="DS184" s="4550"/>
      <c r="DT184" s="4550"/>
      <c r="DU184" s="4550"/>
      <c r="DV184" s="4550"/>
      <c r="DW184" s="4550"/>
      <c r="DX184" s="4550"/>
      <c r="DY184" s="4550"/>
      <c r="DZ184" s="4550"/>
      <c r="EA184" s="4550"/>
      <c r="EB184" s="4550"/>
      <c r="EC184" s="4550"/>
      <c r="ED184" s="4550"/>
      <c r="EE184" s="4550"/>
      <c r="EF184" s="4550"/>
      <c r="EG184" s="4550"/>
      <c r="EH184" s="4550"/>
      <c r="EI184" s="4550"/>
      <c r="EJ184" s="4550"/>
      <c r="EK184" s="4550"/>
      <c r="EL184" s="4550"/>
      <c r="EM184" s="4550"/>
      <c r="EN184" s="4550"/>
      <c r="EO184" s="4550"/>
      <c r="EP184" s="4550"/>
      <c r="EQ184" s="4550"/>
      <c r="ER184" s="4550"/>
      <c r="ES184" s="4550"/>
      <c r="ET184" s="4550"/>
      <c r="EU184" s="4550"/>
      <c r="EV184" s="4550"/>
      <c r="EW184" s="4550"/>
      <c r="EX184" s="4550"/>
      <c r="EY184" s="4550"/>
      <c r="EZ184" s="4550"/>
      <c r="FA184" s="4550"/>
      <c r="FB184" s="4550"/>
      <c r="FC184" s="4550"/>
      <c r="FD184" s="4550"/>
      <c r="FE184" s="4550"/>
      <c r="FF184" s="4550"/>
      <c r="FG184" s="4550"/>
      <c r="FH184" s="4550"/>
      <c r="FI184" s="4550"/>
      <c r="FJ184" s="4550"/>
      <c r="FK184" s="4550"/>
      <c r="FL184" s="4550"/>
      <c r="FM184" s="4550"/>
      <c r="FN184" s="4550"/>
      <c r="FO184" s="4550"/>
      <c r="FP184" s="4550"/>
      <c r="FQ184" s="4550"/>
      <c r="FR184" s="4550"/>
      <c r="FS184" s="4550"/>
      <c r="FT184" s="4550"/>
      <c r="FU184" s="4550"/>
      <c r="FV184" s="4550"/>
      <c r="FW184" s="4550"/>
      <c r="FX184" s="4550"/>
      <c r="FY184" s="4550"/>
      <c r="FZ184" s="4550"/>
      <c r="GA184" s="4550"/>
      <c r="GB184" s="4550"/>
      <c r="GC184" s="4550"/>
      <c r="GD184" s="4550"/>
      <c r="GE184" s="4550"/>
      <c r="GF184" s="4550"/>
      <c r="GG184" s="4550"/>
      <c r="GH184" s="4550"/>
      <c r="GI184" s="4550"/>
      <c r="GJ184" s="4550"/>
      <c r="GK184" s="4550"/>
      <c r="GL184" s="4550"/>
      <c r="GM184" s="4550"/>
      <c r="GN184" s="4550"/>
      <c r="GO184" s="4550"/>
      <c r="GP184" s="4550"/>
      <c r="GQ184" s="4550"/>
      <c r="GR184" s="4550"/>
      <c r="GS184" s="4550"/>
      <c r="GT184" s="4550"/>
      <c r="GU184" s="4550"/>
      <c r="GV184" s="4550"/>
      <c r="GW184" s="4550"/>
      <c r="GX184" s="4550"/>
      <c r="GY184" s="4550"/>
      <c r="GZ184" s="4550"/>
      <c r="HA184" s="4550"/>
      <c r="HB184" s="4550"/>
      <c r="HC184" s="4550"/>
      <c r="HD184" s="4550"/>
      <c r="HE184" s="4550"/>
      <c r="HF184" s="4550"/>
      <c r="HG184" s="4550"/>
      <c r="HH184" s="4550"/>
      <c r="HI184" s="4550"/>
      <c r="HJ184" s="4550"/>
      <c r="HK184" s="4550"/>
      <c r="HL184" s="4550"/>
      <c r="HM184" s="4550"/>
      <c r="HN184" s="4550"/>
      <c r="HO184" s="4550"/>
      <c r="HP184" s="4550"/>
      <c r="HQ184" s="4550"/>
      <c r="HR184" s="4550"/>
      <c r="HS184" s="4550"/>
      <c r="HT184" s="4550"/>
      <c r="HU184" s="4550"/>
      <c r="HV184" s="4550"/>
      <c r="HW184" s="4550"/>
      <c r="HX184" s="4550"/>
      <c r="HY184" s="4550"/>
      <c r="HZ184" s="4550"/>
      <c r="IA184" s="4550"/>
      <c r="IB184" s="4550"/>
      <c r="IC184" s="4550"/>
      <c r="ID184" s="4550"/>
      <c r="IE184" s="4550"/>
    </row>
    <row r="185" spans="1:239" s="4549" customFormat="1" ht="29.25" customHeight="1">
      <c r="A185" s="4745">
        <v>8</v>
      </c>
      <c r="B185" s="4728" t="s">
        <v>4139</v>
      </c>
      <c r="C185" s="4592">
        <v>1</v>
      </c>
      <c r="D185" s="4596" t="s">
        <v>2433</v>
      </c>
      <c r="E185" s="4987"/>
      <c r="F185" s="4594">
        <f>ROUND(C185*E185,2)</f>
        <v>0</v>
      </c>
      <c r="G185" s="4537"/>
      <c r="H185" s="4537"/>
      <c r="I185" s="4537"/>
      <c r="J185" s="4537"/>
      <c r="K185" s="4537"/>
      <c r="L185" s="4537"/>
      <c r="M185" s="4537"/>
      <c r="N185" s="4537"/>
      <c r="O185" s="4537"/>
      <c r="P185" s="4537"/>
      <c r="Q185" s="4537"/>
      <c r="R185" s="4537"/>
      <c r="S185" s="4537"/>
      <c r="T185" s="4537"/>
      <c r="U185" s="4537"/>
      <c r="V185" s="4537"/>
      <c r="W185" s="4537"/>
      <c r="X185" s="4537"/>
      <c r="Y185" s="4537"/>
      <c r="Z185" s="4537"/>
      <c r="AA185" s="4537"/>
      <c r="AB185" s="4537"/>
      <c r="AC185" s="4537"/>
      <c r="AD185" s="4537"/>
      <c r="AE185" s="4537"/>
      <c r="AF185" s="4537"/>
      <c r="AG185" s="4537"/>
      <c r="AH185" s="4537"/>
      <c r="AI185" s="4537"/>
      <c r="AJ185" s="4537"/>
      <c r="AK185" s="4537"/>
      <c r="AL185" s="4537"/>
      <c r="AM185" s="4537"/>
      <c r="AN185" s="4537"/>
      <c r="AO185" s="4537"/>
      <c r="AP185" s="4537"/>
      <c r="AQ185" s="4537"/>
      <c r="AR185" s="4537"/>
      <c r="AS185" s="4550"/>
      <c r="AT185" s="4550"/>
      <c r="AU185" s="4550"/>
      <c r="AV185" s="4550"/>
      <c r="AW185" s="4550"/>
      <c r="AX185" s="4550"/>
      <c r="AY185" s="4550"/>
      <c r="AZ185" s="4550"/>
      <c r="BA185" s="4550"/>
      <c r="BB185" s="4550"/>
      <c r="BC185" s="4550"/>
      <c r="BD185" s="4550"/>
      <c r="BE185" s="4550"/>
      <c r="BF185" s="4550"/>
      <c r="BG185" s="4550"/>
      <c r="BH185" s="4550"/>
      <c r="BI185" s="4550"/>
      <c r="BJ185" s="4550"/>
      <c r="BK185" s="4550"/>
      <c r="BL185" s="4550"/>
      <c r="BM185" s="4550"/>
      <c r="BN185" s="4550"/>
      <c r="BO185" s="4550"/>
      <c r="BP185" s="4550"/>
      <c r="BQ185" s="4550"/>
      <c r="BR185" s="4550"/>
      <c r="BS185" s="4550"/>
      <c r="BT185" s="4550"/>
      <c r="BU185" s="4550"/>
      <c r="BV185" s="4550"/>
      <c r="BW185" s="4550"/>
      <c r="BX185" s="4550"/>
      <c r="BY185" s="4550"/>
      <c r="BZ185" s="4550"/>
      <c r="CA185" s="4550"/>
      <c r="CB185" s="4550"/>
      <c r="CC185" s="4550"/>
      <c r="CD185" s="4550"/>
      <c r="CE185" s="4550"/>
      <c r="CF185" s="4550"/>
      <c r="CG185" s="4550"/>
      <c r="CH185" s="4550"/>
      <c r="CI185" s="4550"/>
      <c r="CJ185" s="4550"/>
      <c r="CK185" s="4550"/>
      <c r="CL185" s="4550"/>
      <c r="CM185" s="4550"/>
      <c r="CN185" s="4550"/>
      <c r="CO185" s="4550"/>
      <c r="CP185" s="4550"/>
      <c r="CQ185" s="4550"/>
      <c r="CR185" s="4550"/>
      <c r="CS185" s="4550"/>
      <c r="CT185" s="4550"/>
      <c r="CU185" s="4550"/>
      <c r="CV185" s="4550"/>
      <c r="CW185" s="4550"/>
      <c r="CX185" s="4550"/>
      <c r="CY185" s="4550"/>
      <c r="CZ185" s="4550"/>
      <c r="DA185" s="4550"/>
      <c r="DB185" s="4550"/>
      <c r="DC185" s="4550"/>
      <c r="DD185" s="4550"/>
      <c r="DE185" s="4550"/>
      <c r="DF185" s="4550"/>
      <c r="DG185" s="4550"/>
      <c r="DH185" s="4550"/>
      <c r="DI185" s="4550"/>
      <c r="DJ185" s="4550"/>
      <c r="DK185" s="4550"/>
      <c r="DL185" s="4550"/>
      <c r="DM185" s="4550"/>
      <c r="DN185" s="4550"/>
      <c r="DO185" s="4550"/>
      <c r="DP185" s="4550"/>
      <c r="DQ185" s="4550"/>
      <c r="DR185" s="4550"/>
      <c r="DS185" s="4550"/>
      <c r="DT185" s="4550"/>
      <c r="DU185" s="4550"/>
      <c r="DV185" s="4550"/>
      <c r="DW185" s="4550"/>
      <c r="DX185" s="4550"/>
      <c r="DY185" s="4550"/>
      <c r="DZ185" s="4550"/>
      <c r="EA185" s="4550"/>
      <c r="EB185" s="4550"/>
      <c r="EC185" s="4550"/>
      <c r="ED185" s="4550"/>
      <c r="EE185" s="4550"/>
      <c r="EF185" s="4550"/>
      <c r="EG185" s="4550"/>
      <c r="EH185" s="4550"/>
      <c r="EI185" s="4550"/>
      <c r="EJ185" s="4550"/>
      <c r="EK185" s="4550"/>
      <c r="EL185" s="4550"/>
      <c r="EM185" s="4550"/>
      <c r="EN185" s="4550"/>
      <c r="EO185" s="4550"/>
      <c r="EP185" s="4550"/>
      <c r="EQ185" s="4550"/>
      <c r="ER185" s="4550"/>
      <c r="ES185" s="4550"/>
      <c r="ET185" s="4550"/>
      <c r="EU185" s="4550"/>
      <c r="EV185" s="4550"/>
      <c r="EW185" s="4550"/>
      <c r="EX185" s="4550"/>
      <c r="EY185" s="4550"/>
      <c r="EZ185" s="4550"/>
      <c r="FA185" s="4550"/>
      <c r="FB185" s="4550"/>
      <c r="FC185" s="4550"/>
      <c r="FD185" s="4550"/>
      <c r="FE185" s="4550"/>
      <c r="FF185" s="4550"/>
      <c r="FG185" s="4550"/>
      <c r="FH185" s="4550"/>
      <c r="FI185" s="4550"/>
      <c r="FJ185" s="4550"/>
      <c r="FK185" s="4550"/>
      <c r="FL185" s="4550"/>
      <c r="FM185" s="4550"/>
      <c r="FN185" s="4550"/>
      <c r="FO185" s="4550"/>
      <c r="FP185" s="4550"/>
      <c r="FQ185" s="4550"/>
      <c r="FR185" s="4550"/>
      <c r="FS185" s="4550"/>
      <c r="FT185" s="4550"/>
      <c r="FU185" s="4550"/>
      <c r="FV185" s="4550"/>
      <c r="FW185" s="4550"/>
      <c r="FX185" s="4550"/>
      <c r="FY185" s="4550"/>
      <c r="FZ185" s="4550"/>
      <c r="GA185" s="4550"/>
      <c r="GB185" s="4550"/>
      <c r="GC185" s="4550"/>
      <c r="GD185" s="4550"/>
      <c r="GE185" s="4550"/>
      <c r="GF185" s="4550"/>
      <c r="GG185" s="4550"/>
      <c r="GH185" s="4550"/>
      <c r="GI185" s="4550"/>
      <c r="GJ185" s="4550"/>
      <c r="GK185" s="4550"/>
      <c r="GL185" s="4550"/>
      <c r="GM185" s="4550"/>
      <c r="GN185" s="4550"/>
      <c r="GO185" s="4550"/>
      <c r="GP185" s="4550"/>
      <c r="GQ185" s="4550"/>
      <c r="GR185" s="4550"/>
      <c r="GS185" s="4550"/>
      <c r="GT185" s="4550"/>
      <c r="GU185" s="4550"/>
      <c r="GV185" s="4550"/>
      <c r="GW185" s="4550"/>
      <c r="GX185" s="4550"/>
      <c r="GY185" s="4550"/>
      <c r="GZ185" s="4550"/>
      <c r="HA185" s="4550"/>
      <c r="HB185" s="4550"/>
      <c r="HC185" s="4550"/>
      <c r="HD185" s="4550"/>
      <c r="HE185" s="4550"/>
      <c r="HF185" s="4550"/>
      <c r="HG185" s="4550"/>
      <c r="HH185" s="4550"/>
      <c r="HI185" s="4550"/>
      <c r="HJ185" s="4550"/>
      <c r="HK185" s="4550"/>
      <c r="HL185" s="4550"/>
      <c r="HM185" s="4550"/>
      <c r="HN185" s="4550"/>
      <c r="HO185" s="4550"/>
      <c r="HP185" s="4550"/>
      <c r="HQ185" s="4550"/>
      <c r="HR185" s="4550"/>
      <c r="HS185" s="4550"/>
      <c r="HT185" s="4550"/>
      <c r="HU185" s="4550"/>
      <c r="HV185" s="4550"/>
      <c r="HW185" s="4550"/>
      <c r="HX185" s="4550"/>
      <c r="HY185" s="4550"/>
      <c r="HZ185" s="4550"/>
      <c r="IA185" s="4550"/>
      <c r="IB185" s="4550"/>
      <c r="IC185" s="4550"/>
      <c r="ID185" s="4550"/>
      <c r="IE185" s="4550"/>
    </row>
    <row r="186" spans="1:239" s="4549" customFormat="1" ht="7.5" customHeight="1">
      <c r="A186" s="4745"/>
      <c r="B186" s="4728"/>
      <c r="C186" s="4592"/>
      <c r="D186" s="4593"/>
      <c r="E186" s="4988"/>
      <c r="F186" s="4594"/>
      <c r="G186" s="4537"/>
      <c r="H186" s="4537"/>
      <c r="I186" s="4537"/>
      <c r="J186" s="4537"/>
      <c r="K186" s="4537"/>
      <c r="L186" s="4537"/>
      <c r="M186" s="4537"/>
      <c r="N186" s="4537"/>
      <c r="O186" s="4537"/>
      <c r="P186" s="4537"/>
      <c r="Q186" s="4537"/>
      <c r="R186" s="4537"/>
      <c r="S186" s="4537"/>
      <c r="T186" s="4537"/>
      <c r="U186" s="4537"/>
      <c r="V186" s="4537"/>
      <c r="W186" s="4537"/>
      <c r="X186" s="4537"/>
      <c r="Y186" s="4537"/>
      <c r="Z186" s="4537"/>
      <c r="AA186" s="4537"/>
      <c r="AB186" s="4537"/>
      <c r="AC186" s="4537"/>
      <c r="AD186" s="4537"/>
      <c r="AE186" s="4537"/>
      <c r="AF186" s="4537"/>
      <c r="AG186" s="4537"/>
      <c r="AH186" s="4537"/>
      <c r="AI186" s="4537"/>
      <c r="AJ186" s="4537"/>
      <c r="AK186" s="4537"/>
      <c r="AL186" s="4537"/>
      <c r="AM186" s="4537"/>
      <c r="AN186" s="4537"/>
      <c r="AO186" s="4537"/>
      <c r="AP186" s="4537"/>
      <c r="AQ186" s="4537"/>
      <c r="AR186" s="4537"/>
      <c r="AS186" s="4550"/>
      <c r="AT186" s="4550"/>
      <c r="AU186" s="4550"/>
      <c r="AV186" s="4550"/>
      <c r="AW186" s="4550"/>
      <c r="AX186" s="4550"/>
      <c r="AY186" s="4550"/>
      <c r="AZ186" s="4550"/>
      <c r="BA186" s="4550"/>
      <c r="BB186" s="4550"/>
      <c r="BC186" s="4550"/>
      <c r="BD186" s="4550"/>
      <c r="BE186" s="4550"/>
      <c r="BF186" s="4550"/>
      <c r="BG186" s="4550"/>
      <c r="BH186" s="4550"/>
      <c r="BI186" s="4550"/>
      <c r="BJ186" s="4550"/>
      <c r="BK186" s="4550"/>
      <c r="BL186" s="4550"/>
      <c r="BM186" s="4550"/>
      <c r="BN186" s="4550"/>
      <c r="BO186" s="4550"/>
      <c r="BP186" s="4550"/>
      <c r="BQ186" s="4550"/>
      <c r="BR186" s="4550"/>
      <c r="BS186" s="4550"/>
      <c r="BT186" s="4550"/>
      <c r="BU186" s="4550"/>
      <c r="BV186" s="4550"/>
      <c r="BW186" s="4550"/>
      <c r="BX186" s="4550"/>
      <c r="BY186" s="4550"/>
      <c r="BZ186" s="4550"/>
      <c r="CA186" s="4550"/>
      <c r="CB186" s="4550"/>
      <c r="CC186" s="4550"/>
      <c r="CD186" s="4550"/>
      <c r="CE186" s="4550"/>
      <c r="CF186" s="4550"/>
      <c r="CG186" s="4550"/>
      <c r="CH186" s="4550"/>
      <c r="CI186" s="4550"/>
      <c r="CJ186" s="4550"/>
      <c r="CK186" s="4550"/>
      <c r="CL186" s="4550"/>
      <c r="CM186" s="4550"/>
      <c r="CN186" s="4550"/>
      <c r="CO186" s="4550"/>
      <c r="CP186" s="4550"/>
      <c r="CQ186" s="4550"/>
      <c r="CR186" s="4550"/>
      <c r="CS186" s="4550"/>
      <c r="CT186" s="4550"/>
      <c r="CU186" s="4550"/>
      <c r="CV186" s="4550"/>
      <c r="CW186" s="4550"/>
      <c r="CX186" s="4550"/>
      <c r="CY186" s="4550"/>
      <c r="CZ186" s="4550"/>
      <c r="DA186" s="4550"/>
      <c r="DB186" s="4550"/>
      <c r="DC186" s="4550"/>
      <c r="DD186" s="4550"/>
      <c r="DE186" s="4550"/>
      <c r="DF186" s="4550"/>
      <c r="DG186" s="4550"/>
      <c r="DH186" s="4550"/>
      <c r="DI186" s="4550"/>
      <c r="DJ186" s="4550"/>
      <c r="DK186" s="4550"/>
      <c r="DL186" s="4550"/>
      <c r="DM186" s="4550"/>
      <c r="DN186" s="4550"/>
      <c r="DO186" s="4550"/>
      <c r="DP186" s="4550"/>
      <c r="DQ186" s="4550"/>
      <c r="DR186" s="4550"/>
      <c r="DS186" s="4550"/>
      <c r="DT186" s="4550"/>
      <c r="DU186" s="4550"/>
      <c r="DV186" s="4550"/>
      <c r="DW186" s="4550"/>
      <c r="DX186" s="4550"/>
      <c r="DY186" s="4550"/>
      <c r="DZ186" s="4550"/>
      <c r="EA186" s="4550"/>
      <c r="EB186" s="4550"/>
      <c r="EC186" s="4550"/>
      <c r="ED186" s="4550"/>
      <c r="EE186" s="4550"/>
      <c r="EF186" s="4550"/>
      <c r="EG186" s="4550"/>
      <c r="EH186" s="4550"/>
      <c r="EI186" s="4550"/>
      <c r="EJ186" s="4550"/>
      <c r="EK186" s="4550"/>
      <c r="EL186" s="4550"/>
      <c r="EM186" s="4550"/>
      <c r="EN186" s="4550"/>
      <c r="EO186" s="4550"/>
      <c r="EP186" s="4550"/>
      <c r="EQ186" s="4550"/>
      <c r="ER186" s="4550"/>
      <c r="ES186" s="4550"/>
      <c r="ET186" s="4550"/>
      <c r="EU186" s="4550"/>
      <c r="EV186" s="4550"/>
      <c r="EW186" s="4550"/>
      <c r="EX186" s="4550"/>
      <c r="EY186" s="4550"/>
      <c r="EZ186" s="4550"/>
      <c r="FA186" s="4550"/>
      <c r="FB186" s="4550"/>
      <c r="FC186" s="4550"/>
      <c r="FD186" s="4550"/>
      <c r="FE186" s="4550"/>
      <c r="FF186" s="4550"/>
      <c r="FG186" s="4550"/>
      <c r="FH186" s="4550"/>
      <c r="FI186" s="4550"/>
      <c r="FJ186" s="4550"/>
      <c r="FK186" s="4550"/>
      <c r="FL186" s="4550"/>
      <c r="FM186" s="4550"/>
      <c r="FN186" s="4550"/>
      <c r="FO186" s="4550"/>
      <c r="FP186" s="4550"/>
      <c r="FQ186" s="4550"/>
      <c r="FR186" s="4550"/>
      <c r="FS186" s="4550"/>
      <c r="FT186" s="4550"/>
      <c r="FU186" s="4550"/>
      <c r="FV186" s="4550"/>
      <c r="FW186" s="4550"/>
      <c r="FX186" s="4550"/>
      <c r="FY186" s="4550"/>
      <c r="FZ186" s="4550"/>
      <c r="GA186" s="4550"/>
      <c r="GB186" s="4550"/>
      <c r="GC186" s="4550"/>
      <c r="GD186" s="4550"/>
      <c r="GE186" s="4550"/>
      <c r="GF186" s="4550"/>
      <c r="GG186" s="4550"/>
      <c r="GH186" s="4550"/>
      <c r="GI186" s="4550"/>
      <c r="GJ186" s="4550"/>
      <c r="GK186" s="4550"/>
      <c r="GL186" s="4550"/>
      <c r="GM186" s="4550"/>
      <c r="GN186" s="4550"/>
      <c r="GO186" s="4550"/>
      <c r="GP186" s="4550"/>
      <c r="GQ186" s="4550"/>
      <c r="GR186" s="4550"/>
      <c r="GS186" s="4550"/>
      <c r="GT186" s="4550"/>
      <c r="GU186" s="4550"/>
      <c r="GV186" s="4550"/>
      <c r="GW186" s="4550"/>
      <c r="GX186" s="4550"/>
      <c r="GY186" s="4550"/>
      <c r="GZ186" s="4550"/>
      <c r="HA186" s="4550"/>
      <c r="HB186" s="4550"/>
      <c r="HC186" s="4550"/>
      <c r="HD186" s="4550"/>
      <c r="HE186" s="4550"/>
      <c r="HF186" s="4550"/>
      <c r="HG186" s="4550"/>
      <c r="HH186" s="4550"/>
      <c r="HI186" s="4550"/>
      <c r="HJ186" s="4550"/>
      <c r="HK186" s="4550"/>
      <c r="HL186" s="4550"/>
      <c r="HM186" s="4550"/>
      <c r="HN186" s="4550"/>
      <c r="HO186" s="4550"/>
      <c r="HP186" s="4550"/>
      <c r="HQ186" s="4550"/>
      <c r="HR186" s="4550"/>
      <c r="HS186" s="4550"/>
      <c r="HT186" s="4550"/>
      <c r="HU186" s="4550"/>
      <c r="HV186" s="4550"/>
      <c r="HW186" s="4550"/>
      <c r="HX186" s="4550"/>
      <c r="HY186" s="4550"/>
      <c r="HZ186" s="4550"/>
      <c r="IA186" s="4550"/>
      <c r="IB186" s="4550"/>
      <c r="IC186" s="4550"/>
      <c r="ID186" s="4550"/>
      <c r="IE186" s="4550"/>
    </row>
    <row r="187" spans="1:239" s="4549" customFormat="1" ht="15">
      <c r="A187" s="4745">
        <v>9</v>
      </c>
      <c r="B187" s="4728" t="s">
        <v>4568</v>
      </c>
      <c r="C187" s="4592">
        <v>5.16</v>
      </c>
      <c r="D187" s="4593" t="s">
        <v>155</v>
      </c>
      <c r="E187" s="4987"/>
      <c r="F187" s="4594">
        <f>ROUND(C187*E187,2)</f>
        <v>0</v>
      </c>
      <c r="G187" s="4537"/>
      <c r="H187" s="4537"/>
      <c r="I187" s="4537"/>
      <c r="J187" s="4537"/>
      <c r="K187" s="4537"/>
      <c r="L187" s="4537"/>
      <c r="M187" s="4537"/>
      <c r="N187" s="4537"/>
      <c r="O187" s="4537"/>
      <c r="P187" s="4537"/>
      <c r="Q187" s="4537"/>
      <c r="R187" s="4537"/>
      <c r="S187" s="4537"/>
      <c r="T187" s="4537"/>
      <c r="U187" s="4537"/>
      <c r="V187" s="4537"/>
      <c r="W187" s="4537"/>
      <c r="X187" s="4537"/>
      <c r="Y187" s="4537"/>
      <c r="Z187" s="4537"/>
      <c r="AA187" s="4537"/>
      <c r="AB187" s="4537"/>
      <c r="AC187" s="4537"/>
      <c r="AD187" s="4537"/>
      <c r="AE187" s="4537"/>
      <c r="AF187" s="4537"/>
      <c r="AG187" s="4537"/>
      <c r="AH187" s="4537"/>
      <c r="AI187" s="4537"/>
      <c r="AJ187" s="4537"/>
      <c r="AK187" s="4537"/>
      <c r="AL187" s="4537"/>
      <c r="AM187" s="4537"/>
      <c r="AN187" s="4537"/>
      <c r="AO187" s="4537"/>
      <c r="AP187" s="4537"/>
      <c r="AQ187" s="4537"/>
      <c r="AR187" s="4537"/>
      <c r="AS187" s="4550"/>
      <c r="AT187" s="4550"/>
      <c r="AU187" s="4550"/>
      <c r="AV187" s="4550"/>
      <c r="AW187" s="4550"/>
      <c r="AX187" s="4550"/>
      <c r="AY187" s="4550"/>
      <c r="AZ187" s="4550"/>
      <c r="BA187" s="4550"/>
      <c r="BB187" s="4550"/>
      <c r="BC187" s="4550"/>
      <c r="BD187" s="4550"/>
      <c r="BE187" s="4550"/>
      <c r="BF187" s="4550"/>
      <c r="BG187" s="4550"/>
      <c r="BH187" s="4550"/>
      <c r="BI187" s="4550"/>
      <c r="BJ187" s="4550"/>
      <c r="BK187" s="4550"/>
      <c r="BL187" s="4550"/>
      <c r="BM187" s="4550"/>
      <c r="BN187" s="4550"/>
      <c r="BO187" s="4550"/>
      <c r="BP187" s="4550"/>
      <c r="BQ187" s="4550"/>
      <c r="BR187" s="4550"/>
      <c r="BS187" s="4550"/>
      <c r="BT187" s="4550"/>
      <c r="BU187" s="4550"/>
      <c r="BV187" s="4550"/>
      <c r="BW187" s="4550"/>
      <c r="BX187" s="4550"/>
      <c r="BY187" s="4550"/>
      <c r="BZ187" s="4550"/>
      <c r="CA187" s="4550"/>
      <c r="CB187" s="4550"/>
      <c r="CC187" s="4550"/>
      <c r="CD187" s="4550"/>
      <c r="CE187" s="4550"/>
      <c r="CF187" s="4550"/>
      <c r="CG187" s="4550"/>
      <c r="CH187" s="4550"/>
      <c r="CI187" s="4550"/>
      <c r="CJ187" s="4550"/>
      <c r="CK187" s="4550"/>
      <c r="CL187" s="4550"/>
      <c r="CM187" s="4550"/>
      <c r="CN187" s="4550"/>
      <c r="CO187" s="4550"/>
      <c r="CP187" s="4550"/>
      <c r="CQ187" s="4550"/>
      <c r="CR187" s="4550"/>
      <c r="CS187" s="4550"/>
      <c r="CT187" s="4550"/>
      <c r="CU187" s="4550"/>
      <c r="CV187" s="4550"/>
      <c r="CW187" s="4550"/>
      <c r="CX187" s="4550"/>
      <c r="CY187" s="4550"/>
      <c r="CZ187" s="4550"/>
      <c r="DA187" s="4550"/>
      <c r="DB187" s="4550"/>
      <c r="DC187" s="4550"/>
      <c r="DD187" s="4550"/>
      <c r="DE187" s="4550"/>
      <c r="DF187" s="4550"/>
      <c r="DG187" s="4550"/>
      <c r="DH187" s="4550"/>
      <c r="DI187" s="4550"/>
      <c r="DJ187" s="4550"/>
      <c r="DK187" s="4550"/>
      <c r="DL187" s="4550"/>
      <c r="DM187" s="4550"/>
      <c r="DN187" s="4550"/>
      <c r="DO187" s="4550"/>
      <c r="DP187" s="4550"/>
      <c r="DQ187" s="4550"/>
      <c r="DR187" s="4550"/>
      <c r="DS187" s="4550"/>
      <c r="DT187" s="4550"/>
      <c r="DU187" s="4550"/>
      <c r="DV187" s="4550"/>
      <c r="DW187" s="4550"/>
      <c r="DX187" s="4550"/>
      <c r="DY187" s="4550"/>
      <c r="DZ187" s="4550"/>
      <c r="EA187" s="4550"/>
      <c r="EB187" s="4550"/>
      <c r="EC187" s="4550"/>
      <c r="ED187" s="4550"/>
      <c r="EE187" s="4550"/>
      <c r="EF187" s="4550"/>
      <c r="EG187" s="4550"/>
      <c r="EH187" s="4550"/>
      <c r="EI187" s="4550"/>
      <c r="EJ187" s="4550"/>
      <c r="EK187" s="4550"/>
      <c r="EL187" s="4550"/>
      <c r="EM187" s="4550"/>
      <c r="EN187" s="4550"/>
      <c r="EO187" s="4550"/>
      <c r="EP187" s="4550"/>
      <c r="EQ187" s="4550"/>
      <c r="ER187" s="4550"/>
      <c r="ES187" s="4550"/>
      <c r="ET187" s="4550"/>
      <c r="EU187" s="4550"/>
      <c r="EV187" s="4550"/>
      <c r="EW187" s="4550"/>
      <c r="EX187" s="4550"/>
      <c r="EY187" s="4550"/>
      <c r="EZ187" s="4550"/>
      <c r="FA187" s="4550"/>
      <c r="FB187" s="4550"/>
      <c r="FC187" s="4550"/>
      <c r="FD187" s="4550"/>
      <c r="FE187" s="4550"/>
      <c r="FF187" s="4550"/>
      <c r="FG187" s="4550"/>
      <c r="FH187" s="4550"/>
      <c r="FI187" s="4550"/>
      <c r="FJ187" s="4550"/>
      <c r="FK187" s="4550"/>
      <c r="FL187" s="4550"/>
      <c r="FM187" s="4550"/>
      <c r="FN187" s="4550"/>
      <c r="FO187" s="4550"/>
      <c r="FP187" s="4550"/>
      <c r="FQ187" s="4550"/>
      <c r="FR187" s="4550"/>
      <c r="FS187" s="4550"/>
      <c r="FT187" s="4550"/>
      <c r="FU187" s="4550"/>
      <c r="FV187" s="4550"/>
      <c r="FW187" s="4550"/>
      <c r="FX187" s="4550"/>
      <c r="FY187" s="4550"/>
      <c r="FZ187" s="4550"/>
      <c r="GA187" s="4550"/>
      <c r="GB187" s="4550"/>
      <c r="GC187" s="4550"/>
      <c r="GD187" s="4550"/>
      <c r="GE187" s="4550"/>
      <c r="GF187" s="4550"/>
      <c r="GG187" s="4550"/>
      <c r="GH187" s="4550"/>
      <c r="GI187" s="4550"/>
      <c r="GJ187" s="4550"/>
      <c r="GK187" s="4550"/>
      <c r="GL187" s="4550"/>
      <c r="GM187" s="4550"/>
      <c r="GN187" s="4550"/>
      <c r="GO187" s="4550"/>
      <c r="GP187" s="4550"/>
      <c r="GQ187" s="4550"/>
      <c r="GR187" s="4550"/>
      <c r="GS187" s="4550"/>
      <c r="GT187" s="4550"/>
      <c r="GU187" s="4550"/>
      <c r="GV187" s="4550"/>
      <c r="GW187" s="4550"/>
      <c r="GX187" s="4550"/>
      <c r="GY187" s="4550"/>
      <c r="GZ187" s="4550"/>
      <c r="HA187" s="4550"/>
      <c r="HB187" s="4550"/>
      <c r="HC187" s="4550"/>
      <c r="HD187" s="4550"/>
      <c r="HE187" s="4550"/>
      <c r="HF187" s="4550"/>
      <c r="HG187" s="4550"/>
      <c r="HH187" s="4550"/>
      <c r="HI187" s="4550"/>
      <c r="HJ187" s="4550"/>
      <c r="HK187" s="4550"/>
      <c r="HL187" s="4550"/>
      <c r="HM187" s="4550"/>
      <c r="HN187" s="4550"/>
      <c r="HO187" s="4550"/>
      <c r="HP187" s="4550"/>
      <c r="HQ187" s="4550"/>
      <c r="HR187" s="4550"/>
      <c r="HS187" s="4550"/>
      <c r="HT187" s="4550"/>
      <c r="HU187" s="4550"/>
      <c r="HV187" s="4550"/>
      <c r="HW187" s="4550"/>
      <c r="HX187" s="4550"/>
      <c r="HY187" s="4550"/>
      <c r="HZ187" s="4550"/>
      <c r="IA187" s="4550"/>
      <c r="IB187" s="4550"/>
      <c r="IC187" s="4550"/>
      <c r="ID187" s="4550"/>
      <c r="IE187" s="4550"/>
    </row>
    <row r="188" spans="1:239" s="4549" customFormat="1" ht="8.25" customHeight="1">
      <c r="A188" s="4748"/>
      <c r="B188" s="4749"/>
      <c r="C188" s="4592"/>
      <c r="D188" s="4593"/>
      <c r="E188" s="4987"/>
      <c r="F188" s="4594"/>
      <c r="G188" s="4537"/>
      <c r="H188" s="4537"/>
      <c r="I188" s="4537"/>
      <c r="J188" s="4537"/>
      <c r="K188" s="4537"/>
      <c r="L188" s="4537"/>
      <c r="M188" s="4537"/>
      <c r="N188" s="4537"/>
      <c r="O188" s="4537"/>
      <c r="P188" s="4537"/>
      <c r="Q188" s="4537"/>
      <c r="R188" s="4537"/>
      <c r="S188" s="4537"/>
      <c r="T188" s="4537"/>
      <c r="U188" s="4537"/>
      <c r="V188" s="4537"/>
      <c r="W188" s="4537"/>
      <c r="X188" s="4537"/>
      <c r="Y188" s="4537"/>
      <c r="Z188" s="4537"/>
      <c r="AA188" s="4537"/>
      <c r="AB188" s="4537"/>
      <c r="AC188" s="4537"/>
      <c r="AD188" s="4537"/>
      <c r="AE188" s="4537"/>
      <c r="AF188" s="4537"/>
      <c r="AG188" s="4537"/>
      <c r="AH188" s="4537"/>
      <c r="AI188" s="4537"/>
      <c r="AJ188" s="4537"/>
      <c r="AK188" s="4537"/>
      <c r="AL188" s="4537"/>
      <c r="AM188" s="4537"/>
      <c r="AN188" s="4537"/>
      <c r="AO188" s="4537"/>
      <c r="AP188" s="4537"/>
      <c r="AQ188" s="4537"/>
      <c r="AR188" s="4537"/>
      <c r="AS188" s="4550"/>
      <c r="AT188" s="4550"/>
      <c r="AU188" s="4550"/>
      <c r="AV188" s="4550"/>
      <c r="AW188" s="4550"/>
      <c r="AX188" s="4550"/>
      <c r="AY188" s="4550"/>
      <c r="AZ188" s="4550"/>
      <c r="BA188" s="4550"/>
      <c r="BB188" s="4550"/>
      <c r="BC188" s="4550"/>
      <c r="BD188" s="4550"/>
      <c r="BE188" s="4550"/>
      <c r="BF188" s="4550"/>
      <c r="BG188" s="4550"/>
      <c r="BH188" s="4550"/>
      <c r="BI188" s="4550"/>
      <c r="BJ188" s="4550"/>
      <c r="BK188" s="4550"/>
      <c r="BL188" s="4550"/>
      <c r="BM188" s="4550"/>
      <c r="BN188" s="4550"/>
      <c r="BO188" s="4550"/>
      <c r="BP188" s="4550"/>
      <c r="BQ188" s="4550"/>
      <c r="BR188" s="4550"/>
      <c r="BS188" s="4550"/>
      <c r="BT188" s="4550"/>
      <c r="BU188" s="4550"/>
      <c r="BV188" s="4550"/>
      <c r="BW188" s="4550"/>
      <c r="BX188" s="4550"/>
      <c r="BY188" s="4550"/>
      <c r="BZ188" s="4550"/>
      <c r="CA188" s="4550"/>
      <c r="CB188" s="4550"/>
      <c r="CC188" s="4550"/>
      <c r="CD188" s="4550"/>
      <c r="CE188" s="4550"/>
      <c r="CF188" s="4550"/>
      <c r="CG188" s="4550"/>
      <c r="CH188" s="4550"/>
      <c r="CI188" s="4550"/>
      <c r="CJ188" s="4550"/>
      <c r="CK188" s="4550"/>
      <c r="CL188" s="4550"/>
      <c r="CM188" s="4550"/>
      <c r="CN188" s="4550"/>
      <c r="CO188" s="4550"/>
      <c r="CP188" s="4550"/>
      <c r="CQ188" s="4550"/>
      <c r="CR188" s="4550"/>
      <c r="CS188" s="4550"/>
      <c r="CT188" s="4550"/>
      <c r="CU188" s="4550"/>
      <c r="CV188" s="4550"/>
      <c r="CW188" s="4550"/>
      <c r="CX188" s="4550"/>
      <c r="CY188" s="4550"/>
      <c r="CZ188" s="4550"/>
      <c r="DA188" s="4550"/>
      <c r="DB188" s="4550"/>
      <c r="DC188" s="4550"/>
      <c r="DD188" s="4550"/>
      <c r="DE188" s="4550"/>
      <c r="DF188" s="4550"/>
      <c r="DG188" s="4550"/>
      <c r="DH188" s="4550"/>
      <c r="DI188" s="4550"/>
      <c r="DJ188" s="4550"/>
      <c r="DK188" s="4550"/>
      <c r="DL188" s="4550"/>
      <c r="DM188" s="4550"/>
      <c r="DN188" s="4550"/>
      <c r="DO188" s="4550"/>
      <c r="DP188" s="4550"/>
      <c r="DQ188" s="4550"/>
      <c r="DR188" s="4550"/>
      <c r="DS188" s="4550"/>
      <c r="DT188" s="4550"/>
      <c r="DU188" s="4550"/>
      <c r="DV188" s="4550"/>
      <c r="DW188" s="4550"/>
      <c r="DX188" s="4550"/>
      <c r="DY188" s="4550"/>
      <c r="DZ188" s="4550"/>
      <c r="EA188" s="4550"/>
      <c r="EB188" s="4550"/>
      <c r="EC188" s="4550"/>
      <c r="ED188" s="4550"/>
      <c r="EE188" s="4550"/>
      <c r="EF188" s="4550"/>
      <c r="EG188" s="4550"/>
      <c r="EH188" s="4550"/>
      <c r="EI188" s="4550"/>
      <c r="EJ188" s="4550"/>
      <c r="EK188" s="4550"/>
      <c r="EL188" s="4550"/>
      <c r="EM188" s="4550"/>
      <c r="EN188" s="4550"/>
      <c r="EO188" s="4550"/>
      <c r="EP188" s="4550"/>
      <c r="EQ188" s="4550"/>
      <c r="ER188" s="4550"/>
      <c r="ES188" s="4550"/>
      <c r="ET188" s="4550"/>
      <c r="EU188" s="4550"/>
      <c r="EV188" s="4550"/>
      <c r="EW188" s="4550"/>
      <c r="EX188" s="4550"/>
      <c r="EY188" s="4550"/>
      <c r="EZ188" s="4550"/>
      <c r="FA188" s="4550"/>
      <c r="FB188" s="4550"/>
      <c r="FC188" s="4550"/>
      <c r="FD188" s="4550"/>
      <c r="FE188" s="4550"/>
      <c r="FF188" s="4550"/>
      <c r="FG188" s="4550"/>
      <c r="FH188" s="4550"/>
      <c r="FI188" s="4550"/>
      <c r="FJ188" s="4550"/>
      <c r="FK188" s="4550"/>
      <c r="FL188" s="4550"/>
      <c r="FM188" s="4550"/>
      <c r="FN188" s="4550"/>
      <c r="FO188" s="4550"/>
      <c r="FP188" s="4550"/>
      <c r="FQ188" s="4550"/>
      <c r="FR188" s="4550"/>
      <c r="FS188" s="4550"/>
      <c r="FT188" s="4550"/>
      <c r="FU188" s="4550"/>
      <c r="FV188" s="4550"/>
      <c r="FW188" s="4550"/>
      <c r="FX188" s="4550"/>
      <c r="FY188" s="4550"/>
      <c r="FZ188" s="4550"/>
      <c r="GA188" s="4550"/>
      <c r="GB188" s="4550"/>
      <c r="GC188" s="4550"/>
      <c r="GD188" s="4550"/>
      <c r="GE188" s="4550"/>
      <c r="GF188" s="4550"/>
      <c r="GG188" s="4550"/>
      <c r="GH188" s="4550"/>
      <c r="GI188" s="4550"/>
      <c r="GJ188" s="4550"/>
      <c r="GK188" s="4550"/>
      <c r="GL188" s="4550"/>
      <c r="GM188" s="4550"/>
      <c r="GN188" s="4550"/>
      <c r="GO188" s="4550"/>
      <c r="GP188" s="4550"/>
      <c r="GQ188" s="4550"/>
      <c r="GR188" s="4550"/>
      <c r="GS188" s="4550"/>
      <c r="GT188" s="4550"/>
      <c r="GU188" s="4550"/>
      <c r="GV188" s="4550"/>
      <c r="GW188" s="4550"/>
      <c r="GX188" s="4550"/>
      <c r="GY188" s="4550"/>
      <c r="GZ188" s="4550"/>
      <c r="HA188" s="4550"/>
      <c r="HB188" s="4550"/>
      <c r="HC188" s="4550"/>
      <c r="HD188" s="4550"/>
      <c r="HE188" s="4550"/>
      <c r="HF188" s="4550"/>
      <c r="HG188" s="4550"/>
      <c r="HH188" s="4550"/>
      <c r="HI188" s="4550"/>
      <c r="HJ188" s="4550"/>
      <c r="HK188" s="4550"/>
      <c r="HL188" s="4550"/>
      <c r="HM188" s="4550"/>
      <c r="HN188" s="4550"/>
      <c r="HO188" s="4550"/>
      <c r="HP188" s="4550"/>
      <c r="HQ188" s="4550"/>
      <c r="HR188" s="4550"/>
      <c r="HS188" s="4550"/>
      <c r="HT188" s="4550"/>
      <c r="HU188" s="4550"/>
      <c r="HV188" s="4550"/>
      <c r="HW188" s="4550"/>
      <c r="HX188" s="4550"/>
      <c r="HY188" s="4550"/>
      <c r="HZ188" s="4550"/>
      <c r="IA188" s="4550"/>
      <c r="IB188" s="4550"/>
      <c r="IC188" s="4550"/>
      <c r="ID188" s="4550"/>
      <c r="IE188" s="4550"/>
    </row>
    <row r="189" spans="1:239" s="4549" customFormat="1" ht="15">
      <c r="A189" s="4745">
        <v>10</v>
      </c>
      <c r="B189" s="4610" t="s">
        <v>4140</v>
      </c>
      <c r="C189" s="4598"/>
      <c r="D189" s="4167"/>
      <c r="E189" s="4988"/>
      <c r="F189" s="4594"/>
      <c r="G189" s="4537"/>
      <c r="H189" s="4537"/>
      <c r="I189" s="4537"/>
      <c r="J189" s="4537"/>
      <c r="K189" s="4537"/>
      <c r="L189" s="4537"/>
      <c r="M189" s="4537"/>
      <c r="N189" s="4537"/>
      <c r="O189" s="4537"/>
      <c r="P189" s="4537"/>
      <c r="Q189" s="4537"/>
      <c r="R189" s="4537"/>
      <c r="S189" s="4537"/>
      <c r="T189" s="4537"/>
      <c r="U189" s="4537"/>
      <c r="V189" s="4537"/>
      <c r="W189" s="4537"/>
      <c r="X189" s="4537"/>
      <c r="Y189" s="4537"/>
      <c r="Z189" s="4537"/>
      <c r="AA189" s="4537"/>
      <c r="AB189" s="4537"/>
      <c r="AC189" s="4537"/>
      <c r="AD189" s="4537"/>
      <c r="AE189" s="4537"/>
      <c r="AF189" s="4537"/>
      <c r="AG189" s="4537"/>
      <c r="AH189" s="4537"/>
      <c r="AI189" s="4537"/>
      <c r="AJ189" s="4537"/>
      <c r="AK189" s="4537"/>
      <c r="AL189" s="4537"/>
      <c r="AM189" s="4537"/>
      <c r="AN189" s="4537"/>
      <c r="AO189" s="4537"/>
      <c r="AP189" s="4537"/>
      <c r="AQ189" s="4537"/>
      <c r="AR189" s="4537"/>
      <c r="AS189" s="4550"/>
      <c r="AT189" s="4550"/>
      <c r="AU189" s="4550"/>
      <c r="AV189" s="4550"/>
      <c r="AW189" s="4550"/>
      <c r="AX189" s="4550"/>
      <c r="AY189" s="4550"/>
      <c r="AZ189" s="4550"/>
      <c r="BA189" s="4550"/>
      <c r="BB189" s="4550"/>
      <c r="BC189" s="4550"/>
      <c r="BD189" s="4550"/>
      <c r="BE189" s="4550"/>
      <c r="BF189" s="4550"/>
      <c r="BG189" s="4550"/>
      <c r="BH189" s="4550"/>
      <c r="BI189" s="4550"/>
      <c r="BJ189" s="4550"/>
      <c r="BK189" s="4550"/>
      <c r="BL189" s="4550"/>
      <c r="BM189" s="4550"/>
      <c r="BN189" s="4550"/>
      <c r="BO189" s="4550"/>
      <c r="BP189" s="4550"/>
      <c r="BQ189" s="4550"/>
      <c r="BR189" s="4550"/>
      <c r="BS189" s="4550"/>
      <c r="BT189" s="4550"/>
      <c r="BU189" s="4550"/>
      <c r="BV189" s="4550"/>
      <c r="BW189" s="4550"/>
      <c r="BX189" s="4550"/>
      <c r="BY189" s="4550"/>
      <c r="BZ189" s="4550"/>
      <c r="CA189" s="4550"/>
      <c r="CB189" s="4550"/>
      <c r="CC189" s="4550"/>
      <c r="CD189" s="4550"/>
      <c r="CE189" s="4550"/>
      <c r="CF189" s="4550"/>
      <c r="CG189" s="4550"/>
      <c r="CH189" s="4550"/>
      <c r="CI189" s="4550"/>
      <c r="CJ189" s="4550"/>
      <c r="CK189" s="4550"/>
      <c r="CL189" s="4550"/>
      <c r="CM189" s="4550"/>
      <c r="CN189" s="4550"/>
      <c r="CO189" s="4550"/>
      <c r="CP189" s="4550"/>
      <c r="CQ189" s="4550"/>
      <c r="CR189" s="4550"/>
      <c r="CS189" s="4550"/>
      <c r="CT189" s="4550"/>
      <c r="CU189" s="4550"/>
      <c r="CV189" s="4550"/>
      <c r="CW189" s="4550"/>
      <c r="CX189" s="4550"/>
      <c r="CY189" s="4550"/>
      <c r="CZ189" s="4550"/>
      <c r="DA189" s="4550"/>
      <c r="DB189" s="4550"/>
      <c r="DC189" s="4550"/>
      <c r="DD189" s="4550"/>
      <c r="DE189" s="4550"/>
      <c r="DF189" s="4550"/>
      <c r="DG189" s="4550"/>
      <c r="DH189" s="4550"/>
      <c r="DI189" s="4550"/>
      <c r="DJ189" s="4550"/>
      <c r="DK189" s="4550"/>
      <c r="DL189" s="4550"/>
      <c r="DM189" s="4550"/>
      <c r="DN189" s="4550"/>
      <c r="DO189" s="4550"/>
      <c r="DP189" s="4550"/>
      <c r="DQ189" s="4550"/>
      <c r="DR189" s="4550"/>
      <c r="DS189" s="4550"/>
      <c r="DT189" s="4550"/>
      <c r="DU189" s="4550"/>
      <c r="DV189" s="4550"/>
      <c r="DW189" s="4550"/>
      <c r="DX189" s="4550"/>
      <c r="DY189" s="4550"/>
      <c r="DZ189" s="4550"/>
      <c r="EA189" s="4550"/>
      <c r="EB189" s="4550"/>
      <c r="EC189" s="4550"/>
      <c r="ED189" s="4550"/>
      <c r="EE189" s="4550"/>
      <c r="EF189" s="4550"/>
      <c r="EG189" s="4550"/>
      <c r="EH189" s="4550"/>
      <c r="EI189" s="4550"/>
      <c r="EJ189" s="4550"/>
      <c r="EK189" s="4550"/>
      <c r="EL189" s="4550"/>
      <c r="EM189" s="4550"/>
      <c r="EN189" s="4550"/>
      <c r="EO189" s="4550"/>
      <c r="EP189" s="4550"/>
      <c r="EQ189" s="4550"/>
      <c r="ER189" s="4550"/>
      <c r="ES189" s="4550"/>
      <c r="ET189" s="4550"/>
      <c r="EU189" s="4550"/>
      <c r="EV189" s="4550"/>
      <c r="EW189" s="4550"/>
      <c r="EX189" s="4550"/>
      <c r="EY189" s="4550"/>
      <c r="EZ189" s="4550"/>
      <c r="FA189" s="4550"/>
      <c r="FB189" s="4550"/>
      <c r="FC189" s="4550"/>
      <c r="FD189" s="4550"/>
      <c r="FE189" s="4550"/>
      <c r="FF189" s="4550"/>
      <c r="FG189" s="4550"/>
      <c r="FH189" s="4550"/>
      <c r="FI189" s="4550"/>
      <c r="FJ189" s="4550"/>
      <c r="FK189" s="4550"/>
      <c r="FL189" s="4550"/>
      <c r="FM189" s="4550"/>
      <c r="FN189" s="4550"/>
      <c r="FO189" s="4550"/>
      <c r="FP189" s="4550"/>
      <c r="FQ189" s="4550"/>
      <c r="FR189" s="4550"/>
      <c r="FS189" s="4550"/>
      <c r="FT189" s="4550"/>
      <c r="FU189" s="4550"/>
      <c r="FV189" s="4550"/>
      <c r="FW189" s="4550"/>
      <c r="FX189" s="4550"/>
      <c r="FY189" s="4550"/>
      <c r="FZ189" s="4550"/>
      <c r="GA189" s="4550"/>
      <c r="GB189" s="4550"/>
      <c r="GC189" s="4550"/>
      <c r="GD189" s="4550"/>
      <c r="GE189" s="4550"/>
      <c r="GF189" s="4550"/>
      <c r="GG189" s="4550"/>
      <c r="GH189" s="4550"/>
      <c r="GI189" s="4550"/>
      <c r="GJ189" s="4550"/>
      <c r="GK189" s="4550"/>
      <c r="GL189" s="4550"/>
      <c r="GM189" s="4550"/>
      <c r="GN189" s="4550"/>
      <c r="GO189" s="4550"/>
      <c r="GP189" s="4550"/>
      <c r="GQ189" s="4550"/>
      <c r="GR189" s="4550"/>
      <c r="GS189" s="4550"/>
      <c r="GT189" s="4550"/>
      <c r="GU189" s="4550"/>
      <c r="GV189" s="4550"/>
      <c r="GW189" s="4550"/>
      <c r="GX189" s="4550"/>
      <c r="GY189" s="4550"/>
      <c r="GZ189" s="4550"/>
      <c r="HA189" s="4550"/>
      <c r="HB189" s="4550"/>
      <c r="HC189" s="4550"/>
      <c r="HD189" s="4550"/>
      <c r="HE189" s="4550"/>
      <c r="HF189" s="4550"/>
      <c r="HG189" s="4550"/>
      <c r="HH189" s="4550"/>
      <c r="HI189" s="4550"/>
      <c r="HJ189" s="4550"/>
      <c r="HK189" s="4550"/>
      <c r="HL189" s="4550"/>
      <c r="HM189" s="4550"/>
      <c r="HN189" s="4550"/>
      <c r="HO189" s="4550"/>
      <c r="HP189" s="4550"/>
      <c r="HQ189" s="4550"/>
      <c r="HR189" s="4550"/>
      <c r="HS189" s="4550"/>
      <c r="HT189" s="4550"/>
      <c r="HU189" s="4550"/>
      <c r="HV189" s="4550"/>
      <c r="HW189" s="4550"/>
      <c r="HX189" s="4550"/>
      <c r="HY189" s="4550"/>
      <c r="HZ189" s="4550"/>
      <c r="IA189" s="4550"/>
      <c r="IB189" s="4550"/>
      <c r="IC189" s="4550"/>
      <c r="ID189" s="4550"/>
      <c r="IE189" s="4550"/>
    </row>
    <row r="190" spans="1:239" s="4549" customFormat="1" ht="15">
      <c r="A190" s="4746">
        <v>10.1</v>
      </c>
      <c r="B190" s="4532" t="s">
        <v>4141</v>
      </c>
      <c r="C190" s="4599">
        <v>1</v>
      </c>
      <c r="D190" s="4596" t="s">
        <v>2433</v>
      </c>
      <c r="E190" s="4987"/>
      <c r="F190" s="4318">
        <f t="shared" ref="F190:F198" si="5">ROUND(C190*E190,2)</f>
        <v>0</v>
      </c>
      <c r="G190" s="4537"/>
      <c r="H190" s="4537"/>
      <c r="I190" s="4537"/>
      <c r="J190" s="4537"/>
      <c r="K190" s="4537"/>
      <c r="L190" s="4537"/>
      <c r="M190" s="4537"/>
      <c r="N190" s="4537"/>
      <c r="O190" s="4537"/>
      <c r="P190" s="4537"/>
      <c r="Q190" s="4537"/>
      <c r="R190" s="4537"/>
      <c r="S190" s="4537"/>
      <c r="T190" s="4537"/>
      <c r="U190" s="4537"/>
      <c r="V190" s="4537"/>
      <c r="W190" s="4537"/>
      <c r="X190" s="4537"/>
      <c r="Y190" s="4537"/>
      <c r="Z190" s="4537"/>
      <c r="AA190" s="4537"/>
      <c r="AB190" s="4537"/>
      <c r="AC190" s="4537"/>
      <c r="AD190" s="4537"/>
      <c r="AE190" s="4537"/>
      <c r="AF190" s="4537"/>
      <c r="AG190" s="4537"/>
      <c r="AH190" s="4537"/>
      <c r="AI190" s="4537"/>
      <c r="AJ190" s="4537"/>
      <c r="AK190" s="4537"/>
      <c r="AL190" s="4537"/>
      <c r="AM190" s="4537"/>
      <c r="AN190" s="4537"/>
      <c r="AO190" s="4537"/>
      <c r="AP190" s="4537"/>
      <c r="AQ190" s="4537"/>
      <c r="AR190" s="4537"/>
      <c r="AS190" s="4550"/>
      <c r="AT190" s="4550"/>
      <c r="AU190" s="4550"/>
      <c r="AV190" s="4550"/>
      <c r="AW190" s="4550"/>
      <c r="AX190" s="4550"/>
      <c r="AY190" s="4550"/>
      <c r="AZ190" s="4550"/>
      <c r="BA190" s="4550"/>
      <c r="BB190" s="4550"/>
      <c r="BC190" s="4550"/>
      <c r="BD190" s="4550"/>
      <c r="BE190" s="4550"/>
      <c r="BF190" s="4550"/>
      <c r="BG190" s="4550"/>
      <c r="BH190" s="4550"/>
      <c r="BI190" s="4550"/>
      <c r="BJ190" s="4550"/>
      <c r="BK190" s="4550"/>
      <c r="BL190" s="4550"/>
      <c r="BM190" s="4550"/>
      <c r="BN190" s="4550"/>
      <c r="BO190" s="4550"/>
      <c r="BP190" s="4550"/>
      <c r="BQ190" s="4550"/>
      <c r="BR190" s="4550"/>
      <c r="BS190" s="4550"/>
      <c r="BT190" s="4550"/>
      <c r="BU190" s="4550"/>
      <c r="BV190" s="4550"/>
      <c r="BW190" s="4550"/>
      <c r="BX190" s="4550"/>
      <c r="BY190" s="4550"/>
      <c r="BZ190" s="4550"/>
      <c r="CA190" s="4550"/>
      <c r="CB190" s="4550"/>
      <c r="CC190" s="4550"/>
      <c r="CD190" s="4550"/>
      <c r="CE190" s="4550"/>
      <c r="CF190" s="4550"/>
      <c r="CG190" s="4550"/>
      <c r="CH190" s="4550"/>
      <c r="CI190" s="4550"/>
      <c r="CJ190" s="4550"/>
      <c r="CK190" s="4550"/>
      <c r="CL190" s="4550"/>
      <c r="CM190" s="4550"/>
      <c r="CN190" s="4550"/>
      <c r="CO190" s="4550"/>
      <c r="CP190" s="4550"/>
      <c r="CQ190" s="4550"/>
      <c r="CR190" s="4550"/>
      <c r="CS190" s="4550"/>
      <c r="CT190" s="4550"/>
      <c r="CU190" s="4550"/>
      <c r="CV190" s="4550"/>
      <c r="CW190" s="4550"/>
      <c r="CX190" s="4550"/>
      <c r="CY190" s="4550"/>
      <c r="CZ190" s="4550"/>
      <c r="DA190" s="4550"/>
      <c r="DB190" s="4550"/>
      <c r="DC190" s="4550"/>
      <c r="DD190" s="4550"/>
      <c r="DE190" s="4550"/>
      <c r="DF190" s="4550"/>
      <c r="DG190" s="4550"/>
      <c r="DH190" s="4550"/>
      <c r="DI190" s="4550"/>
      <c r="DJ190" s="4550"/>
      <c r="DK190" s="4550"/>
      <c r="DL190" s="4550"/>
      <c r="DM190" s="4550"/>
      <c r="DN190" s="4550"/>
      <c r="DO190" s="4550"/>
      <c r="DP190" s="4550"/>
      <c r="DQ190" s="4550"/>
      <c r="DR190" s="4550"/>
      <c r="DS190" s="4550"/>
      <c r="DT190" s="4550"/>
      <c r="DU190" s="4550"/>
      <c r="DV190" s="4550"/>
      <c r="DW190" s="4550"/>
      <c r="DX190" s="4550"/>
      <c r="DY190" s="4550"/>
      <c r="DZ190" s="4550"/>
      <c r="EA190" s="4550"/>
      <c r="EB190" s="4550"/>
      <c r="EC190" s="4550"/>
      <c r="ED190" s="4550"/>
      <c r="EE190" s="4550"/>
      <c r="EF190" s="4550"/>
      <c r="EG190" s="4550"/>
      <c r="EH190" s="4550"/>
      <c r="EI190" s="4550"/>
      <c r="EJ190" s="4550"/>
      <c r="EK190" s="4550"/>
      <c r="EL190" s="4550"/>
      <c r="EM190" s="4550"/>
      <c r="EN190" s="4550"/>
      <c r="EO190" s="4550"/>
      <c r="EP190" s="4550"/>
      <c r="EQ190" s="4550"/>
      <c r="ER190" s="4550"/>
      <c r="ES190" s="4550"/>
      <c r="ET190" s="4550"/>
      <c r="EU190" s="4550"/>
      <c r="EV190" s="4550"/>
      <c r="EW190" s="4550"/>
      <c r="EX190" s="4550"/>
      <c r="EY190" s="4550"/>
      <c r="EZ190" s="4550"/>
      <c r="FA190" s="4550"/>
      <c r="FB190" s="4550"/>
      <c r="FC190" s="4550"/>
      <c r="FD190" s="4550"/>
      <c r="FE190" s="4550"/>
      <c r="FF190" s="4550"/>
      <c r="FG190" s="4550"/>
      <c r="FH190" s="4550"/>
      <c r="FI190" s="4550"/>
      <c r="FJ190" s="4550"/>
      <c r="FK190" s="4550"/>
      <c r="FL190" s="4550"/>
      <c r="FM190" s="4550"/>
      <c r="FN190" s="4550"/>
      <c r="FO190" s="4550"/>
      <c r="FP190" s="4550"/>
      <c r="FQ190" s="4550"/>
      <c r="FR190" s="4550"/>
      <c r="FS190" s="4550"/>
      <c r="FT190" s="4550"/>
      <c r="FU190" s="4550"/>
      <c r="FV190" s="4550"/>
      <c r="FW190" s="4550"/>
      <c r="FX190" s="4550"/>
      <c r="FY190" s="4550"/>
      <c r="FZ190" s="4550"/>
      <c r="GA190" s="4550"/>
      <c r="GB190" s="4550"/>
      <c r="GC190" s="4550"/>
      <c r="GD190" s="4550"/>
      <c r="GE190" s="4550"/>
      <c r="GF190" s="4550"/>
      <c r="GG190" s="4550"/>
      <c r="GH190" s="4550"/>
      <c r="GI190" s="4550"/>
      <c r="GJ190" s="4550"/>
      <c r="GK190" s="4550"/>
      <c r="GL190" s="4550"/>
      <c r="GM190" s="4550"/>
      <c r="GN190" s="4550"/>
      <c r="GO190" s="4550"/>
      <c r="GP190" s="4550"/>
      <c r="GQ190" s="4550"/>
      <c r="GR190" s="4550"/>
      <c r="GS190" s="4550"/>
      <c r="GT190" s="4550"/>
      <c r="GU190" s="4550"/>
      <c r="GV190" s="4550"/>
      <c r="GW190" s="4550"/>
      <c r="GX190" s="4550"/>
      <c r="GY190" s="4550"/>
      <c r="GZ190" s="4550"/>
      <c r="HA190" s="4550"/>
      <c r="HB190" s="4550"/>
      <c r="HC190" s="4550"/>
      <c r="HD190" s="4550"/>
      <c r="HE190" s="4550"/>
      <c r="HF190" s="4550"/>
      <c r="HG190" s="4550"/>
      <c r="HH190" s="4550"/>
      <c r="HI190" s="4550"/>
      <c r="HJ190" s="4550"/>
      <c r="HK190" s="4550"/>
      <c r="HL190" s="4550"/>
      <c r="HM190" s="4550"/>
      <c r="HN190" s="4550"/>
      <c r="HO190" s="4550"/>
      <c r="HP190" s="4550"/>
      <c r="HQ190" s="4550"/>
      <c r="HR190" s="4550"/>
      <c r="HS190" s="4550"/>
      <c r="HT190" s="4550"/>
      <c r="HU190" s="4550"/>
      <c r="HV190" s="4550"/>
      <c r="HW190" s="4550"/>
      <c r="HX190" s="4550"/>
      <c r="HY190" s="4550"/>
      <c r="HZ190" s="4550"/>
      <c r="IA190" s="4550"/>
      <c r="IB190" s="4550"/>
      <c r="IC190" s="4550"/>
      <c r="ID190" s="4550"/>
      <c r="IE190" s="4550"/>
    </row>
    <row r="191" spans="1:239" s="4549" customFormat="1" ht="15">
      <c r="A191" s="4746">
        <v>10.199999999999999</v>
      </c>
      <c r="B191" s="4532" t="s">
        <v>4142</v>
      </c>
      <c r="C191" s="4599">
        <v>1</v>
      </c>
      <c r="D191" s="4596" t="s">
        <v>2433</v>
      </c>
      <c r="E191" s="4987"/>
      <c r="F191" s="4318">
        <f t="shared" si="5"/>
        <v>0</v>
      </c>
      <c r="G191" s="4537"/>
      <c r="H191" s="4537"/>
      <c r="I191" s="4537"/>
      <c r="J191" s="4537"/>
      <c r="K191" s="4537"/>
      <c r="L191" s="4537"/>
      <c r="M191" s="4537"/>
      <c r="N191" s="4537"/>
      <c r="O191" s="4537"/>
      <c r="P191" s="4537"/>
      <c r="Q191" s="4537"/>
      <c r="R191" s="4537"/>
      <c r="S191" s="4537"/>
      <c r="T191" s="4537"/>
      <c r="U191" s="4537"/>
      <c r="V191" s="4537"/>
      <c r="W191" s="4537"/>
      <c r="X191" s="4537"/>
      <c r="Y191" s="4537"/>
      <c r="Z191" s="4537"/>
      <c r="AA191" s="4537"/>
      <c r="AB191" s="4537"/>
      <c r="AC191" s="4537"/>
      <c r="AD191" s="4537"/>
      <c r="AE191" s="4537"/>
      <c r="AF191" s="4537"/>
      <c r="AG191" s="4537"/>
      <c r="AH191" s="4537"/>
      <c r="AI191" s="4537"/>
      <c r="AJ191" s="4537"/>
      <c r="AK191" s="4537"/>
      <c r="AL191" s="4537"/>
      <c r="AM191" s="4537"/>
      <c r="AN191" s="4537"/>
      <c r="AO191" s="4537"/>
      <c r="AP191" s="4537"/>
      <c r="AQ191" s="4537"/>
      <c r="AR191" s="4537"/>
      <c r="AS191" s="4550"/>
      <c r="AT191" s="4550"/>
      <c r="AU191" s="4550"/>
      <c r="AV191" s="4550"/>
      <c r="AW191" s="4550"/>
      <c r="AX191" s="4550"/>
      <c r="AY191" s="4550"/>
      <c r="AZ191" s="4550"/>
      <c r="BA191" s="4550"/>
      <c r="BB191" s="4550"/>
      <c r="BC191" s="4550"/>
      <c r="BD191" s="4550"/>
      <c r="BE191" s="4550"/>
      <c r="BF191" s="4550"/>
      <c r="BG191" s="4550"/>
      <c r="BH191" s="4550"/>
      <c r="BI191" s="4550"/>
      <c r="BJ191" s="4550"/>
      <c r="BK191" s="4550"/>
      <c r="BL191" s="4550"/>
      <c r="BM191" s="4550"/>
      <c r="BN191" s="4550"/>
      <c r="BO191" s="4550"/>
      <c r="BP191" s="4550"/>
      <c r="BQ191" s="4550"/>
      <c r="BR191" s="4550"/>
      <c r="BS191" s="4550"/>
      <c r="BT191" s="4550"/>
      <c r="BU191" s="4550"/>
      <c r="BV191" s="4550"/>
      <c r="BW191" s="4550"/>
      <c r="BX191" s="4550"/>
      <c r="BY191" s="4550"/>
      <c r="BZ191" s="4550"/>
      <c r="CA191" s="4550"/>
      <c r="CB191" s="4550"/>
      <c r="CC191" s="4550"/>
      <c r="CD191" s="4550"/>
      <c r="CE191" s="4550"/>
      <c r="CF191" s="4550"/>
      <c r="CG191" s="4550"/>
      <c r="CH191" s="4550"/>
      <c r="CI191" s="4550"/>
      <c r="CJ191" s="4550"/>
      <c r="CK191" s="4550"/>
      <c r="CL191" s="4550"/>
      <c r="CM191" s="4550"/>
      <c r="CN191" s="4550"/>
      <c r="CO191" s="4550"/>
      <c r="CP191" s="4550"/>
      <c r="CQ191" s="4550"/>
      <c r="CR191" s="4550"/>
      <c r="CS191" s="4550"/>
      <c r="CT191" s="4550"/>
      <c r="CU191" s="4550"/>
      <c r="CV191" s="4550"/>
      <c r="CW191" s="4550"/>
      <c r="CX191" s="4550"/>
      <c r="CY191" s="4550"/>
      <c r="CZ191" s="4550"/>
      <c r="DA191" s="4550"/>
      <c r="DB191" s="4550"/>
      <c r="DC191" s="4550"/>
      <c r="DD191" s="4550"/>
      <c r="DE191" s="4550"/>
      <c r="DF191" s="4550"/>
      <c r="DG191" s="4550"/>
      <c r="DH191" s="4550"/>
      <c r="DI191" s="4550"/>
      <c r="DJ191" s="4550"/>
      <c r="DK191" s="4550"/>
      <c r="DL191" s="4550"/>
      <c r="DM191" s="4550"/>
      <c r="DN191" s="4550"/>
      <c r="DO191" s="4550"/>
      <c r="DP191" s="4550"/>
      <c r="DQ191" s="4550"/>
      <c r="DR191" s="4550"/>
      <c r="DS191" s="4550"/>
      <c r="DT191" s="4550"/>
      <c r="DU191" s="4550"/>
      <c r="DV191" s="4550"/>
      <c r="DW191" s="4550"/>
      <c r="DX191" s="4550"/>
      <c r="DY191" s="4550"/>
      <c r="DZ191" s="4550"/>
      <c r="EA191" s="4550"/>
      <c r="EB191" s="4550"/>
      <c r="EC191" s="4550"/>
      <c r="ED191" s="4550"/>
      <c r="EE191" s="4550"/>
      <c r="EF191" s="4550"/>
      <c r="EG191" s="4550"/>
      <c r="EH191" s="4550"/>
      <c r="EI191" s="4550"/>
      <c r="EJ191" s="4550"/>
      <c r="EK191" s="4550"/>
      <c r="EL191" s="4550"/>
      <c r="EM191" s="4550"/>
      <c r="EN191" s="4550"/>
      <c r="EO191" s="4550"/>
      <c r="EP191" s="4550"/>
      <c r="EQ191" s="4550"/>
      <c r="ER191" s="4550"/>
      <c r="ES191" s="4550"/>
      <c r="ET191" s="4550"/>
      <c r="EU191" s="4550"/>
      <c r="EV191" s="4550"/>
      <c r="EW191" s="4550"/>
      <c r="EX191" s="4550"/>
      <c r="EY191" s="4550"/>
      <c r="EZ191" s="4550"/>
      <c r="FA191" s="4550"/>
      <c r="FB191" s="4550"/>
      <c r="FC191" s="4550"/>
      <c r="FD191" s="4550"/>
      <c r="FE191" s="4550"/>
      <c r="FF191" s="4550"/>
      <c r="FG191" s="4550"/>
      <c r="FH191" s="4550"/>
      <c r="FI191" s="4550"/>
      <c r="FJ191" s="4550"/>
      <c r="FK191" s="4550"/>
      <c r="FL191" s="4550"/>
      <c r="FM191" s="4550"/>
      <c r="FN191" s="4550"/>
      <c r="FO191" s="4550"/>
      <c r="FP191" s="4550"/>
      <c r="FQ191" s="4550"/>
      <c r="FR191" s="4550"/>
      <c r="FS191" s="4550"/>
      <c r="FT191" s="4550"/>
      <c r="FU191" s="4550"/>
      <c r="FV191" s="4550"/>
      <c r="FW191" s="4550"/>
      <c r="FX191" s="4550"/>
      <c r="FY191" s="4550"/>
      <c r="FZ191" s="4550"/>
      <c r="GA191" s="4550"/>
      <c r="GB191" s="4550"/>
      <c r="GC191" s="4550"/>
      <c r="GD191" s="4550"/>
      <c r="GE191" s="4550"/>
      <c r="GF191" s="4550"/>
      <c r="GG191" s="4550"/>
      <c r="GH191" s="4550"/>
      <c r="GI191" s="4550"/>
      <c r="GJ191" s="4550"/>
      <c r="GK191" s="4550"/>
      <c r="GL191" s="4550"/>
      <c r="GM191" s="4550"/>
      <c r="GN191" s="4550"/>
      <c r="GO191" s="4550"/>
      <c r="GP191" s="4550"/>
      <c r="GQ191" s="4550"/>
      <c r="GR191" s="4550"/>
      <c r="GS191" s="4550"/>
      <c r="GT191" s="4550"/>
      <c r="GU191" s="4550"/>
      <c r="GV191" s="4550"/>
      <c r="GW191" s="4550"/>
      <c r="GX191" s="4550"/>
      <c r="GY191" s="4550"/>
      <c r="GZ191" s="4550"/>
      <c r="HA191" s="4550"/>
      <c r="HB191" s="4550"/>
      <c r="HC191" s="4550"/>
      <c r="HD191" s="4550"/>
      <c r="HE191" s="4550"/>
      <c r="HF191" s="4550"/>
      <c r="HG191" s="4550"/>
      <c r="HH191" s="4550"/>
      <c r="HI191" s="4550"/>
      <c r="HJ191" s="4550"/>
      <c r="HK191" s="4550"/>
      <c r="HL191" s="4550"/>
      <c r="HM191" s="4550"/>
      <c r="HN191" s="4550"/>
      <c r="HO191" s="4550"/>
      <c r="HP191" s="4550"/>
      <c r="HQ191" s="4550"/>
      <c r="HR191" s="4550"/>
      <c r="HS191" s="4550"/>
      <c r="HT191" s="4550"/>
      <c r="HU191" s="4550"/>
      <c r="HV191" s="4550"/>
      <c r="HW191" s="4550"/>
      <c r="HX191" s="4550"/>
      <c r="HY191" s="4550"/>
      <c r="HZ191" s="4550"/>
      <c r="IA191" s="4550"/>
      <c r="IB191" s="4550"/>
      <c r="IC191" s="4550"/>
      <c r="ID191" s="4550"/>
      <c r="IE191" s="4550"/>
    </row>
    <row r="192" spans="1:239" s="4549" customFormat="1" ht="15">
      <c r="A192" s="4746">
        <v>10.3</v>
      </c>
      <c r="B192" s="4532" t="s">
        <v>4143</v>
      </c>
      <c r="C192" s="4599">
        <v>2</v>
      </c>
      <c r="D192" s="4596" t="s">
        <v>2433</v>
      </c>
      <c r="E192" s="4987"/>
      <c r="F192" s="4318">
        <f t="shared" si="5"/>
        <v>0</v>
      </c>
      <c r="G192" s="4537"/>
      <c r="H192" s="4537"/>
      <c r="I192" s="4537"/>
      <c r="J192" s="4537"/>
      <c r="K192" s="4537"/>
      <c r="L192" s="4537"/>
      <c r="M192" s="4537"/>
      <c r="N192" s="4537"/>
      <c r="O192" s="4537"/>
      <c r="P192" s="4537"/>
      <c r="Q192" s="4537"/>
      <c r="R192" s="4537"/>
      <c r="S192" s="4537"/>
      <c r="T192" s="4537"/>
      <c r="U192" s="4537"/>
      <c r="V192" s="4537"/>
      <c r="W192" s="4537"/>
      <c r="X192" s="4537"/>
      <c r="Y192" s="4537"/>
      <c r="Z192" s="4537"/>
      <c r="AA192" s="4537"/>
      <c r="AB192" s="4537"/>
      <c r="AC192" s="4537"/>
      <c r="AD192" s="4537"/>
      <c r="AE192" s="4537"/>
      <c r="AF192" s="4537"/>
      <c r="AG192" s="4537"/>
      <c r="AH192" s="4537"/>
      <c r="AI192" s="4537"/>
      <c r="AJ192" s="4537"/>
      <c r="AK192" s="4537"/>
      <c r="AL192" s="4537"/>
      <c r="AM192" s="4537"/>
      <c r="AN192" s="4537"/>
      <c r="AO192" s="4537"/>
      <c r="AP192" s="4537"/>
      <c r="AQ192" s="4537"/>
      <c r="AR192" s="4537"/>
      <c r="AS192" s="4550"/>
      <c r="AT192" s="4550"/>
      <c r="AU192" s="4550"/>
      <c r="AV192" s="4550"/>
      <c r="AW192" s="4550"/>
      <c r="AX192" s="4550"/>
      <c r="AY192" s="4550"/>
      <c r="AZ192" s="4550"/>
      <c r="BA192" s="4550"/>
      <c r="BB192" s="4550"/>
      <c r="BC192" s="4550"/>
      <c r="BD192" s="4550"/>
      <c r="BE192" s="4550"/>
      <c r="BF192" s="4550"/>
      <c r="BG192" s="4550"/>
      <c r="BH192" s="4550"/>
      <c r="BI192" s="4550"/>
      <c r="BJ192" s="4550"/>
      <c r="BK192" s="4550"/>
      <c r="BL192" s="4550"/>
      <c r="BM192" s="4550"/>
      <c r="BN192" s="4550"/>
      <c r="BO192" s="4550"/>
      <c r="BP192" s="4550"/>
      <c r="BQ192" s="4550"/>
      <c r="BR192" s="4550"/>
      <c r="BS192" s="4550"/>
      <c r="BT192" s="4550"/>
      <c r="BU192" s="4550"/>
      <c r="BV192" s="4550"/>
      <c r="BW192" s="4550"/>
      <c r="BX192" s="4550"/>
      <c r="BY192" s="4550"/>
      <c r="BZ192" s="4550"/>
      <c r="CA192" s="4550"/>
      <c r="CB192" s="4550"/>
      <c r="CC192" s="4550"/>
      <c r="CD192" s="4550"/>
      <c r="CE192" s="4550"/>
      <c r="CF192" s="4550"/>
      <c r="CG192" s="4550"/>
      <c r="CH192" s="4550"/>
      <c r="CI192" s="4550"/>
      <c r="CJ192" s="4550"/>
      <c r="CK192" s="4550"/>
      <c r="CL192" s="4550"/>
      <c r="CM192" s="4550"/>
      <c r="CN192" s="4550"/>
      <c r="CO192" s="4550"/>
      <c r="CP192" s="4550"/>
      <c r="CQ192" s="4550"/>
      <c r="CR192" s="4550"/>
      <c r="CS192" s="4550"/>
      <c r="CT192" s="4550"/>
      <c r="CU192" s="4550"/>
      <c r="CV192" s="4550"/>
      <c r="CW192" s="4550"/>
      <c r="CX192" s="4550"/>
      <c r="CY192" s="4550"/>
      <c r="CZ192" s="4550"/>
      <c r="DA192" s="4550"/>
      <c r="DB192" s="4550"/>
      <c r="DC192" s="4550"/>
      <c r="DD192" s="4550"/>
      <c r="DE192" s="4550"/>
      <c r="DF192" s="4550"/>
      <c r="DG192" s="4550"/>
      <c r="DH192" s="4550"/>
      <c r="DI192" s="4550"/>
      <c r="DJ192" s="4550"/>
      <c r="DK192" s="4550"/>
      <c r="DL192" s="4550"/>
      <c r="DM192" s="4550"/>
      <c r="DN192" s="4550"/>
      <c r="DO192" s="4550"/>
      <c r="DP192" s="4550"/>
      <c r="DQ192" s="4550"/>
      <c r="DR192" s="4550"/>
      <c r="DS192" s="4550"/>
      <c r="DT192" s="4550"/>
      <c r="DU192" s="4550"/>
      <c r="DV192" s="4550"/>
      <c r="DW192" s="4550"/>
      <c r="DX192" s="4550"/>
      <c r="DY192" s="4550"/>
      <c r="DZ192" s="4550"/>
      <c r="EA192" s="4550"/>
      <c r="EB192" s="4550"/>
      <c r="EC192" s="4550"/>
      <c r="ED192" s="4550"/>
      <c r="EE192" s="4550"/>
      <c r="EF192" s="4550"/>
      <c r="EG192" s="4550"/>
      <c r="EH192" s="4550"/>
      <c r="EI192" s="4550"/>
      <c r="EJ192" s="4550"/>
      <c r="EK192" s="4550"/>
      <c r="EL192" s="4550"/>
      <c r="EM192" s="4550"/>
      <c r="EN192" s="4550"/>
      <c r="EO192" s="4550"/>
      <c r="EP192" s="4550"/>
      <c r="EQ192" s="4550"/>
      <c r="ER192" s="4550"/>
      <c r="ES192" s="4550"/>
      <c r="ET192" s="4550"/>
      <c r="EU192" s="4550"/>
      <c r="EV192" s="4550"/>
      <c r="EW192" s="4550"/>
      <c r="EX192" s="4550"/>
      <c r="EY192" s="4550"/>
      <c r="EZ192" s="4550"/>
      <c r="FA192" s="4550"/>
      <c r="FB192" s="4550"/>
      <c r="FC192" s="4550"/>
      <c r="FD192" s="4550"/>
      <c r="FE192" s="4550"/>
      <c r="FF192" s="4550"/>
      <c r="FG192" s="4550"/>
      <c r="FH192" s="4550"/>
      <c r="FI192" s="4550"/>
      <c r="FJ192" s="4550"/>
      <c r="FK192" s="4550"/>
      <c r="FL192" s="4550"/>
      <c r="FM192" s="4550"/>
      <c r="FN192" s="4550"/>
      <c r="FO192" s="4550"/>
      <c r="FP192" s="4550"/>
      <c r="FQ192" s="4550"/>
      <c r="FR192" s="4550"/>
      <c r="FS192" s="4550"/>
      <c r="FT192" s="4550"/>
      <c r="FU192" s="4550"/>
      <c r="FV192" s="4550"/>
      <c r="FW192" s="4550"/>
      <c r="FX192" s="4550"/>
      <c r="FY192" s="4550"/>
      <c r="FZ192" s="4550"/>
      <c r="GA192" s="4550"/>
      <c r="GB192" s="4550"/>
      <c r="GC192" s="4550"/>
      <c r="GD192" s="4550"/>
      <c r="GE192" s="4550"/>
      <c r="GF192" s="4550"/>
      <c r="GG192" s="4550"/>
      <c r="GH192" s="4550"/>
      <c r="GI192" s="4550"/>
      <c r="GJ192" s="4550"/>
      <c r="GK192" s="4550"/>
      <c r="GL192" s="4550"/>
      <c r="GM192" s="4550"/>
      <c r="GN192" s="4550"/>
      <c r="GO192" s="4550"/>
      <c r="GP192" s="4550"/>
      <c r="GQ192" s="4550"/>
      <c r="GR192" s="4550"/>
      <c r="GS192" s="4550"/>
      <c r="GT192" s="4550"/>
      <c r="GU192" s="4550"/>
      <c r="GV192" s="4550"/>
      <c r="GW192" s="4550"/>
      <c r="GX192" s="4550"/>
      <c r="GY192" s="4550"/>
      <c r="GZ192" s="4550"/>
      <c r="HA192" s="4550"/>
      <c r="HB192" s="4550"/>
      <c r="HC192" s="4550"/>
      <c r="HD192" s="4550"/>
      <c r="HE192" s="4550"/>
      <c r="HF192" s="4550"/>
      <c r="HG192" s="4550"/>
      <c r="HH192" s="4550"/>
      <c r="HI192" s="4550"/>
      <c r="HJ192" s="4550"/>
      <c r="HK192" s="4550"/>
      <c r="HL192" s="4550"/>
      <c r="HM192" s="4550"/>
      <c r="HN192" s="4550"/>
      <c r="HO192" s="4550"/>
      <c r="HP192" s="4550"/>
      <c r="HQ192" s="4550"/>
      <c r="HR192" s="4550"/>
      <c r="HS192" s="4550"/>
      <c r="HT192" s="4550"/>
      <c r="HU192" s="4550"/>
      <c r="HV192" s="4550"/>
      <c r="HW192" s="4550"/>
      <c r="HX192" s="4550"/>
      <c r="HY192" s="4550"/>
      <c r="HZ192" s="4550"/>
      <c r="IA192" s="4550"/>
      <c r="IB192" s="4550"/>
      <c r="IC192" s="4550"/>
      <c r="ID192" s="4550"/>
      <c r="IE192" s="4550"/>
    </row>
    <row r="193" spans="1:239" s="4549" customFormat="1" ht="15">
      <c r="A193" s="4746">
        <v>10.4</v>
      </c>
      <c r="B193" s="4532" t="s">
        <v>4144</v>
      </c>
      <c r="C193" s="4599">
        <v>1</v>
      </c>
      <c r="D193" s="4596" t="s">
        <v>2433</v>
      </c>
      <c r="E193" s="4987"/>
      <c r="F193" s="4318">
        <f t="shared" si="5"/>
        <v>0</v>
      </c>
      <c r="G193" s="4537"/>
      <c r="H193" s="4537"/>
      <c r="I193" s="4537"/>
      <c r="J193" s="4537"/>
      <c r="K193" s="4537"/>
      <c r="L193" s="4537"/>
      <c r="M193" s="4537"/>
      <c r="N193" s="4537"/>
      <c r="O193" s="4537"/>
      <c r="P193" s="4537"/>
      <c r="Q193" s="4537"/>
      <c r="R193" s="4537"/>
      <c r="S193" s="4537"/>
      <c r="T193" s="4537"/>
      <c r="U193" s="4537"/>
      <c r="V193" s="4537"/>
      <c r="W193" s="4537"/>
      <c r="X193" s="4537"/>
      <c r="Y193" s="4537"/>
      <c r="Z193" s="4537"/>
      <c r="AA193" s="4537"/>
      <c r="AB193" s="4537"/>
      <c r="AC193" s="4537"/>
      <c r="AD193" s="4537"/>
      <c r="AE193" s="4537"/>
      <c r="AF193" s="4537"/>
      <c r="AG193" s="4537"/>
      <c r="AH193" s="4537"/>
      <c r="AI193" s="4537"/>
      <c r="AJ193" s="4537"/>
      <c r="AK193" s="4537"/>
      <c r="AL193" s="4537"/>
      <c r="AM193" s="4537"/>
      <c r="AN193" s="4537"/>
      <c r="AO193" s="4537"/>
      <c r="AP193" s="4537"/>
      <c r="AQ193" s="4537"/>
      <c r="AR193" s="4537"/>
      <c r="AS193" s="4550"/>
      <c r="AT193" s="4550"/>
      <c r="AU193" s="4550"/>
      <c r="AV193" s="4550"/>
      <c r="AW193" s="4550"/>
      <c r="AX193" s="4550"/>
      <c r="AY193" s="4550"/>
      <c r="AZ193" s="4550"/>
      <c r="BA193" s="4550"/>
      <c r="BB193" s="4550"/>
      <c r="BC193" s="4550"/>
      <c r="BD193" s="4550"/>
      <c r="BE193" s="4550"/>
      <c r="BF193" s="4550"/>
      <c r="BG193" s="4550"/>
      <c r="BH193" s="4550"/>
      <c r="BI193" s="4550"/>
      <c r="BJ193" s="4550"/>
      <c r="BK193" s="4550"/>
      <c r="BL193" s="4550"/>
      <c r="BM193" s="4550"/>
      <c r="BN193" s="4550"/>
      <c r="BO193" s="4550"/>
      <c r="BP193" s="4550"/>
      <c r="BQ193" s="4550"/>
      <c r="BR193" s="4550"/>
      <c r="BS193" s="4550"/>
      <c r="BT193" s="4550"/>
      <c r="BU193" s="4550"/>
      <c r="BV193" s="4550"/>
      <c r="BW193" s="4550"/>
      <c r="BX193" s="4550"/>
      <c r="BY193" s="4550"/>
      <c r="BZ193" s="4550"/>
      <c r="CA193" s="4550"/>
      <c r="CB193" s="4550"/>
      <c r="CC193" s="4550"/>
      <c r="CD193" s="4550"/>
      <c r="CE193" s="4550"/>
      <c r="CF193" s="4550"/>
      <c r="CG193" s="4550"/>
      <c r="CH193" s="4550"/>
      <c r="CI193" s="4550"/>
      <c r="CJ193" s="4550"/>
      <c r="CK193" s="4550"/>
      <c r="CL193" s="4550"/>
      <c r="CM193" s="4550"/>
      <c r="CN193" s="4550"/>
      <c r="CO193" s="4550"/>
      <c r="CP193" s="4550"/>
      <c r="CQ193" s="4550"/>
      <c r="CR193" s="4550"/>
      <c r="CS193" s="4550"/>
      <c r="CT193" s="4550"/>
      <c r="CU193" s="4550"/>
      <c r="CV193" s="4550"/>
      <c r="CW193" s="4550"/>
      <c r="CX193" s="4550"/>
      <c r="CY193" s="4550"/>
      <c r="CZ193" s="4550"/>
      <c r="DA193" s="4550"/>
      <c r="DB193" s="4550"/>
      <c r="DC193" s="4550"/>
      <c r="DD193" s="4550"/>
      <c r="DE193" s="4550"/>
      <c r="DF193" s="4550"/>
      <c r="DG193" s="4550"/>
      <c r="DH193" s="4550"/>
      <c r="DI193" s="4550"/>
      <c r="DJ193" s="4550"/>
      <c r="DK193" s="4550"/>
      <c r="DL193" s="4550"/>
      <c r="DM193" s="4550"/>
      <c r="DN193" s="4550"/>
      <c r="DO193" s="4550"/>
      <c r="DP193" s="4550"/>
      <c r="DQ193" s="4550"/>
      <c r="DR193" s="4550"/>
      <c r="DS193" s="4550"/>
      <c r="DT193" s="4550"/>
      <c r="DU193" s="4550"/>
      <c r="DV193" s="4550"/>
      <c r="DW193" s="4550"/>
      <c r="DX193" s="4550"/>
      <c r="DY193" s="4550"/>
      <c r="DZ193" s="4550"/>
      <c r="EA193" s="4550"/>
      <c r="EB193" s="4550"/>
      <c r="EC193" s="4550"/>
      <c r="ED193" s="4550"/>
      <c r="EE193" s="4550"/>
      <c r="EF193" s="4550"/>
      <c r="EG193" s="4550"/>
      <c r="EH193" s="4550"/>
      <c r="EI193" s="4550"/>
      <c r="EJ193" s="4550"/>
      <c r="EK193" s="4550"/>
      <c r="EL193" s="4550"/>
      <c r="EM193" s="4550"/>
      <c r="EN193" s="4550"/>
      <c r="EO193" s="4550"/>
      <c r="EP193" s="4550"/>
      <c r="EQ193" s="4550"/>
      <c r="ER193" s="4550"/>
      <c r="ES193" s="4550"/>
      <c r="ET193" s="4550"/>
      <c r="EU193" s="4550"/>
      <c r="EV193" s="4550"/>
      <c r="EW193" s="4550"/>
      <c r="EX193" s="4550"/>
      <c r="EY193" s="4550"/>
      <c r="EZ193" s="4550"/>
      <c r="FA193" s="4550"/>
      <c r="FB193" s="4550"/>
      <c r="FC193" s="4550"/>
      <c r="FD193" s="4550"/>
      <c r="FE193" s="4550"/>
      <c r="FF193" s="4550"/>
      <c r="FG193" s="4550"/>
      <c r="FH193" s="4550"/>
      <c r="FI193" s="4550"/>
      <c r="FJ193" s="4550"/>
      <c r="FK193" s="4550"/>
      <c r="FL193" s="4550"/>
      <c r="FM193" s="4550"/>
      <c r="FN193" s="4550"/>
      <c r="FO193" s="4550"/>
      <c r="FP193" s="4550"/>
      <c r="FQ193" s="4550"/>
      <c r="FR193" s="4550"/>
      <c r="FS193" s="4550"/>
      <c r="FT193" s="4550"/>
      <c r="FU193" s="4550"/>
      <c r="FV193" s="4550"/>
      <c r="FW193" s="4550"/>
      <c r="FX193" s="4550"/>
      <c r="FY193" s="4550"/>
      <c r="FZ193" s="4550"/>
      <c r="GA193" s="4550"/>
      <c r="GB193" s="4550"/>
      <c r="GC193" s="4550"/>
      <c r="GD193" s="4550"/>
      <c r="GE193" s="4550"/>
      <c r="GF193" s="4550"/>
      <c r="GG193" s="4550"/>
      <c r="GH193" s="4550"/>
      <c r="GI193" s="4550"/>
      <c r="GJ193" s="4550"/>
      <c r="GK193" s="4550"/>
      <c r="GL193" s="4550"/>
      <c r="GM193" s="4550"/>
      <c r="GN193" s="4550"/>
      <c r="GO193" s="4550"/>
      <c r="GP193" s="4550"/>
      <c r="GQ193" s="4550"/>
      <c r="GR193" s="4550"/>
      <c r="GS193" s="4550"/>
      <c r="GT193" s="4550"/>
      <c r="GU193" s="4550"/>
      <c r="GV193" s="4550"/>
      <c r="GW193" s="4550"/>
      <c r="GX193" s="4550"/>
      <c r="GY193" s="4550"/>
      <c r="GZ193" s="4550"/>
      <c r="HA193" s="4550"/>
      <c r="HB193" s="4550"/>
      <c r="HC193" s="4550"/>
      <c r="HD193" s="4550"/>
      <c r="HE193" s="4550"/>
      <c r="HF193" s="4550"/>
      <c r="HG193" s="4550"/>
      <c r="HH193" s="4550"/>
      <c r="HI193" s="4550"/>
      <c r="HJ193" s="4550"/>
      <c r="HK193" s="4550"/>
      <c r="HL193" s="4550"/>
      <c r="HM193" s="4550"/>
      <c r="HN193" s="4550"/>
      <c r="HO193" s="4550"/>
      <c r="HP193" s="4550"/>
      <c r="HQ193" s="4550"/>
      <c r="HR193" s="4550"/>
      <c r="HS193" s="4550"/>
      <c r="HT193" s="4550"/>
      <c r="HU193" s="4550"/>
      <c r="HV193" s="4550"/>
      <c r="HW193" s="4550"/>
      <c r="HX193" s="4550"/>
      <c r="HY193" s="4550"/>
      <c r="HZ193" s="4550"/>
      <c r="IA193" s="4550"/>
      <c r="IB193" s="4550"/>
      <c r="IC193" s="4550"/>
      <c r="ID193" s="4550"/>
      <c r="IE193" s="4550"/>
    </row>
    <row r="194" spans="1:239" s="4549" customFormat="1" ht="15">
      <c r="A194" s="4746">
        <v>10.5</v>
      </c>
      <c r="B194" s="4532" t="s">
        <v>4145</v>
      </c>
      <c r="C194" s="4599">
        <v>2</v>
      </c>
      <c r="D194" s="4596" t="s">
        <v>2433</v>
      </c>
      <c r="E194" s="4987"/>
      <c r="F194" s="4318">
        <f t="shared" si="5"/>
        <v>0</v>
      </c>
      <c r="G194" s="4537"/>
      <c r="H194" s="4537"/>
      <c r="I194" s="4537"/>
      <c r="J194" s="4537"/>
      <c r="K194" s="4537"/>
      <c r="L194" s="4537"/>
      <c r="M194" s="4537"/>
      <c r="N194" s="4537"/>
      <c r="O194" s="4537"/>
      <c r="P194" s="4537"/>
      <c r="Q194" s="4537"/>
      <c r="R194" s="4537"/>
      <c r="S194" s="4537"/>
      <c r="T194" s="4537"/>
      <c r="U194" s="4537"/>
      <c r="V194" s="4537"/>
      <c r="W194" s="4537"/>
      <c r="X194" s="4537"/>
      <c r="Y194" s="4537"/>
      <c r="Z194" s="4537"/>
      <c r="AA194" s="4537"/>
      <c r="AB194" s="4537"/>
      <c r="AC194" s="4537"/>
      <c r="AD194" s="4537"/>
      <c r="AE194" s="4537"/>
      <c r="AF194" s="4537"/>
      <c r="AG194" s="4537"/>
      <c r="AH194" s="4537"/>
      <c r="AI194" s="4537"/>
      <c r="AJ194" s="4537"/>
      <c r="AK194" s="4537"/>
      <c r="AL194" s="4537"/>
      <c r="AM194" s="4537"/>
      <c r="AN194" s="4537"/>
      <c r="AO194" s="4537"/>
      <c r="AP194" s="4537"/>
      <c r="AQ194" s="4537"/>
      <c r="AR194" s="4537"/>
      <c r="AS194" s="4550"/>
      <c r="AT194" s="4550"/>
      <c r="AU194" s="4550"/>
      <c r="AV194" s="4550"/>
      <c r="AW194" s="4550"/>
      <c r="AX194" s="4550"/>
      <c r="AY194" s="4550"/>
      <c r="AZ194" s="4550"/>
      <c r="BA194" s="4550"/>
      <c r="BB194" s="4550"/>
      <c r="BC194" s="4550"/>
      <c r="BD194" s="4550"/>
      <c r="BE194" s="4550"/>
      <c r="BF194" s="4550"/>
      <c r="BG194" s="4550"/>
      <c r="BH194" s="4550"/>
      <c r="BI194" s="4550"/>
      <c r="BJ194" s="4550"/>
      <c r="BK194" s="4550"/>
      <c r="BL194" s="4550"/>
      <c r="BM194" s="4550"/>
      <c r="BN194" s="4550"/>
      <c r="BO194" s="4550"/>
      <c r="BP194" s="4550"/>
      <c r="BQ194" s="4550"/>
      <c r="BR194" s="4550"/>
      <c r="BS194" s="4550"/>
      <c r="BT194" s="4550"/>
      <c r="BU194" s="4550"/>
      <c r="BV194" s="4550"/>
      <c r="BW194" s="4550"/>
      <c r="BX194" s="4550"/>
      <c r="BY194" s="4550"/>
      <c r="BZ194" s="4550"/>
      <c r="CA194" s="4550"/>
      <c r="CB194" s="4550"/>
      <c r="CC194" s="4550"/>
      <c r="CD194" s="4550"/>
      <c r="CE194" s="4550"/>
      <c r="CF194" s="4550"/>
      <c r="CG194" s="4550"/>
      <c r="CH194" s="4550"/>
      <c r="CI194" s="4550"/>
      <c r="CJ194" s="4550"/>
      <c r="CK194" s="4550"/>
      <c r="CL194" s="4550"/>
      <c r="CM194" s="4550"/>
      <c r="CN194" s="4550"/>
      <c r="CO194" s="4550"/>
      <c r="CP194" s="4550"/>
      <c r="CQ194" s="4550"/>
      <c r="CR194" s="4550"/>
      <c r="CS194" s="4550"/>
      <c r="CT194" s="4550"/>
      <c r="CU194" s="4550"/>
      <c r="CV194" s="4550"/>
      <c r="CW194" s="4550"/>
      <c r="CX194" s="4550"/>
      <c r="CY194" s="4550"/>
      <c r="CZ194" s="4550"/>
      <c r="DA194" s="4550"/>
      <c r="DB194" s="4550"/>
      <c r="DC194" s="4550"/>
      <c r="DD194" s="4550"/>
      <c r="DE194" s="4550"/>
      <c r="DF194" s="4550"/>
      <c r="DG194" s="4550"/>
      <c r="DH194" s="4550"/>
      <c r="DI194" s="4550"/>
      <c r="DJ194" s="4550"/>
      <c r="DK194" s="4550"/>
      <c r="DL194" s="4550"/>
      <c r="DM194" s="4550"/>
      <c r="DN194" s="4550"/>
      <c r="DO194" s="4550"/>
      <c r="DP194" s="4550"/>
      <c r="DQ194" s="4550"/>
      <c r="DR194" s="4550"/>
      <c r="DS194" s="4550"/>
      <c r="DT194" s="4550"/>
      <c r="DU194" s="4550"/>
      <c r="DV194" s="4550"/>
      <c r="DW194" s="4550"/>
      <c r="DX194" s="4550"/>
      <c r="DY194" s="4550"/>
      <c r="DZ194" s="4550"/>
      <c r="EA194" s="4550"/>
      <c r="EB194" s="4550"/>
      <c r="EC194" s="4550"/>
      <c r="ED194" s="4550"/>
      <c r="EE194" s="4550"/>
      <c r="EF194" s="4550"/>
      <c r="EG194" s="4550"/>
      <c r="EH194" s="4550"/>
      <c r="EI194" s="4550"/>
      <c r="EJ194" s="4550"/>
      <c r="EK194" s="4550"/>
      <c r="EL194" s="4550"/>
      <c r="EM194" s="4550"/>
      <c r="EN194" s="4550"/>
      <c r="EO194" s="4550"/>
      <c r="EP194" s="4550"/>
      <c r="EQ194" s="4550"/>
      <c r="ER194" s="4550"/>
      <c r="ES194" s="4550"/>
      <c r="ET194" s="4550"/>
      <c r="EU194" s="4550"/>
      <c r="EV194" s="4550"/>
      <c r="EW194" s="4550"/>
      <c r="EX194" s="4550"/>
      <c r="EY194" s="4550"/>
      <c r="EZ194" s="4550"/>
      <c r="FA194" s="4550"/>
      <c r="FB194" s="4550"/>
      <c r="FC194" s="4550"/>
      <c r="FD194" s="4550"/>
      <c r="FE194" s="4550"/>
      <c r="FF194" s="4550"/>
      <c r="FG194" s="4550"/>
      <c r="FH194" s="4550"/>
      <c r="FI194" s="4550"/>
      <c r="FJ194" s="4550"/>
      <c r="FK194" s="4550"/>
      <c r="FL194" s="4550"/>
      <c r="FM194" s="4550"/>
      <c r="FN194" s="4550"/>
      <c r="FO194" s="4550"/>
      <c r="FP194" s="4550"/>
      <c r="FQ194" s="4550"/>
      <c r="FR194" s="4550"/>
      <c r="FS194" s="4550"/>
      <c r="FT194" s="4550"/>
      <c r="FU194" s="4550"/>
      <c r="FV194" s="4550"/>
      <c r="FW194" s="4550"/>
      <c r="FX194" s="4550"/>
      <c r="FY194" s="4550"/>
      <c r="FZ194" s="4550"/>
      <c r="GA194" s="4550"/>
      <c r="GB194" s="4550"/>
      <c r="GC194" s="4550"/>
      <c r="GD194" s="4550"/>
      <c r="GE194" s="4550"/>
      <c r="GF194" s="4550"/>
      <c r="GG194" s="4550"/>
      <c r="GH194" s="4550"/>
      <c r="GI194" s="4550"/>
      <c r="GJ194" s="4550"/>
      <c r="GK194" s="4550"/>
      <c r="GL194" s="4550"/>
      <c r="GM194" s="4550"/>
      <c r="GN194" s="4550"/>
      <c r="GO194" s="4550"/>
      <c r="GP194" s="4550"/>
      <c r="GQ194" s="4550"/>
      <c r="GR194" s="4550"/>
      <c r="GS194" s="4550"/>
      <c r="GT194" s="4550"/>
      <c r="GU194" s="4550"/>
      <c r="GV194" s="4550"/>
      <c r="GW194" s="4550"/>
      <c r="GX194" s="4550"/>
      <c r="GY194" s="4550"/>
      <c r="GZ194" s="4550"/>
      <c r="HA194" s="4550"/>
      <c r="HB194" s="4550"/>
      <c r="HC194" s="4550"/>
      <c r="HD194" s="4550"/>
      <c r="HE194" s="4550"/>
      <c r="HF194" s="4550"/>
      <c r="HG194" s="4550"/>
      <c r="HH194" s="4550"/>
      <c r="HI194" s="4550"/>
      <c r="HJ194" s="4550"/>
      <c r="HK194" s="4550"/>
      <c r="HL194" s="4550"/>
      <c r="HM194" s="4550"/>
      <c r="HN194" s="4550"/>
      <c r="HO194" s="4550"/>
      <c r="HP194" s="4550"/>
      <c r="HQ194" s="4550"/>
      <c r="HR194" s="4550"/>
      <c r="HS194" s="4550"/>
      <c r="HT194" s="4550"/>
      <c r="HU194" s="4550"/>
      <c r="HV194" s="4550"/>
      <c r="HW194" s="4550"/>
      <c r="HX194" s="4550"/>
      <c r="HY194" s="4550"/>
      <c r="HZ194" s="4550"/>
      <c r="IA194" s="4550"/>
      <c r="IB194" s="4550"/>
      <c r="IC194" s="4550"/>
      <c r="ID194" s="4550"/>
      <c r="IE194" s="4550"/>
    </row>
    <row r="195" spans="1:239" s="4549" customFormat="1" ht="15">
      <c r="A195" s="4746">
        <v>10.6</v>
      </c>
      <c r="B195" s="4532" t="s">
        <v>4655</v>
      </c>
      <c r="C195" s="4599">
        <v>1</v>
      </c>
      <c r="D195" s="4596" t="s">
        <v>2433</v>
      </c>
      <c r="E195" s="4987"/>
      <c r="F195" s="4318">
        <f t="shared" si="5"/>
        <v>0</v>
      </c>
      <c r="G195" s="4537"/>
      <c r="H195" s="4537"/>
      <c r="I195" s="4537"/>
      <c r="J195" s="4537"/>
      <c r="K195" s="4537"/>
      <c r="L195" s="4537"/>
      <c r="M195" s="4537"/>
      <c r="N195" s="4537"/>
      <c r="O195" s="4537"/>
      <c r="P195" s="4537"/>
      <c r="Q195" s="4537"/>
      <c r="R195" s="4537"/>
      <c r="S195" s="4537"/>
      <c r="T195" s="4537"/>
      <c r="U195" s="4537"/>
      <c r="V195" s="4537"/>
      <c r="W195" s="4537"/>
      <c r="X195" s="4537"/>
      <c r="Y195" s="4537"/>
      <c r="Z195" s="4537"/>
      <c r="AA195" s="4537"/>
      <c r="AB195" s="4537"/>
      <c r="AC195" s="4537"/>
      <c r="AD195" s="4537"/>
      <c r="AE195" s="4537"/>
      <c r="AF195" s="4537"/>
      <c r="AG195" s="4537"/>
      <c r="AH195" s="4537"/>
      <c r="AI195" s="4537"/>
      <c r="AJ195" s="4537"/>
      <c r="AK195" s="4537"/>
      <c r="AL195" s="4537"/>
      <c r="AM195" s="4537"/>
      <c r="AN195" s="4537"/>
      <c r="AO195" s="4537"/>
      <c r="AP195" s="4537"/>
      <c r="AQ195" s="4537"/>
      <c r="AR195" s="4537"/>
      <c r="AS195" s="4550"/>
      <c r="AT195" s="4550"/>
      <c r="AU195" s="4550"/>
      <c r="AV195" s="4550"/>
      <c r="AW195" s="4550"/>
      <c r="AX195" s="4550"/>
      <c r="AY195" s="4550"/>
      <c r="AZ195" s="4550"/>
      <c r="BA195" s="4550"/>
      <c r="BB195" s="4550"/>
      <c r="BC195" s="4550"/>
      <c r="BD195" s="4550"/>
      <c r="BE195" s="4550"/>
      <c r="BF195" s="4550"/>
      <c r="BG195" s="4550"/>
      <c r="BH195" s="4550"/>
      <c r="BI195" s="4550"/>
      <c r="BJ195" s="4550"/>
      <c r="BK195" s="4550"/>
      <c r="BL195" s="4550"/>
      <c r="BM195" s="4550"/>
      <c r="BN195" s="4550"/>
      <c r="BO195" s="4550"/>
      <c r="BP195" s="4550"/>
      <c r="BQ195" s="4550"/>
      <c r="BR195" s="4550"/>
      <c r="BS195" s="4550"/>
      <c r="BT195" s="4550"/>
      <c r="BU195" s="4550"/>
      <c r="BV195" s="4550"/>
      <c r="BW195" s="4550"/>
      <c r="BX195" s="4550"/>
      <c r="BY195" s="4550"/>
      <c r="BZ195" s="4550"/>
      <c r="CA195" s="4550"/>
      <c r="CB195" s="4550"/>
      <c r="CC195" s="4550"/>
      <c r="CD195" s="4550"/>
      <c r="CE195" s="4550"/>
      <c r="CF195" s="4550"/>
      <c r="CG195" s="4550"/>
      <c r="CH195" s="4550"/>
      <c r="CI195" s="4550"/>
      <c r="CJ195" s="4550"/>
      <c r="CK195" s="4550"/>
      <c r="CL195" s="4550"/>
      <c r="CM195" s="4550"/>
      <c r="CN195" s="4550"/>
      <c r="CO195" s="4550"/>
      <c r="CP195" s="4550"/>
      <c r="CQ195" s="4550"/>
      <c r="CR195" s="4550"/>
      <c r="CS195" s="4550"/>
      <c r="CT195" s="4550"/>
      <c r="CU195" s="4550"/>
      <c r="CV195" s="4550"/>
      <c r="CW195" s="4550"/>
      <c r="CX195" s="4550"/>
      <c r="CY195" s="4550"/>
      <c r="CZ195" s="4550"/>
      <c r="DA195" s="4550"/>
      <c r="DB195" s="4550"/>
      <c r="DC195" s="4550"/>
      <c r="DD195" s="4550"/>
      <c r="DE195" s="4550"/>
      <c r="DF195" s="4550"/>
      <c r="DG195" s="4550"/>
      <c r="DH195" s="4550"/>
      <c r="DI195" s="4550"/>
      <c r="DJ195" s="4550"/>
      <c r="DK195" s="4550"/>
      <c r="DL195" s="4550"/>
      <c r="DM195" s="4550"/>
      <c r="DN195" s="4550"/>
      <c r="DO195" s="4550"/>
      <c r="DP195" s="4550"/>
      <c r="DQ195" s="4550"/>
      <c r="DR195" s="4550"/>
      <c r="DS195" s="4550"/>
      <c r="DT195" s="4550"/>
      <c r="DU195" s="4550"/>
      <c r="DV195" s="4550"/>
      <c r="DW195" s="4550"/>
      <c r="DX195" s="4550"/>
      <c r="DY195" s="4550"/>
      <c r="DZ195" s="4550"/>
      <c r="EA195" s="4550"/>
      <c r="EB195" s="4550"/>
      <c r="EC195" s="4550"/>
      <c r="ED195" s="4550"/>
      <c r="EE195" s="4550"/>
      <c r="EF195" s="4550"/>
      <c r="EG195" s="4550"/>
      <c r="EH195" s="4550"/>
      <c r="EI195" s="4550"/>
      <c r="EJ195" s="4550"/>
      <c r="EK195" s="4550"/>
      <c r="EL195" s="4550"/>
      <c r="EM195" s="4550"/>
      <c r="EN195" s="4550"/>
      <c r="EO195" s="4550"/>
      <c r="EP195" s="4550"/>
      <c r="EQ195" s="4550"/>
      <c r="ER195" s="4550"/>
      <c r="ES195" s="4550"/>
      <c r="ET195" s="4550"/>
      <c r="EU195" s="4550"/>
      <c r="EV195" s="4550"/>
      <c r="EW195" s="4550"/>
      <c r="EX195" s="4550"/>
      <c r="EY195" s="4550"/>
      <c r="EZ195" s="4550"/>
      <c r="FA195" s="4550"/>
      <c r="FB195" s="4550"/>
      <c r="FC195" s="4550"/>
      <c r="FD195" s="4550"/>
      <c r="FE195" s="4550"/>
      <c r="FF195" s="4550"/>
      <c r="FG195" s="4550"/>
      <c r="FH195" s="4550"/>
      <c r="FI195" s="4550"/>
      <c r="FJ195" s="4550"/>
      <c r="FK195" s="4550"/>
      <c r="FL195" s="4550"/>
      <c r="FM195" s="4550"/>
      <c r="FN195" s="4550"/>
      <c r="FO195" s="4550"/>
      <c r="FP195" s="4550"/>
      <c r="FQ195" s="4550"/>
      <c r="FR195" s="4550"/>
      <c r="FS195" s="4550"/>
      <c r="FT195" s="4550"/>
      <c r="FU195" s="4550"/>
      <c r="FV195" s="4550"/>
      <c r="FW195" s="4550"/>
      <c r="FX195" s="4550"/>
      <c r="FY195" s="4550"/>
      <c r="FZ195" s="4550"/>
      <c r="GA195" s="4550"/>
      <c r="GB195" s="4550"/>
      <c r="GC195" s="4550"/>
      <c r="GD195" s="4550"/>
      <c r="GE195" s="4550"/>
      <c r="GF195" s="4550"/>
      <c r="GG195" s="4550"/>
      <c r="GH195" s="4550"/>
      <c r="GI195" s="4550"/>
      <c r="GJ195" s="4550"/>
      <c r="GK195" s="4550"/>
      <c r="GL195" s="4550"/>
      <c r="GM195" s="4550"/>
      <c r="GN195" s="4550"/>
      <c r="GO195" s="4550"/>
      <c r="GP195" s="4550"/>
      <c r="GQ195" s="4550"/>
      <c r="GR195" s="4550"/>
      <c r="GS195" s="4550"/>
      <c r="GT195" s="4550"/>
      <c r="GU195" s="4550"/>
      <c r="GV195" s="4550"/>
      <c r="GW195" s="4550"/>
      <c r="GX195" s="4550"/>
      <c r="GY195" s="4550"/>
      <c r="GZ195" s="4550"/>
      <c r="HA195" s="4550"/>
      <c r="HB195" s="4550"/>
      <c r="HC195" s="4550"/>
      <c r="HD195" s="4550"/>
      <c r="HE195" s="4550"/>
      <c r="HF195" s="4550"/>
      <c r="HG195" s="4550"/>
      <c r="HH195" s="4550"/>
      <c r="HI195" s="4550"/>
      <c r="HJ195" s="4550"/>
      <c r="HK195" s="4550"/>
      <c r="HL195" s="4550"/>
      <c r="HM195" s="4550"/>
      <c r="HN195" s="4550"/>
      <c r="HO195" s="4550"/>
      <c r="HP195" s="4550"/>
      <c r="HQ195" s="4550"/>
      <c r="HR195" s="4550"/>
      <c r="HS195" s="4550"/>
      <c r="HT195" s="4550"/>
      <c r="HU195" s="4550"/>
      <c r="HV195" s="4550"/>
      <c r="HW195" s="4550"/>
      <c r="HX195" s="4550"/>
      <c r="HY195" s="4550"/>
      <c r="HZ195" s="4550"/>
      <c r="IA195" s="4550"/>
      <c r="IB195" s="4550"/>
      <c r="IC195" s="4550"/>
      <c r="ID195" s="4550"/>
      <c r="IE195" s="4550"/>
    </row>
    <row r="196" spans="1:239" s="4549" customFormat="1" ht="15">
      <c r="A196" s="4746">
        <v>10.7</v>
      </c>
      <c r="B196" s="4532" t="s">
        <v>4146</v>
      </c>
      <c r="C196" s="4599">
        <v>1</v>
      </c>
      <c r="D196" s="4596" t="s">
        <v>2433</v>
      </c>
      <c r="E196" s="4987"/>
      <c r="F196" s="4318">
        <f t="shared" si="5"/>
        <v>0</v>
      </c>
      <c r="G196" s="4537"/>
      <c r="H196" s="4537"/>
      <c r="I196" s="4537"/>
      <c r="J196" s="4537"/>
      <c r="K196" s="4537"/>
      <c r="L196" s="4537"/>
      <c r="M196" s="4537"/>
      <c r="N196" s="4537"/>
      <c r="O196" s="4537"/>
      <c r="P196" s="4537"/>
      <c r="Q196" s="4537"/>
      <c r="R196" s="4537"/>
      <c r="S196" s="4537"/>
      <c r="T196" s="4537"/>
      <c r="U196" s="4537"/>
      <c r="V196" s="4537"/>
      <c r="W196" s="4537"/>
      <c r="X196" s="4537"/>
      <c r="Y196" s="4537"/>
      <c r="Z196" s="4537"/>
      <c r="AA196" s="4537"/>
      <c r="AB196" s="4537"/>
      <c r="AC196" s="4537"/>
      <c r="AD196" s="4537"/>
      <c r="AE196" s="4537"/>
      <c r="AF196" s="4537"/>
      <c r="AG196" s="4537"/>
      <c r="AH196" s="4537"/>
      <c r="AI196" s="4537"/>
      <c r="AJ196" s="4537"/>
      <c r="AK196" s="4537"/>
      <c r="AL196" s="4537"/>
      <c r="AM196" s="4537"/>
      <c r="AN196" s="4537"/>
      <c r="AO196" s="4537"/>
      <c r="AP196" s="4537"/>
      <c r="AQ196" s="4537"/>
      <c r="AR196" s="4537"/>
      <c r="AS196" s="4550"/>
      <c r="AT196" s="4550"/>
      <c r="AU196" s="4550"/>
      <c r="AV196" s="4550"/>
      <c r="AW196" s="4550"/>
      <c r="AX196" s="4550"/>
      <c r="AY196" s="4550"/>
      <c r="AZ196" s="4550"/>
      <c r="BA196" s="4550"/>
      <c r="BB196" s="4550"/>
      <c r="BC196" s="4550"/>
      <c r="BD196" s="4550"/>
      <c r="BE196" s="4550"/>
      <c r="BF196" s="4550"/>
      <c r="BG196" s="4550"/>
      <c r="BH196" s="4550"/>
      <c r="BI196" s="4550"/>
      <c r="BJ196" s="4550"/>
      <c r="BK196" s="4550"/>
      <c r="BL196" s="4550"/>
      <c r="BM196" s="4550"/>
      <c r="BN196" s="4550"/>
      <c r="BO196" s="4550"/>
      <c r="BP196" s="4550"/>
      <c r="BQ196" s="4550"/>
      <c r="BR196" s="4550"/>
      <c r="BS196" s="4550"/>
      <c r="BT196" s="4550"/>
      <c r="BU196" s="4550"/>
      <c r="BV196" s="4550"/>
      <c r="BW196" s="4550"/>
      <c r="BX196" s="4550"/>
      <c r="BY196" s="4550"/>
      <c r="BZ196" s="4550"/>
      <c r="CA196" s="4550"/>
      <c r="CB196" s="4550"/>
      <c r="CC196" s="4550"/>
      <c r="CD196" s="4550"/>
      <c r="CE196" s="4550"/>
      <c r="CF196" s="4550"/>
      <c r="CG196" s="4550"/>
      <c r="CH196" s="4550"/>
      <c r="CI196" s="4550"/>
      <c r="CJ196" s="4550"/>
      <c r="CK196" s="4550"/>
      <c r="CL196" s="4550"/>
      <c r="CM196" s="4550"/>
      <c r="CN196" s="4550"/>
      <c r="CO196" s="4550"/>
      <c r="CP196" s="4550"/>
      <c r="CQ196" s="4550"/>
      <c r="CR196" s="4550"/>
      <c r="CS196" s="4550"/>
      <c r="CT196" s="4550"/>
      <c r="CU196" s="4550"/>
      <c r="CV196" s="4550"/>
      <c r="CW196" s="4550"/>
      <c r="CX196" s="4550"/>
      <c r="CY196" s="4550"/>
      <c r="CZ196" s="4550"/>
      <c r="DA196" s="4550"/>
      <c r="DB196" s="4550"/>
      <c r="DC196" s="4550"/>
      <c r="DD196" s="4550"/>
      <c r="DE196" s="4550"/>
      <c r="DF196" s="4550"/>
      <c r="DG196" s="4550"/>
      <c r="DH196" s="4550"/>
      <c r="DI196" s="4550"/>
      <c r="DJ196" s="4550"/>
      <c r="DK196" s="4550"/>
      <c r="DL196" s="4550"/>
      <c r="DM196" s="4550"/>
      <c r="DN196" s="4550"/>
      <c r="DO196" s="4550"/>
      <c r="DP196" s="4550"/>
      <c r="DQ196" s="4550"/>
      <c r="DR196" s="4550"/>
      <c r="DS196" s="4550"/>
      <c r="DT196" s="4550"/>
      <c r="DU196" s="4550"/>
      <c r="DV196" s="4550"/>
      <c r="DW196" s="4550"/>
      <c r="DX196" s="4550"/>
      <c r="DY196" s="4550"/>
      <c r="DZ196" s="4550"/>
      <c r="EA196" s="4550"/>
      <c r="EB196" s="4550"/>
      <c r="EC196" s="4550"/>
      <c r="ED196" s="4550"/>
      <c r="EE196" s="4550"/>
      <c r="EF196" s="4550"/>
      <c r="EG196" s="4550"/>
      <c r="EH196" s="4550"/>
      <c r="EI196" s="4550"/>
      <c r="EJ196" s="4550"/>
      <c r="EK196" s="4550"/>
      <c r="EL196" s="4550"/>
      <c r="EM196" s="4550"/>
      <c r="EN196" s="4550"/>
      <c r="EO196" s="4550"/>
      <c r="EP196" s="4550"/>
      <c r="EQ196" s="4550"/>
      <c r="ER196" s="4550"/>
      <c r="ES196" s="4550"/>
      <c r="ET196" s="4550"/>
      <c r="EU196" s="4550"/>
      <c r="EV196" s="4550"/>
      <c r="EW196" s="4550"/>
      <c r="EX196" s="4550"/>
      <c r="EY196" s="4550"/>
      <c r="EZ196" s="4550"/>
      <c r="FA196" s="4550"/>
      <c r="FB196" s="4550"/>
      <c r="FC196" s="4550"/>
      <c r="FD196" s="4550"/>
      <c r="FE196" s="4550"/>
      <c r="FF196" s="4550"/>
      <c r="FG196" s="4550"/>
      <c r="FH196" s="4550"/>
      <c r="FI196" s="4550"/>
      <c r="FJ196" s="4550"/>
      <c r="FK196" s="4550"/>
      <c r="FL196" s="4550"/>
      <c r="FM196" s="4550"/>
      <c r="FN196" s="4550"/>
      <c r="FO196" s="4550"/>
      <c r="FP196" s="4550"/>
      <c r="FQ196" s="4550"/>
      <c r="FR196" s="4550"/>
      <c r="FS196" s="4550"/>
      <c r="FT196" s="4550"/>
      <c r="FU196" s="4550"/>
      <c r="FV196" s="4550"/>
      <c r="FW196" s="4550"/>
      <c r="FX196" s="4550"/>
      <c r="FY196" s="4550"/>
      <c r="FZ196" s="4550"/>
      <c r="GA196" s="4550"/>
      <c r="GB196" s="4550"/>
      <c r="GC196" s="4550"/>
      <c r="GD196" s="4550"/>
      <c r="GE196" s="4550"/>
      <c r="GF196" s="4550"/>
      <c r="GG196" s="4550"/>
      <c r="GH196" s="4550"/>
      <c r="GI196" s="4550"/>
      <c r="GJ196" s="4550"/>
      <c r="GK196" s="4550"/>
      <c r="GL196" s="4550"/>
      <c r="GM196" s="4550"/>
      <c r="GN196" s="4550"/>
      <c r="GO196" s="4550"/>
      <c r="GP196" s="4550"/>
      <c r="GQ196" s="4550"/>
      <c r="GR196" s="4550"/>
      <c r="GS196" s="4550"/>
      <c r="GT196" s="4550"/>
      <c r="GU196" s="4550"/>
      <c r="GV196" s="4550"/>
      <c r="GW196" s="4550"/>
      <c r="GX196" s="4550"/>
      <c r="GY196" s="4550"/>
      <c r="GZ196" s="4550"/>
      <c r="HA196" s="4550"/>
      <c r="HB196" s="4550"/>
      <c r="HC196" s="4550"/>
      <c r="HD196" s="4550"/>
      <c r="HE196" s="4550"/>
      <c r="HF196" s="4550"/>
      <c r="HG196" s="4550"/>
      <c r="HH196" s="4550"/>
      <c r="HI196" s="4550"/>
      <c r="HJ196" s="4550"/>
      <c r="HK196" s="4550"/>
      <c r="HL196" s="4550"/>
      <c r="HM196" s="4550"/>
      <c r="HN196" s="4550"/>
      <c r="HO196" s="4550"/>
      <c r="HP196" s="4550"/>
      <c r="HQ196" s="4550"/>
      <c r="HR196" s="4550"/>
      <c r="HS196" s="4550"/>
      <c r="HT196" s="4550"/>
      <c r="HU196" s="4550"/>
      <c r="HV196" s="4550"/>
      <c r="HW196" s="4550"/>
      <c r="HX196" s="4550"/>
      <c r="HY196" s="4550"/>
      <c r="HZ196" s="4550"/>
      <c r="IA196" s="4550"/>
      <c r="IB196" s="4550"/>
      <c r="IC196" s="4550"/>
      <c r="ID196" s="4550"/>
      <c r="IE196" s="4550"/>
    </row>
    <row r="197" spans="1:239" s="4549" customFormat="1" ht="15">
      <c r="A197" s="4746">
        <v>10.8</v>
      </c>
      <c r="B197" s="4532" t="s">
        <v>4147</v>
      </c>
      <c r="C197" s="4599">
        <v>1</v>
      </c>
      <c r="D197" s="4600" t="s">
        <v>61</v>
      </c>
      <c r="E197" s="4987"/>
      <c r="F197" s="4318">
        <f t="shared" si="5"/>
        <v>0</v>
      </c>
      <c r="G197" s="4537"/>
      <c r="H197" s="4537"/>
      <c r="I197" s="4537"/>
      <c r="J197" s="4537"/>
      <c r="K197" s="4537"/>
      <c r="L197" s="4537"/>
      <c r="M197" s="4537"/>
      <c r="N197" s="4537"/>
      <c r="O197" s="4537"/>
      <c r="P197" s="4537"/>
      <c r="Q197" s="4537"/>
      <c r="R197" s="4537"/>
      <c r="S197" s="4537"/>
      <c r="T197" s="4537"/>
      <c r="U197" s="4537"/>
      <c r="V197" s="4537"/>
      <c r="W197" s="4537"/>
      <c r="X197" s="4537"/>
      <c r="Y197" s="4537"/>
      <c r="Z197" s="4537"/>
      <c r="AA197" s="4537"/>
      <c r="AB197" s="4537"/>
      <c r="AC197" s="4537"/>
      <c r="AD197" s="4537"/>
      <c r="AE197" s="4537"/>
      <c r="AF197" s="4537"/>
      <c r="AG197" s="4537"/>
      <c r="AH197" s="4537"/>
      <c r="AI197" s="4537"/>
      <c r="AJ197" s="4537"/>
      <c r="AK197" s="4537"/>
      <c r="AL197" s="4537"/>
      <c r="AM197" s="4537"/>
      <c r="AN197" s="4537"/>
      <c r="AO197" s="4537"/>
      <c r="AP197" s="4537"/>
      <c r="AQ197" s="4537"/>
      <c r="AR197" s="4537"/>
      <c r="AS197" s="4550"/>
      <c r="AT197" s="4550"/>
      <c r="AU197" s="4550"/>
      <c r="AV197" s="4550"/>
      <c r="AW197" s="4550"/>
      <c r="AX197" s="4550"/>
      <c r="AY197" s="4550"/>
      <c r="AZ197" s="4550"/>
      <c r="BA197" s="4550"/>
      <c r="BB197" s="4550"/>
      <c r="BC197" s="4550"/>
      <c r="BD197" s="4550"/>
      <c r="BE197" s="4550"/>
      <c r="BF197" s="4550"/>
      <c r="BG197" s="4550"/>
      <c r="BH197" s="4550"/>
      <c r="BI197" s="4550"/>
      <c r="BJ197" s="4550"/>
      <c r="BK197" s="4550"/>
      <c r="BL197" s="4550"/>
      <c r="BM197" s="4550"/>
      <c r="BN197" s="4550"/>
      <c r="BO197" s="4550"/>
      <c r="BP197" s="4550"/>
      <c r="BQ197" s="4550"/>
      <c r="BR197" s="4550"/>
      <c r="BS197" s="4550"/>
      <c r="BT197" s="4550"/>
      <c r="BU197" s="4550"/>
      <c r="BV197" s="4550"/>
      <c r="BW197" s="4550"/>
      <c r="BX197" s="4550"/>
      <c r="BY197" s="4550"/>
      <c r="BZ197" s="4550"/>
      <c r="CA197" s="4550"/>
      <c r="CB197" s="4550"/>
      <c r="CC197" s="4550"/>
      <c r="CD197" s="4550"/>
      <c r="CE197" s="4550"/>
      <c r="CF197" s="4550"/>
      <c r="CG197" s="4550"/>
      <c r="CH197" s="4550"/>
      <c r="CI197" s="4550"/>
      <c r="CJ197" s="4550"/>
      <c r="CK197" s="4550"/>
      <c r="CL197" s="4550"/>
      <c r="CM197" s="4550"/>
      <c r="CN197" s="4550"/>
      <c r="CO197" s="4550"/>
      <c r="CP197" s="4550"/>
      <c r="CQ197" s="4550"/>
      <c r="CR197" s="4550"/>
      <c r="CS197" s="4550"/>
      <c r="CT197" s="4550"/>
      <c r="CU197" s="4550"/>
      <c r="CV197" s="4550"/>
      <c r="CW197" s="4550"/>
      <c r="CX197" s="4550"/>
      <c r="CY197" s="4550"/>
      <c r="CZ197" s="4550"/>
      <c r="DA197" s="4550"/>
      <c r="DB197" s="4550"/>
      <c r="DC197" s="4550"/>
      <c r="DD197" s="4550"/>
      <c r="DE197" s="4550"/>
      <c r="DF197" s="4550"/>
      <c r="DG197" s="4550"/>
      <c r="DH197" s="4550"/>
      <c r="DI197" s="4550"/>
      <c r="DJ197" s="4550"/>
      <c r="DK197" s="4550"/>
      <c r="DL197" s="4550"/>
      <c r="DM197" s="4550"/>
      <c r="DN197" s="4550"/>
      <c r="DO197" s="4550"/>
      <c r="DP197" s="4550"/>
      <c r="DQ197" s="4550"/>
      <c r="DR197" s="4550"/>
      <c r="DS197" s="4550"/>
      <c r="DT197" s="4550"/>
      <c r="DU197" s="4550"/>
      <c r="DV197" s="4550"/>
      <c r="DW197" s="4550"/>
      <c r="DX197" s="4550"/>
      <c r="DY197" s="4550"/>
      <c r="DZ197" s="4550"/>
      <c r="EA197" s="4550"/>
      <c r="EB197" s="4550"/>
      <c r="EC197" s="4550"/>
      <c r="ED197" s="4550"/>
      <c r="EE197" s="4550"/>
      <c r="EF197" s="4550"/>
      <c r="EG197" s="4550"/>
      <c r="EH197" s="4550"/>
      <c r="EI197" s="4550"/>
      <c r="EJ197" s="4550"/>
      <c r="EK197" s="4550"/>
      <c r="EL197" s="4550"/>
      <c r="EM197" s="4550"/>
      <c r="EN197" s="4550"/>
      <c r="EO197" s="4550"/>
      <c r="EP197" s="4550"/>
      <c r="EQ197" s="4550"/>
      <c r="ER197" s="4550"/>
      <c r="ES197" s="4550"/>
      <c r="ET197" s="4550"/>
      <c r="EU197" s="4550"/>
      <c r="EV197" s="4550"/>
      <c r="EW197" s="4550"/>
      <c r="EX197" s="4550"/>
      <c r="EY197" s="4550"/>
      <c r="EZ197" s="4550"/>
      <c r="FA197" s="4550"/>
      <c r="FB197" s="4550"/>
      <c r="FC197" s="4550"/>
      <c r="FD197" s="4550"/>
      <c r="FE197" s="4550"/>
      <c r="FF197" s="4550"/>
      <c r="FG197" s="4550"/>
      <c r="FH197" s="4550"/>
      <c r="FI197" s="4550"/>
      <c r="FJ197" s="4550"/>
      <c r="FK197" s="4550"/>
      <c r="FL197" s="4550"/>
      <c r="FM197" s="4550"/>
      <c r="FN197" s="4550"/>
      <c r="FO197" s="4550"/>
      <c r="FP197" s="4550"/>
      <c r="FQ197" s="4550"/>
      <c r="FR197" s="4550"/>
      <c r="FS197" s="4550"/>
      <c r="FT197" s="4550"/>
      <c r="FU197" s="4550"/>
      <c r="FV197" s="4550"/>
      <c r="FW197" s="4550"/>
      <c r="FX197" s="4550"/>
      <c r="FY197" s="4550"/>
      <c r="FZ197" s="4550"/>
      <c r="GA197" s="4550"/>
      <c r="GB197" s="4550"/>
      <c r="GC197" s="4550"/>
      <c r="GD197" s="4550"/>
      <c r="GE197" s="4550"/>
      <c r="GF197" s="4550"/>
      <c r="GG197" s="4550"/>
      <c r="GH197" s="4550"/>
      <c r="GI197" s="4550"/>
      <c r="GJ197" s="4550"/>
      <c r="GK197" s="4550"/>
      <c r="GL197" s="4550"/>
      <c r="GM197" s="4550"/>
      <c r="GN197" s="4550"/>
      <c r="GO197" s="4550"/>
      <c r="GP197" s="4550"/>
      <c r="GQ197" s="4550"/>
      <c r="GR197" s="4550"/>
      <c r="GS197" s="4550"/>
      <c r="GT197" s="4550"/>
      <c r="GU197" s="4550"/>
      <c r="GV197" s="4550"/>
      <c r="GW197" s="4550"/>
      <c r="GX197" s="4550"/>
      <c r="GY197" s="4550"/>
      <c r="GZ197" s="4550"/>
      <c r="HA197" s="4550"/>
      <c r="HB197" s="4550"/>
      <c r="HC197" s="4550"/>
      <c r="HD197" s="4550"/>
      <c r="HE197" s="4550"/>
      <c r="HF197" s="4550"/>
      <c r="HG197" s="4550"/>
      <c r="HH197" s="4550"/>
      <c r="HI197" s="4550"/>
      <c r="HJ197" s="4550"/>
      <c r="HK197" s="4550"/>
      <c r="HL197" s="4550"/>
      <c r="HM197" s="4550"/>
      <c r="HN197" s="4550"/>
      <c r="HO197" s="4550"/>
      <c r="HP197" s="4550"/>
      <c r="HQ197" s="4550"/>
      <c r="HR197" s="4550"/>
      <c r="HS197" s="4550"/>
      <c r="HT197" s="4550"/>
      <c r="HU197" s="4550"/>
      <c r="HV197" s="4550"/>
      <c r="HW197" s="4550"/>
      <c r="HX197" s="4550"/>
      <c r="HY197" s="4550"/>
      <c r="HZ197" s="4550"/>
      <c r="IA197" s="4550"/>
      <c r="IB197" s="4550"/>
      <c r="IC197" s="4550"/>
      <c r="ID197" s="4550"/>
      <c r="IE197" s="4550"/>
    </row>
    <row r="198" spans="1:239" s="4549" customFormat="1" ht="15">
      <c r="A198" s="4746">
        <v>10.9</v>
      </c>
      <c r="B198" s="4532" t="s">
        <v>4148</v>
      </c>
      <c r="C198" s="4599">
        <v>1</v>
      </c>
      <c r="D198" s="4600" t="s">
        <v>61</v>
      </c>
      <c r="E198" s="4987"/>
      <c r="F198" s="4318">
        <f t="shared" si="5"/>
        <v>0</v>
      </c>
      <c r="G198" s="4537"/>
      <c r="H198" s="4537"/>
      <c r="I198" s="4537"/>
      <c r="J198" s="4537"/>
      <c r="K198" s="4537"/>
      <c r="L198" s="4537"/>
      <c r="M198" s="4537"/>
      <c r="N198" s="4537"/>
      <c r="O198" s="4537"/>
      <c r="P198" s="4537"/>
      <c r="Q198" s="4537"/>
      <c r="R198" s="4537"/>
      <c r="S198" s="4537"/>
      <c r="T198" s="4537"/>
      <c r="U198" s="4537"/>
      <c r="V198" s="4537"/>
      <c r="W198" s="4537"/>
      <c r="X198" s="4537"/>
      <c r="Y198" s="4537"/>
      <c r="Z198" s="4537"/>
      <c r="AA198" s="4537"/>
      <c r="AB198" s="4537"/>
      <c r="AC198" s="4537"/>
      <c r="AD198" s="4537"/>
      <c r="AE198" s="4537"/>
      <c r="AF198" s="4537"/>
      <c r="AG198" s="4537"/>
      <c r="AH198" s="4537"/>
      <c r="AI198" s="4537"/>
      <c r="AJ198" s="4537"/>
      <c r="AK198" s="4537"/>
      <c r="AL198" s="4537"/>
      <c r="AM198" s="4537"/>
      <c r="AN198" s="4537"/>
      <c r="AO198" s="4537"/>
      <c r="AP198" s="4537"/>
      <c r="AQ198" s="4537"/>
      <c r="AR198" s="4537"/>
      <c r="AS198" s="4550"/>
      <c r="AT198" s="4550"/>
      <c r="AU198" s="4550"/>
      <c r="AV198" s="4550"/>
      <c r="AW198" s="4550"/>
      <c r="AX198" s="4550"/>
      <c r="AY198" s="4550"/>
      <c r="AZ198" s="4550"/>
      <c r="BA198" s="4550"/>
      <c r="BB198" s="4550"/>
      <c r="BC198" s="4550"/>
      <c r="BD198" s="4550"/>
      <c r="BE198" s="4550"/>
      <c r="BF198" s="4550"/>
      <c r="BG198" s="4550"/>
      <c r="BH198" s="4550"/>
      <c r="BI198" s="4550"/>
      <c r="BJ198" s="4550"/>
      <c r="BK198" s="4550"/>
      <c r="BL198" s="4550"/>
      <c r="BM198" s="4550"/>
      <c r="BN198" s="4550"/>
      <c r="BO198" s="4550"/>
      <c r="BP198" s="4550"/>
      <c r="BQ198" s="4550"/>
      <c r="BR198" s="4550"/>
      <c r="BS198" s="4550"/>
      <c r="BT198" s="4550"/>
      <c r="BU198" s="4550"/>
      <c r="BV198" s="4550"/>
      <c r="BW198" s="4550"/>
      <c r="BX198" s="4550"/>
      <c r="BY198" s="4550"/>
      <c r="BZ198" s="4550"/>
      <c r="CA198" s="4550"/>
      <c r="CB198" s="4550"/>
      <c r="CC198" s="4550"/>
      <c r="CD198" s="4550"/>
      <c r="CE198" s="4550"/>
      <c r="CF198" s="4550"/>
      <c r="CG198" s="4550"/>
      <c r="CH198" s="4550"/>
      <c r="CI198" s="4550"/>
      <c r="CJ198" s="4550"/>
      <c r="CK198" s="4550"/>
      <c r="CL198" s="4550"/>
      <c r="CM198" s="4550"/>
      <c r="CN198" s="4550"/>
      <c r="CO198" s="4550"/>
      <c r="CP198" s="4550"/>
      <c r="CQ198" s="4550"/>
      <c r="CR198" s="4550"/>
      <c r="CS198" s="4550"/>
      <c r="CT198" s="4550"/>
      <c r="CU198" s="4550"/>
      <c r="CV198" s="4550"/>
      <c r="CW198" s="4550"/>
      <c r="CX198" s="4550"/>
      <c r="CY198" s="4550"/>
      <c r="CZ198" s="4550"/>
      <c r="DA198" s="4550"/>
      <c r="DB198" s="4550"/>
      <c r="DC198" s="4550"/>
      <c r="DD198" s="4550"/>
      <c r="DE198" s="4550"/>
      <c r="DF198" s="4550"/>
      <c r="DG198" s="4550"/>
      <c r="DH198" s="4550"/>
      <c r="DI198" s="4550"/>
      <c r="DJ198" s="4550"/>
      <c r="DK198" s="4550"/>
      <c r="DL198" s="4550"/>
      <c r="DM198" s="4550"/>
      <c r="DN198" s="4550"/>
      <c r="DO198" s="4550"/>
      <c r="DP198" s="4550"/>
      <c r="DQ198" s="4550"/>
      <c r="DR198" s="4550"/>
      <c r="DS198" s="4550"/>
      <c r="DT198" s="4550"/>
      <c r="DU198" s="4550"/>
      <c r="DV198" s="4550"/>
      <c r="DW198" s="4550"/>
      <c r="DX198" s="4550"/>
      <c r="DY198" s="4550"/>
      <c r="DZ198" s="4550"/>
      <c r="EA198" s="4550"/>
      <c r="EB198" s="4550"/>
      <c r="EC198" s="4550"/>
      <c r="ED198" s="4550"/>
      <c r="EE198" s="4550"/>
      <c r="EF198" s="4550"/>
      <c r="EG198" s="4550"/>
      <c r="EH198" s="4550"/>
      <c r="EI198" s="4550"/>
      <c r="EJ198" s="4550"/>
      <c r="EK198" s="4550"/>
      <c r="EL198" s="4550"/>
      <c r="EM198" s="4550"/>
      <c r="EN198" s="4550"/>
      <c r="EO198" s="4550"/>
      <c r="EP198" s="4550"/>
      <c r="EQ198" s="4550"/>
      <c r="ER198" s="4550"/>
      <c r="ES198" s="4550"/>
      <c r="ET198" s="4550"/>
      <c r="EU198" s="4550"/>
      <c r="EV198" s="4550"/>
      <c r="EW198" s="4550"/>
      <c r="EX198" s="4550"/>
      <c r="EY198" s="4550"/>
      <c r="EZ198" s="4550"/>
      <c r="FA198" s="4550"/>
      <c r="FB198" s="4550"/>
      <c r="FC198" s="4550"/>
      <c r="FD198" s="4550"/>
      <c r="FE198" s="4550"/>
      <c r="FF198" s="4550"/>
      <c r="FG198" s="4550"/>
      <c r="FH198" s="4550"/>
      <c r="FI198" s="4550"/>
      <c r="FJ198" s="4550"/>
      <c r="FK198" s="4550"/>
      <c r="FL198" s="4550"/>
      <c r="FM198" s="4550"/>
      <c r="FN198" s="4550"/>
      <c r="FO198" s="4550"/>
      <c r="FP198" s="4550"/>
      <c r="FQ198" s="4550"/>
      <c r="FR198" s="4550"/>
      <c r="FS198" s="4550"/>
      <c r="FT198" s="4550"/>
      <c r="FU198" s="4550"/>
      <c r="FV198" s="4550"/>
      <c r="FW198" s="4550"/>
      <c r="FX198" s="4550"/>
      <c r="FY198" s="4550"/>
      <c r="FZ198" s="4550"/>
      <c r="GA198" s="4550"/>
      <c r="GB198" s="4550"/>
      <c r="GC198" s="4550"/>
      <c r="GD198" s="4550"/>
      <c r="GE198" s="4550"/>
      <c r="GF198" s="4550"/>
      <c r="GG198" s="4550"/>
      <c r="GH198" s="4550"/>
      <c r="GI198" s="4550"/>
      <c r="GJ198" s="4550"/>
      <c r="GK198" s="4550"/>
      <c r="GL198" s="4550"/>
      <c r="GM198" s="4550"/>
      <c r="GN198" s="4550"/>
      <c r="GO198" s="4550"/>
      <c r="GP198" s="4550"/>
      <c r="GQ198" s="4550"/>
      <c r="GR198" s="4550"/>
      <c r="GS198" s="4550"/>
      <c r="GT198" s="4550"/>
      <c r="GU198" s="4550"/>
      <c r="GV198" s="4550"/>
      <c r="GW198" s="4550"/>
      <c r="GX198" s="4550"/>
      <c r="GY198" s="4550"/>
      <c r="GZ198" s="4550"/>
      <c r="HA198" s="4550"/>
      <c r="HB198" s="4550"/>
      <c r="HC198" s="4550"/>
      <c r="HD198" s="4550"/>
      <c r="HE198" s="4550"/>
      <c r="HF198" s="4550"/>
      <c r="HG198" s="4550"/>
      <c r="HH198" s="4550"/>
      <c r="HI198" s="4550"/>
      <c r="HJ198" s="4550"/>
      <c r="HK198" s="4550"/>
      <c r="HL198" s="4550"/>
      <c r="HM198" s="4550"/>
      <c r="HN198" s="4550"/>
      <c r="HO198" s="4550"/>
      <c r="HP198" s="4550"/>
      <c r="HQ198" s="4550"/>
      <c r="HR198" s="4550"/>
      <c r="HS198" s="4550"/>
      <c r="HT198" s="4550"/>
      <c r="HU198" s="4550"/>
      <c r="HV198" s="4550"/>
      <c r="HW198" s="4550"/>
      <c r="HX198" s="4550"/>
      <c r="HY198" s="4550"/>
      <c r="HZ198" s="4550"/>
      <c r="IA198" s="4550"/>
      <c r="IB198" s="4550"/>
      <c r="IC198" s="4550"/>
      <c r="ID198" s="4550"/>
      <c r="IE198" s="4550"/>
    </row>
    <row r="199" spans="1:239" s="4549" customFormat="1" ht="15">
      <c r="A199" s="4748"/>
      <c r="B199" s="4749" t="s">
        <v>2564</v>
      </c>
      <c r="C199" s="4599"/>
      <c r="D199" s="4600"/>
      <c r="E199" s="4990"/>
      <c r="F199" s="4318"/>
      <c r="G199" s="4537"/>
      <c r="H199" s="4537"/>
      <c r="I199" s="4537"/>
      <c r="J199" s="4537"/>
      <c r="K199" s="4537"/>
      <c r="L199" s="4537"/>
      <c r="M199" s="4537"/>
      <c r="N199" s="4537"/>
      <c r="O199" s="4537"/>
      <c r="P199" s="4537"/>
      <c r="Q199" s="4537"/>
      <c r="R199" s="4537"/>
      <c r="S199" s="4537"/>
      <c r="T199" s="4537"/>
      <c r="U199" s="4537"/>
      <c r="V199" s="4537"/>
      <c r="W199" s="4537"/>
      <c r="X199" s="4537"/>
      <c r="Y199" s="4537"/>
      <c r="Z199" s="4537"/>
      <c r="AA199" s="4537"/>
      <c r="AB199" s="4537"/>
      <c r="AC199" s="4537"/>
      <c r="AD199" s="4537"/>
      <c r="AE199" s="4537"/>
      <c r="AF199" s="4537"/>
      <c r="AG199" s="4537"/>
      <c r="AH199" s="4537"/>
      <c r="AI199" s="4537"/>
      <c r="AJ199" s="4537"/>
      <c r="AK199" s="4537"/>
      <c r="AL199" s="4537"/>
      <c r="AM199" s="4537"/>
      <c r="AN199" s="4537"/>
      <c r="AO199" s="4537"/>
      <c r="AP199" s="4537"/>
      <c r="AQ199" s="4537"/>
      <c r="AR199" s="4537"/>
      <c r="AS199" s="4550"/>
      <c r="AT199" s="4550"/>
      <c r="AU199" s="4550"/>
      <c r="AV199" s="4550"/>
      <c r="AW199" s="4550"/>
      <c r="AX199" s="4550"/>
      <c r="AY199" s="4550"/>
      <c r="AZ199" s="4550"/>
      <c r="BA199" s="4550"/>
      <c r="BB199" s="4550"/>
      <c r="BC199" s="4550"/>
      <c r="BD199" s="4550"/>
      <c r="BE199" s="4550"/>
      <c r="BF199" s="4550"/>
      <c r="BG199" s="4550"/>
      <c r="BH199" s="4550"/>
      <c r="BI199" s="4550"/>
      <c r="BJ199" s="4550"/>
      <c r="BK199" s="4550"/>
      <c r="BL199" s="4550"/>
      <c r="BM199" s="4550"/>
      <c r="BN199" s="4550"/>
      <c r="BO199" s="4550"/>
      <c r="BP199" s="4550"/>
      <c r="BQ199" s="4550"/>
      <c r="BR199" s="4550"/>
      <c r="BS199" s="4550"/>
      <c r="BT199" s="4550"/>
      <c r="BU199" s="4550"/>
      <c r="BV199" s="4550"/>
      <c r="BW199" s="4550"/>
      <c r="BX199" s="4550"/>
      <c r="BY199" s="4550"/>
      <c r="BZ199" s="4550"/>
      <c r="CA199" s="4550"/>
      <c r="CB199" s="4550"/>
      <c r="CC199" s="4550"/>
      <c r="CD199" s="4550"/>
      <c r="CE199" s="4550"/>
      <c r="CF199" s="4550"/>
      <c r="CG199" s="4550"/>
      <c r="CH199" s="4550"/>
      <c r="CI199" s="4550"/>
      <c r="CJ199" s="4550"/>
      <c r="CK199" s="4550"/>
      <c r="CL199" s="4550"/>
      <c r="CM199" s="4550"/>
      <c r="CN199" s="4550"/>
      <c r="CO199" s="4550"/>
      <c r="CP199" s="4550"/>
      <c r="CQ199" s="4550"/>
      <c r="CR199" s="4550"/>
      <c r="CS199" s="4550"/>
      <c r="CT199" s="4550"/>
      <c r="CU199" s="4550"/>
      <c r="CV199" s="4550"/>
      <c r="CW199" s="4550"/>
      <c r="CX199" s="4550"/>
      <c r="CY199" s="4550"/>
      <c r="CZ199" s="4550"/>
      <c r="DA199" s="4550"/>
      <c r="DB199" s="4550"/>
      <c r="DC199" s="4550"/>
      <c r="DD199" s="4550"/>
      <c r="DE199" s="4550"/>
      <c r="DF199" s="4550"/>
      <c r="DG199" s="4550"/>
      <c r="DH199" s="4550"/>
      <c r="DI199" s="4550"/>
      <c r="DJ199" s="4550"/>
      <c r="DK199" s="4550"/>
      <c r="DL199" s="4550"/>
      <c r="DM199" s="4550"/>
      <c r="DN199" s="4550"/>
      <c r="DO199" s="4550"/>
      <c r="DP199" s="4550"/>
      <c r="DQ199" s="4550"/>
      <c r="DR199" s="4550"/>
      <c r="DS199" s="4550"/>
      <c r="DT199" s="4550"/>
      <c r="DU199" s="4550"/>
      <c r="DV199" s="4550"/>
      <c r="DW199" s="4550"/>
      <c r="DX199" s="4550"/>
      <c r="DY199" s="4550"/>
      <c r="DZ199" s="4550"/>
      <c r="EA199" s="4550"/>
      <c r="EB199" s="4550"/>
      <c r="EC199" s="4550"/>
      <c r="ED199" s="4550"/>
      <c r="EE199" s="4550"/>
      <c r="EF199" s="4550"/>
      <c r="EG199" s="4550"/>
      <c r="EH199" s="4550"/>
      <c r="EI199" s="4550"/>
      <c r="EJ199" s="4550"/>
      <c r="EK199" s="4550"/>
      <c r="EL199" s="4550"/>
      <c r="EM199" s="4550"/>
      <c r="EN199" s="4550"/>
      <c r="EO199" s="4550"/>
      <c r="EP199" s="4550"/>
      <c r="EQ199" s="4550"/>
      <c r="ER199" s="4550"/>
      <c r="ES199" s="4550"/>
      <c r="ET199" s="4550"/>
      <c r="EU199" s="4550"/>
      <c r="EV199" s="4550"/>
      <c r="EW199" s="4550"/>
      <c r="EX199" s="4550"/>
      <c r="EY199" s="4550"/>
      <c r="EZ199" s="4550"/>
      <c r="FA199" s="4550"/>
      <c r="FB199" s="4550"/>
      <c r="FC199" s="4550"/>
      <c r="FD199" s="4550"/>
      <c r="FE199" s="4550"/>
      <c r="FF199" s="4550"/>
      <c r="FG199" s="4550"/>
      <c r="FH199" s="4550"/>
      <c r="FI199" s="4550"/>
      <c r="FJ199" s="4550"/>
      <c r="FK199" s="4550"/>
      <c r="FL199" s="4550"/>
      <c r="FM199" s="4550"/>
      <c r="FN199" s="4550"/>
      <c r="FO199" s="4550"/>
      <c r="FP199" s="4550"/>
      <c r="FQ199" s="4550"/>
      <c r="FR199" s="4550"/>
      <c r="FS199" s="4550"/>
      <c r="FT199" s="4550"/>
      <c r="FU199" s="4550"/>
      <c r="FV199" s="4550"/>
      <c r="FW199" s="4550"/>
      <c r="FX199" s="4550"/>
      <c r="FY199" s="4550"/>
      <c r="FZ199" s="4550"/>
      <c r="GA199" s="4550"/>
      <c r="GB199" s="4550"/>
      <c r="GC199" s="4550"/>
      <c r="GD199" s="4550"/>
      <c r="GE199" s="4550"/>
      <c r="GF199" s="4550"/>
      <c r="GG199" s="4550"/>
      <c r="GH199" s="4550"/>
      <c r="GI199" s="4550"/>
      <c r="GJ199" s="4550"/>
      <c r="GK199" s="4550"/>
      <c r="GL199" s="4550"/>
      <c r="GM199" s="4550"/>
      <c r="GN199" s="4550"/>
      <c r="GO199" s="4550"/>
      <c r="GP199" s="4550"/>
      <c r="GQ199" s="4550"/>
      <c r="GR199" s="4550"/>
      <c r="GS199" s="4550"/>
      <c r="GT199" s="4550"/>
      <c r="GU199" s="4550"/>
      <c r="GV199" s="4550"/>
      <c r="GW199" s="4550"/>
      <c r="GX199" s="4550"/>
      <c r="GY199" s="4550"/>
      <c r="GZ199" s="4550"/>
      <c r="HA199" s="4550"/>
      <c r="HB199" s="4550"/>
      <c r="HC199" s="4550"/>
      <c r="HD199" s="4550"/>
      <c r="HE199" s="4550"/>
      <c r="HF199" s="4550"/>
      <c r="HG199" s="4550"/>
      <c r="HH199" s="4550"/>
      <c r="HI199" s="4550"/>
      <c r="HJ199" s="4550"/>
      <c r="HK199" s="4550"/>
      <c r="HL199" s="4550"/>
      <c r="HM199" s="4550"/>
      <c r="HN199" s="4550"/>
      <c r="HO199" s="4550"/>
      <c r="HP199" s="4550"/>
      <c r="HQ199" s="4550"/>
      <c r="HR199" s="4550"/>
      <c r="HS199" s="4550"/>
      <c r="HT199" s="4550"/>
      <c r="HU199" s="4550"/>
      <c r="HV199" s="4550"/>
      <c r="HW199" s="4550"/>
      <c r="HX199" s="4550"/>
      <c r="HY199" s="4550"/>
      <c r="HZ199" s="4550"/>
      <c r="IA199" s="4550"/>
      <c r="IB199" s="4550"/>
      <c r="IC199" s="4550"/>
      <c r="ID199" s="4550"/>
      <c r="IE199" s="4550"/>
    </row>
    <row r="200" spans="1:239" s="4549" customFormat="1" ht="15">
      <c r="A200" s="4745">
        <v>11</v>
      </c>
      <c r="B200" s="4610" t="s">
        <v>4149</v>
      </c>
      <c r="C200" s="4601"/>
      <c r="D200" s="4593"/>
      <c r="E200" s="4988"/>
      <c r="F200" s="4594"/>
      <c r="G200" s="4537"/>
      <c r="H200" s="4537"/>
      <c r="I200" s="4537"/>
      <c r="J200" s="4537"/>
      <c r="K200" s="4537"/>
      <c r="L200" s="4537"/>
      <c r="M200" s="4537"/>
      <c r="N200" s="4537"/>
      <c r="O200" s="4537"/>
      <c r="P200" s="4537"/>
      <c r="Q200" s="4537"/>
      <c r="R200" s="4537"/>
      <c r="S200" s="4537"/>
      <c r="T200" s="4537"/>
      <c r="U200" s="4537"/>
      <c r="V200" s="4537"/>
      <c r="W200" s="4537"/>
      <c r="X200" s="4537"/>
      <c r="Y200" s="4537"/>
      <c r="Z200" s="4537"/>
      <c r="AA200" s="4537"/>
      <c r="AB200" s="4537"/>
      <c r="AC200" s="4537"/>
      <c r="AD200" s="4537"/>
      <c r="AE200" s="4537"/>
      <c r="AF200" s="4537"/>
      <c r="AG200" s="4537"/>
      <c r="AH200" s="4537"/>
      <c r="AI200" s="4537"/>
      <c r="AJ200" s="4537"/>
      <c r="AK200" s="4537"/>
      <c r="AL200" s="4537"/>
      <c r="AM200" s="4537"/>
      <c r="AN200" s="4537"/>
      <c r="AO200" s="4537"/>
      <c r="AP200" s="4537"/>
      <c r="AQ200" s="4537"/>
      <c r="AR200" s="4537"/>
      <c r="AS200" s="4550"/>
      <c r="AT200" s="4550"/>
      <c r="AU200" s="4550"/>
      <c r="AV200" s="4550"/>
      <c r="AW200" s="4550"/>
      <c r="AX200" s="4550"/>
      <c r="AY200" s="4550"/>
      <c r="AZ200" s="4550"/>
      <c r="BA200" s="4550"/>
      <c r="BB200" s="4550"/>
      <c r="BC200" s="4550"/>
      <c r="BD200" s="4550"/>
      <c r="BE200" s="4550"/>
      <c r="BF200" s="4550"/>
      <c r="BG200" s="4550"/>
      <c r="BH200" s="4550"/>
      <c r="BI200" s="4550"/>
      <c r="BJ200" s="4550"/>
      <c r="BK200" s="4550"/>
      <c r="BL200" s="4550"/>
      <c r="BM200" s="4550"/>
      <c r="BN200" s="4550"/>
      <c r="BO200" s="4550"/>
      <c r="BP200" s="4550"/>
      <c r="BQ200" s="4550"/>
      <c r="BR200" s="4550"/>
      <c r="BS200" s="4550"/>
      <c r="BT200" s="4550"/>
      <c r="BU200" s="4550"/>
      <c r="BV200" s="4550"/>
      <c r="BW200" s="4550"/>
      <c r="BX200" s="4550"/>
      <c r="BY200" s="4550"/>
      <c r="BZ200" s="4550"/>
      <c r="CA200" s="4550"/>
      <c r="CB200" s="4550"/>
      <c r="CC200" s="4550"/>
      <c r="CD200" s="4550"/>
      <c r="CE200" s="4550"/>
      <c r="CF200" s="4550"/>
      <c r="CG200" s="4550"/>
      <c r="CH200" s="4550"/>
      <c r="CI200" s="4550"/>
      <c r="CJ200" s="4550"/>
      <c r="CK200" s="4550"/>
      <c r="CL200" s="4550"/>
      <c r="CM200" s="4550"/>
      <c r="CN200" s="4550"/>
      <c r="CO200" s="4550"/>
      <c r="CP200" s="4550"/>
      <c r="CQ200" s="4550"/>
      <c r="CR200" s="4550"/>
      <c r="CS200" s="4550"/>
      <c r="CT200" s="4550"/>
      <c r="CU200" s="4550"/>
      <c r="CV200" s="4550"/>
      <c r="CW200" s="4550"/>
      <c r="CX200" s="4550"/>
      <c r="CY200" s="4550"/>
      <c r="CZ200" s="4550"/>
      <c r="DA200" s="4550"/>
      <c r="DB200" s="4550"/>
      <c r="DC200" s="4550"/>
      <c r="DD200" s="4550"/>
      <c r="DE200" s="4550"/>
      <c r="DF200" s="4550"/>
      <c r="DG200" s="4550"/>
      <c r="DH200" s="4550"/>
      <c r="DI200" s="4550"/>
      <c r="DJ200" s="4550"/>
      <c r="DK200" s="4550"/>
      <c r="DL200" s="4550"/>
      <c r="DM200" s="4550"/>
      <c r="DN200" s="4550"/>
      <c r="DO200" s="4550"/>
      <c r="DP200" s="4550"/>
      <c r="DQ200" s="4550"/>
      <c r="DR200" s="4550"/>
      <c r="DS200" s="4550"/>
      <c r="DT200" s="4550"/>
      <c r="DU200" s="4550"/>
      <c r="DV200" s="4550"/>
      <c r="DW200" s="4550"/>
      <c r="DX200" s="4550"/>
      <c r="DY200" s="4550"/>
      <c r="DZ200" s="4550"/>
      <c r="EA200" s="4550"/>
      <c r="EB200" s="4550"/>
      <c r="EC200" s="4550"/>
      <c r="ED200" s="4550"/>
      <c r="EE200" s="4550"/>
      <c r="EF200" s="4550"/>
      <c r="EG200" s="4550"/>
      <c r="EH200" s="4550"/>
      <c r="EI200" s="4550"/>
      <c r="EJ200" s="4550"/>
      <c r="EK200" s="4550"/>
      <c r="EL200" s="4550"/>
      <c r="EM200" s="4550"/>
      <c r="EN200" s="4550"/>
      <c r="EO200" s="4550"/>
      <c r="EP200" s="4550"/>
      <c r="EQ200" s="4550"/>
      <c r="ER200" s="4550"/>
      <c r="ES200" s="4550"/>
      <c r="ET200" s="4550"/>
      <c r="EU200" s="4550"/>
      <c r="EV200" s="4550"/>
      <c r="EW200" s="4550"/>
      <c r="EX200" s="4550"/>
      <c r="EY200" s="4550"/>
      <c r="EZ200" s="4550"/>
      <c r="FA200" s="4550"/>
      <c r="FB200" s="4550"/>
      <c r="FC200" s="4550"/>
      <c r="FD200" s="4550"/>
      <c r="FE200" s="4550"/>
      <c r="FF200" s="4550"/>
      <c r="FG200" s="4550"/>
      <c r="FH200" s="4550"/>
      <c r="FI200" s="4550"/>
      <c r="FJ200" s="4550"/>
      <c r="FK200" s="4550"/>
      <c r="FL200" s="4550"/>
      <c r="FM200" s="4550"/>
      <c r="FN200" s="4550"/>
      <c r="FO200" s="4550"/>
      <c r="FP200" s="4550"/>
      <c r="FQ200" s="4550"/>
      <c r="FR200" s="4550"/>
      <c r="FS200" s="4550"/>
      <c r="FT200" s="4550"/>
      <c r="FU200" s="4550"/>
      <c r="FV200" s="4550"/>
      <c r="FW200" s="4550"/>
      <c r="FX200" s="4550"/>
      <c r="FY200" s="4550"/>
      <c r="FZ200" s="4550"/>
      <c r="GA200" s="4550"/>
      <c r="GB200" s="4550"/>
      <c r="GC200" s="4550"/>
      <c r="GD200" s="4550"/>
      <c r="GE200" s="4550"/>
      <c r="GF200" s="4550"/>
      <c r="GG200" s="4550"/>
      <c r="GH200" s="4550"/>
      <c r="GI200" s="4550"/>
      <c r="GJ200" s="4550"/>
      <c r="GK200" s="4550"/>
      <c r="GL200" s="4550"/>
      <c r="GM200" s="4550"/>
      <c r="GN200" s="4550"/>
      <c r="GO200" s="4550"/>
      <c r="GP200" s="4550"/>
      <c r="GQ200" s="4550"/>
      <c r="GR200" s="4550"/>
      <c r="GS200" s="4550"/>
      <c r="GT200" s="4550"/>
      <c r="GU200" s="4550"/>
      <c r="GV200" s="4550"/>
      <c r="GW200" s="4550"/>
      <c r="GX200" s="4550"/>
      <c r="GY200" s="4550"/>
      <c r="GZ200" s="4550"/>
      <c r="HA200" s="4550"/>
      <c r="HB200" s="4550"/>
      <c r="HC200" s="4550"/>
      <c r="HD200" s="4550"/>
      <c r="HE200" s="4550"/>
      <c r="HF200" s="4550"/>
      <c r="HG200" s="4550"/>
      <c r="HH200" s="4550"/>
      <c r="HI200" s="4550"/>
      <c r="HJ200" s="4550"/>
      <c r="HK200" s="4550"/>
      <c r="HL200" s="4550"/>
      <c r="HM200" s="4550"/>
      <c r="HN200" s="4550"/>
      <c r="HO200" s="4550"/>
      <c r="HP200" s="4550"/>
      <c r="HQ200" s="4550"/>
      <c r="HR200" s="4550"/>
      <c r="HS200" s="4550"/>
      <c r="HT200" s="4550"/>
      <c r="HU200" s="4550"/>
      <c r="HV200" s="4550"/>
      <c r="HW200" s="4550"/>
      <c r="HX200" s="4550"/>
      <c r="HY200" s="4550"/>
      <c r="HZ200" s="4550"/>
      <c r="IA200" s="4550"/>
      <c r="IB200" s="4550"/>
      <c r="IC200" s="4550"/>
      <c r="ID200" s="4550"/>
      <c r="IE200" s="4550"/>
    </row>
    <row r="201" spans="1:239" s="4549" customFormat="1" ht="15">
      <c r="A201" s="4750">
        <v>11.1</v>
      </c>
      <c r="B201" s="4642" t="s">
        <v>4150</v>
      </c>
      <c r="C201" s="4643">
        <v>6</v>
      </c>
      <c r="D201" s="4644" t="s">
        <v>2433</v>
      </c>
      <c r="E201" s="4991"/>
      <c r="F201" s="4597">
        <f>ROUND(C201*E201,2)</f>
        <v>0</v>
      </c>
      <c r="G201" s="4537"/>
      <c r="H201" s="4537"/>
      <c r="I201" s="4537"/>
      <c r="J201" s="4537"/>
      <c r="K201" s="4537"/>
      <c r="L201" s="4537"/>
      <c r="M201" s="4537"/>
      <c r="N201" s="4537"/>
      <c r="O201" s="4537"/>
      <c r="P201" s="4537"/>
      <c r="Q201" s="4537"/>
      <c r="R201" s="4537"/>
      <c r="S201" s="4537"/>
      <c r="T201" s="4537"/>
      <c r="U201" s="4537"/>
      <c r="V201" s="4537"/>
      <c r="W201" s="4537"/>
      <c r="X201" s="4537"/>
      <c r="Y201" s="4537"/>
      <c r="Z201" s="4537"/>
      <c r="AA201" s="4537"/>
      <c r="AB201" s="4537"/>
      <c r="AC201" s="4537"/>
      <c r="AD201" s="4537"/>
      <c r="AE201" s="4537"/>
      <c r="AF201" s="4537"/>
      <c r="AG201" s="4537"/>
      <c r="AH201" s="4537"/>
      <c r="AI201" s="4537"/>
      <c r="AJ201" s="4537"/>
      <c r="AK201" s="4537"/>
      <c r="AL201" s="4537"/>
      <c r="AM201" s="4537"/>
      <c r="AN201" s="4537"/>
      <c r="AO201" s="4537"/>
      <c r="AP201" s="4537"/>
      <c r="AQ201" s="4537"/>
      <c r="AR201" s="4537"/>
      <c r="AS201" s="4550"/>
      <c r="AT201" s="4550"/>
      <c r="AU201" s="4550"/>
      <c r="AV201" s="4550"/>
      <c r="AW201" s="4550"/>
      <c r="AX201" s="4550"/>
      <c r="AY201" s="4550"/>
      <c r="AZ201" s="4550"/>
      <c r="BA201" s="4550"/>
      <c r="BB201" s="4550"/>
      <c r="BC201" s="4550"/>
      <c r="BD201" s="4550"/>
      <c r="BE201" s="4550"/>
      <c r="BF201" s="4550"/>
      <c r="BG201" s="4550"/>
      <c r="BH201" s="4550"/>
      <c r="BI201" s="4550"/>
      <c r="BJ201" s="4550"/>
      <c r="BK201" s="4550"/>
      <c r="BL201" s="4550"/>
      <c r="BM201" s="4550"/>
      <c r="BN201" s="4550"/>
      <c r="BO201" s="4550"/>
      <c r="BP201" s="4550"/>
      <c r="BQ201" s="4550"/>
      <c r="BR201" s="4550"/>
      <c r="BS201" s="4550"/>
      <c r="BT201" s="4550"/>
      <c r="BU201" s="4550"/>
      <c r="BV201" s="4550"/>
      <c r="BW201" s="4550"/>
      <c r="BX201" s="4550"/>
      <c r="BY201" s="4550"/>
      <c r="BZ201" s="4550"/>
      <c r="CA201" s="4550"/>
      <c r="CB201" s="4550"/>
      <c r="CC201" s="4550"/>
      <c r="CD201" s="4550"/>
      <c r="CE201" s="4550"/>
      <c r="CF201" s="4550"/>
      <c r="CG201" s="4550"/>
      <c r="CH201" s="4550"/>
      <c r="CI201" s="4550"/>
      <c r="CJ201" s="4550"/>
      <c r="CK201" s="4550"/>
      <c r="CL201" s="4550"/>
      <c r="CM201" s="4550"/>
      <c r="CN201" s="4550"/>
      <c r="CO201" s="4550"/>
      <c r="CP201" s="4550"/>
      <c r="CQ201" s="4550"/>
      <c r="CR201" s="4550"/>
      <c r="CS201" s="4550"/>
      <c r="CT201" s="4550"/>
      <c r="CU201" s="4550"/>
      <c r="CV201" s="4550"/>
      <c r="CW201" s="4550"/>
      <c r="CX201" s="4550"/>
      <c r="CY201" s="4550"/>
      <c r="CZ201" s="4550"/>
      <c r="DA201" s="4550"/>
      <c r="DB201" s="4550"/>
      <c r="DC201" s="4550"/>
      <c r="DD201" s="4550"/>
      <c r="DE201" s="4550"/>
      <c r="DF201" s="4550"/>
      <c r="DG201" s="4550"/>
      <c r="DH201" s="4550"/>
      <c r="DI201" s="4550"/>
      <c r="DJ201" s="4550"/>
      <c r="DK201" s="4550"/>
      <c r="DL201" s="4550"/>
      <c r="DM201" s="4550"/>
      <c r="DN201" s="4550"/>
      <c r="DO201" s="4550"/>
      <c r="DP201" s="4550"/>
      <c r="DQ201" s="4550"/>
      <c r="DR201" s="4550"/>
      <c r="DS201" s="4550"/>
      <c r="DT201" s="4550"/>
      <c r="DU201" s="4550"/>
      <c r="DV201" s="4550"/>
      <c r="DW201" s="4550"/>
      <c r="DX201" s="4550"/>
      <c r="DY201" s="4550"/>
      <c r="DZ201" s="4550"/>
      <c r="EA201" s="4550"/>
      <c r="EB201" s="4550"/>
      <c r="EC201" s="4550"/>
      <c r="ED201" s="4550"/>
      <c r="EE201" s="4550"/>
      <c r="EF201" s="4550"/>
      <c r="EG201" s="4550"/>
      <c r="EH201" s="4550"/>
      <c r="EI201" s="4550"/>
      <c r="EJ201" s="4550"/>
      <c r="EK201" s="4550"/>
      <c r="EL201" s="4550"/>
      <c r="EM201" s="4550"/>
      <c r="EN201" s="4550"/>
      <c r="EO201" s="4550"/>
      <c r="EP201" s="4550"/>
      <c r="EQ201" s="4550"/>
      <c r="ER201" s="4550"/>
      <c r="ES201" s="4550"/>
      <c r="ET201" s="4550"/>
      <c r="EU201" s="4550"/>
      <c r="EV201" s="4550"/>
      <c r="EW201" s="4550"/>
      <c r="EX201" s="4550"/>
      <c r="EY201" s="4550"/>
      <c r="EZ201" s="4550"/>
      <c r="FA201" s="4550"/>
      <c r="FB201" s="4550"/>
      <c r="FC201" s="4550"/>
      <c r="FD201" s="4550"/>
      <c r="FE201" s="4550"/>
      <c r="FF201" s="4550"/>
      <c r="FG201" s="4550"/>
      <c r="FH201" s="4550"/>
      <c r="FI201" s="4550"/>
      <c r="FJ201" s="4550"/>
      <c r="FK201" s="4550"/>
      <c r="FL201" s="4550"/>
      <c r="FM201" s="4550"/>
      <c r="FN201" s="4550"/>
      <c r="FO201" s="4550"/>
      <c r="FP201" s="4550"/>
      <c r="FQ201" s="4550"/>
      <c r="FR201" s="4550"/>
      <c r="FS201" s="4550"/>
      <c r="FT201" s="4550"/>
      <c r="FU201" s="4550"/>
      <c r="FV201" s="4550"/>
      <c r="FW201" s="4550"/>
      <c r="FX201" s="4550"/>
      <c r="FY201" s="4550"/>
      <c r="FZ201" s="4550"/>
      <c r="GA201" s="4550"/>
      <c r="GB201" s="4550"/>
      <c r="GC201" s="4550"/>
      <c r="GD201" s="4550"/>
      <c r="GE201" s="4550"/>
      <c r="GF201" s="4550"/>
      <c r="GG201" s="4550"/>
      <c r="GH201" s="4550"/>
      <c r="GI201" s="4550"/>
      <c r="GJ201" s="4550"/>
      <c r="GK201" s="4550"/>
      <c r="GL201" s="4550"/>
      <c r="GM201" s="4550"/>
      <c r="GN201" s="4550"/>
      <c r="GO201" s="4550"/>
      <c r="GP201" s="4550"/>
      <c r="GQ201" s="4550"/>
      <c r="GR201" s="4550"/>
      <c r="GS201" s="4550"/>
      <c r="GT201" s="4550"/>
      <c r="GU201" s="4550"/>
      <c r="GV201" s="4550"/>
      <c r="GW201" s="4550"/>
      <c r="GX201" s="4550"/>
      <c r="GY201" s="4550"/>
      <c r="GZ201" s="4550"/>
      <c r="HA201" s="4550"/>
      <c r="HB201" s="4550"/>
      <c r="HC201" s="4550"/>
      <c r="HD201" s="4550"/>
      <c r="HE201" s="4550"/>
      <c r="HF201" s="4550"/>
      <c r="HG201" s="4550"/>
      <c r="HH201" s="4550"/>
      <c r="HI201" s="4550"/>
      <c r="HJ201" s="4550"/>
      <c r="HK201" s="4550"/>
      <c r="HL201" s="4550"/>
      <c r="HM201" s="4550"/>
      <c r="HN201" s="4550"/>
      <c r="HO201" s="4550"/>
      <c r="HP201" s="4550"/>
      <c r="HQ201" s="4550"/>
      <c r="HR201" s="4550"/>
      <c r="HS201" s="4550"/>
      <c r="HT201" s="4550"/>
      <c r="HU201" s="4550"/>
      <c r="HV201" s="4550"/>
      <c r="HW201" s="4550"/>
      <c r="HX201" s="4550"/>
      <c r="HY201" s="4550"/>
      <c r="HZ201" s="4550"/>
      <c r="IA201" s="4550"/>
      <c r="IB201" s="4550"/>
      <c r="IC201" s="4550"/>
      <c r="ID201" s="4550"/>
      <c r="IE201" s="4550"/>
    </row>
    <row r="202" spans="1:239" s="4549" customFormat="1" ht="15">
      <c r="A202" s="4746">
        <v>11.2</v>
      </c>
      <c r="B202" s="4532" t="s">
        <v>4151</v>
      </c>
      <c r="C202" s="4601">
        <v>1</v>
      </c>
      <c r="D202" s="4596" t="s">
        <v>2433</v>
      </c>
      <c r="E202" s="4987"/>
      <c r="F202" s="4594">
        <f>ROUND(C202*E202,2)</f>
        <v>0</v>
      </c>
      <c r="G202" s="4537"/>
      <c r="H202" s="4537"/>
      <c r="I202" s="4537"/>
      <c r="J202" s="4537"/>
      <c r="K202" s="4537"/>
      <c r="L202" s="4537"/>
      <c r="M202" s="4537"/>
      <c r="N202" s="4537"/>
      <c r="O202" s="4537"/>
      <c r="P202" s="4537"/>
      <c r="Q202" s="4537"/>
      <c r="R202" s="4537"/>
      <c r="S202" s="4537"/>
      <c r="T202" s="4537"/>
      <c r="U202" s="4537"/>
      <c r="V202" s="4537"/>
      <c r="W202" s="4537"/>
      <c r="X202" s="4537"/>
      <c r="Y202" s="4537"/>
      <c r="Z202" s="4537"/>
      <c r="AA202" s="4537"/>
      <c r="AB202" s="4537"/>
      <c r="AC202" s="4537"/>
      <c r="AD202" s="4537"/>
      <c r="AE202" s="4537"/>
      <c r="AF202" s="4537"/>
      <c r="AG202" s="4537"/>
      <c r="AH202" s="4537"/>
      <c r="AI202" s="4537"/>
      <c r="AJ202" s="4537"/>
      <c r="AK202" s="4537"/>
      <c r="AL202" s="4537"/>
      <c r="AM202" s="4537"/>
      <c r="AN202" s="4537"/>
      <c r="AO202" s="4537"/>
      <c r="AP202" s="4537"/>
      <c r="AQ202" s="4537"/>
      <c r="AR202" s="4537"/>
      <c r="AS202" s="4550"/>
      <c r="AT202" s="4550"/>
      <c r="AU202" s="4550"/>
      <c r="AV202" s="4550"/>
      <c r="AW202" s="4550"/>
      <c r="AX202" s="4550"/>
      <c r="AY202" s="4550"/>
      <c r="AZ202" s="4550"/>
      <c r="BA202" s="4550"/>
      <c r="BB202" s="4550"/>
      <c r="BC202" s="4550"/>
      <c r="BD202" s="4550"/>
      <c r="BE202" s="4550"/>
      <c r="BF202" s="4550"/>
      <c r="BG202" s="4550"/>
      <c r="BH202" s="4550"/>
      <c r="BI202" s="4550"/>
      <c r="BJ202" s="4550"/>
      <c r="BK202" s="4550"/>
      <c r="BL202" s="4550"/>
      <c r="BM202" s="4550"/>
      <c r="BN202" s="4550"/>
      <c r="BO202" s="4550"/>
      <c r="BP202" s="4550"/>
      <c r="BQ202" s="4550"/>
      <c r="BR202" s="4550"/>
      <c r="BS202" s="4550"/>
      <c r="BT202" s="4550"/>
      <c r="BU202" s="4550"/>
      <c r="BV202" s="4550"/>
      <c r="BW202" s="4550"/>
      <c r="BX202" s="4550"/>
      <c r="BY202" s="4550"/>
      <c r="BZ202" s="4550"/>
      <c r="CA202" s="4550"/>
      <c r="CB202" s="4550"/>
      <c r="CC202" s="4550"/>
      <c r="CD202" s="4550"/>
      <c r="CE202" s="4550"/>
      <c r="CF202" s="4550"/>
      <c r="CG202" s="4550"/>
      <c r="CH202" s="4550"/>
      <c r="CI202" s="4550"/>
      <c r="CJ202" s="4550"/>
      <c r="CK202" s="4550"/>
      <c r="CL202" s="4550"/>
      <c r="CM202" s="4550"/>
      <c r="CN202" s="4550"/>
      <c r="CO202" s="4550"/>
      <c r="CP202" s="4550"/>
      <c r="CQ202" s="4550"/>
      <c r="CR202" s="4550"/>
      <c r="CS202" s="4550"/>
      <c r="CT202" s="4550"/>
      <c r="CU202" s="4550"/>
      <c r="CV202" s="4550"/>
      <c r="CW202" s="4550"/>
      <c r="CX202" s="4550"/>
      <c r="CY202" s="4550"/>
      <c r="CZ202" s="4550"/>
      <c r="DA202" s="4550"/>
      <c r="DB202" s="4550"/>
      <c r="DC202" s="4550"/>
      <c r="DD202" s="4550"/>
      <c r="DE202" s="4550"/>
      <c r="DF202" s="4550"/>
      <c r="DG202" s="4550"/>
      <c r="DH202" s="4550"/>
      <c r="DI202" s="4550"/>
      <c r="DJ202" s="4550"/>
      <c r="DK202" s="4550"/>
      <c r="DL202" s="4550"/>
      <c r="DM202" s="4550"/>
      <c r="DN202" s="4550"/>
      <c r="DO202" s="4550"/>
      <c r="DP202" s="4550"/>
      <c r="DQ202" s="4550"/>
      <c r="DR202" s="4550"/>
      <c r="DS202" s="4550"/>
      <c r="DT202" s="4550"/>
      <c r="DU202" s="4550"/>
      <c r="DV202" s="4550"/>
      <c r="DW202" s="4550"/>
      <c r="DX202" s="4550"/>
      <c r="DY202" s="4550"/>
      <c r="DZ202" s="4550"/>
      <c r="EA202" s="4550"/>
      <c r="EB202" s="4550"/>
      <c r="EC202" s="4550"/>
      <c r="ED202" s="4550"/>
      <c r="EE202" s="4550"/>
      <c r="EF202" s="4550"/>
      <c r="EG202" s="4550"/>
      <c r="EH202" s="4550"/>
      <c r="EI202" s="4550"/>
      <c r="EJ202" s="4550"/>
      <c r="EK202" s="4550"/>
      <c r="EL202" s="4550"/>
      <c r="EM202" s="4550"/>
      <c r="EN202" s="4550"/>
      <c r="EO202" s="4550"/>
      <c r="EP202" s="4550"/>
      <c r="EQ202" s="4550"/>
      <c r="ER202" s="4550"/>
      <c r="ES202" s="4550"/>
      <c r="ET202" s="4550"/>
      <c r="EU202" s="4550"/>
      <c r="EV202" s="4550"/>
      <c r="EW202" s="4550"/>
      <c r="EX202" s="4550"/>
      <c r="EY202" s="4550"/>
      <c r="EZ202" s="4550"/>
      <c r="FA202" s="4550"/>
      <c r="FB202" s="4550"/>
      <c r="FC202" s="4550"/>
      <c r="FD202" s="4550"/>
      <c r="FE202" s="4550"/>
      <c r="FF202" s="4550"/>
      <c r="FG202" s="4550"/>
      <c r="FH202" s="4550"/>
      <c r="FI202" s="4550"/>
      <c r="FJ202" s="4550"/>
      <c r="FK202" s="4550"/>
      <c r="FL202" s="4550"/>
      <c r="FM202" s="4550"/>
      <c r="FN202" s="4550"/>
      <c r="FO202" s="4550"/>
      <c r="FP202" s="4550"/>
      <c r="FQ202" s="4550"/>
      <c r="FR202" s="4550"/>
      <c r="FS202" s="4550"/>
      <c r="FT202" s="4550"/>
      <c r="FU202" s="4550"/>
      <c r="FV202" s="4550"/>
      <c r="FW202" s="4550"/>
      <c r="FX202" s="4550"/>
      <c r="FY202" s="4550"/>
      <c r="FZ202" s="4550"/>
      <c r="GA202" s="4550"/>
      <c r="GB202" s="4550"/>
      <c r="GC202" s="4550"/>
      <c r="GD202" s="4550"/>
      <c r="GE202" s="4550"/>
      <c r="GF202" s="4550"/>
      <c r="GG202" s="4550"/>
      <c r="GH202" s="4550"/>
      <c r="GI202" s="4550"/>
      <c r="GJ202" s="4550"/>
      <c r="GK202" s="4550"/>
      <c r="GL202" s="4550"/>
      <c r="GM202" s="4550"/>
      <c r="GN202" s="4550"/>
      <c r="GO202" s="4550"/>
      <c r="GP202" s="4550"/>
      <c r="GQ202" s="4550"/>
      <c r="GR202" s="4550"/>
      <c r="GS202" s="4550"/>
      <c r="GT202" s="4550"/>
      <c r="GU202" s="4550"/>
      <c r="GV202" s="4550"/>
      <c r="GW202" s="4550"/>
      <c r="GX202" s="4550"/>
      <c r="GY202" s="4550"/>
      <c r="GZ202" s="4550"/>
      <c r="HA202" s="4550"/>
      <c r="HB202" s="4550"/>
      <c r="HC202" s="4550"/>
      <c r="HD202" s="4550"/>
      <c r="HE202" s="4550"/>
      <c r="HF202" s="4550"/>
      <c r="HG202" s="4550"/>
      <c r="HH202" s="4550"/>
      <c r="HI202" s="4550"/>
      <c r="HJ202" s="4550"/>
      <c r="HK202" s="4550"/>
      <c r="HL202" s="4550"/>
      <c r="HM202" s="4550"/>
      <c r="HN202" s="4550"/>
      <c r="HO202" s="4550"/>
      <c r="HP202" s="4550"/>
      <c r="HQ202" s="4550"/>
      <c r="HR202" s="4550"/>
      <c r="HS202" s="4550"/>
      <c r="HT202" s="4550"/>
      <c r="HU202" s="4550"/>
      <c r="HV202" s="4550"/>
      <c r="HW202" s="4550"/>
      <c r="HX202" s="4550"/>
      <c r="HY202" s="4550"/>
      <c r="HZ202" s="4550"/>
      <c r="IA202" s="4550"/>
      <c r="IB202" s="4550"/>
      <c r="IC202" s="4550"/>
      <c r="ID202" s="4550"/>
      <c r="IE202" s="4550"/>
    </row>
    <row r="203" spans="1:239" s="4549" customFormat="1" ht="15">
      <c r="A203" s="4746">
        <v>11.3</v>
      </c>
      <c r="B203" s="4532" t="s">
        <v>4152</v>
      </c>
      <c r="C203" s="4601">
        <v>3</v>
      </c>
      <c r="D203" s="4596" t="s">
        <v>2433</v>
      </c>
      <c r="E203" s="4987"/>
      <c r="F203" s="4594">
        <f>ROUND(C203*E203,2)</f>
        <v>0</v>
      </c>
      <c r="G203" s="4537"/>
      <c r="H203" s="4537"/>
      <c r="I203" s="4537"/>
      <c r="J203" s="4537"/>
      <c r="K203" s="4537"/>
      <c r="L203" s="4537"/>
      <c r="M203" s="4537"/>
      <c r="N203" s="4537"/>
      <c r="O203" s="4537"/>
      <c r="P203" s="4537"/>
      <c r="Q203" s="4537"/>
      <c r="R203" s="4537"/>
      <c r="S203" s="4537"/>
      <c r="T203" s="4537"/>
      <c r="U203" s="4537"/>
      <c r="V203" s="4537"/>
      <c r="W203" s="4537"/>
      <c r="X203" s="4537"/>
      <c r="Y203" s="4537"/>
      <c r="Z203" s="4537"/>
      <c r="AA203" s="4537"/>
      <c r="AB203" s="4537"/>
      <c r="AC203" s="4537"/>
      <c r="AD203" s="4537"/>
      <c r="AE203" s="4537"/>
      <c r="AF203" s="4537"/>
      <c r="AG203" s="4537"/>
      <c r="AH203" s="4537"/>
      <c r="AI203" s="4537"/>
      <c r="AJ203" s="4537"/>
      <c r="AK203" s="4537"/>
      <c r="AL203" s="4537"/>
      <c r="AM203" s="4537"/>
      <c r="AN203" s="4537"/>
      <c r="AO203" s="4537"/>
      <c r="AP203" s="4537"/>
      <c r="AQ203" s="4537"/>
      <c r="AR203" s="4537"/>
      <c r="AS203" s="4550"/>
      <c r="AT203" s="4550"/>
      <c r="AU203" s="4550"/>
      <c r="AV203" s="4550"/>
      <c r="AW203" s="4550"/>
      <c r="AX203" s="4550"/>
      <c r="AY203" s="4550"/>
      <c r="AZ203" s="4550"/>
      <c r="BA203" s="4550"/>
      <c r="BB203" s="4550"/>
      <c r="BC203" s="4550"/>
      <c r="BD203" s="4550"/>
      <c r="BE203" s="4550"/>
      <c r="BF203" s="4550"/>
      <c r="BG203" s="4550"/>
      <c r="BH203" s="4550"/>
      <c r="BI203" s="4550"/>
      <c r="BJ203" s="4550"/>
      <c r="BK203" s="4550"/>
      <c r="BL203" s="4550"/>
      <c r="BM203" s="4550"/>
      <c r="BN203" s="4550"/>
      <c r="BO203" s="4550"/>
      <c r="BP203" s="4550"/>
      <c r="BQ203" s="4550"/>
      <c r="BR203" s="4550"/>
      <c r="BS203" s="4550"/>
      <c r="BT203" s="4550"/>
      <c r="BU203" s="4550"/>
      <c r="BV203" s="4550"/>
      <c r="BW203" s="4550"/>
      <c r="BX203" s="4550"/>
      <c r="BY203" s="4550"/>
      <c r="BZ203" s="4550"/>
      <c r="CA203" s="4550"/>
      <c r="CB203" s="4550"/>
      <c r="CC203" s="4550"/>
      <c r="CD203" s="4550"/>
      <c r="CE203" s="4550"/>
      <c r="CF203" s="4550"/>
      <c r="CG203" s="4550"/>
      <c r="CH203" s="4550"/>
      <c r="CI203" s="4550"/>
      <c r="CJ203" s="4550"/>
      <c r="CK203" s="4550"/>
      <c r="CL203" s="4550"/>
      <c r="CM203" s="4550"/>
      <c r="CN203" s="4550"/>
      <c r="CO203" s="4550"/>
      <c r="CP203" s="4550"/>
      <c r="CQ203" s="4550"/>
      <c r="CR203" s="4550"/>
      <c r="CS203" s="4550"/>
      <c r="CT203" s="4550"/>
      <c r="CU203" s="4550"/>
      <c r="CV203" s="4550"/>
      <c r="CW203" s="4550"/>
      <c r="CX203" s="4550"/>
      <c r="CY203" s="4550"/>
      <c r="CZ203" s="4550"/>
      <c r="DA203" s="4550"/>
      <c r="DB203" s="4550"/>
      <c r="DC203" s="4550"/>
      <c r="DD203" s="4550"/>
      <c r="DE203" s="4550"/>
      <c r="DF203" s="4550"/>
      <c r="DG203" s="4550"/>
      <c r="DH203" s="4550"/>
      <c r="DI203" s="4550"/>
      <c r="DJ203" s="4550"/>
      <c r="DK203" s="4550"/>
      <c r="DL203" s="4550"/>
      <c r="DM203" s="4550"/>
      <c r="DN203" s="4550"/>
      <c r="DO203" s="4550"/>
      <c r="DP203" s="4550"/>
      <c r="DQ203" s="4550"/>
      <c r="DR203" s="4550"/>
      <c r="DS203" s="4550"/>
      <c r="DT203" s="4550"/>
      <c r="DU203" s="4550"/>
      <c r="DV203" s="4550"/>
      <c r="DW203" s="4550"/>
      <c r="DX203" s="4550"/>
      <c r="DY203" s="4550"/>
      <c r="DZ203" s="4550"/>
      <c r="EA203" s="4550"/>
      <c r="EB203" s="4550"/>
      <c r="EC203" s="4550"/>
      <c r="ED203" s="4550"/>
      <c r="EE203" s="4550"/>
      <c r="EF203" s="4550"/>
      <c r="EG203" s="4550"/>
      <c r="EH203" s="4550"/>
      <c r="EI203" s="4550"/>
      <c r="EJ203" s="4550"/>
      <c r="EK203" s="4550"/>
      <c r="EL203" s="4550"/>
      <c r="EM203" s="4550"/>
      <c r="EN203" s="4550"/>
      <c r="EO203" s="4550"/>
      <c r="EP203" s="4550"/>
      <c r="EQ203" s="4550"/>
      <c r="ER203" s="4550"/>
      <c r="ES203" s="4550"/>
      <c r="ET203" s="4550"/>
      <c r="EU203" s="4550"/>
      <c r="EV203" s="4550"/>
      <c r="EW203" s="4550"/>
      <c r="EX203" s="4550"/>
      <c r="EY203" s="4550"/>
      <c r="EZ203" s="4550"/>
      <c r="FA203" s="4550"/>
      <c r="FB203" s="4550"/>
      <c r="FC203" s="4550"/>
      <c r="FD203" s="4550"/>
      <c r="FE203" s="4550"/>
      <c r="FF203" s="4550"/>
      <c r="FG203" s="4550"/>
      <c r="FH203" s="4550"/>
      <c r="FI203" s="4550"/>
      <c r="FJ203" s="4550"/>
      <c r="FK203" s="4550"/>
      <c r="FL203" s="4550"/>
      <c r="FM203" s="4550"/>
      <c r="FN203" s="4550"/>
      <c r="FO203" s="4550"/>
      <c r="FP203" s="4550"/>
      <c r="FQ203" s="4550"/>
      <c r="FR203" s="4550"/>
      <c r="FS203" s="4550"/>
      <c r="FT203" s="4550"/>
      <c r="FU203" s="4550"/>
      <c r="FV203" s="4550"/>
      <c r="FW203" s="4550"/>
      <c r="FX203" s="4550"/>
      <c r="FY203" s="4550"/>
      <c r="FZ203" s="4550"/>
      <c r="GA203" s="4550"/>
      <c r="GB203" s="4550"/>
      <c r="GC203" s="4550"/>
      <c r="GD203" s="4550"/>
      <c r="GE203" s="4550"/>
      <c r="GF203" s="4550"/>
      <c r="GG203" s="4550"/>
      <c r="GH203" s="4550"/>
      <c r="GI203" s="4550"/>
      <c r="GJ203" s="4550"/>
      <c r="GK203" s="4550"/>
      <c r="GL203" s="4550"/>
      <c r="GM203" s="4550"/>
      <c r="GN203" s="4550"/>
      <c r="GO203" s="4550"/>
      <c r="GP203" s="4550"/>
      <c r="GQ203" s="4550"/>
      <c r="GR203" s="4550"/>
      <c r="GS203" s="4550"/>
      <c r="GT203" s="4550"/>
      <c r="GU203" s="4550"/>
      <c r="GV203" s="4550"/>
      <c r="GW203" s="4550"/>
      <c r="GX203" s="4550"/>
      <c r="GY203" s="4550"/>
      <c r="GZ203" s="4550"/>
      <c r="HA203" s="4550"/>
      <c r="HB203" s="4550"/>
      <c r="HC203" s="4550"/>
      <c r="HD203" s="4550"/>
      <c r="HE203" s="4550"/>
      <c r="HF203" s="4550"/>
      <c r="HG203" s="4550"/>
      <c r="HH203" s="4550"/>
      <c r="HI203" s="4550"/>
      <c r="HJ203" s="4550"/>
      <c r="HK203" s="4550"/>
      <c r="HL203" s="4550"/>
      <c r="HM203" s="4550"/>
      <c r="HN203" s="4550"/>
      <c r="HO203" s="4550"/>
      <c r="HP203" s="4550"/>
      <c r="HQ203" s="4550"/>
      <c r="HR203" s="4550"/>
      <c r="HS203" s="4550"/>
      <c r="HT203" s="4550"/>
      <c r="HU203" s="4550"/>
      <c r="HV203" s="4550"/>
      <c r="HW203" s="4550"/>
      <c r="HX203" s="4550"/>
      <c r="HY203" s="4550"/>
      <c r="HZ203" s="4550"/>
      <c r="IA203" s="4550"/>
      <c r="IB203" s="4550"/>
      <c r="IC203" s="4550"/>
      <c r="ID203" s="4550"/>
      <c r="IE203" s="4550"/>
    </row>
    <row r="204" spans="1:239" s="4549" customFormat="1" ht="15">
      <c r="A204" s="4746">
        <v>11.4</v>
      </c>
      <c r="B204" s="4532" t="s">
        <v>4023</v>
      </c>
      <c r="C204" s="4601">
        <v>3</v>
      </c>
      <c r="D204" s="4596" t="s">
        <v>2433</v>
      </c>
      <c r="E204" s="4987"/>
      <c r="F204" s="4594">
        <f>ROUND(C204*E204,2)</f>
        <v>0</v>
      </c>
      <c r="G204" s="4537"/>
      <c r="H204" s="4537"/>
      <c r="I204" s="4537"/>
      <c r="J204" s="4537"/>
      <c r="K204" s="4537"/>
      <c r="L204" s="4537"/>
      <c r="M204" s="4537"/>
      <c r="N204" s="4537"/>
      <c r="O204" s="4537"/>
      <c r="P204" s="4537"/>
      <c r="Q204" s="4537"/>
      <c r="R204" s="4537"/>
      <c r="S204" s="4537"/>
      <c r="T204" s="4537"/>
      <c r="U204" s="4537"/>
      <c r="V204" s="4537"/>
      <c r="W204" s="4537"/>
      <c r="X204" s="4537"/>
      <c r="Y204" s="4537"/>
      <c r="Z204" s="4537"/>
      <c r="AA204" s="4537"/>
      <c r="AB204" s="4537"/>
      <c r="AC204" s="4537"/>
      <c r="AD204" s="4537"/>
      <c r="AE204" s="4537"/>
      <c r="AF204" s="4537"/>
      <c r="AG204" s="4537"/>
      <c r="AH204" s="4537"/>
      <c r="AI204" s="4537"/>
      <c r="AJ204" s="4537"/>
      <c r="AK204" s="4537"/>
      <c r="AL204" s="4537"/>
      <c r="AM204" s="4537"/>
      <c r="AN204" s="4537"/>
      <c r="AO204" s="4537"/>
      <c r="AP204" s="4537"/>
      <c r="AQ204" s="4537"/>
      <c r="AR204" s="4537"/>
      <c r="AS204" s="4550"/>
      <c r="AT204" s="4550"/>
      <c r="AU204" s="4550"/>
      <c r="AV204" s="4550"/>
      <c r="AW204" s="4550"/>
      <c r="AX204" s="4550"/>
      <c r="AY204" s="4550"/>
      <c r="AZ204" s="4550"/>
      <c r="BA204" s="4550"/>
      <c r="BB204" s="4550"/>
      <c r="BC204" s="4550"/>
      <c r="BD204" s="4550"/>
      <c r="BE204" s="4550"/>
      <c r="BF204" s="4550"/>
      <c r="BG204" s="4550"/>
      <c r="BH204" s="4550"/>
      <c r="BI204" s="4550"/>
      <c r="BJ204" s="4550"/>
      <c r="BK204" s="4550"/>
      <c r="BL204" s="4550"/>
      <c r="BM204" s="4550"/>
      <c r="BN204" s="4550"/>
      <c r="BO204" s="4550"/>
      <c r="BP204" s="4550"/>
      <c r="BQ204" s="4550"/>
      <c r="BR204" s="4550"/>
      <c r="BS204" s="4550"/>
      <c r="BT204" s="4550"/>
      <c r="BU204" s="4550"/>
      <c r="BV204" s="4550"/>
      <c r="BW204" s="4550"/>
      <c r="BX204" s="4550"/>
      <c r="BY204" s="4550"/>
      <c r="BZ204" s="4550"/>
      <c r="CA204" s="4550"/>
      <c r="CB204" s="4550"/>
      <c r="CC204" s="4550"/>
      <c r="CD204" s="4550"/>
      <c r="CE204" s="4550"/>
      <c r="CF204" s="4550"/>
      <c r="CG204" s="4550"/>
      <c r="CH204" s="4550"/>
      <c r="CI204" s="4550"/>
      <c r="CJ204" s="4550"/>
      <c r="CK204" s="4550"/>
      <c r="CL204" s="4550"/>
      <c r="CM204" s="4550"/>
      <c r="CN204" s="4550"/>
      <c r="CO204" s="4550"/>
      <c r="CP204" s="4550"/>
      <c r="CQ204" s="4550"/>
      <c r="CR204" s="4550"/>
      <c r="CS204" s="4550"/>
      <c r="CT204" s="4550"/>
      <c r="CU204" s="4550"/>
      <c r="CV204" s="4550"/>
      <c r="CW204" s="4550"/>
      <c r="CX204" s="4550"/>
      <c r="CY204" s="4550"/>
      <c r="CZ204" s="4550"/>
      <c r="DA204" s="4550"/>
      <c r="DB204" s="4550"/>
      <c r="DC204" s="4550"/>
      <c r="DD204" s="4550"/>
      <c r="DE204" s="4550"/>
      <c r="DF204" s="4550"/>
      <c r="DG204" s="4550"/>
      <c r="DH204" s="4550"/>
      <c r="DI204" s="4550"/>
      <c r="DJ204" s="4550"/>
      <c r="DK204" s="4550"/>
      <c r="DL204" s="4550"/>
      <c r="DM204" s="4550"/>
      <c r="DN204" s="4550"/>
      <c r="DO204" s="4550"/>
      <c r="DP204" s="4550"/>
      <c r="DQ204" s="4550"/>
      <c r="DR204" s="4550"/>
      <c r="DS204" s="4550"/>
      <c r="DT204" s="4550"/>
      <c r="DU204" s="4550"/>
      <c r="DV204" s="4550"/>
      <c r="DW204" s="4550"/>
      <c r="DX204" s="4550"/>
      <c r="DY204" s="4550"/>
      <c r="DZ204" s="4550"/>
      <c r="EA204" s="4550"/>
      <c r="EB204" s="4550"/>
      <c r="EC204" s="4550"/>
      <c r="ED204" s="4550"/>
      <c r="EE204" s="4550"/>
      <c r="EF204" s="4550"/>
      <c r="EG204" s="4550"/>
      <c r="EH204" s="4550"/>
      <c r="EI204" s="4550"/>
      <c r="EJ204" s="4550"/>
      <c r="EK204" s="4550"/>
      <c r="EL204" s="4550"/>
      <c r="EM204" s="4550"/>
      <c r="EN204" s="4550"/>
      <c r="EO204" s="4550"/>
      <c r="EP204" s="4550"/>
      <c r="EQ204" s="4550"/>
      <c r="ER204" s="4550"/>
      <c r="ES204" s="4550"/>
      <c r="ET204" s="4550"/>
      <c r="EU204" s="4550"/>
      <c r="EV204" s="4550"/>
      <c r="EW204" s="4550"/>
      <c r="EX204" s="4550"/>
      <c r="EY204" s="4550"/>
      <c r="EZ204" s="4550"/>
      <c r="FA204" s="4550"/>
      <c r="FB204" s="4550"/>
      <c r="FC204" s="4550"/>
      <c r="FD204" s="4550"/>
      <c r="FE204" s="4550"/>
      <c r="FF204" s="4550"/>
      <c r="FG204" s="4550"/>
      <c r="FH204" s="4550"/>
      <c r="FI204" s="4550"/>
      <c r="FJ204" s="4550"/>
      <c r="FK204" s="4550"/>
      <c r="FL204" s="4550"/>
      <c r="FM204" s="4550"/>
      <c r="FN204" s="4550"/>
      <c r="FO204" s="4550"/>
      <c r="FP204" s="4550"/>
      <c r="FQ204" s="4550"/>
      <c r="FR204" s="4550"/>
      <c r="FS204" s="4550"/>
      <c r="FT204" s="4550"/>
      <c r="FU204" s="4550"/>
      <c r="FV204" s="4550"/>
      <c r="FW204" s="4550"/>
      <c r="FX204" s="4550"/>
      <c r="FY204" s="4550"/>
      <c r="FZ204" s="4550"/>
      <c r="GA204" s="4550"/>
      <c r="GB204" s="4550"/>
      <c r="GC204" s="4550"/>
      <c r="GD204" s="4550"/>
      <c r="GE204" s="4550"/>
      <c r="GF204" s="4550"/>
      <c r="GG204" s="4550"/>
      <c r="GH204" s="4550"/>
      <c r="GI204" s="4550"/>
      <c r="GJ204" s="4550"/>
      <c r="GK204" s="4550"/>
      <c r="GL204" s="4550"/>
      <c r="GM204" s="4550"/>
      <c r="GN204" s="4550"/>
      <c r="GO204" s="4550"/>
      <c r="GP204" s="4550"/>
      <c r="GQ204" s="4550"/>
      <c r="GR204" s="4550"/>
      <c r="GS204" s="4550"/>
      <c r="GT204" s="4550"/>
      <c r="GU204" s="4550"/>
      <c r="GV204" s="4550"/>
      <c r="GW204" s="4550"/>
      <c r="GX204" s="4550"/>
      <c r="GY204" s="4550"/>
      <c r="GZ204" s="4550"/>
      <c r="HA204" s="4550"/>
      <c r="HB204" s="4550"/>
      <c r="HC204" s="4550"/>
      <c r="HD204" s="4550"/>
      <c r="HE204" s="4550"/>
      <c r="HF204" s="4550"/>
      <c r="HG204" s="4550"/>
      <c r="HH204" s="4550"/>
      <c r="HI204" s="4550"/>
      <c r="HJ204" s="4550"/>
      <c r="HK204" s="4550"/>
      <c r="HL204" s="4550"/>
      <c r="HM204" s="4550"/>
      <c r="HN204" s="4550"/>
      <c r="HO204" s="4550"/>
      <c r="HP204" s="4550"/>
      <c r="HQ204" s="4550"/>
      <c r="HR204" s="4550"/>
      <c r="HS204" s="4550"/>
      <c r="HT204" s="4550"/>
      <c r="HU204" s="4550"/>
      <c r="HV204" s="4550"/>
      <c r="HW204" s="4550"/>
      <c r="HX204" s="4550"/>
      <c r="HY204" s="4550"/>
      <c r="HZ204" s="4550"/>
      <c r="IA204" s="4550"/>
      <c r="IB204" s="4550"/>
      <c r="IC204" s="4550"/>
      <c r="ID204" s="4550"/>
      <c r="IE204" s="4550"/>
    </row>
    <row r="205" spans="1:239" s="4549" customFormat="1" ht="11.25" customHeight="1">
      <c r="A205" s="4748"/>
      <c r="B205" s="4532" t="s">
        <v>2564</v>
      </c>
      <c r="C205" s="4601"/>
      <c r="D205" s="4596"/>
      <c r="E205" s="4987"/>
      <c r="F205" s="4594"/>
      <c r="G205" s="4537"/>
      <c r="H205" s="4537"/>
      <c r="I205" s="4537"/>
      <c r="J205" s="4537"/>
      <c r="K205" s="4537"/>
      <c r="L205" s="4537"/>
      <c r="M205" s="4537"/>
      <c r="N205" s="4537"/>
      <c r="O205" s="4537"/>
      <c r="P205" s="4537"/>
      <c r="Q205" s="4537"/>
      <c r="R205" s="4537"/>
      <c r="S205" s="4537"/>
      <c r="T205" s="4537"/>
      <c r="U205" s="4537"/>
      <c r="V205" s="4537"/>
      <c r="W205" s="4537"/>
      <c r="X205" s="4537"/>
      <c r="Y205" s="4537"/>
      <c r="Z205" s="4537"/>
      <c r="AA205" s="4537"/>
      <c r="AB205" s="4537"/>
      <c r="AC205" s="4537"/>
      <c r="AD205" s="4537"/>
      <c r="AE205" s="4537"/>
      <c r="AF205" s="4537"/>
      <c r="AG205" s="4537"/>
      <c r="AH205" s="4537"/>
      <c r="AI205" s="4537"/>
      <c r="AJ205" s="4537"/>
      <c r="AK205" s="4537"/>
      <c r="AL205" s="4537"/>
      <c r="AM205" s="4537"/>
      <c r="AN205" s="4537"/>
      <c r="AO205" s="4537"/>
      <c r="AP205" s="4537"/>
      <c r="AQ205" s="4537"/>
      <c r="AR205" s="4537"/>
      <c r="AS205" s="4550"/>
      <c r="AT205" s="4550"/>
      <c r="AU205" s="4550"/>
      <c r="AV205" s="4550"/>
      <c r="AW205" s="4550"/>
      <c r="AX205" s="4550"/>
      <c r="AY205" s="4550"/>
      <c r="AZ205" s="4550"/>
      <c r="BA205" s="4550"/>
      <c r="BB205" s="4550"/>
      <c r="BC205" s="4550"/>
      <c r="BD205" s="4550"/>
      <c r="BE205" s="4550"/>
      <c r="BF205" s="4550"/>
      <c r="BG205" s="4550"/>
      <c r="BH205" s="4550"/>
      <c r="BI205" s="4550"/>
      <c r="BJ205" s="4550"/>
      <c r="BK205" s="4550"/>
      <c r="BL205" s="4550"/>
      <c r="BM205" s="4550"/>
      <c r="BN205" s="4550"/>
      <c r="BO205" s="4550"/>
      <c r="BP205" s="4550"/>
      <c r="BQ205" s="4550"/>
      <c r="BR205" s="4550"/>
      <c r="BS205" s="4550"/>
      <c r="BT205" s="4550"/>
      <c r="BU205" s="4550"/>
      <c r="BV205" s="4550"/>
      <c r="BW205" s="4550"/>
      <c r="BX205" s="4550"/>
      <c r="BY205" s="4550"/>
      <c r="BZ205" s="4550"/>
      <c r="CA205" s="4550"/>
      <c r="CB205" s="4550"/>
      <c r="CC205" s="4550"/>
      <c r="CD205" s="4550"/>
      <c r="CE205" s="4550"/>
      <c r="CF205" s="4550"/>
      <c r="CG205" s="4550"/>
      <c r="CH205" s="4550"/>
      <c r="CI205" s="4550"/>
      <c r="CJ205" s="4550"/>
      <c r="CK205" s="4550"/>
      <c r="CL205" s="4550"/>
      <c r="CM205" s="4550"/>
      <c r="CN205" s="4550"/>
      <c r="CO205" s="4550"/>
      <c r="CP205" s="4550"/>
      <c r="CQ205" s="4550"/>
      <c r="CR205" s="4550"/>
      <c r="CS205" s="4550"/>
      <c r="CT205" s="4550"/>
      <c r="CU205" s="4550"/>
      <c r="CV205" s="4550"/>
      <c r="CW205" s="4550"/>
      <c r="CX205" s="4550"/>
      <c r="CY205" s="4550"/>
      <c r="CZ205" s="4550"/>
      <c r="DA205" s="4550"/>
      <c r="DB205" s="4550"/>
      <c r="DC205" s="4550"/>
      <c r="DD205" s="4550"/>
      <c r="DE205" s="4550"/>
      <c r="DF205" s="4550"/>
      <c r="DG205" s="4550"/>
      <c r="DH205" s="4550"/>
      <c r="DI205" s="4550"/>
      <c r="DJ205" s="4550"/>
      <c r="DK205" s="4550"/>
      <c r="DL205" s="4550"/>
      <c r="DM205" s="4550"/>
      <c r="DN205" s="4550"/>
      <c r="DO205" s="4550"/>
      <c r="DP205" s="4550"/>
      <c r="DQ205" s="4550"/>
      <c r="DR205" s="4550"/>
      <c r="DS205" s="4550"/>
      <c r="DT205" s="4550"/>
      <c r="DU205" s="4550"/>
      <c r="DV205" s="4550"/>
      <c r="DW205" s="4550"/>
      <c r="DX205" s="4550"/>
      <c r="DY205" s="4550"/>
      <c r="DZ205" s="4550"/>
      <c r="EA205" s="4550"/>
      <c r="EB205" s="4550"/>
      <c r="EC205" s="4550"/>
      <c r="ED205" s="4550"/>
      <c r="EE205" s="4550"/>
      <c r="EF205" s="4550"/>
      <c r="EG205" s="4550"/>
      <c r="EH205" s="4550"/>
      <c r="EI205" s="4550"/>
      <c r="EJ205" s="4550"/>
      <c r="EK205" s="4550"/>
      <c r="EL205" s="4550"/>
      <c r="EM205" s="4550"/>
      <c r="EN205" s="4550"/>
      <c r="EO205" s="4550"/>
      <c r="EP205" s="4550"/>
      <c r="EQ205" s="4550"/>
      <c r="ER205" s="4550"/>
      <c r="ES205" s="4550"/>
      <c r="ET205" s="4550"/>
      <c r="EU205" s="4550"/>
      <c r="EV205" s="4550"/>
      <c r="EW205" s="4550"/>
      <c r="EX205" s="4550"/>
      <c r="EY205" s="4550"/>
      <c r="EZ205" s="4550"/>
      <c r="FA205" s="4550"/>
      <c r="FB205" s="4550"/>
      <c r="FC205" s="4550"/>
      <c r="FD205" s="4550"/>
      <c r="FE205" s="4550"/>
      <c r="FF205" s="4550"/>
      <c r="FG205" s="4550"/>
      <c r="FH205" s="4550"/>
      <c r="FI205" s="4550"/>
      <c r="FJ205" s="4550"/>
      <c r="FK205" s="4550"/>
      <c r="FL205" s="4550"/>
      <c r="FM205" s="4550"/>
      <c r="FN205" s="4550"/>
      <c r="FO205" s="4550"/>
      <c r="FP205" s="4550"/>
      <c r="FQ205" s="4550"/>
      <c r="FR205" s="4550"/>
      <c r="FS205" s="4550"/>
      <c r="FT205" s="4550"/>
      <c r="FU205" s="4550"/>
      <c r="FV205" s="4550"/>
      <c r="FW205" s="4550"/>
      <c r="FX205" s="4550"/>
      <c r="FY205" s="4550"/>
      <c r="FZ205" s="4550"/>
      <c r="GA205" s="4550"/>
      <c r="GB205" s="4550"/>
      <c r="GC205" s="4550"/>
      <c r="GD205" s="4550"/>
      <c r="GE205" s="4550"/>
      <c r="GF205" s="4550"/>
      <c r="GG205" s="4550"/>
      <c r="GH205" s="4550"/>
      <c r="GI205" s="4550"/>
      <c r="GJ205" s="4550"/>
      <c r="GK205" s="4550"/>
      <c r="GL205" s="4550"/>
      <c r="GM205" s="4550"/>
      <c r="GN205" s="4550"/>
      <c r="GO205" s="4550"/>
      <c r="GP205" s="4550"/>
      <c r="GQ205" s="4550"/>
      <c r="GR205" s="4550"/>
      <c r="GS205" s="4550"/>
      <c r="GT205" s="4550"/>
      <c r="GU205" s="4550"/>
      <c r="GV205" s="4550"/>
      <c r="GW205" s="4550"/>
      <c r="GX205" s="4550"/>
      <c r="GY205" s="4550"/>
      <c r="GZ205" s="4550"/>
      <c r="HA205" s="4550"/>
      <c r="HB205" s="4550"/>
      <c r="HC205" s="4550"/>
      <c r="HD205" s="4550"/>
      <c r="HE205" s="4550"/>
      <c r="HF205" s="4550"/>
      <c r="HG205" s="4550"/>
      <c r="HH205" s="4550"/>
      <c r="HI205" s="4550"/>
      <c r="HJ205" s="4550"/>
      <c r="HK205" s="4550"/>
      <c r="HL205" s="4550"/>
      <c r="HM205" s="4550"/>
      <c r="HN205" s="4550"/>
      <c r="HO205" s="4550"/>
      <c r="HP205" s="4550"/>
      <c r="HQ205" s="4550"/>
      <c r="HR205" s="4550"/>
      <c r="HS205" s="4550"/>
      <c r="HT205" s="4550"/>
      <c r="HU205" s="4550"/>
      <c r="HV205" s="4550"/>
      <c r="HW205" s="4550"/>
      <c r="HX205" s="4550"/>
      <c r="HY205" s="4550"/>
      <c r="HZ205" s="4550"/>
      <c r="IA205" s="4550"/>
      <c r="IB205" s="4550"/>
      <c r="IC205" s="4550"/>
      <c r="ID205" s="4550"/>
      <c r="IE205" s="4550"/>
    </row>
    <row r="206" spans="1:239" s="4549" customFormat="1" ht="15">
      <c r="A206" s="4745">
        <v>12</v>
      </c>
      <c r="B206" s="4532" t="s">
        <v>4153</v>
      </c>
      <c r="C206" s="4602">
        <v>1</v>
      </c>
      <c r="D206" s="4596" t="s">
        <v>2433</v>
      </c>
      <c r="E206" s="4965"/>
      <c r="F206" s="4992">
        <f>ROUND((C206*E206),2)</f>
        <v>0</v>
      </c>
      <c r="G206" s="4537"/>
      <c r="H206" s="4537"/>
      <c r="I206" s="4537"/>
      <c r="J206" s="4537"/>
      <c r="K206" s="4537"/>
      <c r="L206" s="4537"/>
      <c r="M206" s="4537"/>
      <c r="N206" s="4537"/>
      <c r="O206" s="4537"/>
      <c r="P206" s="4537"/>
      <c r="Q206" s="4537"/>
      <c r="R206" s="4537"/>
      <c r="S206" s="4537"/>
      <c r="T206" s="4537"/>
      <c r="U206" s="4537"/>
      <c r="V206" s="4537"/>
      <c r="W206" s="4537"/>
      <c r="X206" s="4537"/>
      <c r="Y206" s="4537"/>
      <c r="Z206" s="4537"/>
      <c r="AA206" s="4537"/>
      <c r="AB206" s="4537"/>
      <c r="AC206" s="4537"/>
      <c r="AD206" s="4537"/>
      <c r="AE206" s="4537"/>
      <c r="AF206" s="4537"/>
      <c r="AG206" s="4537"/>
      <c r="AH206" s="4537"/>
      <c r="AI206" s="4537"/>
      <c r="AJ206" s="4537"/>
      <c r="AK206" s="4537"/>
      <c r="AL206" s="4537"/>
      <c r="AM206" s="4537"/>
      <c r="AN206" s="4537"/>
      <c r="AO206" s="4537"/>
      <c r="AP206" s="4537"/>
      <c r="AQ206" s="4537"/>
      <c r="AR206" s="4537"/>
      <c r="AS206" s="4550"/>
      <c r="AT206" s="4550"/>
      <c r="AU206" s="4550"/>
      <c r="AV206" s="4550"/>
      <c r="AW206" s="4550"/>
      <c r="AX206" s="4550"/>
      <c r="AY206" s="4550"/>
      <c r="AZ206" s="4550"/>
      <c r="BA206" s="4550"/>
      <c r="BB206" s="4550"/>
      <c r="BC206" s="4550"/>
      <c r="BD206" s="4550"/>
      <c r="BE206" s="4550"/>
      <c r="BF206" s="4550"/>
      <c r="BG206" s="4550"/>
      <c r="BH206" s="4550"/>
      <c r="BI206" s="4550"/>
      <c r="BJ206" s="4550"/>
      <c r="BK206" s="4550"/>
      <c r="BL206" s="4550"/>
      <c r="BM206" s="4550"/>
      <c r="BN206" s="4550"/>
      <c r="BO206" s="4550"/>
      <c r="BP206" s="4550"/>
      <c r="BQ206" s="4550"/>
      <c r="BR206" s="4550"/>
      <c r="BS206" s="4550"/>
      <c r="BT206" s="4550"/>
      <c r="BU206" s="4550"/>
      <c r="BV206" s="4550"/>
      <c r="BW206" s="4550"/>
      <c r="BX206" s="4550"/>
      <c r="BY206" s="4550"/>
      <c r="BZ206" s="4550"/>
      <c r="CA206" s="4550"/>
      <c r="CB206" s="4550"/>
      <c r="CC206" s="4550"/>
      <c r="CD206" s="4550"/>
      <c r="CE206" s="4550"/>
      <c r="CF206" s="4550"/>
      <c r="CG206" s="4550"/>
      <c r="CH206" s="4550"/>
      <c r="CI206" s="4550"/>
      <c r="CJ206" s="4550"/>
      <c r="CK206" s="4550"/>
      <c r="CL206" s="4550"/>
      <c r="CM206" s="4550"/>
      <c r="CN206" s="4550"/>
      <c r="CO206" s="4550"/>
      <c r="CP206" s="4550"/>
      <c r="CQ206" s="4550"/>
      <c r="CR206" s="4550"/>
      <c r="CS206" s="4550"/>
      <c r="CT206" s="4550"/>
      <c r="CU206" s="4550"/>
      <c r="CV206" s="4550"/>
      <c r="CW206" s="4550"/>
      <c r="CX206" s="4550"/>
      <c r="CY206" s="4550"/>
      <c r="CZ206" s="4550"/>
      <c r="DA206" s="4550"/>
      <c r="DB206" s="4550"/>
      <c r="DC206" s="4550"/>
      <c r="DD206" s="4550"/>
      <c r="DE206" s="4550"/>
      <c r="DF206" s="4550"/>
      <c r="DG206" s="4550"/>
      <c r="DH206" s="4550"/>
      <c r="DI206" s="4550"/>
      <c r="DJ206" s="4550"/>
      <c r="DK206" s="4550"/>
      <c r="DL206" s="4550"/>
      <c r="DM206" s="4550"/>
      <c r="DN206" s="4550"/>
      <c r="DO206" s="4550"/>
      <c r="DP206" s="4550"/>
      <c r="DQ206" s="4550"/>
      <c r="DR206" s="4550"/>
      <c r="DS206" s="4550"/>
      <c r="DT206" s="4550"/>
      <c r="DU206" s="4550"/>
      <c r="DV206" s="4550"/>
      <c r="DW206" s="4550"/>
      <c r="DX206" s="4550"/>
      <c r="DY206" s="4550"/>
      <c r="DZ206" s="4550"/>
      <c r="EA206" s="4550"/>
      <c r="EB206" s="4550"/>
      <c r="EC206" s="4550"/>
      <c r="ED206" s="4550"/>
      <c r="EE206" s="4550"/>
      <c r="EF206" s="4550"/>
      <c r="EG206" s="4550"/>
      <c r="EH206" s="4550"/>
      <c r="EI206" s="4550"/>
      <c r="EJ206" s="4550"/>
      <c r="EK206" s="4550"/>
      <c r="EL206" s="4550"/>
      <c r="EM206" s="4550"/>
      <c r="EN206" s="4550"/>
      <c r="EO206" s="4550"/>
      <c r="EP206" s="4550"/>
      <c r="EQ206" s="4550"/>
      <c r="ER206" s="4550"/>
      <c r="ES206" s="4550"/>
      <c r="ET206" s="4550"/>
      <c r="EU206" s="4550"/>
      <c r="EV206" s="4550"/>
      <c r="EW206" s="4550"/>
      <c r="EX206" s="4550"/>
      <c r="EY206" s="4550"/>
      <c r="EZ206" s="4550"/>
      <c r="FA206" s="4550"/>
      <c r="FB206" s="4550"/>
      <c r="FC206" s="4550"/>
      <c r="FD206" s="4550"/>
      <c r="FE206" s="4550"/>
      <c r="FF206" s="4550"/>
      <c r="FG206" s="4550"/>
      <c r="FH206" s="4550"/>
      <c r="FI206" s="4550"/>
      <c r="FJ206" s="4550"/>
      <c r="FK206" s="4550"/>
      <c r="FL206" s="4550"/>
      <c r="FM206" s="4550"/>
      <c r="FN206" s="4550"/>
      <c r="FO206" s="4550"/>
      <c r="FP206" s="4550"/>
      <c r="FQ206" s="4550"/>
      <c r="FR206" s="4550"/>
      <c r="FS206" s="4550"/>
      <c r="FT206" s="4550"/>
      <c r="FU206" s="4550"/>
      <c r="FV206" s="4550"/>
      <c r="FW206" s="4550"/>
      <c r="FX206" s="4550"/>
      <c r="FY206" s="4550"/>
      <c r="FZ206" s="4550"/>
      <c r="GA206" s="4550"/>
      <c r="GB206" s="4550"/>
      <c r="GC206" s="4550"/>
      <c r="GD206" s="4550"/>
      <c r="GE206" s="4550"/>
      <c r="GF206" s="4550"/>
      <c r="GG206" s="4550"/>
      <c r="GH206" s="4550"/>
      <c r="GI206" s="4550"/>
      <c r="GJ206" s="4550"/>
      <c r="GK206" s="4550"/>
      <c r="GL206" s="4550"/>
      <c r="GM206" s="4550"/>
      <c r="GN206" s="4550"/>
      <c r="GO206" s="4550"/>
      <c r="GP206" s="4550"/>
      <c r="GQ206" s="4550"/>
      <c r="GR206" s="4550"/>
      <c r="GS206" s="4550"/>
      <c r="GT206" s="4550"/>
      <c r="GU206" s="4550"/>
      <c r="GV206" s="4550"/>
      <c r="GW206" s="4550"/>
      <c r="GX206" s="4550"/>
      <c r="GY206" s="4550"/>
      <c r="GZ206" s="4550"/>
      <c r="HA206" s="4550"/>
      <c r="HB206" s="4550"/>
      <c r="HC206" s="4550"/>
      <c r="HD206" s="4550"/>
      <c r="HE206" s="4550"/>
      <c r="HF206" s="4550"/>
      <c r="HG206" s="4550"/>
      <c r="HH206" s="4550"/>
      <c r="HI206" s="4550"/>
      <c r="HJ206" s="4550"/>
      <c r="HK206" s="4550"/>
      <c r="HL206" s="4550"/>
      <c r="HM206" s="4550"/>
      <c r="HN206" s="4550"/>
      <c r="HO206" s="4550"/>
      <c r="HP206" s="4550"/>
      <c r="HQ206" s="4550"/>
      <c r="HR206" s="4550"/>
      <c r="HS206" s="4550"/>
      <c r="HT206" s="4550"/>
      <c r="HU206" s="4550"/>
      <c r="HV206" s="4550"/>
      <c r="HW206" s="4550"/>
      <c r="HX206" s="4550"/>
      <c r="HY206" s="4550"/>
      <c r="HZ206" s="4550"/>
      <c r="IA206" s="4550"/>
      <c r="IB206" s="4550"/>
      <c r="IC206" s="4550"/>
      <c r="ID206" s="4550"/>
      <c r="IE206" s="4550"/>
    </row>
    <row r="207" spans="1:239" s="4613" customFormat="1" ht="12.75">
      <c r="A207" s="4751"/>
      <c r="B207" s="4631" t="s">
        <v>4373</v>
      </c>
      <c r="C207" s="4632"/>
      <c r="D207" s="4633"/>
      <c r="E207" s="4993"/>
      <c r="F207" s="4994">
        <f>SUM(F153:F206)</f>
        <v>0</v>
      </c>
      <c r="G207" s="4582"/>
      <c r="H207" s="4582"/>
      <c r="I207" s="4582"/>
      <c r="J207" s="4582"/>
      <c r="K207" s="4582"/>
      <c r="L207" s="4582"/>
      <c r="M207" s="4582"/>
      <c r="N207" s="4582"/>
      <c r="O207" s="4582"/>
      <c r="P207" s="4582"/>
      <c r="Q207" s="4582"/>
      <c r="R207" s="4582"/>
      <c r="S207" s="4582"/>
      <c r="T207" s="4582"/>
      <c r="U207" s="4582"/>
      <c r="V207" s="4582"/>
      <c r="W207" s="4582"/>
      <c r="X207" s="4582"/>
      <c r="Y207" s="4582"/>
      <c r="Z207" s="4582"/>
      <c r="AA207" s="4582"/>
      <c r="AB207" s="4582"/>
      <c r="AC207" s="4582"/>
      <c r="AD207" s="4582"/>
      <c r="AE207" s="4582"/>
      <c r="AF207" s="4582"/>
      <c r="AG207" s="4582"/>
      <c r="AH207" s="4582"/>
      <c r="AI207" s="4582"/>
      <c r="AJ207" s="4582"/>
      <c r="AK207" s="4582"/>
      <c r="AL207" s="4582"/>
      <c r="AM207" s="4582"/>
      <c r="AN207" s="4582"/>
      <c r="AO207" s="4582"/>
      <c r="AP207" s="4582"/>
      <c r="AQ207" s="4582"/>
      <c r="AR207" s="4582"/>
      <c r="AS207" s="4612"/>
      <c r="AT207" s="4612"/>
      <c r="AU207" s="4612"/>
      <c r="AV207" s="4612"/>
      <c r="AW207" s="4612"/>
      <c r="AX207" s="4612"/>
      <c r="AY207" s="4612"/>
      <c r="AZ207" s="4612"/>
      <c r="BA207" s="4612"/>
      <c r="BB207" s="4612"/>
      <c r="BC207" s="4612"/>
      <c r="BD207" s="4612"/>
      <c r="BE207" s="4612"/>
      <c r="BF207" s="4612"/>
      <c r="BG207" s="4612"/>
      <c r="BH207" s="4612"/>
      <c r="BI207" s="4612"/>
      <c r="BJ207" s="4612"/>
      <c r="BK207" s="4612"/>
      <c r="BL207" s="4612"/>
      <c r="BM207" s="4612"/>
      <c r="BN207" s="4612"/>
      <c r="BO207" s="4612"/>
      <c r="BP207" s="4612"/>
      <c r="BQ207" s="4612"/>
      <c r="BR207" s="4612"/>
      <c r="BS207" s="4612"/>
      <c r="BT207" s="4612"/>
      <c r="BU207" s="4612"/>
      <c r="BV207" s="4612"/>
      <c r="BW207" s="4612"/>
      <c r="BX207" s="4612"/>
      <c r="BY207" s="4612"/>
      <c r="BZ207" s="4612"/>
      <c r="CA207" s="4612"/>
      <c r="CB207" s="4612"/>
      <c r="CC207" s="4612"/>
      <c r="CD207" s="4612"/>
      <c r="CE207" s="4612"/>
      <c r="CF207" s="4612"/>
      <c r="CG207" s="4612"/>
      <c r="CH207" s="4612"/>
      <c r="CI207" s="4612"/>
      <c r="CJ207" s="4612"/>
      <c r="CK207" s="4612"/>
      <c r="CL207" s="4612"/>
      <c r="CM207" s="4612"/>
      <c r="CN207" s="4612"/>
      <c r="CO207" s="4612"/>
      <c r="CP207" s="4612"/>
      <c r="CQ207" s="4612"/>
      <c r="CR207" s="4612"/>
      <c r="CS207" s="4612"/>
      <c r="CT207" s="4612"/>
      <c r="CU207" s="4612"/>
      <c r="CV207" s="4612"/>
      <c r="CW207" s="4612"/>
      <c r="CX207" s="4612"/>
      <c r="CY207" s="4612"/>
      <c r="CZ207" s="4612"/>
      <c r="DA207" s="4612"/>
      <c r="DB207" s="4612"/>
      <c r="DC207" s="4612"/>
      <c r="DD207" s="4612"/>
      <c r="DE207" s="4612"/>
      <c r="DF207" s="4612"/>
      <c r="DG207" s="4612"/>
      <c r="DH207" s="4612"/>
      <c r="DI207" s="4612"/>
      <c r="DJ207" s="4612"/>
      <c r="DK207" s="4612"/>
      <c r="DL207" s="4612"/>
      <c r="DM207" s="4612"/>
      <c r="DN207" s="4612"/>
      <c r="DO207" s="4612"/>
      <c r="DP207" s="4612"/>
      <c r="DQ207" s="4612"/>
      <c r="DR207" s="4612"/>
      <c r="DS207" s="4612"/>
      <c r="DT207" s="4612"/>
      <c r="DU207" s="4612"/>
      <c r="DV207" s="4612"/>
      <c r="DW207" s="4612"/>
      <c r="DX207" s="4612"/>
      <c r="DY207" s="4612"/>
      <c r="DZ207" s="4612"/>
      <c r="EA207" s="4612"/>
      <c r="EB207" s="4612"/>
      <c r="EC207" s="4612"/>
      <c r="ED207" s="4612"/>
      <c r="EE207" s="4612"/>
      <c r="EF207" s="4612"/>
      <c r="EG207" s="4612"/>
      <c r="EH207" s="4612"/>
      <c r="EI207" s="4612"/>
      <c r="EJ207" s="4612"/>
      <c r="EK207" s="4612"/>
      <c r="EL207" s="4612"/>
      <c r="EM207" s="4612"/>
      <c r="EN207" s="4612"/>
      <c r="EO207" s="4612"/>
      <c r="EP207" s="4612"/>
      <c r="EQ207" s="4612"/>
      <c r="ER207" s="4612"/>
      <c r="ES207" s="4612"/>
      <c r="ET207" s="4612"/>
      <c r="EU207" s="4612"/>
      <c r="EV207" s="4612"/>
      <c r="EW207" s="4612"/>
      <c r="EX207" s="4612"/>
      <c r="EY207" s="4612"/>
      <c r="EZ207" s="4612"/>
      <c r="FA207" s="4612"/>
      <c r="FB207" s="4612"/>
      <c r="FC207" s="4612"/>
      <c r="FD207" s="4612"/>
      <c r="FE207" s="4612"/>
      <c r="FF207" s="4612"/>
      <c r="FG207" s="4612"/>
      <c r="FH207" s="4612"/>
      <c r="FI207" s="4612"/>
      <c r="FJ207" s="4612"/>
      <c r="FK207" s="4612"/>
      <c r="FL207" s="4612"/>
      <c r="FM207" s="4612"/>
      <c r="FN207" s="4612"/>
      <c r="FO207" s="4612"/>
      <c r="FP207" s="4612"/>
      <c r="FQ207" s="4612"/>
      <c r="FR207" s="4612"/>
      <c r="FS207" s="4612"/>
      <c r="FT207" s="4612"/>
      <c r="FU207" s="4612"/>
      <c r="FV207" s="4612"/>
      <c r="FW207" s="4612"/>
      <c r="FX207" s="4612"/>
      <c r="FY207" s="4612"/>
      <c r="FZ207" s="4612"/>
      <c r="GA207" s="4612"/>
      <c r="GB207" s="4612"/>
      <c r="GC207" s="4612"/>
      <c r="GD207" s="4612"/>
      <c r="GE207" s="4612"/>
      <c r="GF207" s="4612"/>
      <c r="GG207" s="4612"/>
      <c r="GH207" s="4612"/>
      <c r="GI207" s="4612"/>
      <c r="GJ207" s="4612"/>
      <c r="GK207" s="4612"/>
      <c r="GL207" s="4612"/>
      <c r="GM207" s="4612"/>
      <c r="GN207" s="4612"/>
      <c r="GO207" s="4612"/>
      <c r="GP207" s="4612"/>
      <c r="GQ207" s="4612"/>
      <c r="GR207" s="4612"/>
      <c r="GS207" s="4612"/>
      <c r="GT207" s="4612"/>
      <c r="GU207" s="4612"/>
      <c r="GV207" s="4612"/>
      <c r="GW207" s="4612"/>
      <c r="GX207" s="4612"/>
      <c r="GY207" s="4612"/>
      <c r="GZ207" s="4612"/>
      <c r="HA207" s="4612"/>
      <c r="HB207" s="4612"/>
      <c r="HC207" s="4612"/>
      <c r="HD207" s="4612"/>
      <c r="HE207" s="4612"/>
      <c r="HF207" s="4612"/>
      <c r="HG207" s="4612"/>
      <c r="HH207" s="4612"/>
      <c r="HI207" s="4612"/>
      <c r="HJ207" s="4612"/>
      <c r="HK207" s="4612"/>
      <c r="HL207" s="4612"/>
      <c r="HM207" s="4612"/>
      <c r="HN207" s="4612"/>
      <c r="HO207" s="4612"/>
      <c r="HP207" s="4612"/>
      <c r="HQ207" s="4612"/>
      <c r="HR207" s="4612"/>
      <c r="HS207" s="4612"/>
      <c r="HT207" s="4612"/>
      <c r="HU207" s="4612"/>
      <c r="HV207" s="4612"/>
      <c r="HW207" s="4612"/>
      <c r="HX207" s="4612"/>
      <c r="HY207" s="4612"/>
      <c r="HZ207" s="4612"/>
      <c r="IA207" s="4612"/>
      <c r="IB207" s="4612"/>
      <c r="IC207" s="4612"/>
      <c r="ID207" s="4612"/>
      <c r="IE207" s="4612"/>
    </row>
    <row r="208" spans="1:239" s="4549" customFormat="1" ht="15">
      <c r="A208" s="4168"/>
      <c r="B208" s="4676"/>
      <c r="C208" s="4168"/>
      <c r="D208" s="4168"/>
      <c r="E208" s="4985"/>
      <c r="F208" s="4985"/>
      <c r="G208" s="4537"/>
      <c r="H208" s="4537"/>
      <c r="I208" s="4537"/>
      <c r="J208" s="4537"/>
      <c r="K208" s="4537"/>
      <c r="L208" s="4537"/>
      <c r="M208" s="4537"/>
      <c r="N208" s="4537"/>
      <c r="O208" s="4537"/>
      <c r="P208" s="4537"/>
      <c r="Q208" s="4537"/>
      <c r="R208" s="4537"/>
      <c r="S208" s="4537"/>
      <c r="T208" s="4537"/>
      <c r="U208" s="4537"/>
      <c r="V208" s="4537"/>
      <c r="W208" s="4537"/>
      <c r="X208" s="4537"/>
      <c r="Y208" s="4537"/>
      <c r="Z208" s="4537"/>
      <c r="AA208" s="4537"/>
      <c r="AB208" s="4537"/>
      <c r="AC208" s="4537"/>
      <c r="AD208" s="4537"/>
      <c r="AE208" s="4537"/>
      <c r="AF208" s="4537"/>
      <c r="AG208" s="4537"/>
      <c r="AH208" s="4537"/>
      <c r="AI208" s="4537"/>
      <c r="AJ208" s="4537"/>
      <c r="AK208" s="4537"/>
      <c r="AL208" s="4537"/>
      <c r="AM208" s="4537"/>
      <c r="AN208" s="4537"/>
      <c r="AO208" s="4537"/>
      <c r="AP208" s="4537"/>
      <c r="AQ208" s="4537"/>
      <c r="AR208" s="4537"/>
      <c r="AS208" s="4550"/>
      <c r="AT208" s="4550"/>
      <c r="AU208" s="4550"/>
      <c r="AV208" s="4550"/>
      <c r="AW208" s="4550"/>
      <c r="AX208" s="4550"/>
      <c r="AY208" s="4550"/>
      <c r="AZ208" s="4550"/>
      <c r="BA208" s="4550"/>
      <c r="BB208" s="4550"/>
      <c r="BC208" s="4550"/>
      <c r="BD208" s="4550"/>
      <c r="BE208" s="4550"/>
      <c r="BF208" s="4550"/>
      <c r="BG208" s="4550"/>
      <c r="BH208" s="4550"/>
      <c r="BI208" s="4550"/>
      <c r="BJ208" s="4550"/>
      <c r="BK208" s="4550"/>
      <c r="BL208" s="4550"/>
      <c r="BM208" s="4550"/>
      <c r="BN208" s="4550"/>
      <c r="BO208" s="4550"/>
      <c r="BP208" s="4550"/>
      <c r="BQ208" s="4550"/>
      <c r="BR208" s="4550"/>
      <c r="BS208" s="4550"/>
      <c r="BT208" s="4550"/>
      <c r="BU208" s="4550"/>
      <c r="BV208" s="4550"/>
      <c r="BW208" s="4550"/>
      <c r="BX208" s="4550"/>
      <c r="BY208" s="4550"/>
      <c r="BZ208" s="4550"/>
      <c r="CA208" s="4550"/>
      <c r="CB208" s="4550"/>
      <c r="CC208" s="4550"/>
      <c r="CD208" s="4550"/>
      <c r="CE208" s="4550"/>
      <c r="CF208" s="4550"/>
      <c r="CG208" s="4550"/>
      <c r="CH208" s="4550"/>
      <c r="CI208" s="4550"/>
      <c r="CJ208" s="4550"/>
      <c r="CK208" s="4550"/>
      <c r="CL208" s="4550"/>
      <c r="CM208" s="4550"/>
      <c r="CN208" s="4550"/>
      <c r="CO208" s="4550"/>
      <c r="CP208" s="4550"/>
      <c r="CQ208" s="4550"/>
      <c r="CR208" s="4550"/>
      <c r="CS208" s="4550"/>
      <c r="CT208" s="4550"/>
      <c r="CU208" s="4550"/>
      <c r="CV208" s="4550"/>
      <c r="CW208" s="4550"/>
      <c r="CX208" s="4550"/>
      <c r="CY208" s="4550"/>
      <c r="CZ208" s="4550"/>
      <c r="DA208" s="4550"/>
      <c r="DB208" s="4550"/>
      <c r="DC208" s="4550"/>
      <c r="DD208" s="4550"/>
      <c r="DE208" s="4550"/>
      <c r="DF208" s="4550"/>
      <c r="DG208" s="4550"/>
      <c r="DH208" s="4550"/>
      <c r="DI208" s="4550"/>
      <c r="DJ208" s="4550"/>
      <c r="DK208" s="4550"/>
      <c r="DL208" s="4550"/>
      <c r="DM208" s="4550"/>
      <c r="DN208" s="4550"/>
      <c r="DO208" s="4550"/>
      <c r="DP208" s="4550"/>
      <c r="DQ208" s="4550"/>
      <c r="DR208" s="4550"/>
      <c r="DS208" s="4550"/>
      <c r="DT208" s="4550"/>
      <c r="DU208" s="4550"/>
      <c r="DV208" s="4550"/>
      <c r="DW208" s="4550"/>
      <c r="DX208" s="4550"/>
      <c r="DY208" s="4550"/>
      <c r="DZ208" s="4550"/>
      <c r="EA208" s="4550"/>
      <c r="EB208" s="4550"/>
      <c r="EC208" s="4550"/>
      <c r="ED208" s="4550"/>
      <c r="EE208" s="4550"/>
      <c r="EF208" s="4550"/>
      <c r="EG208" s="4550"/>
      <c r="EH208" s="4550"/>
      <c r="EI208" s="4550"/>
      <c r="EJ208" s="4550"/>
      <c r="EK208" s="4550"/>
      <c r="EL208" s="4550"/>
      <c r="EM208" s="4550"/>
      <c r="EN208" s="4550"/>
      <c r="EO208" s="4550"/>
      <c r="EP208" s="4550"/>
      <c r="EQ208" s="4550"/>
      <c r="ER208" s="4550"/>
      <c r="ES208" s="4550"/>
      <c r="ET208" s="4550"/>
      <c r="EU208" s="4550"/>
      <c r="EV208" s="4550"/>
      <c r="EW208" s="4550"/>
      <c r="EX208" s="4550"/>
      <c r="EY208" s="4550"/>
      <c r="EZ208" s="4550"/>
      <c r="FA208" s="4550"/>
      <c r="FB208" s="4550"/>
      <c r="FC208" s="4550"/>
      <c r="FD208" s="4550"/>
      <c r="FE208" s="4550"/>
      <c r="FF208" s="4550"/>
      <c r="FG208" s="4550"/>
      <c r="FH208" s="4550"/>
      <c r="FI208" s="4550"/>
      <c r="FJ208" s="4550"/>
      <c r="FK208" s="4550"/>
      <c r="FL208" s="4550"/>
      <c r="FM208" s="4550"/>
      <c r="FN208" s="4550"/>
      <c r="FO208" s="4550"/>
      <c r="FP208" s="4550"/>
      <c r="FQ208" s="4550"/>
      <c r="FR208" s="4550"/>
      <c r="FS208" s="4550"/>
      <c r="FT208" s="4550"/>
      <c r="FU208" s="4550"/>
      <c r="FV208" s="4550"/>
      <c r="FW208" s="4550"/>
      <c r="FX208" s="4550"/>
      <c r="FY208" s="4550"/>
      <c r="FZ208" s="4550"/>
      <c r="GA208" s="4550"/>
      <c r="GB208" s="4550"/>
      <c r="GC208" s="4550"/>
      <c r="GD208" s="4550"/>
      <c r="GE208" s="4550"/>
      <c r="GF208" s="4550"/>
      <c r="GG208" s="4550"/>
      <c r="GH208" s="4550"/>
      <c r="GI208" s="4550"/>
      <c r="GJ208" s="4550"/>
      <c r="GK208" s="4550"/>
      <c r="GL208" s="4550"/>
      <c r="GM208" s="4550"/>
      <c r="GN208" s="4550"/>
      <c r="GO208" s="4550"/>
      <c r="GP208" s="4550"/>
      <c r="GQ208" s="4550"/>
      <c r="GR208" s="4550"/>
      <c r="GS208" s="4550"/>
      <c r="GT208" s="4550"/>
      <c r="GU208" s="4550"/>
      <c r="GV208" s="4550"/>
      <c r="GW208" s="4550"/>
      <c r="GX208" s="4550"/>
      <c r="GY208" s="4550"/>
      <c r="GZ208" s="4550"/>
      <c r="HA208" s="4550"/>
      <c r="HB208" s="4550"/>
      <c r="HC208" s="4550"/>
      <c r="HD208" s="4550"/>
      <c r="HE208" s="4550"/>
      <c r="HF208" s="4550"/>
      <c r="HG208" s="4550"/>
      <c r="HH208" s="4550"/>
      <c r="HI208" s="4550"/>
      <c r="HJ208" s="4550"/>
      <c r="HK208" s="4550"/>
      <c r="HL208" s="4550"/>
      <c r="HM208" s="4550"/>
      <c r="HN208" s="4550"/>
      <c r="HO208" s="4550"/>
      <c r="HP208" s="4550"/>
      <c r="HQ208" s="4550"/>
      <c r="HR208" s="4550"/>
      <c r="HS208" s="4550"/>
      <c r="HT208" s="4550"/>
      <c r="HU208" s="4550"/>
      <c r="HV208" s="4550"/>
      <c r="HW208" s="4550"/>
      <c r="HX208" s="4550"/>
      <c r="HY208" s="4550"/>
      <c r="HZ208" s="4550"/>
      <c r="IA208" s="4550"/>
      <c r="IB208" s="4550"/>
      <c r="IC208" s="4550"/>
      <c r="ID208" s="4550"/>
      <c r="IE208" s="4550"/>
    </row>
    <row r="209" spans="1:239" s="4549" customFormat="1" ht="17.25" customHeight="1">
      <c r="A209" s="4752" t="s">
        <v>4374</v>
      </c>
      <c r="B209" s="4610" t="s">
        <v>4415</v>
      </c>
      <c r="C209" s="4168"/>
      <c r="D209" s="4168"/>
      <c r="E209" s="4318"/>
      <c r="F209" s="4966"/>
      <c r="G209" s="4537"/>
      <c r="H209" s="4537"/>
      <c r="I209" s="4537"/>
      <c r="J209" s="4537"/>
      <c r="K209" s="4537"/>
      <c r="L209" s="4537"/>
      <c r="M209" s="4537"/>
      <c r="N209" s="4537"/>
      <c r="O209" s="4537"/>
      <c r="P209" s="4537"/>
      <c r="Q209" s="4537"/>
      <c r="R209" s="4537"/>
      <c r="S209" s="4537"/>
      <c r="T209" s="4537"/>
      <c r="U209" s="4537"/>
      <c r="V209" s="4537"/>
      <c r="W209" s="4537"/>
      <c r="X209" s="4537"/>
      <c r="Y209" s="4537"/>
      <c r="Z209" s="4537"/>
      <c r="AA209" s="4537"/>
      <c r="AB209" s="4537"/>
      <c r="AC209" s="4537"/>
      <c r="AD209" s="4537"/>
      <c r="AE209" s="4537"/>
      <c r="AF209" s="4537"/>
      <c r="AG209" s="4537"/>
      <c r="AH209" s="4537"/>
      <c r="AI209" s="4537"/>
      <c r="AJ209" s="4537"/>
      <c r="AK209" s="4537"/>
      <c r="AL209" s="4537"/>
      <c r="AM209" s="4537"/>
      <c r="AN209" s="4537"/>
      <c r="AO209" s="4537"/>
      <c r="AP209" s="4537"/>
      <c r="AQ209" s="4537"/>
      <c r="AR209" s="4537"/>
      <c r="AS209" s="4550"/>
      <c r="AT209" s="4550"/>
      <c r="AU209" s="4550"/>
      <c r="AV209" s="4550"/>
      <c r="AW209" s="4550"/>
      <c r="AX209" s="4550"/>
      <c r="AY209" s="4550"/>
      <c r="AZ209" s="4550"/>
      <c r="BA209" s="4550"/>
      <c r="BB209" s="4550"/>
      <c r="BC209" s="4550"/>
      <c r="BD209" s="4550"/>
      <c r="BE209" s="4550"/>
      <c r="BF209" s="4550"/>
      <c r="BG209" s="4550"/>
      <c r="BH209" s="4550"/>
      <c r="BI209" s="4550"/>
      <c r="BJ209" s="4550"/>
      <c r="BK209" s="4550"/>
      <c r="BL209" s="4550"/>
      <c r="BM209" s="4550"/>
      <c r="BN209" s="4550"/>
      <c r="BO209" s="4550"/>
      <c r="BP209" s="4550"/>
      <c r="BQ209" s="4550"/>
      <c r="BR209" s="4550"/>
      <c r="BS209" s="4550"/>
      <c r="BT209" s="4550"/>
      <c r="BU209" s="4550"/>
      <c r="BV209" s="4550"/>
      <c r="BW209" s="4550"/>
      <c r="BX209" s="4550"/>
      <c r="BY209" s="4550"/>
      <c r="BZ209" s="4550"/>
      <c r="CA209" s="4550"/>
      <c r="CB209" s="4550"/>
      <c r="CC209" s="4550"/>
      <c r="CD209" s="4550"/>
      <c r="CE209" s="4550"/>
      <c r="CF209" s="4550"/>
      <c r="CG209" s="4550"/>
      <c r="CH209" s="4550"/>
      <c r="CI209" s="4550"/>
      <c r="CJ209" s="4550"/>
      <c r="CK209" s="4550"/>
      <c r="CL209" s="4550"/>
      <c r="CM209" s="4550"/>
      <c r="CN209" s="4550"/>
      <c r="CO209" s="4550"/>
      <c r="CP209" s="4550"/>
      <c r="CQ209" s="4550"/>
      <c r="CR209" s="4550"/>
      <c r="CS209" s="4550"/>
      <c r="CT209" s="4550"/>
      <c r="CU209" s="4550"/>
      <c r="CV209" s="4550"/>
      <c r="CW209" s="4550"/>
      <c r="CX209" s="4550"/>
      <c r="CY209" s="4550"/>
      <c r="CZ209" s="4550"/>
      <c r="DA209" s="4550"/>
      <c r="DB209" s="4550"/>
      <c r="DC209" s="4550"/>
      <c r="DD209" s="4550"/>
      <c r="DE209" s="4550"/>
      <c r="DF209" s="4550"/>
      <c r="DG209" s="4550"/>
      <c r="DH209" s="4550"/>
      <c r="DI209" s="4550"/>
      <c r="DJ209" s="4550"/>
      <c r="DK209" s="4550"/>
      <c r="DL209" s="4550"/>
      <c r="DM209" s="4550"/>
      <c r="DN209" s="4550"/>
      <c r="DO209" s="4550"/>
      <c r="DP209" s="4550"/>
      <c r="DQ209" s="4550"/>
      <c r="DR209" s="4550"/>
      <c r="DS209" s="4550"/>
      <c r="DT209" s="4550"/>
      <c r="DU209" s="4550"/>
      <c r="DV209" s="4550"/>
      <c r="DW209" s="4550"/>
      <c r="DX209" s="4550"/>
      <c r="DY209" s="4550"/>
      <c r="DZ209" s="4550"/>
      <c r="EA209" s="4550"/>
      <c r="EB209" s="4550"/>
      <c r="EC209" s="4550"/>
      <c r="ED209" s="4550"/>
      <c r="EE209" s="4550"/>
      <c r="EF209" s="4550"/>
      <c r="EG209" s="4550"/>
      <c r="EH209" s="4550"/>
      <c r="EI209" s="4550"/>
      <c r="EJ209" s="4550"/>
      <c r="EK209" s="4550"/>
      <c r="EL209" s="4550"/>
      <c r="EM209" s="4550"/>
      <c r="EN209" s="4550"/>
      <c r="EO209" s="4550"/>
      <c r="EP209" s="4550"/>
      <c r="EQ209" s="4550"/>
      <c r="ER209" s="4550"/>
      <c r="ES209" s="4550"/>
      <c r="ET209" s="4550"/>
      <c r="EU209" s="4550"/>
      <c r="EV209" s="4550"/>
      <c r="EW209" s="4550"/>
      <c r="EX209" s="4550"/>
      <c r="EY209" s="4550"/>
      <c r="EZ209" s="4550"/>
      <c r="FA209" s="4550"/>
      <c r="FB209" s="4550"/>
      <c r="FC209" s="4550"/>
      <c r="FD209" s="4550"/>
      <c r="FE209" s="4550"/>
      <c r="FF209" s="4550"/>
      <c r="FG209" s="4550"/>
      <c r="FH209" s="4550"/>
      <c r="FI209" s="4550"/>
      <c r="FJ209" s="4550"/>
      <c r="FK209" s="4550"/>
      <c r="FL209" s="4550"/>
      <c r="FM209" s="4550"/>
      <c r="FN209" s="4550"/>
      <c r="FO209" s="4550"/>
      <c r="FP209" s="4550"/>
      <c r="FQ209" s="4550"/>
      <c r="FR209" s="4550"/>
      <c r="FS209" s="4550"/>
      <c r="FT209" s="4550"/>
      <c r="FU209" s="4550"/>
      <c r="FV209" s="4550"/>
      <c r="FW209" s="4550"/>
      <c r="FX209" s="4550"/>
      <c r="FY209" s="4550"/>
      <c r="FZ209" s="4550"/>
      <c r="GA209" s="4550"/>
      <c r="GB209" s="4550"/>
      <c r="GC209" s="4550"/>
      <c r="GD209" s="4550"/>
      <c r="GE209" s="4550"/>
      <c r="GF209" s="4550"/>
      <c r="GG209" s="4550"/>
      <c r="GH209" s="4550"/>
      <c r="GI209" s="4550"/>
      <c r="GJ209" s="4550"/>
      <c r="GK209" s="4550"/>
      <c r="GL209" s="4550"/>
      <c r="GM209" s="4550"/>
      <c r="GN209" s="4550"/>
      <c r="GO209" s="4550"/>
      <c r="GP209" s="4550"/>
      <c r="GQ209" s="4550"/>
      <c r="GR209" s="4550"/>
      <c r="GS209" s="4550"/>
      <c r="GT209" s="4550"/>
      <c r="GU209" s="4550"/>
      <c r="GV209" s="4550"/>
      <c r="GW209" s="4550"/>
      <c r="GX209" s="4550"/>
      <c r="GY209" s="4550"/>
      <c r="GZ209" s="4550"/>
      <c r="HA209" s="4550"/>
      <c r="HB209" s="4550"/>
      <c r="HC209" s="4550"/>
      <c r="HD209" s="4550"/>
      <c r="HE209" s="4550"/>
      <c r="HF209" s="4550"/>
      <c r="HG209" s="4550"/>
      <c r="HH209" s="4550"/>
      <c r="HI209" s="4550"/>
      <c r="HJ209" s="4550"/>
      <c r="HK209" s="4550"/>
      <c r="HL209" s="4550"/>
      <c r="HM209" s="4550"/>
      <c r="HN209" s="4550"/>
      <c r="HO209" s="4550"/>
      <c r="HP209" s="4550"/>
      <c r="HQ209" s="4550"/>
      <c r="HR209" s="4550"/>
      <c r="HS209" s="4550"/>
      <c r="HT209" s="4550"/>
      <c r="HU209" s="4550"/>
      <c r="HV209" s="4550"/>
      <c r="HW209" s="4550"/>
      <c r="HX209" s="4550"/>
      <c r="HY209" s="4550"/>
      <c r="HZ209" s="4550"/>
      <c r="IA209" s="4550"/>
      <c r="IB209" s="4550"/>
      <c r="IC209" s="4550"/>
      <c r="ID209" s="4550"/>
      <c r="IE209" s="4550"/>
    </row>
    <row r="210" spans="1:239" s="4549" customFormat="1" ht="9.75" customHeight="1">
      <c r="A210" s="4167"/>
      <c r="B210" s="4679"/>
      <c r="C210" s="4168"/>
      <c r="D210" s="4168"/>
      <c r="E210" s="4318"/>
      <c r="F210" s="4966"/>
      <c r="G210" s="4537"/>
      <c r="H210" s="4537"/>
      <c r="I210" s="4537"/>
      <c r="J210" s="4537"/>
      <c r="K210" s="4537"/>
      <c r="L210" s="4537"/>
      <c r="M210" s="4537"/>
      <c r="N210" s="4537"/>
      <c r="O210" s="4537"/>
      <c r="P210" s="4537"/>
      <c r="Q210" s="4537"/>
      <c r="R210" s="4537"/>
      <c r="S210" s="4537"/>
      <c r="T210" s="4537"/>
      <c r="U210" s="4537"/>
      <c r="V210" s="4537"/>
      <c r="W210" s="4537"/>
      <c r="X210" s="4537"/>
      <c r="Y210" s="4537"/>
      <c r="Z210" s="4537"/>
      <c r="AA210" s="4537"/>
      <c r="AB210" s="4537"/>
      <c r="AC210" s="4537"/>
      <c r="AD210" s="4537"/>
      <c r="AE210" s="4537"/>
      <c r="AF210" s="4537"/>
      <c r="AG210" s="4537"/>
      <c r="AH210" s="4537"/>
      <c r="AI210" s="4537"/>
      <c r="AJ210" s="4537"/>
      <c r="AK210" s="4537"/>
      <c r="AL210" s="4537"/>
      <c r="AM210" s="4537"/>
      <c r="AN210" s="4537"/>
      <c r="AO210" s="4537"/>
      <c r="AP210" s="4537"/>
      <c r="AQ210" s="4537"/>
      <c r="AR210" s="4537"/>
      <c r="AS210" s="4550"/>
      <c r="AT210" s="4550"/>
      <c r="AU210" s="4550"/>
      <c r="AV210" s="4550"/>
      <c r="AW210" s="4550"/>
      <c r="AX210" s="4550"/>
      <c r="AY210" s="4550"/>
      <c r="AZ210" s="4550"/>
      <c r="BA210" s="4550"/>
      <c r="BB210" s="4550"/>
      <c r="BC210" s="4550"/>
      <c r="BD210" s="4550"/>
      <c r="BE210" s="4550"/>
      <c r="BF210" s="4550"/>
      <c r="BG210" s="4550"/>
      <c r="BH210" s="4550"/>
      <c r="BI210" s="4550"/>
      <c r="BJ210" s="4550"/>
      <c r="BK210" s="4550"/>
      <c r="BL210" s="4550"/>
      <c r="BM210" s="4550"/>
      <c r="BN210" s="4550"/>
      <c r="BO210" s="4550"/>
      <c r="BP210" s="4550"/>
      <c r="BQ210" s="4550"/>
      <c r="BR210" s="4550"/>
      <c r="BS210" s="4550"/>
      <c r="BT210" s="4550"/>
      <c r="BU210" s="4550"/>
      <c r="BV210" s="4550"/>
      <c r="BW210" s="4550"/>
      <c r="BX210" s="4550"/>
      <c r="BY210" s="4550"/>
      <c r="BZ210" s="4550"/>
      <c r="CA210" s="4550"/>
      <c r="CB210" s="4550"/>
      <c r="CC210" s="4550"/>
      <c r="CD210" s="4550"/>
      <c r="CE210" s="4550"/>
      <c r="CF210" s="4550"/>
      <c r="CG210" s="4550"/>
      <c r="CH210" s="4550"/>
      <c r="CI210" s="4550"/>
      <c r="CJ210" s="4550"/>
      <c r="CK210" s="4550"/>
      <c r="CL210" s="4550"/>
      <c r="CM210" s="4550"/>
      <c r="CN210" s="4550"/>
      <c r="CO210" s="4550"/>
      <c r="CP210" s="4550"/>
      <c r="CQ210" s="4550"/>
      <c r="CR210" s="4550"/>
      <c r="CS210" s="4550"/>
      <c r="CT210" s="4550"/>
      <c r="CU210" s="4550"/>
      <c r="CV210" s="4550"/>
      <c r="CW210" s="4550"/>
      <c r="CX210" s="4550"/>
      <c r="CY210" s="4550"/>
      <c r="CZ210" s="4550"/>
      <c r="DA210" s="4550"/>
      <c r="DB210" s="4550"/>
      <c r="DC210" s="4550"/>
      <c r="DD210" s="4550"/>
      <c r="DE210" s="4550"/>
      <c r="DF210" s="4550"/>
      <c r="DG210" s="4550"/>
      <c r="DH210" s="4550"/>
      <c r="DI210" s="4550"/>
      <c r="DJ210" s="4550"/>
      <c r="DK210" s="4550"/>
      <c r="DL210" s="4550"/>
      <c r="DM210" s="4550"/>
      <c r="DN210" s="4550"/>
      <c r="DO210" s="4550"/>
      <c r="DP210" s="4550"/>
      <c r="DQ210" s="4550"/>
      <c r="DR210" s="4550"/>
      <c r="DS210" s="4550"/>
      <c r="DT210" s="4550"/>
      <c r="DU210" s="4550"/>
      <c r="DV210" s="4550"/>
      <c r="DW210" s="4550"/>
      <c r="DX210" s="4550"/>
      <c r="DY210" s="4550"/>
      <c r="DZ210" s="4550"/>
      <c r="EA210" s="4550"/>
      <c r="EB210" s="4550"/>
      <c r="EC210" s="4550"/>
      <c r="ED210" s="4550"/>
      <c r="EE210" s="4550"/>
      <c r="EF210" s="4550"/>
      <c r="EG210" s="4550"/>
      <c r="EH210" s="4550"/>
      <c r="EI210" s="4550"/>
      <c r="EJ210" s="4550"/>
      <c r="EK210" s="4550"/>
      <c r="EL210" s="4550"/>
      <c r="EM210" s="4550"/>
      <c r="EN210" s="4550"/>
      <c r="EO210" s="4550"/>
      <c r="EP210" s="4550"/>
      <c r="EQ210" s="4550"/>
      <c r="ER210" s="4550"/>
      <c r="ES210" s="4550"/>
      <c r="ET210" s="4550"/>
      <c r="EU210" s="4550"/>
      <c r="EV210" s="4550"/>
      <c r="EW210" s="4550"/>
      <c r="EX210" s="4550"/>
      <c r="EY210" s="4550"/>
      <c r="EZ210" s="4550"/>
      <c r="FA210" s="4550"/>
      <c r="FB210" s="4550"/>
      <c r="FC210" s="4550"/>
      <c r="FD210" s="4550"/>
      <c r="FE210" s="4550"/>
      <c r="FF210" s="4550"/>
      <c r="FG210" s="4550"/>
      <c r="FH210" s="4550"/>
      <c r="FI210" s="4550"/>
      <c r="FJ210" s="4550"/>
      <c r="FK210" s="4550"/>
      <c r="FL210" s="4550"/>
      <c r="FM210" s="4550"/>
      <c r="FN210" s="4550"/>
      <c r="FO210" s="4550"/>
      <c r="FP210" s="4550"/>
      <c r="FQ210" s="4550"/>
      <c r="FR210" s="4550"/>
      <c r="FS210" s="4550"/>
      <c r="FT210" s="4550"/>
      <c r="FU210" s="4550"/>
      <c r="FV210" s="4550"/>
      <c r="FW210" s="4550"/>
      <c r="FX210" s="4550"/>
      <c r="FY210" s="4550"/>
      <c r="FZ210" s="4550"/>
      <c r="GA210" s="4550"/>
      <c r="GB210" s="4550"/>
      <c r="GC210" s="4550"/>
      <c r="GD210" s="4550"/>
      <c r="GE210" s="4550"/>
      <c r="GF210" s="4550"/>
      <c r="GG210" s="4550"/>
      <c r="GH210" s="4550"/>
      <c r="GI210" s="4550"/>
      <c r="GJ210" s="4550"/>
      <c r="GK210" s="4550"/>
      <c r="GL210" s="4550"/>
      <c r="GM210" s="4550"/>
      <c r="GN210" s="4550"/>
      <c r="GO210" s="4550"/>
      <c r="GP210" s="4550"/>
      <c r="GQ210" s="4550"/>
      <c r="GR210" s="4550"/>
      <c r="GS210" s="4550"/>
      <c r="GT210" s="4550"/>
      <c r="GU210" s="4550"/>
      <c r="GV210" s="4550"/>
      <c r="GW210" s="4550"/>
      <c r="GX210" s="4550"/>
      <c r="GY210" s="4550"/>
      <c r="GZ210" s="4550"/>
      <c r="HA210" s="4550"/>
      <c r="HB210" s="4550"/>
      <c r="HC210" s="4550"/>
      <c r="HD210" s="4550"/>
      <c r="HE210" s="4550"/>
      <c r="HF210" s="4550"/>
      <c r="HG210" s="4550"/>
      <c r="HH210" s="4550"/>
      <c r="HI210" s="4550"/>
      <c r="HJ210" s="4550"/>
      <c r="HK210" s="4550"/>
      <c r="HL210" s="4550"/>
      <c r="HM210" s="4550"/>
      <c r="HN210" s="4550"/>
      <c r="HO210" s="4550"/>
      <c r="HP210" s="4550"/>
      <c r="HQ210" s="4550"/>
      <c r="HR210" s="4550"/>
      <c r="HS210" s="4550"/>
      <c r="HT210" s="4550"/>
      <c r="HU210" s="4550"/>
      <c r="HV210" s="4550"/>
      <c r="HW210" s="4550"/>
      <c r="HX210" s="4550"/>
      <c r="HY210" s="4550"/>
      <c r="HZ210" s="4550"/>
      <c r="IA210" s="4550"/>
      <c r="IB210" s="4550"/>
      <c r="IC210" s="4550"/>
      <c r="ID210" s="4550"/>
      <c r="IE210" s="4550"/>
    </row>
    <row r="211" spans="1:239" s="4549" customFormat="1" ht="13.5" customHeight="1">
      <c r="A211" s="4680">
        <v>1</v>
      </c>
      <c r="B211" s="4532" t="s">
        <v>2353</v>
      </c>
      <c r="C211" s="4682">
        <v>113.2</v>
      </c>
      <c r="D211" s="4593" t="s">
        <v>1</v>
      </c>
      <c r="E211" s="4318"/>
      <c r="F211" s="4966">
        <f>ROUND(C211*E211,2)</f>
        <v>0</v>
      </c>
      <c r="G211" s="4537"/>
      <c r="H211" s="4537"/>
      <c r="I211" s="4537"/>
      <c r="J211" s="4537"/>
      <c r="K211" s="4537"/>
      <c r="L211" s="4537"/>
      <c r="M211" s="4537"/>
      <c r="N211" s="4537"/>
      <c r="O211" s="4537"/>
      <c r="P211" s="4537"/>
      <c r="Q211" s="4537"/>
      <c r="R211" s="4537"/>
      <c r="S211" s="4537"/>
      <c r="T211" s="4537"/>
      <c r="U211" s="4537"/>
      <c r="V211" s="4537"/>
      <c r="W211" s="4537"/>
      <c r="X211" s="4537"/>
      <c r="Y211" s="4537"/>
      <c r="Z211" s="4537"/>
      <c r="AA211" s="4537"/>
      <c r="AB211" s="4537"/>
      <c r="AC211" s="4537"/>
      <c r="AD211" s="4537"/>
      <c r="AE211" s="4537"/>
      <c r="AF211" s="4537"/>
      <c r="AG211" s="4537"/>
      <c r="AH211" s="4537"/>
      <c r="AI211" s="4537"/>
      <c r="AJ211" s="4537"/>
      <c r="AK211" s="4537"/>
      <c r="AL211" s="4537"/>
      <c r="AM211" s="4537"/>
      <c r="AN211" s="4537"/>
      <c r="AO211" s="4537"/>
      <c r="AP211" s="4537"/>
      <c r="AQ211" s="4537"/>
      <c r="AR211" s="4537"/>
      <c r="AS211" s="4550"/>
      <c r="AT211" s="4550"/>
      <c r="AU211" s="4550"/>
      <c r="AV211" s="4550"/>
      <c r="AW211" s="4550"/>
      <c r="AX211" s="4550"/>
      <c r="AY211" s="4550"/>
      <c r="AZ211" s="4550"/>
      <c r="BA211" s="4550"/>
      <c r="BB211" s="4550"/>
      <c r="BC211" s="4550"/>
      <c r="BD211" s="4550"/>
      <c r="BE211" s="4550"/>
      <c r="BF211" s="4550"/>
      <c r="BG211" s="4550"/>
      <c r="BH211" s="4550"/>
      <c r="BI211" s="4550"/>
      <c r="BJ211" s="4550"/>
      <c r="BK211" s="4550"/>
      <c r="BL211" s="4550"/>
      <c r="BM211" s="4550"/>
      <c r="BN211" s="4550"/>
      <c r="BO211" s="4550"/>
      <c r="BP211" s="4550"/>
      <c r="BQ211" s="4550"/>
      <c r="BR211" s="4550"/>
      <c r="BS211" s="4550"/>
      <c r="BT211" s="4550"/>
      <c r="BU211" s="4550"/>
      <c r="BV211" s="4550"/>
      <c r="BW211" s="4550"/>
      <c r="BX211" s="4550"/>
      <c r="BY211" s="4550"/>
      <c r="BZ211" s="4550"/>
      <c r="CA211" s="4550"/>
      <c r="CB211" s="4550"/>
      <c r="CC211" s="4550"/>
      <c r="CD211" s="4550"/>
      <c r="CE211" s="4550"/>
      <c r="CF211" s="4550"/>
      <c r="CG211" s="4550"/>
      <c r="CH211" s="4550"/>
      <c r="CI211" s="4550"/>
      <c r="CJ211" s="4550"/>
      <c r="CK211" s="4550"/>
      <c r="CL211" s="4550"/>
      <c r="CM211" s="4550"/>
      <c r="CN211" s="4550"/>
      <c r="CO211" s="4550"/>
      <c r="CP211" s="4550"/>
      <c r="CQ211" s="4550"/>
      <c r="CR211" s="4550"/>
      <c r="CS211" s="4550"/>
      <c r="CT211" s="4550"/>
      <c r="CU211" s="4550"/>
      <c r="CV211" s="4550"/>
      <c r="CW211" s="4550"/>
      <c r="CX211" s="4550"/>
      <c r="CY211" s="4550"/>
      <c r="CZ211" s="4550"/>
      <c r="DA211" s="4550"/>
      <c r="DB211" s="4550"/>
      <c r="DC211" s="4550"/>
      <c r="DD211" s="4550"/>
      <c r="DE211" s="4550"/>
      <c r="DF211" s="4550"/>
      <c r="DG211" s="4550"/>
      <c r="DH211" s="4550"/>
      <c r="DI211" s="4550"/>
      <c r="DJ211" s="4550"/>
      <c r="DK211" s="4550"/>
      <c r="DL211" s="4550"/>
      <c r="DM211" s="4550"/>
      <c r="DN211" s="4550"/>
      <c r="DO211" s="4550"/>
      <c r="DP211" s="4550"/>
      <c r="DQ211" s="4550"/>
      <c r="DR211" s="4550"/>
      <c r="DS211" s="4550"/>
      <c r="DT211" s="4550"/>
      <c r="DU211" s="4550"/>
      <c r="DV211" s="4550"/>
      <c r="DW211" s="4550"/>
      <c r="DX211" s="4550"/>
      <c r="DY211" s="4550"/>
      <c r="DZ211" s="4550"/>
      <c r="EA211" s="4550"/>
      <c r="EB211" s="4550"/>
      <c r="EC211" s="4550"/>
      <c r="ED211" s="4550"/>
      <c r="EE211" s="4550"/>
      <c r="EF211" s="4550"/>
      <c r="EG211" s="4550"/>
      <c r="EH211" s="4550"/>
      <c r="EI211" s="4550"/>
      <c r="EJ211" s="4550"/>
      <c r="EK211" s="4550"/>
      <c r="EL211" s="4550"/>
      <c r="EM211" s="4550"/>
      <c r="EN211" s="4550"/>
      <c r="EO211" s="4550"/>
      <c r="EP211" s="4550"/>
      <c r="EQ211" s="4550"/>
      <c r="ER211" s="4550"/>
      <c r="ES211" s="4550"/>
      <c r="ET211" s="4550"/>
      <c r="EU211" s="4550"/>
      <c r="EV211" s="4550"/>
      <c r="EW211" s="4550"/>
      <c r="EX211" s="4550"/>
      <c r="EY211" s="4550"/>
      <c r="EZ211" s="4550"/>
      <c r="FA211" s="4550"/>
      <c r="FB211" s="4550"/>
      <c r="FC211" s="4550"/>
      <c r="FD211" s="4550"/>
      <c r="FE211" s="4550"/>
      <c r="FF211" s="4550"/>
      <c r="FG211" s="4550"/>
      <c r="FH211" s="4550"/>
      <c r="FI211" s="4550"/>
      <c r="FJ211" s="4550"/>
      <c r="FK211" s="4550"/>
      <c r="FL211" s="4550"/>
      <c r="FM211" s="4550"/>
      <c r="FN211" s="4550"/>
      <c r="FO211" s="4550"/>
      <c r="FP211" s="4550"/>
      <c r="FQ211" s="4550"/>
      <c r="FR211" s="4550"/>
      <c r="FS211" s="4550"/>
      <c r="FT211" s="4550"/>
      <c r="FU211" s="4550"/>
      <c r="FV211" s="4550"/>
      <c r="FW211" s="4550"/>
      <c r="FX211" s="4550"/>
      <c r="FY211" s="4550"/>
      <c r="FZ211" s="4550"/>
      <c r="GA211" s="4550"/>
      <c r="GB211" s="4550"/>
      <c r="GC211" s="4550"/>
      <c r="GD211" s="4550"/>
      <c r="GE211" s="4550"/>
      <c r="GF211" s="4550"/>
      <c r="GG211" s="4550"/>
      <c r="GH211" s="4550"/>
      <c r="GI211" s="4550"/>
      <c r="GJ211" s="4550"/>
      <c r="GK211" s="4550"/>
      <c r="GL211" s="4550"/>
      <c r="GM211" s="4550"/>
      <c r="GN211" s="4550"/>
      <c r="GO211" s="4550"/>
      <c r="GP211" s="4550"/>
      <c r="GQ211" s="4550"/>
      <c r="GR211" s="4550"/>
      <c r="GS211" s="4550"/>
      <c r="GT211" s="4550"/>
      <c r="GU211" s="4550"/>
      <c r="GV211" s="4550"/>
      <c r="GW211" s="4550"/>
      <c r="GX211" s="4550"/>
      <c r="GY211" s="4550"/>
      <c r="GZ211" s="4550"/>
      <c r="HA211" s="4550"/>
      <c r="HB211" s="4550"/>
      <c r="HC211" s="4550"/>
      <c r="HD211" s="4550"/>
      <c r="HE211" s="4550"/>
      <c r="HF211" s="4550"/>
      <c r="HG211" s="4550"/>
      <c r="HH211" s="4550"/>
      <c r="HI211" s="4550"/>
      <c r="HJ211" s="4550"/>
      <c r="HK211" s="4550"/>
      <c r="HL211" s="4550"/>
      <c r="HM211" s="4550"/>
      <c r="HN211" s="4550"/>
      <c r="HO211" s="4550"/>
      <c r="HP211" s="4550"/>
      <c r="HQ211" s="4550"/>
      <c r="HR211" s="4550"/>
      <c r="HS211" s="4550"/>
      <c r="HT211" s="4550"/>
      <c r="HU211" s="4550"/>
      <c r="HV211" s="4550"/>
      <c r="HW211" s="4550"/>
      <c r="HX211" s="4550"/>
      <c r="HY211" s="4550"/>
      <c r="HZ211" s="4550"/>
      <c r="IA211" s="4550"/>
      <c r="IB211" s="4550"/>
      <c r="IC211" s="4550"/>
      <c r="ID211" s="4550"/>
      <c r="IE211" s="4550"/>
    </row>
    <row r="212" spans="1:239" s="4549" customFormat="1" ht="9.75" customHeight="1">
      <c r="A212" s="4167"/>
      <c r="B212" s="4679"/>
      <c r="C212" s="4168"/>
      <c r="D212" s="4168"/>
      <c r="E212" s="4318"/>
      <c r="F212" s="4966"/>
      <c r="G212" s="4537"/>
      <c r="H212" s="4537"/>
      <c r="I212" s="4537"/>
      <c r="J212" s="4537"/>
      <c r="K212" s="4537"/>
      <c r="L212" s="4537"/>
      <c r="M212" s="4537"/>
      <c r="N212" s="4537"/>
      <c r="O212" s="4537"/>
      <c r="P212" s="4537"/>
      <c r="Q212" s="4537"/>
      <c r="R212" s="4537"/>
      <c r="S212" s="4537"/>
      <c r="T212" s="4537"/>
      <c r="U212" s="4537"/>
      <c r="V212" s="4537"/>
      <c r="W212" s="4537"/>
      <c r="X212" s="4537"/>
      <c r="Y212" s="4537"/>
      <c r="Z212" s="4537"/>
      <c r="AA212" s="4537"/>
      <c r="AB212" s="4537"/>
      <c r="AC212" s="4537"/>
      <c r="AD212" s="4537"/>
      <c r="AE212" s="4537"/>
      <c r="AF212" s="4537"/>
      <c r="AG212" s="4537"/>
      <c r="AH212" s="4537"/>
      <c r="AI212" s="4537"/>
      <c r="AJ212" s="4537"/>
      <c r="AK212" s="4537"/>
      <c r="AL212" s="4537"/>
      <c r="AM212" s="4537"/>
      <c r="AN212" s="4537"/>
      <c r="AO212" s="4537"/>
      <c r="AP212" s="4537"/>
      <c r="AQ212" s="4537"/>
      <c r="AR212" s="4537"/>
      <c r="AS212" s="4550"/>
      <c r="AT212" s="4550"/>
      <c r="AU212" s="4550"/>
      <c r="AV212" s="4550"/>
      <c r="AW212" s="4550"/>
      <c r="AX212" s="4550"/>
      <c r="AY212" s="4550"/>
      <c r="AZ212" s="4550"/>
      <c r="BA212" s="4550"/>
      <c r="BB212" s="4550"/>
      <c r="BC212" s="4550"/>
      <c r="BD212" s="4550"/>
      <c r="BE212" s="4550"/>
      <c r="BF212" s="4550"/>
      <c r="BG212" s="4550"/>
      <c r="BH212" s="4550"/>
      <c r="BI212" s="4550"/>
      <c r="BJ212" s="4550"/>
      <c r="BK212" s="4550"/>
      <c r="BL212" s="4550"/>
      <c r="BM212" s="4550"/>
      <c r="BN212" s="4550"/>
      <c r="BO212" s="4550"/>
      <c r="BP212" s="4550"/>
      <c r="BQ212" s="4550"/>
      <c r="BR212" s="4550"/>
      <c r="BS212" s="4550"/>
      <c r="BT212" s="4550"/>
      <c r="BU212" s="4550"/>
      <c r="BV212" s="4550"/>
      <c r="BW212" s="4550"/>
      <c r="BX212" s="4550"/>
      <c r="BY212" s="4550"/>
      <c r="BZ212" s="4550"/>
      <c r="CA212" s="4550"/>
      <c r="CB212" s="4550"/>
      <c r="CC212" s="4550"/>
      <c r="CD212" s="4550"/>
      <c r="CE212" s="4550"/>
      <c r="CF212" s="4550"/>
      <c r="CG212" s="4550"/>
      <c r="CH212" s="4550"/>
      <c r="CI212" s="4550"/>
      <c r="CJ212" s="4550"/>
      <c r="CK212" s="4550"/>
      <c r="CL212" s="4550"/>
      <c r="CM212" s="4550"/>
      <c r="CN212" s="4550"/>
      <c r="CO212" s="4550"/>
      <c r="CP212" s="4550"/>
      <c r="CQ212" s="4550"/>
      <c r="CR212" s="4550"/>
      <c r="CS212" s="4550"/>
      <c r="CT212" s="4550"/>
      <c r="CU212" s="4550"/>
      <c r="CV212" s="4550"/>
      <c r="CW212" s="4550"/>
      <c r="CX212" s="4550"/>
      <c r="CY212" s="4550"/>
      <c r="CZ212" s="4550"/>
      <c r="DA212" s="4550"/>
      <c r="DB212" s="4550"/>
      <c r="DC212" s="4550"/>
      <c r="DD212" s="4550"/>
      <c r="DE212" s="4550"/>
      <c r="DF212" s="4550"/>
      <c r="DG212" s="4550"/>
      <c r="DH212" s="4550"/>
      <c r="DI212" s="4550"/>
      <c r="DJ212" s="4550"/>
      <c r="DK212" s="4550"/>
      <c r="DL212" s="4550"/>
      <c r="DM212" s="4550"/>
      <c r="DN212" s="4550"/>
      <c r="DO212" s="4550"/>
      <c r="DP212" s="4550"/>
      <c r="DQ212" s="4550"/>
      <c r="DR212" s="4550"/>
      <c r="DS212" s="4550"/>
      <c r="DT212" s="4550"/>
      <c r="DU212" s="4550"/>
      <c r="DV212" s="4550"/>
      <c r="DW212" s="4550"/>
      <c r="DX212" s="4550"/>
      <c r="DY212" s="4550"/>
      <c r="DZ212" s="4550"/>
      <c r="EA212" s="4550"/>
      <c r="EB212" s="4550"/>
      <c r="EC212" s="4550"/>
      <c r="ED212" s="4550"/>
      <c r="EE212" s="4550"/>
      <c r="EF212" s="4550"/>
      <c r="EG212" s="4550"/>
      <c r="EH212" s="4550"/>
      <c r="EI212" s="4550"/>
      <c r="EJ212" s="4550"/>
      <c r="EK212" s="4550"/>
      <c r="EL212" s="4550"/>
      <c r="EM212" s="4550"/>
      <c r="EN212" s="4550"/>
      <c r="EO212" s="4550"/>
      <c r="EP212" s="4550"/>
      <c r="EQ212" s="4550"/>
      <c r="ER212" s="4550"/>
      <c r="ES212" s="4550"/>
      <c r="ET212" s="4550"/>
      <c r="EU212" s="4550"/>
      <c r="EV212" s="4550"/>
      <c r="EW212" s="4550"/>
      <c r="EX212" s="4550"/>
      <c r="EY212" s="4550"/>
      <c r="EZ212" s="4550"/>
      <c r="FA212" s="4550"/>
      <c r="FB212" s="4550"/>
      <c r="FC212" s="4550"/>
      <c r="FD212" s="4550"/>
      <c r="FE212" s="4550"/>
      <c r="FF212" s="4550"/>
      <c r="FG212" s="4550"/>
      <c r="FH212" s="4550"/>
      <c r="FI212" s="4550"/>
      <c r="FJ212" s="4550"/>
      <c r="FK212" s="4550"/>
      <c r="FL212" s="4550"/>
      <c r="FM212" s="4550"/>
      <c r="FN212" s="4550"/>
      <c r="FO212" s="4550"/>
      <c r="FP212" s="4550"/>
      <c r="FQ212" s="4550"/>
      <c r="FR212" s="4550"/>
      <c r="FS212" s="4550"/>
      <c r="FT212" s="4550"/>
      <c r="FU212" s="4550"/>
      <c r="FV212" s="4550"/>
      <c r="FW212" s="4550"/>
      <c r="FX212" s="4550"/>
      <c r="FY212" s="4550"/>
      <c r="FZ212" s="4550"/>
      <c r="GA212" s="4550"/>
      <c r="GB212" s="4550"/>
      <c r="GC212" s="4550"/>
      <c r="GD212" s="4550"/>
      <c r="GE212" s="4550"/>
      <c r="GF212" s="4550"/>
      <c r="GG212" s="4550"/>
      <c r="GH212" s="4550"/>
      <c r="GI212" s="4550"/>
      <c r="GJ212" s="4550"/>
      <c r="GK212" s="4550"/>
      <c r="GL212" s="4550"/>
      <c r="GM212" s="4550"/>
      <c r="GN212" s="4550"/>
      <c r="GO212" s="4550"/>
      <c r="GP212" s="4550"/>
      <c r="GQ212" s="4550"/>
      <c r="GR212" s="4550"/>
      <c r="GS212" s="4550"/>
      <c r="GT212" s="4550"/>
      <c r="GU212" s="4550"/>
      <c r="GV212" s="4550"/>
      <c r="GW212" s="4550"/>
      <c r="GX212" s="4550"/>
      <c r="GY212" s="4550"/>
      <c r="GZ212" s="4550"/>
      <c r="HA212" s="4550"/>
      <c r="HB212" s="4550"/>
      <c r="HC212" s="4550"/>
      <c r="HD212" s="4550"/>
      <c r="HE212" s="4550"/>
      <c r="HF212" s="4550"/>
      <c r="HG212" s="4550"/>
      <c r="HH212" s="4550"/>
      <c r="HI212" s="4550"/>
      <c r="HJ212" s="4550"/>
      <c r="HK212" s="4550"/>
      <c r="HL212" s="4550"/>
      <c r="HM212" s="4550"/>
      <c r="HN212" s="4550"/>
      <c r="HO212" s="4550"/>
      <c r="HP212" s="4550"/>
      <c r="HQ212" s="4550"/>
      <c r="HR212" s="4550"/>
      <c r="HS212" s="4550"/>
      <c r="HT212" s="4550"/>
      <c r="HU212" s="4550"/>
      <c r="HV212" s="4550"/>
      <c r="HW212" s="4550"/>
      <c r="HX212" s="4550"/>
      <c r="HY212" s="4550"/>
      <c r="HZ212" s="4550"/>
      <c r="IA212" s="4550"/>
      <c r="IB212" s="4550"/>
      <c r="IC212" s="4550"/>
      <c r="ID212" s="4550"/>
      <c r="IE212" s="4550"/>
    </row>
    <row r="213" spans="1:239" s="4549" customFormat="1" ht="12.75" customHeight="1">
      <c r="A213" s="4680">
        <v>2</v>
      </c>
      <c r="B213" s="4610" t="s">
        <v>14</v>
      </c>
      <c r="C213" s="4682"/>
      <c r="D213" s="4600"/>
      <c r="E213" s="4964"/>
      <c r="F213" s="4966"/>
      <c r="G213" s="4537"/>
      <c r="H213" s="4537"/>
      <c r="I213" s="4537"/>
      <c r="J213" s="4537"/>
      <c r="K213" s="4537"/>
      <c r="L213" s="4537"/>
      <c r="M213" s="4537"/>
      <c r="N213" s="4537"/>
      <c r="O213" s="4537"/>
      <c r="P213" s="4537"/>
      <c r="Q213" s="4537"/>
      <c r="R213" s="4537"/>
      <c r="S213" s="4537"/>
      <c r="T213" s="4537"/>
      <c r="U213" s="4537"/>
      <c r="V213" s="4537"/>
      <c r="W213" s="4537"/>
      <c r="X213" s="4537"/>
      <c r="Y213" s="4537"/>
      <c r="Z213" s="4537"/>
      <c r="AA213" s="4537"/>
      <c r="AB213" s="4537"/>
      <c r="AC213" s="4537"/>
      <c r="AD213" s="4537"/>
      <c r="AE213" s="4537"/>
      <c r="AF213" s="4537"/>
      <c r="AG213" s="4537"/>
      <c r="AH213" s="4537"/>
      <c r="AI213" s="4537"/>
      <c r="AJ213" s="4537"/>
      <c r="AK213" s="4537"/>
      <c r="AL213" s="4537"/>
      <c r="AM213" s="4537"/>
      <c r="AN213" s="4537"/>
      <c r="AO213" s="4537"/>
      <c r="AP213" s="4537"/>
      <c r="AQ213" s="4537"/>
      <c r="AR213" s="4537"/>
      <c r="AS213" s="4550"/>
      <c r="AT213" s="4550"/>
      <c r="AU213" s="4550"/>
      <c r="AV213" s="4550"/>
      <c r="AW213" s="4550"/>
      <c r="AX213" s="4550"/>
      <c r="AY213" s="4550"/>
      <c r="AZ213" s="4550"/>
      <c r="BA213" s="4550"/>
      <c r="BB213" s="4550"/>
      <c r="BC213" s="4550"/>
      <c r="BD213" s="4550"/>
      <c r="BE213" s="4550"/>
      <c r="BF213" s="4550"/>
      <c r="BG213" s="4550"/>
      <c r="BH213" s="4550"/>
      <c r="BI213" s="4550"/>
      <c r="BJ213" s="4550"/>
      <c r="BK213" s="4550"/>
      <c r="BL213" s="4550"/>
      <c r="BM213" s="4550"/>
      <c r="BN213" s="4550"/>
      <c r="BO213" s="4550"/>
      <c r="BP213" s="4550"/>
      <c r="BQ213" s="4550"/>
      <c r="BR213" s="4550"/>
      <c r="BS213" s="4550"/>
      <c r="BT213" s="4550"/>
      <c r="BU213" s="4550"/>
      <c r="BV213" s="4550"/>
      <c r="BW213" s="4550"/>
      <c r="BX213" s="4550"/>
      <c r="BY213" s="4550"/>
      <c r="BZ213" s="4550"/>
      <c r="CA213" s="4550"/>
      <c r="CB213" s="4550"/>
      <c r="CC213" s="4550"/>
      <c r="CD213" s="4550"/>
      <c r="CE213" s="4550"/>
      <c r="CF213" s="4550"/>
      <c r="CG213" s="4550"/>
      <c r="CH213" s="4550"/>
      <c r="CI213" s="4550"/>
      <c r="CJ213" s="4550"/>
      <c r="CK213" s="4550"/>
      <c r="CL213" s="4550"/>
      <c r="CM213" s="4550"/>
      <c r="CN213" s="4550"/>
      <c r="CO213" s="4550"/>
      <c r="CP213" s="4550"/>
      <c r="CQ213" s="4550"/>
      <c r="CR213" s="4550"/>
      <c r="CS213" s="4550"/>
      <c r="CT213" s="4550"/>
      <c r="CU213" s="4550"/>
      <c r="CV213" s="4550"/>
      <c r="CW213" s="4550"/>
      <c r="CX213" s="4550"/>
      <c r="CY213" s="4550"/>
      <c r="CZ213" s="4550"/>
      <c r="DA213" s="4550"/>
      <c r="DB213" s="4550"/>
      <c r="DC213" s="4550"/>
      <c r="DD213" s="4550"/>
      <c r="DE213" s="4550"/>
      <c r="DF213" s="4550"/>
      <c r="DG213" s="4550"/>
      <c r="DH213" s="4550"/>
      <c r="DI213" s="4550"/>
      <c r="DJ213" s="4550"/>
      <c r="DK213" s="4550"/>
      <c r="DL213" s="4550"/>
      <c r="DM213" s="4550"/>
      <c r="DN213" s="4550"/>
      <c r="DO213" s="4550"/>
      <c r="DP213" s="4550"/>
      <c r="DQ213" s="4550"/>
      <c r="DR213" s="4550"/>
      <c r="DS213" s="4550"/>
      <c r="DT213" s="4550"/>
      <c r="DU213" s="4550"/>
      <c r="DV213" s="4550"/>
      <c r="DW213" s="4550"/>
      <c r="DX213" s="4550"/>
      <c r="DY213" s="4550"/>
      <c r="DZ213" s="4550"/>
      <c r="EA213" s="4550"/>
      <c r="EB213" s="4550"/>
      <c r="EC213" s="4550"/>
      <c r="ED213" s="4550"/>
      <c r="EE213" s="4550"/>
      <c r="EF213" s="4550"/>
      <c r="EG213" s="4550"/>
      <c r="EH213" s="4550"/>
      <c r="EI213" s="4550"/>
      <c r="EJ213" s="4550"/>
      <c r="EK213" s="4550"/>
      <c r="EL213" s="4550"/>
      <c r="EM213" s="4550"/>
      <c r="EN213" s="4550"/>
      <c r="EO213" s="4550"/>
      <c r="EP213" s="4550"/>
      <c r="EQ213" s="4550"/>
      <c r="ER213" s="4550"/>
      <c r="ES213" s="4550"/>
      <c r="ET213" s="4550"/>
      <c r="EU213" s="4550"/>
      <c r="EV213" s="4550"/>
      <c r="EW213" s="4550"/>
      <c r="EX213" s="4550"/>
      <c r="EY213" s="4550"/>
      <c r="EZ213" s="4550"/>
      <c r="FA213" s="4550"/>
      <c r="FB213" s="4550"/>
      <c r="FC213" s="4550"/>
      <c r="FD213" s="4550"/>
      <c r="FE213" s="4550"/>
      <c r="FF213" s="4550"/>
      <c r="FG213" s="4550"/>
      <c r="FH213" s="4550"/>
      <c r="FI213" s="4550"/>
      <c r="FJ213" s="4550"/>
      <c r="FK213" s="4550"/>
      <c r="FL213" s="4550"/>
      <c r="FM213" s="4550"/>
      <c r="FN213" s="4550"/>
      <c r="FO213" s="4550"/>
      <c r="FP213" s="4550"/>
      <c r="FQ213" s="4550"/>
      <c r="FR213" s="4550"/>
      <c r="FS213" s="4550"/>
      <c r="FT213" s="4550"/>
      <c r="FU213" s="4550"/>
      <c r="FV213" s="4550"/>
      <c r="FW213" s="4550"/>
      <c r="FX213" s="4550"/>
      <c r="FY213" s="4550"/>
      <c r="FZ213" s="4550"/>
      <c r="GA213" s="4550"/>
      <c r="GB213" s="4550"/>
      <c r="GC213" s="4550"/>
      <c r="GD213" s="4550"/>
      <c r="GE213" s="4550"/>
      <c r="GF213" s="4550"/>
      <c r="GG213" s="4550"/>
      <c r="GH213" s="4550"/>
      <c r="GI213" s="4550"/>
      <c r="GJ213" s="4550"/>
      <c r="GK213" s="4550"/>
      <c r="GL213" s="4550"/>
      <c r="GM213" s="4550"/>
      <c r="GN213" s="4550"/>
      <c r="GO213" s="4550"/>
      <c r="GP213" s="4550"/>
      <c r="GQ213" s="4550"/>
      <c r="GR213" s="4550"/>
      <c r="GS213" s="4550"/>
      <c r="GT213" s="4550"/>
      <c r="GU213" s="4550"/>
      <c r="GV213" s="4550"/>
      <c r="GW213" s="4550"/>
      <c r="GX213" s="4550"/>
      <c r="GY213" s="4550"/>
      <c r="GZ213" s="4550"/>
      <c r="HA213" s="4550"/>
      <c r="HB213" s="4550"/>
      <c r="HC213" s="4550"/>
      <c r="HD213" s="4550"/>
      <c r="HE213" s="4550"/>
      <c r="HF213" s="4550"/>
      <c r="HG213" s="4550"/>
      <c r="HH213" s="4550"/>
      <c r="HI213" s="4550"/>
      <c r="HJ213" s="4550"/>
      <c r="HK213" s="4550"/>
      <c r="HL213" s="4550"/>
      <c r="HM213" s="4550"/>
      <c r="HN213" s="4550"/>
      <c r="HO213" s="4550"/>
      <c r="HP213" s="4550"/>
      <c r="HQ213" s="4550"/>
      <c r="HR213" s="4550"/>
      <c r="HS213" s="4550"/>
      <c r="HT213" s="4550"/>
      <c r="HU213" s="4550"/>
      <c r="HV213" s="4550"/>
      <c r="HW213" s="4550"/>
      <c r="HX213" s="4550"/>
      <c r="HY213" s="4550"/>
      <c r="HZ213" s="4550"/>
      <c r="IA213" s="4550"/>
      <c r="IB213" s="4550"/>
      <c r="IC213" s="4550"/>
      <c r="ID213" s="4550"/>
      <c r="IE213" s="4550"/>
    </row>
    <row r="214" spans="1:239" s="4549" customFormat="1" ht="13.5" customHeight="1">
      <c r="A214" s="4654">
        <v>2.1</v>
      </c>
      <c r="B214" s="4532" t="s">
        <v>4154</v>
      </c>
      <c r="C214" s="4682">
        <v>122.26</v>
      </c>
      <c r="D214" s="4600" t="s">
        <v>2430</v>
      </c>
      <c r="E214" s="4964"/>
      <c r="F214" s="4966">
        <f>ROUND(C214*E214,2)</f>
        <v>0</v>
      </c>
      <c r="G214" s="4537"/>
      <c r="H214" s="4537"/>
      <c r="I214" s="4537"/>
      <c r="J214" s="4537"/>
      <c r="K214" s="4537"/>
      <c r="L214" s="4537"/>
      <c r="M214" s="4537"/>
      <c r="N214" s="4537"/>
      <c r="O214" s="4537"/>
      <c r="P214" s="4537"/>
      <c r="Q214" s="4537"/>
      <c r="R214" s="4537"/>
      <c r="S214" s="4537"/>
      <c r="T214" s="4537"/>
      <c r="U214" s="4537"/>
      <c r="V214" s="4537"/>
      <c r="W214" s="4537"/>
      <c r="X214" s="4537"/>
      <c r="Y214" s="4537"/>
      <c r="Z214" s="4537"/>
      <c r="AA214" s="4537"/>
      <c r="AB214" s="4537"/>
      <c r="AC214" s="4537"/>
      <c r="AD214" s="4537"/>
      <c r="AE214" s="4537"/>
      <c r="AF214" s="4537"/>
      <c r="AG214" s="4537"/>
      <c r="AH214" s="4537"/>
      <c r="AI214" s="4537"/>
      <c r="AJ214" s="4537"/>
      <c r="AK214" s="4537"/>
      <c r="AL214" s="4537"/>
      <c r="AM214" s="4537"/>
      <c r="AN214" s="4537"/>
      <c r="AO214" s="4537"/>
      <c r="AP214" s="4537"/>
      <c r="AQ214" s="4537"/>
      <c r="AR214" s="4537"/>
      <c r="AS214" s="4550"/>
      <c r="AT214" s="4550"/>
      <c r="AU214" s="4550"/>
      <c r="AV214" s="4550"/>
      <c r="AW214" s="4550"/>
      <c r="AX214" s="4550"/>
      <c r="AY214" s="4550"/>
      <c r="AZ214" s="4550"/>
      <c r="BA214" s="4550"/>
      <c r="BB214" s="4550"/>
      <c r="BC214" s="4550"/>
      <c r="BD214" s="4550"/>
      <c r="BE214" s="4550"/>
      <c r="BF214" s="4550"/>
      <c r="BG214" s="4550"/>
      <c r="BH214" s="4550"/>
      <c r="BI214" s="4550"/>
      <c r="BJ214" s="4550"/>
      <c r="BK214" s="4550"/>
      <c r="BL214" s="4550"/>
      <c r="BM214" s="4550"/>
      <c r="BN214" s="4550"/>
      <c r="BO214" s="4550"/>
      <c r="BP214" s="4550"/>
      <c r="BQ214" s="4550"/>
      <c r="BR214" s="4550"/>
      <c r="BS214" s="4550"/>
      <c r="BT214" s="4550"/>
      <c r="BU214" s="4550"/>
      <c r="BV214" s="4550"/>
      <c r="BW214" s="4550"/>
      <c r="BX214" s="4550"/>
      <c r="BY214" s="4550"/>
      <c r="BZ214" s="4550"/>
      <c r="CA214" s="4550"/>
      <c r="CB214" s="4550"/>
      <c r="CC214" s="4550"/>
      <c r="CD214" s="4550"/>
      <c r="CE214" s="4550"/>
      <c r="CF214" s="4550"/>
      <c r="CG214" s="4550"/>
      <c r="CH214" s="4550"/>
      <c r="CI214" s="4550"/>
      <c r="CJ214" s="4550"/>
      <c r="CK214" s="4550"/>
      <c r="CL214" s="4550"/>
      <c r="CM214" s="4550"/>
      <c r="CN214" s="4550"/>
      <c r="CO214" s="4550"/>
      <c r="CP214" s="4550"/>
      <c r="CQ214" s="4550"/>
      <c r="CR214" s="4550"/>
      <c r="CS214" s="4550"/>
      <c r="CT214" s="4550"/>
      <c r="CU214" s="4550"/>
      <c r="CV214" s="4550"/>
      <c r="CW214" s="4550"/>
      <c r="CX214" s="4550"/>
      <c r="CY214" s="4550"/>
      <c r="CZ214" s="4550"/>
      <c r="DA214" s="4550"/>
      <c r="DB214" s="4550"/>
      <c r="DC214" s="4550"/>
      <c r="DD214" s="4550"/>
      <c r="DE214" s="4550"/>
      <c r="DF214" s="4550"/>
      <c r="DG214" s="4550"/>
      <c r="DH214" s="4550"/>
      <c r="DI214" s="4550"/>
      <c r="DJ214" s="4550"/>
      <c r="DK214" s="4550"/>
      <c r="DL214" s="4550"/>
      <c r="DM214" s="4550"/>
      <c r="DN214" s="4550"/>
      <c r="DO214" s="4550"/>
      <c r="DP214" s="4550"/>
      <c r="DQ214" s="4550"/>
      <c r="DR214" s="4550"/>
      <c r="DS214" s="4550"/>
      <c r="DT214" s="4550"/>
      <c r="DU214" s="4550"/>
      <c r="DV214" s="4550"/>
      <c r="DW214" s="4550"/>
      <c r="DX214" s="4550"/>
      <c r="DY214" s="4550"/>
      <c r="DZ214" s="4550"/>
      <c r="EA214" s="4550"/>
      <c r="EB214" s="4550"/>
      <c r="EC214" s="4550"/>
      <c r="ED214" s="4550"/>
      <c r="EE214" s="4550"/>
      <c r="EF214" s="4550"/>
      <c r="EG214" s="4550"/>
      <c r="EH214" s="4550"/>
      <c r="EI214" s="4550"/>
      <c r="EJ214" s="4550"/>
      <c r="EK214" s="4550"/>
      <c r="EL214" s="4550"/>
      <c r="EM214" s="4550"/>
      <c r="EN214" s="4550"/>
      <c r="EO214" s="4550"/>
      <c r="EP214" s="4550"/>
      <c r="EQ214" s="4550"/>
      <c r="ER214" s="4550"/>
      <c r="ES214" s="4550"/>
      <c r="ET214" s="4550"/>
      <c r="EU214" s="4550"/>
      <c r="EV214" s="4550"/>
      <c r="EW214" s="4550"/>
      <c r="EX214" s="4550"/>
      <c r="EY214" s="4550"/>
      <c r="EZ214" s="4550"/>
      <c r="FA214" s="4550"/>
      <c r="FB214" s="4550"/>
      <c r="FC214" s="4550"/>
      <c r="FD214" s="4550"/>
      <c r="FE214" s="4550"/>
      <c r="FF214" s="4550"/>
      <c r="FG214" s="4550"/>
      <c r="FH214" s="4550"/>
      <c r="FI214" s="4550"/>
      <c r="FJ214" s="4550"/>
      <c r="FK214" s="4550"/>
      <c r="FL214" s="4550"/>
      <c r="FM214" s="4550"/>
      <c r="FN214" s="4550"/>
      <c r="FO214" s="4550"/>
      <c r="FP214" s="4550"/>
      <c r="FQ214" s="4550"/>
      <c r="FR214" s="4550"/>
      <c r="FS214" s="4550"/>
      <c r="FT214" s="4550"/>
      <c r="FU214" s="4550"/>
      <c r="FV214" s="4550"/>
      <c r="FW214" s="4550"/>
      <c r="FX214" s="4550"/>
      <c r="FY214" s="4550"/>
      <c r="FZ214" s="4550"/>
      <c r="GA214" s="4550"/>
      <c r="GB214" s="4550"/>
      <c r="GC214" s="4550"/>
      <c r="GD214" s="4550"/>
      <c r="GE214" s="4550"/>
      <c r="GF214" s="4550"/>
      <c r="GG214" s="4550"/>
      <c r="GH214" s="4550"/>
      <c r="GI214" s="4550"/>
      <c r="GJ214" s="4550"/>
      <c r="GK214" s="4550"/>
      <c r="GL214" s="4550"/>
      <c r="GM214" s="4550"/>
      <c r="GN214" s="4550"/>
      <c r="GO214" s="4550"/>
      <c r="GP214" s="4550"/>
      <c r="GQ214" s="4550"/>
      <c r="GR214" s="4550"/>
      <c r="GS214" s="4550"/>
      <c r="GT214" s="4550"/>
      <c r="GU214" s="4550"/>
      <c r="GV214" s="4550"/>
      <c r="GW214" s="4550"/>
      <c r="GX214" s="4550"/>
      <c r="GY214" s="4550"/>
      <c r="GZ214" s="4550"/>
      <c r="HA214" s="4550"/>
      <c r="HB214" s="4550"/>
      <c r="HC214" s="4550"/>
      <c r="HD214" s="4550"/>
      <c r="HE214" s="4550"/>
      <c r="HF214" s="4550"/>
      <c r="HG214" s="4550"/>
      <c r="HH214" s="4550"/>
      <c r="HI214" s="4550"/>
      <c r="HJ214" s="4550"/>
      <c r="HK214" s="4550"/>
      <c r="HL214" s="4550"/>
      <c r="HM214" s="4550"/>
      <c r="HN214" s="4550"/>
      <c r="HO214" s="4550"/>
      <c r="HP214" s="4550"/>
      <c r="HQ214" s="4550"/>
      <c r="HR214" s="4550"/>
      <c r="HS214" s="4550"/>
      <c r="HT214" s="4550"/>
      <c r="HU214" s="4550"/>
      <c r="HV214" s="4550"/>
      <c r="HW214" s="4550"/>
      <c r="HX214" s="4550"/>
      <c r="HY214" s="4550"/>
      <c r="HZ214" s="4550"/>
      <c r="IA214" s="4550"/>
      <c r="IB214" s="4550"/>
      <c r="IC214" s="4550"/>
      <c r="ID214" s="4550"/>
      <c r="IE214" s="4550"/>
    </row>
    <row r="215" spans="1:239" s="4549" customFormat="1" ht="19.5" customHeight="1">
      <c r="A215" s="4654">
        <v>2.2000000000000002</v>
      </c>
      <c r="B215" s="4532" t="s">
        <v>4155</v>
      </c>
      <c r="C215" s="4683">
        <v>110.69</v>
      </c>
      <c r="D215" s="4600" t="s">
        <v>2430</v>
      </c>
      <c r="E215" s="4967"/>
      <c r="F215" s="4966">
        <f>ROUND(C215*E215,2)</f>
        <v>0</v>
      </c>
      <c r="G215" s="4537"/>
      <c r="H215" s="4537"/>
      <c r="I215" s="4537"/>
      <c r="J215" s="4537"/>
      <c r="K215" s="4537"/>
      <c r="L215" s="4537"/>
      <c r="M215" s="4537"/>
      <c r="N215" s="4537"/>
      <c r="O215" s="4537"/>
      <c r="P215" s="4537"/>
      <c r="Q215" s="4537"/>
      <c r="R215" s="4537"/>
      <c r="S215" s="4537"/>
      <c r="T215" s="4537"/>
      <c r="U215" s="4537"/>
      <c r="V215" s="4537"/>
      <c r="W215" s="4537"/>
      <c r="X215" s="4537"/>
      <c r="Y215" s="4537"/>
      <c r="Z215" s="4537"/>
      <c r="AA215" s="4537"/>
      <c r="AB215" s="4537"/>
      <c r="AC215" s="4537"/>
      <c r="AD215" s="4537"/>
      <c r="AE215" s="4537"/>
      <c r="AF215" s="4537"/>
      <c r="AG215" s="4537"/>
      <c r="AH215" s="4537"/>
      <c r="AI215" s="4537"/>
      <c r="AJ215" s="4537"/>
      <c r="AK215" s="4537"/>
      <c r="AL215" s="4537"/>
      <c r="AM215" s="4537"/>
      <c r="AN215" s="4537"/>
      <c r="AO215" s="4537"/>
      <c r="AP215" s="4537"/>
      <c r="AQ215" s="4537"/>
      <c r="AR215" s="4537"/>
      <c r="AS215" s="4550"/>
      <c r="AT215" s="4550"/>
      <c r="AU215" s="4550"/>
      <c r="AV215" s="4550"/>
      <c r="AW215" s="4550"/>
      <c r="AX215" s="4550"/>
      <c r="AY215" s="4550"/>
      <c r="AZ215" s="4550"/>
      <c r="BA215" s="4550"/>
      <c r="BB215" s="4550"/>
      <c r="BC215" s="4550"/>
      <c r="BD215" s="4550"/>
      <c r="BE215" s="4550"/>
      <c r="BF215" s="4550"/>
      <c r="BG215" s="4550"/>
      <c r="BH215" s="4550"/>
      <c r="BI215" s="4550"/>
      <c r="BJ215" s="4550"/>
      <c r="BK215" s="4550"/>
      <c r="BL215" s="4550"/>
      <c r="BM215" s="4550"/>
      <c r="BN215" s="4550"/>
      <c r="BO215" s="4550"/>
      <c r="BP215" s="4550"/>
      <c r="BQ215" s="4550"/>
      <c r="BR215" s="4550"/>
      <c r="BS215" s="4550"/>
      <c r="BT215" s="4550"/>
      <c r="BU215" s="4550"/>
      <c r="BV215" s="4550"/>
      <c r="BW215" s="4550"/>
      <c r="BX215" s="4550"/>
      <c r="BY215" s="4550"/>
      <c r="BZ215" s="4550"/>
      <c r="CA215" s="4550"/>
      <c r="CB215" s="4550"/>
      <c r="CC215" s="4550"/>
      <c r="CD215" s="4550"/>
      <c r="CE215" s="4550"/>
      <c r="CF215" s="4550"/>
      <c r="CG215" s="4550"/>
      <c r="CH215" s="4550"/>
      <c r="CI215" s="4550"/>
      <c r="CJ215" s="4550"/>
      <c r="CK215" s="4550"/>
      <c r="CL215" s="4550"/>
      <c r="CM215" s="4550"/>
      <c r="CN215" s="4550"/>
      <c r="CO215" s="4550"/>
      <c r="CP215" s="4550"/>
      <c r="CQ215" s="4550"/>
      <c r="CR215" s="4550"/>
      <c r="CS215" s="4550"/>
      <c r="CT215" s="4550"/>
      <c r="CU215" s="4550"/>
      <c r="CV215" s="4550"/>
      <c r="CW215" s="4550"/>
      <c r="CX215" s="4550"/>
      <c r="CY215" s="4550"/>
      <c r="CZ215" s="4550"/>
      <c r="DA215" s="4550"/>
      <c r="DB215" s="4550"/>
      <c r="DC215" s="4550"/>
      <c r="DD215" s="4550"/>
      <c r="DE215" s="4550"/>
      <c r="DF215" s="4550"/>
      <c r="DG215" s="4550"/>
      <c r="DH215" s="4550"/>
      <c r="DI215" s="4550"/>
      <c r="DJ215" s="4550"/>
      <c r="DK215" s="4550"/>
      <c r="DL215" s="4550"/>
      <c r="DM215" s="4550"/>
      <c r="DN215" s="4550"/>
      <c r="DO215" s="4550"/>
      <c r="DP215" s="4550"/>
      <c r="DQ215" s="4550"/>
      <c r="DR215" s="4550"/>
      <c r="DS215" s="4550"/>
      <c r="DT215" s="4550"/>
      <c r="DU215" s="4550"/>
      <c r="DV215" s="4550"/>
      <c r="DW215" s="4550"/>
      <c r="DX215" s="4550"/>
      <c r="DY215" s="4550"/>
      <c r="DZ215" s="4550"/>
      <c r="EA215" s="4550"/>
      <c r="EB215" s="4550"/>
      <c r="EC215" s="4550"/>
      <c r="ED215" s="4550"/>
      <c r="EE215" s="4550"/>
      <c r="EF215" s="4550"/>
      <c r="EG215" s="4550"/>
      <c r="EH215" s="4550"/>
      <c r="EI215" s="4550"/>
      <c r="EJ215" s="4550"/>
      <c r="EK215" s="4550"/>
      <c r="EL215" s="4550"/>
      <c r="EM215" s="4550"/>
      <c r="EN215" s="4550"/>
      <c r="EO215" s="4550"/>
      <c r="EP215" s="4550"/>
      <c r="EQ215" s="4550"/>
      <c r="ER215" s="4550"/>
      <c r="ES215" s="4550"/>
      <c r="ET215" s="4550"/>
      <c r="EU215" s="4550"/>
      <c r="EV215" s="4550"/>
      <c r="EW215" s="4550"/>
      <c r="EX215" s="4550"/>
      <c r="EY215" s="4550"/>
      <c r="EZ215" s="4550"/>
      <c r="FA215" s="4550"/>
      <c r="FB215" s="4550"/>
      <c r="FC215" s="4550"/>
      <c r="FD215" s="4550"/>
      <c r="FE215" s="4550"/>
      <c r="FF215" s="4550"/>
      <c r="FG215" s="4550"/>
      <c r="FH215" s="4550"/>
      <c r="FI215" s="4550"/>
      <c r="FJ215" s="4550"/>
      <c r="FK215" s="4550"/>
      <c r="FL215" s="4550"/>
      <c r="FM215" s="4550"/>
      <c r="FN215" s="4550"/>
      <c r="FO215" s="4550"/>
      <c r="FP215" s="4550"/>
      <c r="FQ215" s="4550"/>
      <c r="FR215" s="4550"/>
      <c r="FS215" s="4550"/>
      <c r="FT215" s="4550"/>
      <c r="FU215" s="4550"/>
      <c r="FV215" s="4550"/>
      <c r="FW215" s="4550"/>
      <c r="FX215" s="4550"/>
      <c r="FY215" s="4550"/>
      <c r="FZ215" s="4550"/>
      <c r="GA215" s="4550"/>
      <c r="GB215" s="4550"/>
      <c r="GC215" s="4550"/>
      <c r="GD215" s="4550"/>
      <c r="GE215" s="4550"/>
      <c r="GF215" s="4550"/>
      <c r="GG215" s="4550"/>
      <c r="GH215" s="4550"/>
      <c r="GI215" s="4550"/>
      <c r="GJ215" s="4550"/>
      <c r="GK215" s="4550"/>
      <c r="GL215" s="4550"/>
      <c r="GM215" s="4550"/>
      <c r="GN215" s="4550"/>
      <c r="GO215" s="4550"/>
      <c r="GP215" s="4550"/>
      <c r="GQ215" s="4550"/>
      <c r="GR215" s="4550"/>
      <c r="GS215" s="4550"/>
      <c r="GT215" s="4550"/>
      <c r="GU215" s="4550"/>
      <c r="GV215" s="4550"/>
      <c r="GW215" s="4550"/>
      <c r="GX215" s="4550"/>
      <c r="GY215" s="4550"/>
      <c r="GZ215" s="4550"/>
      <c r="HA215" s="4550"/>
      <c r="HB215" s="4550"/>
      <c r="HC215" s="4550"/>
      <c r="HD215" s="4550"/>
      <c r="HE215" s="4550"/>
      <c r="HF215" s="4550"/>
      <c r="HG215" s="4550"/>
      <c r="HH215" s="4550"/>
      <c r="HI215" s="4550"/>
      <c r="HJ215" s="4550"/>
      <c r="HK215" s="4550"/>
      <c r="HL215" s="4550"/>
      <c r="HM215" s="4550"/>
      <c r="HN215" s="4550"/>
      <c r="HO215" s="4550"/>
      <c r="HP215" s="4550"/>
      <c r="HQ215" s="4550"/>
      <c r="HR215" s="4550"/>
      <c r="HS215" s="4550"/>
      <c r="HT215" s="4550"/>
      <c r="HU215" s="4550"/>
      <c r="HV215" s="4550"/>
      <c r="HW215" s="4550"/>
      <c r="HX215" s="4550"/>
      <c r="HY215" s="4550"/>
      <c r="HZ215" s="4550"/>
      <c r="IA215" s="4550"/>
      <c r="IB215" s="4550"/>
      <c r="IC215" s="4550"/>
      <c r="ID215" s="4550"/>
      <c r="IE215" s="4550"/>
    </row>
    <row r="216" spans="1:239" s="4549" customFormat="1" ht="30" customHeight="1">
      <c r="A216" s="4654">
        <v>2.2999999999999998</v>
      </c>
      <c r="B216" s="4675" t="s">
        <v>4156</v>
      </c>
      <c r="C216" s="4678">
        <v>13.88</v>
      </c>
      <c r="D216" s="4600" t="s">
        <v>2430</v>
      </c>
      <c r="E216" s="4968"/>
      <c r="F216" s="4966">
        <f>ROUND(C216*E216,2)</f>
        <v>0</v>
      </c>
      <c r="G216" s="4537"/>
      <c r="H216" s="4537"/>
      <c r="I216" s="4537"/>
      <c r="J216" s="4537"/>
      <c r="K216" s="4537"/>
      <c r="L216" s="4537"/>
      <c r="M216" s="4537"/>
      <c r="N216" s="4537"/>
      <c r="O216" s="4537"/>
      <c r="P216" s="4537"/>
      <c r="Q216" s="4537"/>
      <c r="R216" s="4537"/>
      <c r="S216" s="4537"/>
      <c r="T216" s="4537"/>
      <c r="U216" s="4537"/>
      <c r="V216" s="4537"/>
      <c r="W216" s="4537"/>
      <c r="X216" s="4537"/>
      <c r="Y216" s="4537"/>
      <c r="Z216" s="4537"/>
      <c r="AA216" s="4537"/>
      <c r="AB216" s="4537"/>
      <c r="AC216" s="4537"/>
      <c r="AD216" s="4537"/>
      <c r="AE216" s="4537"/>
      <c r="AF216" s="4537"/>
      <c r="AG216" s="4537"/>
      <c r="AH216" s="4537"/>
      <c r="AI216" s="4537"/>
      <c r="AJ216" s="4537"/>
      <c r="AK216" s="4537"/>
      <c r="AL216" s="4537"/>
      <c r="AM216" s="4537"/>
      <c r="AN216" s="4537"/>
      <c r="AO216" s="4537"/>
      <c r="AP216" s="4537"/>
      <c r="AQ216" s="4537"/>
      <c r="AR216" s="4537"/>
      <c r="AS216" s="4550"/>
      <c r="AT216" s="4550"/>
      <c r="AU216" s="4550"/>
      <c r="AV216" s="4550"/>
      <c r="AW216" s="4550"/>
      <c r="AX216" s="4550"/>
      <c r="AY216" s="4550"/>
      <c r="AZ216" s="4550"/>
      <c r="BA216" s="4550"/>
      <c r="BB216" s="4550"/>
      <c r="BC216" s="4550"/>
      <c r="BD216" s="4550"/>
      <c r="BE216" s="4550"/>
      <c r="BF216" s="4550"/>
      <c r="BG216" s="4550"/>
      <c r="BH216" s="4550"/>
      <c r="BI216" s="4550"/>
      <c r="BJ216" s="4550"/>
      <c r="BK216" s="4550"/>
      <c r="BL216" s="4550"/>
      <c r="BM216" s="4550"/>
      <c r="BN216" s="4550"/>
      <c r="BO216" s="4550"/>
      <c r="BP216" s="4550"/>
      <c r="BQ216" s="4550"/>
      <c r="BR216" s="4550"/>
      <c r="BS216" s="4550"/>
      <c r="BT216" s="4550"/>
      <c r="BU216" s="4550"/>
      <c r="BV216" s="4550"/>
      <c r="BW216" s="4550"/>
      <c r="BX216" s="4550"/>
      <c r="BY216" s="4550"/>
      <c r="BZ216" s="4550"/>
      <c r="CA216" s="4550"/>
      <c r="CB216" s="4550"/>
      <c r="CC216" s="4550"/>
      <c r="CD216" s="4550"/>
      <c r="CE216" s="4550"/>
      <c r="CF216" s="4550"/>
      <c r="CG216" s="4550"/>
      <c r="CH216" s="4550"/>
      <c r="CI216" s="4550"/>
      <c r="CJ216" s="4550"/>
      <c r="CK216" s="4550"/>
      <c r="CL216" s="4550"/>
      <c r="CM216" s="4550"/>
      <c r="CN216" s="4550"/>
      <c r="CO216" s="4550"/>
      <c r="CP216" s="4550"/>
      <c r="CQ216" s="4550"/>
      <c r="CR216" s="4550"/>
      <c r="CS216" s="4550"/>
      <c r="CT216" s="4550"/>
      <c r="CU216" s="4550"/>
      <c r="CV216" s="4550"/>
      <c r="CW216" s="4550"/>
      <c r="CX216" s="4550"/>
      <c r="CY216" s="4550"/>
      <c r="CZ216" s="4550"/>
      <c r="DA216" s="4550"/>
      <c r="DB216" s="4550"/>
      <c r="DC216" s="4550"/>
      <c r="DD216" s="4550"/>
      <c r="DE216" s="4550"/>
      <c r="DF216" s="4550"/>
      <c r="DG216" s="4550"/>
      <c r="DH216" s="4550"/>
      <c r="DI216" s="4550"/>
      <c r="DJ216" s="4550"/>
      <c r="DK216" s="4550"/>
      <c r="DL216" s="4550"/>
      <c r="DM216" s="4550"/>
      <c r="DN216" s="4550"/>
      <c r="DO216" s="4550"/>
      <c r="DP216" s="4550"/>
      <c r="DQ216" s="4550"/>
      <c r="DR216" s="4550"/>
      <c r="DS216" s="4550"/>
      <c r="DT216" s="4550"/>
      <c r="DU216" s="4550"/>
      <c r="DV216" s="4550"/>
      <c r="DW216" s="4550"/>
      <c r="DX216" s="4550"/>
      <c r="DY216" s="4550"/>
      <c r="DZ216" s="4550"/>
      <c r="EA216" s="4550"/>
      <c r="EB216" s="4550"/>
      <c r="EC216" s="4550"/>
      <c r="ED216" s="4550"/>
      <c r="EE216" s="4550"/>
      <c r="EF216" s="4550"/>
      <c r="EG216" s="4550"/>
      <c r="EH216" s="4550"/>
      <c r="EI216" s="4550"/>
      <c r="EJ216" s="4550"/>
      <c r="EK216" s="4550"/>
      <c r="EL216" s="4550"/>
      <c r="EM216" s="4550"/>
      <c r="EN216" s="4550"/>
      <c r="EO216" s="4550"/>
      <c r="EP216" s="4550"/>
      <c r="EQ216" s="4550"/>
      <c r="ER216" s="4550"/>
      <c r="ES216" s="4550"/>
      <c r="ET216" s="4550"/>
      <c r="EU216" s="4550"/>
      <c r="EV216" s="4550"/>
      <c r="EW216" s="4550"/>
      <c r="EX216" s="4550"/>
      <c r="EY216" s="4550"/>
      <c r="EZ216" s="4550"/>
      <c r="FA216" s="4550"/>
      <c r="FB216" s="4550"/>
      <c r="FC216" s="4550"/>
      <c r="FD216" s="4550"/>
      <c r="FE216" s="4550"/>
      <c r="FF216" s="4550"/>
      <c r="FG216" s="4550"/>
      <c r="FH216" s="4550"/>
      <c r="FI216" s="4550"/>
      <c r="FJ216" s="4550"/>
      <c r="FK216" s="4550"/>
      <c r="FL216" s="4550"/>
      <c r="FM216" s="4550"/>
      <c r="FN216" s="4550"/>
      <c r="FO216" s="4550"/>
      <c r="FP216" s="4550"/>
      <c r="FQ216" s="4550"/>
      <c r="FR216" s="4550"/>
      <c r="FS216" s="4550"/>
      <c r="FT216" s="4550"/>
      <c r="FU216" s="4550"/>
      <c r="FV216" s="4550"/>
      <c r="FW216" s="4550"/>
      <c r="FX216" s="4550"/>
      <c r="FY216" s="4550"/>
      <c r="FZ216" s="4550"/>
      <c r="GA216" s="4550"/>
      <c r="GB216" s="4550"/>
      <c r="GC216" s="4550"/>
      <c r="GD216" s="4550"/>
      <c r="GE216" s="4550"/>
      <c r="GF216" s="4550"/>
      <c r="GG216" s="4550"/>
      <c r="GH216" s="4550"/>
      <c r="GI216" s="4550"/>
      <c r="GJ216" s="4550"/>
      <c r="GK216" s="4550"/>
      <c r="GL216" s="4550"/>
      <c r="GM216" s="4550"/>
      <c r="GN216" s="4550"/>
      <c r="GO216" s="4550"/>
      <c r="GP216" s="4550"/>
      <c r="GQ216" s="4550"/>
      <c r="GR216" s="4550"/>
      <c r="GS216" s="4550"/>
      <c r="GT216" s="4550"/>
      <c r="GU216" s="4550"/>
      <c r="GV216" s="4550"/>
      <c r="GW216" s="4550"/>
      <c r="GX216" s="4550"/>
      <c r="GY216" s="4550"/>
      <c r="GZ216" s="4550"/>
      <c r="HA216" s="4550"/>
      <c r="HB216" s="4550"/>
      <c r="HC216" s="4550"/>
      <c r="HD216" s="4550"/>
      <c r="HE216" s="4550"/>
      <c r="HF216" s="4550"/>
      <c r="HG216" s="4550"/>
      <c r="HH216" s="4550"/>
      <c r="HI216" s="4550"/>
      <c r="HJ216" s="4550"/>
      <c r="HK216" s="4550"/>
      <c r="HL216" s="4550"/>
      <c r="HM216" s="4550"/>
      <c r="HN216" s="4550"/>
      <c r="HO216" s="4550"/>
      <c r="HP216" s="4550"/>
      <c r="HQ216" s="4550"/>
      <c r="HR216" s="4550"/>
      <c r="HS216" s="4550"/>
      <c r="HT216" s="4550"/>
      <c r="HU216" s="4550"/>
      <c r="HV216" s="4550"/>
      <c r="HW216" s="4550"/>
      <c r="HX216" s="4550"/>
      <c r="HY216" s="4550"/>
      <c r="HZ216" s="4550"/>
      <c r="IA216" s="4550"/>
      <c r="IB216" s="4550"/>
      <c r="IC216" s="4550"/>
      <c r="ID216" s="4550"/>
      <c r="IE216" s="4550"/>
    </row>
    <row r="217" spans="1:239" s="4549" customFormat="1" ht="9.75" customHeight="1">
      <c r="A217" s="4654"/>
      <c r="B217" s="4685"/>
      <c r="C217" s="4678"/>
      <c r="D217" s="4686"/>
      <c r="E217" s="4968"/>
      <c r="F217" s="4966"/>
      <c r="G217" s="4537"/>
      <c r="H217" s="4537"/>
      <c r="I217" s="4537"/>
      <c r="J217" s="4537"/>
      <c r="K217" s="4537"/>
      <c r="L217" s="4537"/>
      <c r="M217" s="4537"/>
      <c r="N217" s="4537"/>
      <c r="O217" s="4537"/>
      <c r="P217" s="4537"/>
      <c r="Q217" s="4537"/>
      <c r="R217" s="4537"/>
      <c r="S217" s="4537"/>
      <c r="T217" s="4537"/>
      <c r="U217" s="4537"/>
      <c r="V217" s="4537"/>
      <c r="W217" s="4537"/>
      <c r="X217" s="4537"/>
      <c r="Y217" s="4537"/>
      <c r="Z217" s="4537"/>
      <c r="AA217" s="4537"/>
      <c r="AB217" s="4537"/>
      <c r="AC217" s="4537"/>
      <c r="AD217" s="4537"/>
      <c r="AE217" s="4537"/>
      <c r="AF217" s="4537"/>
      <c r="AG217" s="4537"/>
      <c r="AH217" s="4537"/>
      <c r="AI217" s="4537"/>
      <c r="AJ217" s="4537"/>
      <c r="AK217" s="4537"/>
      <c r="AL217" s="4537"/>
      <c r="AM217" s="4537"/>
      <c r="AN217" s="4537"/>
      <c r="AO217" s="4537"/>
      <c r="AP217" s="4537"/>
      <c r="AQ217" s="4537"/>
      <c r="AR217" s="4537"/>
      <c r="AS217" s="4550"/>
      <c r="AT217" s="4550"/>
      <c r="AU217" s="4550"/>
      <c r="AV217" s="4550"/>
      <c r="AW217" s="4550"/>
      <c r="AX217" s="4550"/>
      <c r="AY217" s="4550"/>
      <c r="AZ217" s="4550"/>
      <c r="BA217" s="4550"/>
      <c r="BB217" s="4550"/>
      <c r="BC217" s="4550"/>
      <c r="BD217" s="4550"/>
      <c r="BE217" s="4550"/>
      <c r="BF217" s="4550"/>
      <c r="BG217" s="4550"/>
      <c r="BH217" s="4550"/>
      <c r="BI217" s="4550"/>
      <c r="BJ217" s="4550"/>
      <c r="BK217" s="4550"/>
      <c r="BL217" s="4550"/>
      <c r="BM217" s="4550"/>
      <c r="BN217" s="4550"/>
      <c r="BO217" s="4550"/>
      <c r="BP217" s="4550"/>
      <c r="BQ217" s="4550"/>
      <c r="BR217" s="4550"/>
      <c r="BS217" s="4550"/>
      <c r="BT217" s="4550"/>
      <c r="BU217" s="4550"/>
      <c r="BV217" s="4550"/>
      <c r="BW217" s="4550"/>
      <c r="BX217" s="4550"/>
      <c r="BY217" s="4550"/>
      <c r="BZ217" s="4550"/>
      <c r="CA217" s="4550"/>
      <c r="CB217" s="4550"/>
      <c r="CC217" s="4550"/>
      <c r="CD217" s="4550"/>
      <c r="CE217" s="4550"/>
      <c r="CF217" s="4550"/>
      <c r="CG217" s="4550"/>
      <c r="CH217" s="4550"/>
      <c r="CI217" s="4550"/>
      <c r="CJ217" s="4550"/>
      <c r="CK217" s="4550"/>
      <c r="CL217" s="4550"/>
      <c r="CM217" s="4550"/>
      <c r="CN217" s="4550"/>
      <c r="CO217" s="4550"/>
      <c r="CP217" s="4550"/>
      <c r="CQ217" s="4550"/>
      <c r="CR217" s="4550"/>
      <c r="CS217" s="4550"/>
      <c r="CT217" s="4550"/>
      <c r="CU217" s="4550"/>
      <c r="CV217" s="4550"/>
      <c r="CW217" s="4550"/>
      <c r="CX217" s="4550"/>
      <c r="CY217" s="4550"/>
      <c r="CZ217" s="4550"/>
      <c r="DA217" s="4550"/>
      <c r="DB217" s="4550"/>
      <c r="DC217" s="4550"/>
      <c r="DD217" s="4550"/>
      <c r="DE217" s="4550"/>
      <c r="DF217" s="4550"/>
      <c r="DG217" s="4550"/>
      <c r="DH217" s="4550"/>
      <c r="DI217" s="4550"/>
      <c r="DJ217" s="4550"/>
      <c r="DK217" s="4550"/>
      <c r="DL217" s="4550"/>
      <c r="DM217" s="4550"/>
      <c r="DN217" s="4550"/>
      <c r="DO217" s="4550"/>
      <c r="DP217" s="4550"/>
      <c r="DQ217" s="4550"/>
      <c r="DR217" s="4550"/>
      <c r="DS217" s="4550"/>
      <c r="DT217" s="4550"/>
      <c r="DU217" s="4550"/>
      <c r="DV217" s="4550"/>
      <c r="DW217" s="4550"/>
      <c r="DX217" s="4550"/>
      <c r="DY217" s="4550"/>
      <c r="DZ217" s="4550"/>
      <c r="EA217" s="4550"/>
      <c r="EB217" s="4550"/>
      <c r="EC217" s="4550"/>
      <c r="ED217" s="4550"/>
      <c r="EE217" s="4550"/>
      <c r="EF217" s="4550"/>
      <c r="EG217" s="4550"/>
      <c r="EH217" s="4550"/>
      <c r="EI217" s="4550"/>
      <c r="EJ217" s="4550"/>
      <c r="EK217" s="4550"/>
      <c r="EL217" s="4550"/>
      <c r="EM217" s="4550"/>
      <c r="EN217" s="4550"/>
      <c r="EO217" s="4550"/>
      <c r="EP217" s="4550"/>
      <c r="EQ217" s="4550"/>
      <c r="ER217" s="4550"/>
      <c r="ES217" s="4550"/>
      <c r="ET217" s="4550"/>
      <c r="EU217" s="4550"/>
      <c r="EV217" s="4550"/>
      <c r="EW217" s="4550"/>
      <c r="EX217" s="4550"/>
      <c r="EY217" s="4550"/>
      <c r="EZ217" s="4550"/>
      <c r="FA217" s="4550"/>
      <c r="FB217" s="4550"/>
      <c r="FC217" s="4550"/>
      <c r="FD217" s="4550"/>
      <c r="FE217" s="4550"/>
      <c r="FF217" s="4550"/>
      <c r="FG217" s="4550"/>
      <c r="FH217" s="4550"/>
      <c r="FI217" s="4550"/>
      <c r="FJ217" s="4550"/>
      <c r="FK217" s="4550"/>
      <c r="FL217" s="4550"/>
      <c r="FM217" s="4550"/>
      <c r="FN217" s="4550"/>
      <c r="FO217" s="4550"/>
      <c r="FP217" s="4550"/>
      <c r="FQ217" s="4550"/>
      <c r="FR217" s="4550"/>
      <c r="FS217" s="4550"/>
      <c r="FT217" s="4550"/>
      <c r="FU217" s="4550"/>
      <c r="FV217" s="4550"/>
      <c r="FW217" s="4550"/>
      <c r="FX217" s="4550"/>
      <c r="FY217" s="4550"/>
      <c r="FZ217" s="4550"/>
      <c r="GA217" s="4550"/>
      <c r="GB217" s="4550"/>
      <c r="GC217" s="4550"/>
      <c r="GD217" s="4550"/>
      <c r="GE217" s="4550"/>
      <c r="GF217" s="4550"/>
      <c r="GG217" s="4550"/>
      <c r="GH217" s="4550"/>
      <c r="GI217" s="4550"/>
      <c r="GJ217" s="4550"/>
      <c r="GK217" s="4550"/>
      <c r="GL217" s="4550"/>
      <c r="GM217" s="4550"/>
      <c r="GN217" s="4550"/>
      <c r="GO217" s="4550"/>
      <c r="GP217" s="4550"/>
      <c r="GQ217" s="4550"/>
      <c r="GR217" s="4550"/>
      <c r="GS217" s="4550"/>
      <c r="GT217" s="4550"/>
      <c r="GU217" s="4550"/>
      <c r="GV217" s="4550"/>
      <c r="GW217" s="4550"/>
      <c r="GX217" s="4550"/>
      <c r="GY217" s="4550"/>
      <c r="GZ217" s="4550"/>
      <c r="HA217" s="4550"/>
      <c r="HB217" s="4550"/>
      <c r="HC217" s="4550"/>
      <c r="HD217" s="4550"/>
      <c r="HE217" s="4550"/>
      <c r="HF217" s="4550"/>
      <c r="HG217" s="4550"/>
      <c r="HH217" s="4550"/>
      <c r="HI217" s="4550"/>
      <c r="HJ217" s="4550"/>
      <c r="HK217" s="4550"/>
      <c r="HL217" s="4550"/>
      <c r="HM217" s="4550"/>
      <c r="HN217" s="4550"/>
      <c r="HO217" s="4550"/>
      <c r="HP217" s="4550"/>
      <c r="HQ217" s="4550"/>
      <c r="HR217" s="4550"/>
      <c r="HS217" s="4550"/>
      <c r="HT217" s="4550"/>
      <c r="HU217" s="4550"/>
      <c r="HV217" s="4550"/>
      <c r="HW217" s="4550"/>
      <c r="HX217" s="4550"/>
      <c r="HY217" s="4550"/>
      <c r="HZ217" s="4550"/>
      <c r="IA217" s="4550"/>
      <c r="IB217" s="4550"/>
      <c r="IC217" s="4550"/>
      <c r="ID217" s="4550"/>
      <c r="IE217" s="4550"/>
    </row>
    <row r="218" spans="1:239" s="4549" customFormat="1" ht="12" customHeight="1">
      <c r="A218" s="4680">
        <v>3</v>
      </c>
      <c r="B218" s="4610" t="s">
        <v>4157</v>
      </c>
      <c r="C218" s="4682"/>
      <c r="D218" s="4600"/>
      <c r="E218" s="4964"/>
      <c r="F218" s="4969"/>
      <c r="G218" s="4537"/>
      <c r="H218" s="4537"/>
      <c r="I218" s="4537"/>
      <c r="J218" s="4537"/>
      <c r="K218" s="4537"/>
      <c r="L218" s="4537"/>
      <c r="M218" s="4537"/>
      <c r="N218" s="4537"/>
      <c r="O218" s="4537"/>
      <c r="P218" s="4537"/>
      <c r="Q218" s="4537"/>
      <c r="R218" s="4537"/>
      <c r="S218" s="4537"/>
      <c r="T218" s="4537"/>
      <c r="U218" s="4537"/>
      <c r="V218" s="4537"/>
      <c r="W218" s="4537"/>
      <c r="X218" s="4537"/>
      <c r="Y218" s="4537"/>
      <c r="Z218" s="4537"/>
      <c r="AA218" s="4537"/>
      <c r="AB218" s="4537"/>
      <c r="AC218" s="4537"/>
      <c r="AD218" s="4537"/>
      <c r="AE218" s="4537"/>
      <c r="AF218" s="4537"/>
      <c r="AG218" s="4537"/>
      <c r="AH218" s="4537"/>
      <c r="AI218" s="4537"/>
      <c r="AJ218" s="4537"/>
      <c r="AK218" s="4537"/>
      <c r="AL218" s="4537"/>
      <c r="AM218" s="4537"/>
      <c r="AN218" s="4537"/>
      <c r="AO218" s="4537"/>
      <c r="AP218" s="4537"/>
      <c r="AQ218" s="4537"/>
      <c r="AR218" s="4537"/>
      <c r="AS218" s="4550"/>
      <c r="AT218" s="4550"/>
      <c r="AU218" s="4550"/>
      <c r="AV218" s="4550"/>
      <c r="AW218" s="4550"/>
      <c r="AX218" s="4550"/>
      <c r="AY218" s="4550"/>
      <c r="AZ218" s="4550"/>
      <c r="BA218" s="4550"/>
      <c r="BB218" s="4550"/>
      <c r="BC218" s="4550"/>
      <c r="BD218" s="4550"/>
      <c r="BE218" s="4550"/>
      <c r="BF218" s="4550"/>
      <c r="BG218" s="4550"/>
      <c r="BH218" s="4550"/>
      <c r="BI218" s="4550"/>
      <c r="BJ218" s="4550"/>
      <c r="BK218" s="4550"/>
      <c r="BL218" s="4550"/>
      <c r="BM218" s="4550"/>
      <c r="BN218" s="4550"/>
      <c r="BO218" s="4550"/>
      <c r="BP218" s="4550"/>
      <c r="BQ218" s="4550"/>
      <c r="BR218" s="4550"/>
      <c r="BS218" s="4550"/>
      <c r="BT218" s="4550"/>
      <c r="BU218" s="4550"/>
      <c r="BV218" s="4550"/>
      <c r="BW218" s="4550"/>
      <c r="BX218" s="4550"/>
      <c r="BY218" s="4550"/>
      <c r="BZ218" s="4550"/>
      <c r="CA218" s="4550"/>
      <c r="CB218" s="4550"/>
      <c r="CC218" s="4550"/>
      <c r="CD218" s="4550"/>
      <c r="CE218" s="4550"/>
      <c r="CF218" s="4550"/>
      <c r="CG218" s="4550"/>
      <c r="CH218" s="4550"/>
      <c r="CI218" s="4550"/>
      <c r="CJ218" s="4550"/>
      <c r="CK218" s="4550"/>
      <c r="CL218" s="4550"/>
      <c r="CM218" s="4550"/>
      <c r="CN218" s="4550"/>
      <c r="CO218" s="4550"/>
      <c r="CP218" s="4550"/>
      <c r="CQ218" s="4550"/>
      <c r="CR218" s="4550"/>
      <c r="CS218" s="4550"/>
      <c r="CT218" s="4550"/>
      <c r="CU218" s="4550"/>
      <c r="CV218" s="4550"/>
      <c r="CW218" s="4550"/>
      <c r="CX218" s="4550"/>
      <c r="CY218" s="4550"/>
      <c r="CZ218" s="4550"/>
      <c r="DA218" s="4550"/>
      <c r="DB218" s="4550"/>
      <c r="DC218" s="4550"/>
      <c r="DD218" s="4550"/>
      <c r="DE218" s="4550"/>
      <c r="DF218" s="4550"/>
      <c r="DG218" s="4550"/>
      <c r="DH218" s="4550"/>
      <c r="DI218" s="4550"/>
      <c r="DJ218" s="4550"/>
      <c r="DK218" s="4550"/>
      <c r="DL218" s="4550"/>
      <c r="DM218" s="4550"/>
      <c r="DN218" s="4550"/>
      <c r="DO218" s="4550"/>
      <c r="DP218" s="4550"/>
      <c r="DQ218" s="4550"/>
      <c r="DR218" s="4550"/>
      <c r="DS218" s="4550"/>
      <c r="DT218" s="4550"/>
      <c r="DU218" s="4550"/>
      <c r="DV218" s="4550"/>
      <c r="DW218" s="4550"/>
      <c r="DX218" s="4550"/>
      <c r="DY218" s="4550"/>
      <c r="DZ218" s="4550"/>
      <c r="EA218" s="4550"/>
      <c r="EB218" s="4550"/>
      <c r="EC218" s="4550"/>
      <c r="ED218" s="4550"/>
      <c r="EE218" s="4550"/>
      <c r="EF218" s="4550"/>
      <c r="EG218" s="4550"/>
      <c r="EH218" s="4550"/>
      <c r="EI218" s="4550"/>
      <c r="EJ218" s="4550"/>
      <c r="EK218" s="4550"/>
      <c r="EL218" s="4550"/>
      <c r="EM218" s="4550"/>
      <c r="EN218" s="4550"/>
      <c r="EO218" s="4550"/>
      <c r="EP218" s="4550"/>
      <c r="EQ218" s="4550"/>
      <c r="ER218" s="4550"/>
      <c r="ES218" s="4550"/>
      <c r="ET218" s="4550"/>
      <c r="EU218" s="4550"/>
      <c r="EV218" s="4550"/>
      <c r="EW218" s="4550"/>
      <c r="EX218" s="4550"/>
      <c r="EY218" s="4550"/>
      <c r="EZ218" s="4550"/>
      <c r="FA218" s="4550"/>
      <c r="FB218" s="4550"/>
      <c r="FC218" s="4550"/>
      <c r="FD218" s="4550"/>
      <c r="FE218" s="4550"/>
      <c r="FF218" s="4550"/>
      <c r="FG218" s="4550"/>
      <c r="FH218" s="4550"/>
      <c r="FI218" s="4550"/>
      <c r="FJ218" s="4550"/>
      <c r="FK218" s="4550"/>
      <c r="FL218" s="4550"/>
      <c r="FM218" s="4550"/>
      <c r="FN218" s="4550"/>
      <c r="FO218" s="4550"/>
      <c r="FP218" s="4550"/>
      <c r="FQ218" s="4550"/>
      <c r="FR218" s="4550"/>
      <c r="FS218" s="4550"/>
      <c r="FT218" s="4550"/>
      <c r="FU218" s="4550"/>
      <c r="FV218" s="4550"/>
      <c r="FW218" s="4550"/>
      <c r="FX218" s="4550"/>
      <c r="FY218" s="4550"/>
      <c r="FZ218" s="4550"/>
      <c r="GA218" s="4550"/>
      <c r="GB218" s="4550"/>
      <c r="GC218" s="4550"/>
      <c r="GD218" s="4550"/>
      <c r="GE218" s="4550"/>
      <c r="GF218" s="4550"/>
      <c r="GG218" s="4550"/>
      <c r="GH218" s="4550"/>
      <c r="GI218" s="4550"/>
      <c r="GJ218" s="4550"/>
      <c r="GK218" s="4550"/>
      <c r="GL218" s="4550"/>
      <c r="GM218" s="4550"/>
      <c r="GN218" s="4550"/>
      <c r="GO218" s="4550"/>
      <c r="GP218" s="4550"/>
      <c r="GQ218" s="4550"/>
      <c r="GR218" s="4550"/>
      <c r="GS218" s="4550"/>
      <c r="GT218" s="4550"/>
      <c r="GU218" s="4550"/>
      <c r="GV218" s="4550"/>
      <c r="GW218" s="4550"/>
      <c r="GX218" s="4550"/>
      <c r="GY218" s="4550"/>
      <c r="GZ218" s="4550"/>
      <c r="HA218" s="4550"/>
      <c r="HB218" s="4550"/>
      <c r="HC218" s="4550"/>
      <c r="HD218" s="4550"/>
      <c r="HE218" s="4550"/>
      <c r="HF218" s="4550"/>
      <c r="HG218" s="4550"/>
      <c r="HH218" s="4550"/>
      <c r="HI218" s="4550"/>
      <c r="HJ218" s="4550"/>
      <c r="HK218" s="4550"/>
      <c r="HL218" s="4550"/>
      <c r="HM218" s="4550"/>
      <c r="HN218" s="4550"/>
      <c r="HO218" s="4550"/>
      <c r="HP218" s="4550"/>
      <c r="HQ218" s="4550"/>
      <c r="HR218" s="4550"/>
      <c r="HS218" s="4550"/>
      <c r="HT218" s="4550"/>
      <c r="HU218" s="4550"/>
      <c r="HV218" s="4550"/>
      <c r="HW218" s="4550"/>
      <c r="HX218" s="4550"/>
      <c r="HY218" s="4550"/>
      <c r="HZ218" s="4550"/>
      <c r="IA218" s="4550"/>
      <c r="IB218" s="4550"/>
      <c r="IC218" s="4550"/>
      <c r="ID218" s="4550"/>
      <c r="IE218" s="4550"/>
    </row>
    <row r="219" spans="1:239" s="4549" customFormat="1" ht="12.75" customHeight="1">
      <c r="A219" s="4654">
        <v>3.1</v>
      </c>
      <c r="B219" s="4532" t="s">
        <v>4158</v>
      </c>
      <c r="C219" s="4682">
        <v>113.2</v>
      </c>
      <c r="D219" s="4593" t="s">
        <v>1</v>
      </c>
      <c r="E219" s="4318"/>
      <c r="F219" s="4969">
        <f>ROUND(C219*E219,2)</f>
        <v>0</v>
      </c>
      <c r="G219" s="4537"/>
      <c r="H219" s="4537"/>
      <c r="I219" s="4537"/>
      <c r="J219" s="4537"/>
      <c r="K219" s="4537"/>
      <c r="L219" s="4537"/>
      <c r="M219" s="4537"/>
      <c r="N219" s="4537"/>
      <c r="O219" s="4537"/>
      <c r="P219" s="4537"/>
      <c r="Q219" s="4537"/>
      <c r="R219" s="4537"/>
      <c r="S219" s="4537"/>
      <c r="T219" s="4537"/>
      <c r="U219" s="4537"/>
      <c r="V219" s="4537"/>
      <c r="W219" s="4537"/>
      <c r="X219" s="4537"/>
      <c r="Y219" s="4537"/>
      <c r="Z219" s="4537"/>
      <c r="AA219" s="4537"/>
      <c r="AB219" s="4537"/>
      <c r="AC219" s="4537"/>
      <c r="AD219" s="4537"/>
      <c r="AE219" s="4537"/>
      <c r="AF219" s="4537"/>
      <c r="AG219" s="4537"/>
      <c r="AH219" s="4537"/>
      <c r="AI219" s="4537"/>
      <c r="AJ219" s="4537"/>
      <c r="AK219" s="4537"/>
      <c r="AL219" s="4537"/>
      <c r="AM219" s="4537"/>
      <c r="AN219" s="4537"/>
      <c r="AO219" s="4537"/>
      <c r="AP219" s="4537"/>
      <c r="AQ219" s="4537"/>
      <c r="AR219" s="4537"/>
      <c r="AS219" s="4550"/>
      <c r="AT219" s="4550"/>
      <c r="AU219" s="4550"/>
      <c r="AV219" s="4550"/>
      <c r="AW219" s="4550"/>
      <c r="AX219" s="4550"/>
      <c r="AY219" s="4550"/>
      <c r="AZ219" s="4550"/>
      <c r="BA219" s="4550"/>
      <c r="BB219" s="4550"/>
      <c r="BC219" s="4550"/>
      <c r="BD219" s="4550"/>
      <c r="BE219" s="4550"/>
      <c r="BF219" s="4550"/>
      <c r="BG219" s="4550"/>
      <c r="BH219" s="4550"/>
      <c r="BI219" s="4550"/>
      <c r="BJ219" s="4550"/>
      <c r="BK219" s="4550"/>
      <c r="BL219" s="4550"/>
      <c r="BM219" s="4550"/>
      <c r="BN219" s="4550"/>
      <c r="BO219" s="4550"/>
      <c r="BP219" s="4550"/>
      <c r="BQ219" s="4550"/>
      <c r="BR219" s="4550"/>
      <c r="BS219" s="4550"/>
      <c r="BT219" s="4550"/>
      <c r="BU219" s="4550"/>
      <c r="BV219" s="4550"/>
      <c r="BW219" s="4550"/>
      <c r="BX219" s="4550"/>
      <c r="BY219" s="4550"/>
      <c r="BZ219" s="4550"/>
      <c r="CA219" s="4550"/>
      <c r="CB219" s="4550"/>
      <c r="CC219" s="4550"/>
      <c r="CD219" s="4550"/>
      <c r="CE219" s="4550"/>
      <c r="CF219" s="4550"/>
      <c r="CG219" s="4550"/>
      <c r="CH219" s="4550"/>
      <c r="CI219" s="4550"/>
      <c r="CJ219" s="4550"/>
      <c r="CK219" s="4550"/>
      <c r="CL219" s="4550"/>
      <c r="CM219" s="4550"/>
      <c r="CN219" s="4550"/>
      <c r="CO219" s="4550"/>
      <c r="CP219" s="4550"/>
      <c r="CQ219" s="4550"/>
      <c r="CR219" s="4550"/>
      <c r="CS219" s="4550"/>
      <c r="CT219" s="4550"/>
      <c r="CU219" s="4550"/>
      <c r="CV219" s="4550"/>
      <c r="CW219" s="4550"/>
      <c r="CX219" s="4550"/>
      <c r="CY219" s="4550"/>
      <c r="CZ219" s="4550"/>
      <c r="DA219" s="4550"/>
      <c r="DB219" s="4550"/>
      <c r="DC219" s="4550"/>
      <c r="DD219" s="4550"/>
      <c r="DE219" s="4550"/>
      <c r="DF219" s="4550"/>
      <c r="DG219" s="4550"/>
      <c r="DH219" s="4550"/>
      <c r="DI219" s="4550"/>
      <c r="DJ219" s="4550"/>
      <c r="DK219" s="4550"/>
      <c r="DL219" s="4550"/>
      <c r="DM219" s="4550"/>
      <c r="DN219" s="4550"/>
      <c r="DO219" s="4550"/>
      <c r="DP219" s="4550"/>
      <c r="DQ219" s="4550"/>
      <c r="DR219" s="4550"/>
      <c r="DS219" s="4550"/>
      <c r="DT219" s="4550"/>
      <c r="DU219" s="4550"/>
      <c r="DV219" s="4550"/>
      <c r="DW219" s="4550"/>
      <c r="DX219" s="4550"/>
      <c r="DY219" s="4550"/>
      <c r="DZ219" s="4550"/>
      <c r="EA219" s="4550"/>
      <c r="EB219" s="4550"/>
      <c r="EC219" s="4550"/>
      <c r="ED219" s="4550"/>
      <c r="EE219" s="4550"/>
      <c r="EF219" s="4550"/>
      <c r="EG219" s="4550"/>
      <c r="EH219" s="4550"/>
      <c r="EI219" s="4550"/>
      <c r="EJ219" s="4550"/>
      <c r="EK219" s="4550"/>
      <c r="EL219" s="4550"/>
      <c r="EM219" s="4550"/>
      <c r="EN219" s="4550"/>
      <c r="EO219" s="4550"/>
      <c r="EP219" s="4550"/>
      <c r="EQ219" s="4550"/>
      <c r="ER219" s="4550"/>
      <c r="ES219" s="4550"/>
      <c r="ET219" s="4550"/>
      <c r="EU219" s="4550"/>
      <c r="EV219" s="4550"/>
      <c r="EW219" s="4550"/>
      <c r="EX219" s="4550"/>
      <c r="EY219" s="4550"/>
      <c r="EZ219" s="4550"/>
      <c r="FA219" s="4550"/>
      <c r="FB219" s="4550"/>
      <c r="FC219" s="4550"/>
      <c r="FD219" s="4550"/>
      <c r="FE219" s="4550"/>
      <c r="FF219" s="4550"/>
      <c r="FG219" s="4550"/>
      <c r="FH219" s="4550"/>
      <c r="FI219" s="4550"/>
      <c r="FJ219" s="4550"/>
      <c r="FK219" s="4550"/>
      <c r="FL219" s="4550"/>
      <c r="FM219" s="4550"/>
      <c r="FN219" s="4550"/>
      <c r="FO219" s="4550"/>
      <c r="FP219" s="4550"/>
      <c r="FQ219" s="4550"/>
      <c r="FR219" s="4550"/>
      <c r="FS219" s="4550"/>
      <c r="FT219" s="4550"/>
      <c r="FU219" s="4550"/>
      <c r="FV219" s="4550"/>
      <c r="FW219" s="4550"/>
      <c r="FX219" s="4550"/>
      <c r="FY219" s="4550"/>
      <c r="FZ219" s="4550"/>
      <c r="GA219" s="4550"/>
      <c r="GB219" s="4550"/>
      <c r="GC219" s="4550"/>
      <c r="GD219" s="4550"/>
      <c r="GE219" s="4550"/>
      <c r="GF219" s="4550"/>
      <c r="GG219" s="4550"/>
      <c r="GH219" s="4550"/>
      <c r="GI219" s="4550"/>
      <c r="GJ219" s="4550"/>
      <c r="GK219" s="4550"/>
      <c r="GL219" s="4550"/>
      <c r="GM219" s="4550"/>
      <c r="GN219" s="4550"/>
      <c r="GO219" s="4550"/>
      <c r="GP219" s="4550"/>
      <c r="GQ219" s="4550"/>
      <c r="GR219" s="4550"/>
      <c r="GS219" s="4550"/>
      <c r="GT219" s="4550"/>
      <c r="GU219" s="4550"/>
      <c r="GV219" s="4550"/>
      <c r="GW219" s="4550"/>
      <c r="GX219" s="4550"/>
      <c r="GY219" s="4550"/>
      <c r="GZ219" s="4550"/>
      <c r="HA219" s="4550"/>
      <c r="HB219" s="4550"/>
      <c r="HC219" s="4550"/>
      <c r="HD219" s="4550"/>
      <c r="HE219" s="4550"/>
      <c r="HF219" s="4550"/>
      <c r="HG219" s="4550"/>
      <c r="HH219" s="4550"/>
      <c r="HI219" s="4550"/>
      <c r="HJ219" s="4550"/>
      <c r="HK219" s="4550"/>
      <c r="HL219" s="4550"/>
      <c r="HM219" s="4550"/>
      <c r="HN219" s="4550"/>
      <c r="HO219" s="4550"/>
      <c r="HP219" s="4550"/>
      <c r="HQ219" s="4550"/>
      <c r="HR219" s="4550"/>
      <c r="HS219" s="4550"/>
      <c r="HT219" s="4550"/>
      <c r="HU219" s="4550"/>
      <c r="HV219" s="4550"/>
      <c r="HW219" s="4550"/>
      <c r="HX219" s="4550"/>
      <c r="HY219" s="4550"/>
      <c r="HZ219" s="4550"/>
      <c r="IA219" s="4550"/>
      <c r="IB219" s="4550"/>
      <c r="IC219" s="4550"/>
      <c r="ID219" s="4550"/>
      <c r="IE219" s="4550"/>
    </row>
    <row r="220" spans="1:239" s="4549" customFormat="1" ht="9.75" customHeight="1">
      <c r="A220" s="4654"/>
      <c r="B220" s="4685"/>
      <c r="C220" s="4678"/>
      <c r="D220" s="4686"/>
      <c r="E220" s="4968"/>
      <c r="F220" s="4966"/>
      <c r="G220" s="4537"/>
      <c r="H220" s="4537"/>
      <c r="I220" s="4537"/>
      <c r="J220" s="4537"/>
      <c r="K220" s="4537"/>
      <c r="L220" s="4537"/>
      <c r="M220" s="4537"/>
      <c r="N220" s="4537"/>
      <c r="O220" s="4537"/>
      <c r="P220" s="4537"/>
      <c r="Q220" s="4537"/>
      <c r="R220" s="4537"/>
      <c r="S220" s="4537"/>
      <c r="T220" s="4537"/>
      <c r="U220" s="4537"/>
      <c r="V220" s="4537"/>
      <c r="W220" s="4537"/>
      <c r="X220" s="4537"/>
      <c r="Y220" s="4537"/>
      <c r="Z220" s="4537"/>
      <c r="AA220" s="4537"/>
      <c r="AB220" s="4537"/>
      <c r="AC220" s="4537"/>
      <c r="AD220" s="4537"/>
      <c r="AE220" s="4537"/>
      <c r="AF220" s="4537"/>
      <c r="AG220" s="4537"/>
      <c r="AH220" s="4537"/>
      <c r="AI220" s="4537"/>
      <c r="AJ220" s="4537"/>
      <c r="AK220" s="4537"/>
      <c r="AL220" s="4537"/>
      <c r="AM220" s="4537"/>
      <c r="AN220" s="4537"/>
      <c r="AO220" s="4537"/>
      <c r="AP220" s="4537"/>
      <c r="AQ220" s="4537"/>
      <c r="AR220" s="4537"/>
      <c r="AS220" s="4550"/>
      <c r="AT220" s="4550"/>
      <c r="AU220" s="4550"/>
      <c r="AV220" s="4550"/>
      <c r="AW220" s="4550"/>
      <c r="AX220" s="4550"/>
      <c r="AY220" s="4550"/>
      <c r="AZ220" s="4550"/>
      <c r="BA220" s="4550"/>
      <c r="BB220" s="4550"/>
      <c r="BC220" s="4550"/>
      <c r="BD220" s="4550"/>
      <c r="BE220" s="4550"/>
      <c r="BF220" s="4550"/>
      <c r="BG220" s="4550"/>
      <c r="BH220" s="4550"/>
      <c r="BI220" s="4550"/>
      <c r="BJ220" s="4550"/>
      <c r="BK220" s="4550"/>
      <c r="BL220" s="4550"/>
      <c r="BM220" s="4550"/>
      <c r="BN220" s="4550"/>
      <c r="BO220" s="4550"/>
      <c r="BP220" s="4550"/>
      <c r="BQ220" s="4550"/>
      <c r="BR220" s="4550"/>
      <c r="BS220" s="4550"/>
      <c r="BT220" s="4550"/>
      <c r="BU220" s="4550"/>
      <c r="BV220" s="4550"/>
      <c r="BW220" s="4550"/>
      <c r="BX220" s="4550"/>
      <c r="BY220" s="4550"/>
      <c r="BZ220" s="4550"/>
      <c r="CA220" s="4550"/>
      <c r="CB220" s="4550"/>
      <c r="CC220" s="4550"/>
      <c r="CD220" s="4550"/>
      <c r="CE220" s="4550"/>
      <c r="CF220" s="4550"/>
      <c r="CG220" s="4550"/>
      <c r="CH220" s="4550"/>
      <c r="CI220" s="4550"/>
      <c r="CJ220" s="4550"/>
      <c r="CK220" s="4550"/>
      <c r="CL220" s="4550"/>
      <c r="CM220" s="4550"/>
      <c r="CN220" s="4550"/>
      <c r="CO220" s="4550"/>
      <c r="CP220" s="4550"/>
      <c r="CQ220" s="4550"/>
      <c r="CR220" s="4550"/>
      <c r="CS220" s="4550"/>
      <c r="CT220" s="4550"/>
      <c r="CU220" s="4550"/>
      <c r="CV220" s="4550"/>
      <c r="CW220" s="4550"/>
      <c r="CX220" s="4550"/>
      <c r="CY220" s="4550"/>
      <c r="CZ220" s="4550"/>
      <c r="DA220" s="4550"/>
      <c r="DB220" s="4550"/>
      <c r="DC220" s="4550"/>
      <c r="DD220" s="4550"/>
      <c r="DE220" s="4550"/>
      <c r="DF220" s="4550"/>
      <c r="DG220" s="4550"/>
      <c r="DH220" s="4550"/>
      <c r="DI220" s="4550"/>
      <c r="DJ220" s="4550"/>
      <c r="DK220" s="4550"/>
      <c r="DL220" s="4550"/>
      <c r="DM220" s="4550"/>
      <c r="DN220" s="4550"/>
      <c r="DO220" s="4550"/>
      <c r="DP220" s="4550"/>
      <c r="DQ220" s="4550"/>
      <c r="DR220" s="4550"/>
      <c r="DS220" s="4550"/>
      <c r="DT220" s="4550"/>
      <c r="DU220" s="4550"/>
      <c r="DV220" s="4550"/>
      <c r="DW220" s="4550"/>
      <c r="DX220" s="4550"/>
      <c r="DY220" s="4550"/>
      <c r="DZ220" s="4550"/>
      <c r="EA220" s="4550"/>
      <c r="EB220" s="4550"/>
      <c r="EC220" s="4550"/>
      <c r="ED220" s="4550"/>
      <c r="EE220" s="4550"/>
      <c r="EF220" s="4550"/>
      <c r="EG220" s="4550"/>
      <c r="EH220" s="4550"/>
      <c r="EI220" s="4550"/>
      <c r="EJ220" s="4550"/>
      <c r="EK220" s="4550"/>
      <c r="EL220" s="4550"/>
      <c r="EM220" s="4550"/>
      <c r="EN220" s="4550"/>
      <c r="EO220" s="4550"/>
      <c r="EP220" s="4550"/>
      <c r="EQ220" s="4550"/>
      <c r="ER220" s="4550"/>
      <c r="ES220" s="4550"/>
      <c r="ET220" s="4550"/>
      <c r="EU220" s="4550"/>
      <c r="EV220" s="4550"/>
      <c r="EW220" s="4550"/>
      <c r="EX220" s="4550"/>
      <c r="EY220" s="4550"/>
      <c r="EZ220" s="4550"/>
      <c r="FA220" s="4550"/>
      <c r="FB220" s="4550"/>
      <c r="FC220" s="4550"/>
      <c r="FD220" s="4550"/>
      <c r="FE220" s="4550"/>
      <c r="FF220" s="4550"/>
      <c r="FG220" s="4550"/>
      <c r="FH220" s="4550"/>
      <c r="FI220" s="4550"/>
      <c r="FJ220" s="4550"/>
      <c r="FK220" s="4550"/>
      <c r="FL220" s="4550"/>
      <c r="FM220" s="4550"/>
      <c r="FN220" s="4550"/>
      <c r="FO220" s="4550"/>
      <c r="FP220" s="4550"/>
      <c r="FQ220" s="4550"/>
      <c r="FR220" s="4550"/>
      <c r="FS220" s="4550"/>
      <c r="FT220" s="4550"/>
      <c r="FU220" s="4550"/>
      <c r="FV220" s="4550"/>
      <c r="FW220" s="4550"/>
      <c r="FX220" s="4550"/>
      <c r="FY220" s="4550"/>
      <c r="FZ220" s="4550"/>
      <c r="GA220" s="4550"/>
      <c r="GB220" s="4550"/>
      <c r="GC220" s="4550"/>
      <c r="GD220" s="4550"/>
      <c r="GE220" s="4550"/>
      <c r="GF220" s="4550"/>
      <c r="GG220" s="4550"/>
      <c r="GH220" s="4550"/>
      <c r="GI220" s="4550"/>
      <c r="GJ220" s="4550"/>
      <c r="GK220" s="4550"/>
      <c r="GL220" s="4550"/>
      <c r="GM220" s="4550"/>
      <c r="GN220" s="4550"/>
      <c r="GO220" s="4550"/>
      <c r="GP220" s="4550"/>
      <c r="GQ220" s="4550"/>
      <c r="GR220" s="4550"/>
      <c r="GS220" s="4550"/>
      <c r="GT220" s="4550"/>
      <c r="GU220" s="4550"/>
      <c r="GV220" s="4550"/>
      <c r="GW220" s="4550"/>
      <c r="GX220" s="4550"/>
      <c r="GY220" s="4550"/>
      <c r="GZ220" s="4550"/>
      <c r="HA220" s="4550"/>
      <c r="HB220" s="4550"/>
      <c r="HC220" s="4550"/>
      <c r="HD220" s="4550"/>
      <c r="HE220" s="4550"/>
      <c r="HF220" s="4550"/>
      <c r="HG220" s="4550"/>
      <c r="HH220" s="4550"/>
      <c r="HI220" s="4550"/>
      <c r="HJ220" s="4550"/>
      <c r="HK220" s="4550"/>
      <c r="HL220" s="4550"/>
      <c r="HM220" s="4550"/>
      <c r="HN220" s="4550"/>
      <c r="HO220" s="4550"/>
      <c r="HP220" s="4550"/>
      <c r="HQ220" s="4550"/>
      <c r="HR220" s="4550"/>
      <c r="HS220" s="4550"/>
      <c r="HT220" s="4550"/>
      <c r="HU220" s="4550"/>
      <c r="HV220" s="4550"/>
      <c r="HW220" s="4550"/>
      <c r="HX220" s="4550"/>
      <c r="HY220" s="4550"/>
      <c r="HZ220" s="4550"/>
      <c r="IA220" s="4550"/>
      <c r="IB220" s="4550"/>
      <c r="IC220" s="4550"/>
      <c r="ID220" s="4550"/>
      <c r="IE220" s="4550"/>
    </row>
    <row r="221" spans="1:239" s="4549" customFormat="1" ht="13.5" customHeight="1">
      <c r="A221" s="4680">
        <v>4</v>
      </c>
      <c r="B221" s="4610" t="s">
        <v>4566</v>
      </c>
      <c r="C221" s="4682"/>
      <c r="D221" s="4600"/>
      <c r="E221" s="4964"/>
      <c r="F221" s="4969"/>
      <c r="G221" s="4537"/>
      <c r="H221" s="4537"/>
      <c r="I221" s="4537"/>
      <c r="J221" s="4537"/>
      <c r="K221" s="4537"/>
      <c r="L221" s="4537"/>
      <c r="M221" s="4537"/>
      <c r="N221" s="4537"/>
      <c r="O221" s="4537"/>
      <c r="P221" s="4537"/>
      <c r="Q221" s="4537"/>
      <c r="R221" s="4537"/>
      <c r="S221" s="4537"/>
      <c r="T221" s="4537"/>
      <c r="U221" s="4537"/>
      <c r="V221" s="4537"/>
      <c r="W221" s="4537"/>
      <c r="X221" s="4537"/>
      <c r="Y221" s="4537"/>
      <c r="Z221" s="4537"/>
      <c r="AA221" s="4537"/>
      <c r="AB221" s="4537"/>
      <c r="AC221" s="4537"/>
      <c r="AD221" s="4537"/>
      <c r="AE221" s="4537"/>
      <c r="AF221" s="4537"/>
      <c r="AG221" s="4537"/>
      <c r="AH221" s="4537"/>
      <c r="AI221" s="4537"/>
      <c r="AJ221" s="4537"/>
      <c r="AK221" s="4537"/>
      <c r="AL221" s="4537"/>
      <c r="AM221" s="4537"/>
      <c r="AN221" s="4537"/>
      <c r="AO221" s="4537"/>
      <c r="AP221" s="4537"/>
      <c r="AQ221" s="4537"/>
      <c r="AR221" s="4537"/>
      <c r="AS221" s="4550"/>
      <c r="AT221" s="4550"/>
      <c r="AU221" s="4550"/>
      <c r="AV221" s="4550"/>
      <c r="AW221" s="4550"/>
      <c r="AX221" s="4550"/>
      <c r="AY221" s="4550"/>
      <c r="AZ221" s="4550"/>
      <c r="BA221" s="4550"/>
      <c r="BB221" s="4550"/>
      <c r="BC221" s="4550"/>
      <c r="BD221" s="4550"/>
      <c r="BE221" s="4550"/>
      <c r="BF221" s="4550"/>
      <c r="BG221" s="4550"/>
      <c r="BH221" s="4550"/>
      <c r="BI221" s="4550"/>
      <c r="BJ221" s="4550"/>
      <c r="BK221" s="4550"/>
      <c r="BL221" s="4550"/>
      <c r="BM221" s="4550"/>
      <c r="BN221" s="4550"/>
      <c r="BO221" s="4550"/>
      <c r="BP221" s="4550"/>
      <c r="BQ221" s="4550"/>
      <c r="BR221" s="4550"/>
      <c r="BS221" s="4550"/>
      <c r="BT221" s="4550"/>
      <c r="BU221" s="4550"/>
      <c r="BV221" s="4550"/>
      <c r="BW221" s="4550"/>
      <c r="BX221" s="4550"/>
      <c r="BY221" s="4550"/>
      <c r="BZ221" s="4550"/>
      <c r="CA221" s="4550"/>
      <c r="CB221" s="4550"/>
      <c r="CC221" s="4550"/>
      <c r="CD221" s="4550"/>
      <c r="CE221" s="4550"/>
      <c r="CF221" s="4550"/>
      <c r="CG221" s="4550"/>
      <c r="CH221" s="4550"/>
      <c r="CI221" s="4550"/>
      <c r="CJ221" s="4550"/>
      <c r="CK221" s="4550"/>
      <c r="CL221" s="4550"/>
      <c r="CM221" s="4550"/>
      <c r="CN221" s="4550"/>
      <c r="CO221" s="4550"/>
      <c r="CP221" s="4550"/>
      <c r="CQ221" s="4550"/>
      <c r="CR221" s="4550"/>
      <c r="CS221" s="4550"/>
      <c r="CT221" s="4550"/>
      <c r="CU221" s="4550"/>
      <c r="CV221" s="4550"/>
      <c r="CW221" s="4550"/>
      <c r="CX221" s="4550"/>
      <c r="CY221" s="4550"/>
      <c r="CZ221" s="4550"/>
      <c r="DA221" s="4550"/>
      <c r="DB221" s="4550"/>
      <c r="DC221" s="4550"/>
      <c r="DD221" s="4550"/>
      <c r="DE221" s="4550"/>
      <c r="DF221" s="4550"/>
      <c r="DG221" s="4550"/>
      <c r="DH221" s="4550"/>
      <c r="DI221" s="4550"/>
      <c r="DJ221" s="4550"/>
      <c r="DK221" s="4550"/>
      <c r="DL221" s="4550"/>
      <c r="DM221" s="4550"/>
      <c r="DN221" s="4550"/>
      <c r="DO221" s="4550"/>
      <c r="DP221" s="4550"/>
      <c r="DQ221" s="4550"/>
      <c r="DR221" s="4550"/>
      <c r="DS221" s="4550"/>
      <c r="DT221" s="4550"/>
      <c r="DU221" s="4550"/>
      <c r="DV221" s="4550"/>
      <c r="DW221" s="4550"/>
      <c r="DX221" s="4550"/>
      <c r="DY221" s="4550"/>
      <c r="DZ221" s="4550"/>
      <c r="EA221" s="4550"/>
      <c r="EB221" s="4550"/>
      <c r="EC221" s="4550"/>
      <c r="ED221" s="4550"/>
      <c r="EE221" s="4550"/>
      <c r="EF221" s="4550"/>
      <c r="EG221" s="4550"/>
      <c r="EH221" s="4550"/>
      <c r="EI221" s="4550"/>
      <c r="EJ221" s="4550"/>
      <c r="EK221" s="4550"/>
      <c r="EL221" s="4550"/>
      <c r="EM221" s="4550"/>
      <c r="EN221" s="4550"/>
      <c r="EO221" s="4550"/>
      <c r="EP221" s="4550"/>
      <c r="EQ221" s="4550"/>
      <c r="ER221" s="4550"/>
      <c r="ES221" s="4550"/>
      <c r="ET221" s="4550"/>
      <c r="EU221" s="4550"/>
      <c r="EV221" s="4550"/>
      <c r="EW221" s="4550"/>
      <c r="EX221" s="4550"/>
      <c r="EY221" s="4550"/>
      <c r="EZ221" s="4550"/>
      <c r="FA221" s="4550"/>
      <c r="FB221" s="4550"/>
      <c r="FC221" s="4550"/>
      <c r="FD221" s="4550"/>
      <c r="FE221" s="4550"/>
      <c r="FF221" s="4550"/>
      <c r="FG221" s="4550"/>
      <c r="FH221" s="4550"/>
      <c r="FI221" s="4550"/>
      <c r="FJ221" s="4550"/>
      <c r="FK221" s="4550"/>
      <c r="FL221" s="4550"/>
      <c r="FM221" s="4550"/>
      <c r="FN221" s="4550"/>
      <c r="FO221" s="4550"/>
      <c r="FP221" s="4550"/>
      <c r="FQ221" s="4550"/>
      <c r="FR221" s="4550"/>
      <c r="FS221" s="4550"/>
      <c r="FT221" s="4550"/>
      <c r="FU221" s="4550"/>
      <c r="FV221" s="4550"/>
      <c r="FW221" s="4550"/>
      <c r="FX221" s="4550"/>
      <c r="FY221" s="4550"/>
      <c r="FZ221" s="4550"/>
      <c r="GA221" s="4550"/>
      <c r="GB221" s="4550"/>
      <c r="GC221" s="4550"/>
      <c r="GD221" s="4550"/>
      <c r="GE221" s="4550"/>
      <c r="GF221" s="4550"/>
      <c r="GG221" s="4550"/>
      <c r="GH221" s="4550"/>
      <c r="GI221" s="4550"/>
      <c r="GJ221" s="4550"/>
      <c r="GK221" s="4550"/>
      <c r="GL221" s="4550"/>
      <c r="GM221" s="4550"/>
      <c r="GN221" s="4550"/>
      <c r="GO221" s="4550"/>
      <c r="GP221" s="4550"/>
      <c r="GQ221" s="4550"/>
      <c r="GR221" s="4550"/>
      <c r="GS221" s="4550"/>
      <c r="GT221" s="4550"/>
      <c r="GU221" s="4550"/>
      <c r="GV221" s="4550"/>
      <c r="GW221" s="4550"/>
      <c r="GX221" s="4550"/>
      <c r="GY221" s="4550"/>
      <c r="GZ221" s="4550"/>
      <c r="HA221" s="4550"/>
      <c r="HB221" s="4550"/>
      <c r="HC221" s="4550"/>
      <c r="HD221" s="4550"/>
      <c r="HE221" s="4550"/>
      <c r="HF221" s="4550"/>
      <c r="HG221" s="4550"/>
      <c r="HH221" s="4550"/>
      <c r="HI221" s="4550"/>
      <c r="HJ221" s="4550"/>
      <c r="HK221" s="4550"/>
      <c r="HL221" s="4550"/>
      <c r="HM221" s="4550"/>
      <c r="HN221" s="4550"/>
      <c r="HO221" s="4550"/>
      <c r="HP221" s="4550"/>
      <c r="HQ221" s="4550"/>
      <c r="HR221" s="4550"/>
      <c r="HS221" s="4550"/>
      <c r="HT221" s="4550"/>
      <c r="HU221" s="4550"/>
      <c r="HV221" s="4550"/>
      <c r="HW221" s="4550"/>
      <c r="HX221" s="4550"/>
      <c r="HY221" s="4550"/>
      <c r="HZ221" s="4550"/>
      <c r="IA221" s="4550"/>
      <c r="IB221" s="4550"/>
      <c r="IC221" s="4550"/>
      <c r="ID221" s="4550"/>
      <c r="IE221" s="4550"/>
    </row>
    <row r="222" spans="1:239" s="4549" customFormat="1" ht="13.5" customHeight="1">
      <c r="A222" s="4654">
        <v>4.0999999999999996</v>
      </c>
      <c r="B222" s="4532" t="s">
        <v>4158</v>
      </c>
      <c r="C222" s="4682">
        <v>113.2</v>
      </c>
      <c r="D222" s="4593" t="s">
        <v>1</v>
      </c>
      <c r="E222" s="4318"/>
      <c r="F222" s="4969">
        <f>ROUND(C222*E222,2)</f>
        <v>0</v>
      </c>
      <c r="G222" s="4537"/>
      <c r="H222" s="4537"/>
      <c r="I222" s="4537"/>
      <c r="J222" s="4537"/>
      <c r="K222" s="4537"/>
      <c r="L222" s="4537"/>
      <c r="M222" s="4537"/>
      <c r="N222" s="4537"/>
      <c r="O222" s="4537"/>
      <c r="P222" s="4537"/>
      <c r="Q222" s="4537"/>
      <c r="R222" s="4537"/>
      <c r="S222" s="4537"/>
      <c r="T222" s="4537"/>
      <c r="U222" s="4537"/>
      <c r="V222" s="4537"/>
      <c r="W222" s="4537"/>
      <c r="X222" s="4537"/>
      <c r="Y222" s="4537"/>
      <c r="Z222" s="4537"/>
      <c r="AA222" s="4537"/>
      <c r="AB222" s="4537"/>
      <c r="AC222" s="4537"/>
      <c r="AD222" s="4537"/>
      <c r="AE222" s="4537"/>
      <c r="AF222" s="4537"/>
      <c r="AG222" s="4537"/>
      <c r="AH222" s="4537"/>
      <c r="AI222" s="4537"/>
      <c r="AJ222" s="4537"/>
      <c r="AK222" s="4537"/>
      <c r="AL222" s="4537"/>
      <c r="AM222" s="4537"/>
      <c r="AN222" s="4537"/>
      <c r="AO222" s="4537"/>
      <c r="AP222" s="4537"/>
      <c r="AQ222" s="4537"/>
      <c r="AR222" s="4537"/>
      <c r="AS222" s="4550"/>
      <c r="AT222" s="4550"/>
      <c r="AU222" s="4550"/>
      <c r="AV222" s="4550"/>
      <c r="AW222" s="4550"/>
      <c r="AX222" s="4550"/>
      <c r="AY222" s="4550"/>
      <c r="AZ222" s="4550"/>
      <c r="BA222" s="4550"/>
      <c r="BB222" s="4550"/>
      <c r="BC222" s="4550"/>
      <c r="BD222" s="4550"/>
      <c r="BE222" s="4550"/>
      <c r="BF222" s="4550"/>
      <c r="BG222" s="4550"/>
      <c r="BH222" s="4550"/>
      <c r="BI222" s="4550"/>
      <c r="BJ222" s="4550"/>
      <c r="BK222" s="4550"/>
      <c r="BL222" s="4550"/>
      <c r="BM222" s="4550"/>
      <c r="BN222" s="4550"/>
      <c r="BO222" s="4550"/>
      <c r="BP222" s="4550"/>
      <c r="BQ222" s="4550"/>
      <c r="BR222" s="4550"/>
      <c r="BS222" s="4550"/>
      <c r="BT222" s="4550"/>
      <c r="BU222" s="4550"/>
      <c r="BV222" s="4550"/>
      <c r="BW222" s="4550"/>
      <c r="BX222" s="4550"/>
      <c r="BY222" s="4550"/>
      <c r="BZ222" s="4550"/>
      <c r="CA222" s="4550"/>
      <c r="CB222" s="4550"/>
      <c r="CC222" s="4550"/>
      <c r="CD222" s="4550"/>
      <c r="CE222" s="4550"/>
      <c r="CF222" s="4550"/>
      <c r="CG222" s="4550"/>
      <c r="CH222" s="4550"/>
      <c r="CI222" s="4550"/>
      <c r="CJ222" s="4550"/>
      <c r="CK222" s="4550"/>
      <c r="CL222" s="4550"/>
      <c r="CM222" s="4550"/>
      <c r="CN222" s="4550"/>
      <c r="CO222" s="4550"/>
      <c r="CP222" s="4550"/>
      <c r="CQ222" s="4550"/>
      <c r="CR222" s="4550"/>
      <c r="CS222" s="4550"/>
      <c r="CT222" s="4550"/>
      <c r="CU222" s="4550"/>
      <c r="CV222" s="4550"/>
      <c r="CW222" s="4550"/>
      <c r="CX222" s="4550"/>
      <c r="CY222" s="4550"/>
      <c r="CZ222" s="4550"/>
      <c r="DA222" s="4550"/>
      <c r="DB222" s="4550"/>
      <c r="DC222" s="4550"/>
      <c r="DD222" s="4550"/>
      <c r="DE222" s="4550"/>
      <c r="DF222" s="4550"/>
      <c r="DG222" s="4550"/>
      <c r="DH222" s="4550"/>
      <c r="DI222" s="4550"/>
      <c r="DJ222" s="4550"/>
      <c r="DK222" s="4550"/>
      <c r="DL222" s="4550"/>
      <c r="DM222" s="4550"/>
      <c r="DN222" s="4550"/>
      <c r="DO222" s="4550"/>
      <c r="DP222" s="4550"/>
      <c r="DQ222" s="4550"/>
      <c r="DR222" s="4550"/>
      <c r="DS222" s="4550"/>
      <c r="DT222" s="4550"/>
      <c r="DU222" s="4550"/>
      <c r="DV222" s="4550"/>
      <c r="DW222" s="4550"/>
      <c r="DX222" s="4550"/>
      <c r="DY222" s="4550"/>
      <c r="DZ222" s="4550"/>
      <c r="EA222" s="4550"/>
      <c r="EB222" s="4550"/>
      <c r="EC222" s="4550"/>
      <c r="ED222" s="4550"/>
      <c r="EE222" s="4550"/>
      <c r="EF222" s="4550"/>
      <c r="EG222" s="4550"/>
      <c r="EH222" s="4550"/>
      <c r="EI222" s="4550"/>
      <c r="EJ222" s="4550"/>
      <c r="EK222" s="4550"/>
      <c r="EL222" s="4550"/>
      <c r="EM222" s="4550"/>
      <c r="EN222" s="4550"/>
      <c r="EO222" s="4550"/>
      <c r="EP222" s="4550"/>
      <c r="EQ222" s="4550"/>
      <c r="ER222" s="4550"/>
      <c r="ES222" s="4550"/>
      <c r="ET222" s="4550"/>
      <c r="EU222" s="4550"/>
      <c r="EV222" s="4550"/>
      <c r="EW222" s="4550"/>
      <c r="EX222" s="4550"/>
      <c r="EY222" s="4550"/>
      <c r="EZ222" s="4550"/>
      <c r="FA222" s="4550"/>
      <c r="FB222" s="4550"/>
      <c r="FC222" s="4550"/>
      <c r="FD222" s="4550"/>
      <c r="FE222" s="4550"/>
      <c r="FF222" s="4550"/>
      <c r="FG222" s="4550"/>
      <c r="FH222" s="4550"/>
      <c r="FI222" s="4550"/>
      <c r="FJ222" s="4550"/>
      <c r="FK222" s="4550"/>
      <c r="FL222" s="4550"/>
      <c r="FM222" s="4550"/>
      <c r="FN222" s="4550"/>
      <c r="FO222" s="4550"/>
      <c r="FP222" s="4550"/>
      <c r="FQ222" s="4550"/>
      <c r="FR222" s="4550"/>
      <c r="FS222" s="4550"/>
      <c r="FT222" s="4550"/>
      <c r="FU222" s="4550"/>
      <c r="FV222" s="4550"/>
      <c r="FW222" s="4550"/>
      <c r="FX222" s="4550"/>
      <c r="FY222" s="4550"/>
      <c r="FZ222" s="4550"/>
      <c r="GA222" s="4550"/>
      <c r="GB222" s="4550"/>
      <c r="GC222" s="4550"/>
      <c r="GD222" s="4550"/>
      <c r="GE222" s="4550"/>
      <c r="GF222" s="4550"/>
      <c r="GG222" s="4550"/>
      <c r="GH222" s="4550"/>
      <c r="GI222" s="4550"/>
      <c r="GJ222" s="4550"/>
      <c r="GK222" s="4550"/>
      <c r="GL222" s="4550"/>
      <c r="GM222" s="4550"/>
      <c r="GN222" s="4550"/>
      <c r="GO222" s="4550"/>
      <c r="GP222" s="4550"/>
      <c r="GQ222" s="4550"/>
      <c r="GR222" s="4550"/>
      <c r="GS222" s="4550"/>
      <c r="GT222" s="4550"/>
      <c r="GU222" s="4550"/>
      <c r="GV222" s="4550"/>
      <c r="GW222" s="4550"/>
      <c r="GX222" s="4550"/>
      <c r="GY222" s="4550"/>
      <c r="GZ222" s="4550"/>
      <c r="HA222" s="4550"/>
      <c r="HB222" s="4550"/>
      <c r="HC222" s="4550"/>
      <c r="HD222" s="4550"/>
      <c r="HE222" s="4550"/>
      <c r="HF222" s="4550"/>
      <c r="HG222" s="4550"/>
      <c r="HH222" s="4550"/>
      <c r="HI222" s="4550"/>
      <c r="HJ222" s="4550"/>
      <c r="HK222" s="4550"/>
      <c r="HL222" s="4550"/>
      <c r="HM222" s="4550"/>
      <c r="HN222" s="4550"/>
      <c r="HO222" s="4550"/>
      <c r="HP222" s="4550"/>
      <c r="HQ222" s="4550"/>
      <c r="HR222" s="4550"/>
      <c r="HS222" s="4550"/>
      <c r="HT222" s="4550"/>
      <c r="HU222" s="4550"/>
      <c r="HV222" s="4550"/>
      <c r="HW222" s="4550"/>
      <c r="HX222" s="4550"/>
      <c r="HY222" s="4550"/>
      <c r="HZ222" s="4550"/>
      <c r="IA222" s="4550"/>
      <c r="IB222" s="4550"/>
      <c r="IC222" s="4550"/>
      <c r="ID222" s="4550"/>
      <c r="IE222" s="4550"/>
    </row>
    <row r="223" spans="1:239" s="4549" customFormat="1" ht="9.75" customHeight="1">
      <c r="A223" s="4654"/>
      <c r="B223" s="4685"/>
      <c r="C223" s="4678"/>
      <c r="D223" s="4686"/>
      <c r="E223" s="4968"/>
      <c r="F223" s="4969"/>
      <c r="G223" s="4537"/>
      <c r="H223" s="4537"/>
      <c r="I223" s="4537"/>
      <c r="J223" s="4537"/>
      <c r="K223" s="4537"/>
      <c r="L223" s="4537"/>
      <c r="M223" s="4537"/>
      <c r="N223" s="4537"/>
      <c r="O223" s="4537"/>
      <c r="P223" s="4537"/>
      <c r="Q223" s="4537"/>
      <c r="R223" s="4537"/>
      <c r="S223" s="4537"/>
      <c r="T223" s="4537"/>
      <c r="U223" s="4537"/>
      <c r="V223" s="4537"/>
      <c r="W223" s="4537"/>
      <c r="X223" s="4537"/>
      <c r="Y223" s="4537"/>
      <c r="Z223" s="4537"/>
      <c r="AA223" s="4537"/>
      <c r="AB223" s="4537"/>
      <c r="AC223" s="4537"/>
      <c r="AD223" s="4537"/>
      <c r="AE223" s="4537"/>
      <c r="AF223" s="4537"/>
      <c r="AG223" s="4537"/>
      <c r="AH223" s="4537"/>
      <c r="AI223" s="4537"/>
      <c r="AJ223" s="4537"/>
      <c r="AK223" s="4537"/>
      <c r="AL223" s="4537"/>
      <c r="AM223" s="4537"/>
      <c r="AN223" s="4537"/>
      <c r="AO223" s="4537"/>
      <c r="AP223" s="4537"/>
      <c r="AQ223" s="4537"/>
      <c r="AR223" s="4537"/>
      <c r="AS223" s="4550"/>
      <c r="AT223" s="4550"/>
      <c r="AU223" s="4550"/>
      <c r="AV223" s="4550"/>
      <c r="AW223" s="4550"/>
      <c r="AX223" s="4550"/>
      <c r="AY223" s="4550"/>
      <c r="AZ223" s="4550"/>
      <c r="BA223" s="4550"/>
      <c r="BB223" s="4550"/>
      <c r="BC223" s="4550"/>
      <c r="BD223" s="4550"/>
      <c r="BE223" s="4550"/>
      <c r="BF223" s="4550"/>
      <c r="BG223" s="4550"/>
      <c r="BH223" s="4550"/>
      <c r="BI223" s="4550"/>
      <c r="BJ223" s="4550"/>
      <c r="BK223" s="4550"/>
      <c r="BL223" s="4550"/>
      <c r="BM223" s="4550"/>
      <c r="BN223" s="4550"/>
      <c r="BO223" s="4550"/>
      <c r="BP223" s="4550"/>
      <c r="BQ223" s="4550"/>
      <c r="BR223" s="4550"/>
      <c r="BS223" s="4550"/>
      <c r="BT223" s="4550"/>
      <c r="BU223" s="4550"/>
      <c r="BV223" s="4550"/>
      <c r="BW223" s="4550"/>
      <c r="BX223" s="4550"/>
      <c r="BY223" s="4550"/>
      <c r="BZ223" s="4550"/>
      <c r="CA223" s="4550"/>
      <c r="CB223" s="4550"/>
      <c r="CC223" s="4550"/>
      <c r="CD223" s="4550"/>
      <c r="CE223" s="4550"/>
      <c r="CF223" s="4550"/>
      <c r="CG223" s="4550"/>
      <c r="CH223" s="4550"/>
      <c r="CI223" s="4550"/>
      <c r="CJ223" s="4550"/>
      <c r="CK223" s="4550"/>
      <c r="CL223" s="4550"/>
      <c r="CM223" s="4550"/>
      <c r="CN223" s="4550"/>
      <c r="CO223" s="4550"/>
      <c r="CP223" s="4550"/>
      <c r="CQ223" s="4550"/>
      <c r="CR223" s="4550"/>
      <c r="CS223" s="4550"/>
      <c r="CT223" s="4550"/>
      <c r="CU223" s="4550"/>
      <c r="CV223" s="4550"/>
      <c r="CW223" s="4550"/>
      <c r="CX223" s="4550"/>
      <c r="CY223" s="4550"/>
      <c r="CZ223" s="4550"/>
      <c r="DA223" s="4550"/>
      <c r="DB223" s="4550"/>
      <c r="DC223" s="4550"/>
      <c r="DD223" s="4550"/>
      <c r="DE223" s="4550"/>
      <c r="DF223" s="4550"/>
      <c r="DG223" s="4550"/>
      <c r="DH223" s="4550"/>
      <c r="DI223" s="4550"/>
      <c r="DJ223" s="4550"/>
      <c r="DK223" s="4550"/>
      <c r="DL223" s="4550"/>
      <c r="DM223" s="4550"/>
      <c r="DN223" s="4550"/>
      <c r="DO223" s="4550"/>
      <c r="DP223" s="4550"/>
      <c r="DQ223" s="4550"/>
      <c r="DR223" s="4550"/>
      <c r="DS223" s="4550"/>
      <c r="DT223" s="4550"/>
      <c r="DU223" s="4550"/>
      <c r="DV223" s="4550"/>
      <c r="DW223" s="4550"/>
      <c r="DX223" s="4550"/>
      <c r="DY223" s="4550"/>
      <c r="DZ223" s="4550"/>
      <c r="EA223" s="4550"/>
      <c r="EB223" s="4550"/>
      <c r="EC223" s="4550"/>
      <c r="ED223" s="4550"/>
      <c r="EE223" s="4550"/>
      <c r="EF223" s="4550"/>
      <c r="EG223" s="4550"/>
      <c r="EH223" s="4550"/>
      <c r="EI223" s="4550"/>
      <c r="EJ223" s="4550"/>
      <c r="EK223" s="4550"/>
      <c r="EL223" s="4550"/>
      <c r="EM223" s="4550"/>
      <c r="EN223" s="4550"/>
      <c r="EO223" s="4550"/>
      <c r="EP223" s="4550"/>
      <c r="EQ223" s="4550"/>
      <c r="ER223" s="4550"/>
      <c r="ES223" s="4550"/>
      <c r="ET223" s="4550"/>
      <c r="EU223" s="4550"/>
      <c r="EV223" s="4550"/>
      <c r="EW223" s="4550"/>
      <c r="EX223" s="4550"/>
      <c r="EY223" s="4550"/>
      <c r="EZ223" s="4550"/>
      <c r="FA223" s="4550"/>
      <c r="FB223" s="4550"/>
      <c r="FC223" s="4550"/>
      <c r="FD223" s="4550"/>
      <c r="FE223" s="4550"/>
      <c r="FF223" s="4550"/>
      <c r="FG223" s="4550"/>
      <c r="FH223" s="4550"/>
      <c r="FI223" s="4550"/>
      <c r="FJ223" s="4550"/>
      <c r="FK223" s="4550"/>
      <c r="FL223" s="4550"/>
      <c r="FM223" s="4550"/>
      <c r="FN223" s="4550"/>
      <c r="FO223" s="4550"/>
      <c r="FP223" s="4550"/>
      <c r="FQ223" s="4550"/>
      <c r="FR223" s="4550"/>
      <c r="FS223" s="4550"/>
      <c r="FT223" s="4550"/>
      <c r="FU223" s="4550"/>
      <c r="FV223" s="4550"/>
      <c r="FW223" s="4550"/>
      <c r="FX223" s="4550"/>
      <c r="FY223" s="4550"/>
      <c r="FZ223" s="4550"/>
      <c r="GA223" s="4550"/>
      <c r="GB223" s="4550"/>
      <c r="GC223" s="4550"/>
      <c r="GD223" s="4550"/>
      <c r="GE223" s="4550"/>
      <c r="GF223" s="4550"/>
      <c r="GG223" s="4550"/>
      <c r="GH223" s="4550"/>
      <c r="GI223" s="4550"/>
      <c r="GJ223" s="4550"/>
      <c r="GK223" s="4550"/>
      <c r="GL223" s="4550"/>
      <c r="GM223" s="4550"/>
      <c r="GN223" s="4550"/>
      <c r="GO223" s="4550"/>
      <c r="GP223" s="4550"/>
      <c r="GQ223" s="4550"/>
      <c r="GR223" s="4550"/>
      <c r="GS223" s="4550"/>
      <c r="GT223" s="4550"/>
      <c r="GU223" s="4550"/>
      <c r="GV223" s="4550"/>
      <c r="GW223" s="4550"/>
      <c r="GX223" s="4550"/>
      <c r="GY223" s="4550"/>
      <c r="GZ223" s="4550"/>
      <c r="HA223" s="4550"/>
      <c r="HB223" s="4550"/>
      <c r="HC223" s="4550"/>
      <c r="HD223" s="4550"/>
      <c r="HE223" s="4550"/>
      <c r="HF223" s="4550"/>
      <c r="HG223" s="4550"/>
      <c r="HH223" s="4550"/>
      <c r="HI223" s="4550"/>
      <c r="HJ223" s="4550"/>
      <c r="HK223" s="4550"/>
      <c r="HL223" s="4550"/>
      <c r="HM223" s="4550"/>
      <c r="HN223" s="4550"/>
      <c r="HO223" s="4550"/>
      <c r="HP223" s="4550"/>
      <c r="HQ223" s="4550"/>
      <c r="HR223" s="4550"/>
      <c r="HS223" s="4550"/>
      <c r="HT223" s="4550"/>
      <c r="HU223" s="4550"/>
      <c r="HV223" s="4550"/>
      <c r="HW223" s="4550"/>
      <c r="HX223" s="4550"/>
      <c r="HY223" s="4550"/>
      <c r="HZ223" s="4550"/>
      <c r="IA223" s="4550"/>
      <c r="IB223" s="4550"/>
      <c r="IC223" s="4550"/>
      <c r="ID223" s="4550"/>
      <c r="IE223" s="4550"/>
    </row>
    <row r="224" spans="1:239" s="4549" customFormat="1" ht="25.5">
      <c r="A224" s="4168">
        <v>5</v>
      </c>
      <c r="B224" s="4614" t="s">
        <v>4159</v>
      </c>
      <c r="C224" s="4168"/>
      <c r="D224" s="4168"/>
      <c r="E224" s="4318"/>
      <c r="F224" s="4969"/>
      <c r="G224" s="4537"/>
      <c r="H224" s="4537"/>
      <c r="I224" s="4537"/>
      <c r="J224" s="4537"/>
      <c r="K224" s="4537"/>
      <c r="L224" s="4537"/>
      <c r="M224" s="4537"/>
      <c r="N224" s="4537"/>
      <c r="O224" s="4537"/>
      <c r="P224" s="4537"/>
      <c r="Q224" s="4537"/>
      <c r="R224" s="4537"/>
      <c r="S224" s="4537"/>
      <c r="T224" s="4537"/>
      <c r="U224" s="4537"/>
      <c r="V224" s="4537"/>
      <c r="W224" s="4537"/>
      <c r="X224" s="4537"/>
      <c r="Y224" s="4537"/>
      <c r="Z224" s="4537"/>
      <c r="AA224" s="4537"/>
      <c r="AB224" s="4537"/>
      <c r="AC224" s="4537"/>
      <c r="AD224" s="4537"/>
      <c r="AE224" s="4537"/>
      <c r="AF224" s="4537"/>
      <c r="AG224" s="4537"/>
      <c r="AH224" s="4537"/>
      <c r="AI224" s="4537"/>
      <c r="AJ224" s="4537"/>
      <c r="AK224" s="4537"/>
      <c r="AL224" s="4537"/>
      <c r="AM224" s="4537"/>
      <c r="AN224" s="4537"/>
      <c r="AO224" s="4537"/>
      <c r="AP224" s="4537"/>
      <c r="AQ224" s="4537"/>
      <c r="AR224" s="4537"/>
      <c r="AS224" s="4550"/>
      <c r="AT224" s="4550"/>
      <c r="AU224" s="4550"/>
      <c r="AV224" s="4550"/>
      <c r="AW224" s="4550"/>
      <c r="AX224" s="4550"/>
      <c r="AY224" s="4550"/>
      <c r="AZ224" s="4550"/>
      <c r="BA224" s="4550"/>
      <c r="BB224" s="4550"/>
      <c r="BC224" s="4550"/>
      <c r="BD224" s="4550"/>
      <c r="BE224" s="4550"/>
      <c r="BF224" s="4550"/>
      <c r="BG224" s="4550"/>
      <c r="BH224" s="4550"/>
      <c r="BI224" s="4550"/>
      <c r="BJ224" s="4550"/>
      <c r="BK224" s="4550"/>
      <c r="BL224" s="4550"/>
      <c r="BM224" s="4550"/>
      <c r="BN224" s="4550"/>
      <c r="BO224" s="4550"/>
      <c r="BP224" s="4550"/>
      <c r="BQ224" s="4550"/>
      <c r="BR224" s="4550"/>
      <c r="BS224" s="4550"/>
      <c r="BT224" s="4550"/>
      <c r="BU224" s="4550"/>
      <c r="BV224" s="4550"/>
      <c r="BW224" s="4550"/>
      <c r="BX224" s="4550"/>
      <c r="BY224" s="4550"/>
      <c r="BZ224" s="4550"/>
      <c r="CA224" s="4550"/>
      <c r="CB224" s="4550"/>
      <c r="CC224" s="4550"/>
      <c r="CD224" s="4550"/>
      <c r="CE224" s="4550"/>
      <c r="CF224" s="4550"/>
      <c r="CG224" s="4550"/>
      <c r="CH224" s="4550"/>
      <c r="CI224" s="4550"/>
      <c r="CJ224" s="4550"/>
      <c r="CK224" s="4550"/>
      <c r="CL224" s="4550"/>
      <c r="CM224" s="4550"/>
      <c r="CN224" s="4550"/>
      <c r="CO224" s="4550"/>
      <c r="CP224" s="4550"/>
      <c r="CQ224" s="4550"/>
      <c r="CR224" s="4550"/>
      <c r="CS224" s="4550"/>
      <c r="CT224" s="4550"/>
      <c r="CU224" s="4550"/>
      <c r="CV224" s="4550"/>
      <c r="CW224" s="4550"/>
      <c r="CX224" s="4550"/>
      <c r="CY224" s="4550"/>
      <c r="CZ224" s="4550"/>
      <c r="DA224" s="4550"/>
      <c r="DB224" s="4550"/>
      <c r="DC224" s="4550"/>
      <c r="DD224" s="4550"/>
      <c r="DE224" s="4550"/>
      <c r="DF224" s="4550"/>
      <c r="DG224" s="4550"/>
      <c r="DH224" s="4550"/>
      <c r="DI224" s="4550"/>
      <c r="DJ224" s="4550"/>
      <c r="DK224" s="4550"/>
      <c r="DL224" s="4550"/>
      <c r="DM224" s="4550"/>
      <c r="DN224" s="4550"/>
      <c r="DO224" s="4550"/>
      <c r="DP224" s="4550"/>
      <c r="DQ224" s="4550"/>
      <c r="DR224" s="4550"/>
      <c r="DS224" s="4550"/>
      <c r="DT224" s="4550"/>
      <c r="DU224" s="4550"/>
      <c r="DV224" s="4550"/>
      <c r="DW224" s="4550"/>
      <c r="DX224" s="4550"/>
      <c r="DY224" s="4550"/>
      <c r="DZ224" s="4550"/>
      <c r="EA224" s="4550"/>
      <c r="EB224" s="4550"/>
      <c r="EC224" s="4550"/>
      <c r="ED224" s="4550"/>
      <c r="EE224" s="4550"/>
      <c r="EF224" s="4550"/>
      <c r="EG224" s="4550"/>
      <c r="EH224" s="4550"/>
      <c r="EI224" s="4550"/>
      <c r="EJ224" s="4550"/>
      <c r="EK224" s="4550"/>
      <c r="EL224" s="4550"/>
      <c r="EM224" s="4550"/>
      <c r="EN224" s="4550"/>
      <c r="EO224" s="4550"/>
      <c r="EP224" s="4550"/>
      <c r="EQ224" s="4550"/>
      <c r="ER224" s="4550"/>
      <c r="ES224" s="4550"/>
      <c r="ET224" s="4550"/>
      <c r="EU224" s="4550"/>
      <c r="EV224" s="4550"/>
      <c r="EW224" s="4550"/>
      <c r="EX224" s="4550"/>
      <c r="EY224" s="4550"/>
      <c r="EZ224" s="4550"/>
      <c r="FA224" s="4550"/>
      <c r="FB224" s="4550"/>
      <c r="FC224" s="4550"/>
      <c r="FD224" s="4550"/>
      <c r="FE224" s="4550"/>
      <c r="FF224" s="4550"/>
      <c r="FG224" s="4550"/>
      <c r="FH224" s="4550"/>
      <c r="FI224" s="4550"/>
      <c r="FJ224" s="4550"/>
      <c r="FK224" s="4550"/>
      <c r="FL224" s="4550"/>
      <c r="FM224" s="4550"/>
      <c r="FN224" s="4550"/>
      <c r="FO224" s="4550"/>
      <c r="FP224" s="4550"/>
      <c r="FQ224" s="4550"/>
      <c r="FR224" s="4550"/>
      <c r="FS224" s="4550"/>
      <c r="FT224" s="4550"/>
      <c r="FU224" s="4550"/>
      <c r="FV224" s="4550"/>
      <c r="FW224" s="4550"/>
      <c r="FX224" s="4550"/>
      <c r="FY224" s="4550"/>
      <c r="FZ224" s="4550"/>
      <c r="GA224" s="4550"/>
      <c r="GB224" s="4550"/>
      <c r="GC224" s="4550"/>
      <c r="GD224" s="4550"/>
      <c r="GE224" s="4550"/>
      <c r="GF224" s="4550"/>
      <c r="GG224" s="4550"/>
      <c r="GH224" s="4550"/>
      <c r="GI224" s="4550"/>
      <c r="GJ224" s="4550"/>
      <c r="GK224" s="4550"/>
      <c r="GL224" s="4550"/>
      <c r="GM224" s="4550"/>
      <c r="GN224" s="4550"/>
      <c r="GO224" s="4550"/>
      <c r="GP224" s="4550"/>
      <c r="GQ224" s="4550"/>
      <c r="GR224" s="4550"/>
      <c r="GS224" s="4550"/>
      <c r="GT224" s="4550"/>
      <c r="GU224" s="4550"/>
      <c r="GV224" s="4550"/>
      <c r="GW224" s="4550"/>
      <c r="GX224" s="4550"/>
      <c r="GY224" s="4550"/>
      <c r="GZ224" s="4550"/>
      <c r="HA224" s="4550"/>
      <c r="HB224" s="4550"/>
      <c r="HC224" s="4550"/>
      <c r="HD224" s="4550"/>
      <c r="HE224" s="4550"/>
      <c r="HF224" s="4550"/>
      <c r="HG224" s="4550"/>
      <c r="HH224" s="4550"/>
      <c r="HI224" s="4550"/>
      <c r="HJ224" s="4550"/>
      <c r="HK224" s="4550"/>
      <c r="HL224" s="4550"/>
      <c r="HM224" s="4550"/>
      <c r="HN224" s="4550"/>
      <c r="HO224" s="4550"/>
      <c r="HP224" s="4550"/>
      <c r="HQ224" s="4550"/>
      <c r="HR224" s="4550"/>
      <c r="HS224" s="4550"/>
      <c r="HT224" s="4550"/>
      <c r="HU224" s="4550"/>
      <c r="HV224" s="4550"/>
      <c r="HW224" s="4550"/>
      <c r="HX224" s="4550"/>
      <c r="HY224" s="4550"/>
      <c r="HZ224" s="4550"/>
      <c r="IA224" s="4550"/>
      <c r="IB224" s="4550"/>
      <c r="IC224" s="4550"/>
      <c r="ID224" s="4550"/>
      <c r="IE224" s="4550"/>
    </row>
    <row r="225" spans="1:239" s="4549" customFormat="1" ht="13.5" customHeight="1">
      <c r="A225" s="4167">
        <v>5.0999999999999996</v>
      </c>
      <c r="B225" s="4532" t="s">
        <v>4656</v>
      </c>
      <c r="C225" s="4677">
        <v>1</v>
      </c>
      <c r="D225" s="4596" t="s">
        <v>2433</v>
      </c>
      <c r="E225" s="4318"/>
      <c r="F225" s="4969">
        <f>ROUND(C225*E225,2)</f>
        <v>0</v>
      </c>
      <c r="G225" s="4537"/>
      <c r="H225" s="4537"/>
      <c r="I225" s="4537"/>
      <c r="J225" s="4537"/>
      <c r="K225" s="4537"/>
      <c r="L225" s="4537"/>
      <c r="M225" s="4537"/>
      <c r="N225" s="4537"/>
      <c r="O225" s="4537"/>
      <c r="P225" s="4537"/>
      <c r="Q225" s="4537"/>
      <c r="R225" s="4537"/>
      <c r="S225" s="4537"/>
      <c r="T225" s="4537"/>
      <c r="U225" s="4537"/>
      <c r="V225" s="4537"/>
      <c r="W225" s="4537"/>
      <c r="X225" s="4537"/>
      <c r="Y225" s="4537"/>
      <c r="Z225" s="4537"/>
      <c r="AA225" s="4537"/>
      <c r="AB225" s="4537"/>
      <c r="AC225" s="4537"/>
      <c r="AD225" s="4537"/>
      <c r="AE225" s="4537"/>
      <c r="AF225" s="4537"/>
      <c r="AG225" s="4537"/>
      <c r="AH225" s="4537"/>
      <c r="AI225" s="4537"/>
      <c r="AJ225" s="4537"/>
      <c r="AK225" s="4537"/>
      <c r="AL225" s="4537"/>
      <c r="AM225" s="4537"/>
      <c r="AN225" s="4537"/>
      <c r="AO225" s="4537"/>
      <c r="AP225" s="4537"/>
      <c r="AQ225" s="4537"/>
      <c r="AR225" s="4537"/>
      <c r="AS225" s="4550"/>
      <c r="AT225" s="4550"/>
      <c r="AU225" s="4550"/>
      <c r="AV225" s="4550"/>
      <c r="AW225" s="4550"/>
      <c r="AX225" s="4550"/>
      <c r="AY225" s="4550"/>
      <c r="AZ225" s="4550"/>
      <c r="BA225" s="4550"/>
      <c r="BB225" s="4550"/>
      <c r="BC225" s="4550"/>
      <c r="BD225" s="4550"/>
      <c r="BE225" s="4550"/>
      <c r="BF225" s="4550"/>
      <c r="BG225" s="4550"/>
      <c r="BH225" s="4550"/>
      <c r="BI225" s="4550"/>
      <c r="BJ225" s="4550"/>
      <c r="BK225" s="4550"/>
      <c r="BL225" s="4550"/>
      <c r="BM225" s="4550"/>
      <c r="BN225" s="4550"/>
      <c r="BO225" s="4550"/>
      <c r="BP225" s="4550"/>
      <c r="BQ225" s="4550"/>
      <c r="BR225" s="4550"/>
      <c r="BS225" s="4550"/>
      <c r="BT225" s="4550"/>
      <c r="BU225" s="4550"/>
      <c r="BV225" s="4550"/>
      <c r="BW225" s="4550"/>
      <c r="BX225" s="4550"/>
      <c r="BY225" s="4550"/>
      <c r="BZ225" s="4550"/>
      <c r="CA225" s="4550"/>
      <c r="CB225" s="4550"/>
      <c r="CC225" s="4550"/>
      <c r="CD225" s="4550"/>
      <c r="CE225" s="4550"/>
      <c r="CF225" s="4550"/>
      <c r="CG225" s="4550"/>
      <c r="CH225" s="4550"/>
      <c r="CI225" s="4550"/>
      <c r="CJ225" s="4550"/>
      <c r="CK225" s="4550"/>
      <c r="CL225" s="4550"/>
      <c r="CM225" s="4550"/>
      <c r="CN225" s="4550"/>
      <c r="CO225" s="4550"/>
      <c r="CP225" s="4550"/>
      <c r="CQ225" s="4550"/>
      <c r="CR225" s="4550"/>
      <c r="CS225" s="4550"/>
      <c r="CT225" s="4550"/>
      <c r="CU225" s="4550"/>
      <c r="CV225" s="4550"/>
      <c r="CW225" s="4550"/>
      <c r="CX225" s="4550"/>
      <c r="CY225" s="4550"/>
      <c r="CZ225" s="4550"/>
      <c r="DA225" s="4550"/>
      <c r="DB225" s="4550"/>
      <c r="DC225" s="4550"/>
      <c r="DD225" s="4550"/>
      <c r="DE225" s="4550"/>
      <c r="DF225" s="4550"/>
      <c r="DG225" s="4550"/>
      <c r="DH225" s="4550"/>
      <c r="DI225" s="4550"/>
      <c r="DJ225" s="4550"/>
      <c r="DK225" s="4550"/>
      <c r="DL225" s="4550"/>
      <c r="DM225" s="4550"/>
      <c r="DN225" s="4550"/>
      <c r="DO225" s="4550"/>
      <c r="DP225" s="4550"/>
      <c r="DQ225" s="4550"/>
      <c r="DR225" s="4550"/>
      <c r="DS225" s="4550"/>
      <c r="DT225" s="4550"/>
      <c r="DU225" s="4550"/>
      <c r="DV225" s="4550"/>
      <c r="DW225" s="4550"/>
      <c r="DX225" s="4550"/>
      <c r="DY225" s="4550"/>
      <c r="DZ225" s="4550"/>
      <c r="EA225" s="4550"/>
      <c r="EB225" s="4550"/>
      <c r="EC225" s="4550"/>
      <c r="ED225" s="4550"/>
      <c r="EE225" s="4550"/>
      <c r="EF225" s="4550"/>
      <c r="EG225" s="4550"/>
      <c r="EH225" s="4550"/>
      <c r="EI225" s="4550"/>
      <c r="EJ225" s="4550"/>
      <c r="EK225" s="4550"/>
      <c r="EL225" s="4550"/>
      <c r="EM225" s="4550"/>
      <c r="EN225" s="4550"/>
      <c r="EO225" s="4550"/>
      <c r="EP225" s="4550"/>
      <c r="EQ225" s="4550"/>
      <c r="ER225" s="4550"/>
      <c r="ES225" s="4550"/>
      <c r="ET225" s="4550"/>
      <c r="EU225" s="4550"/>
      <c r="EV225" s="4550"/>
      <c r="EW225" s="4550"/>
      <c r="EX225" s="4550"/>
      <c r="EY225" s="4550"/>
      <c r="EZ225" s="4550"/>
      <c r="FA225" s="4550"/>
      <c r="FB225" s="4550"/>
      <c r="FC225" s="4550"/>
      <c r="FD225" s="4550"/>
      <c r="FE225" s="4550"/>
      <c r="FF225" s="4550"/>
      <c r="FG225" s="4550"/>
      <c r="FH225" s="4550"/>
      <c r="FI225" s="4550"/>
      <c r="FJ225" s="4550"/>
      <c r="FK225" s="4550"/>
      <c r="FL225" s="4550"/>
      <c r="FM225" s="4550"/>
      <c r="FN225" s="4550"/>
      <c r="FO225" s="4550"/>
      <c r="FP225" s="4550"/>
      <c r="FQ225" s="4550"/>
      <c r="FR225" s="4550"/>
      <c r="FS225" s="4550"/>
      <c r="FT225" s="4550"/>
      <c r="FU225" s="4550"/>
      <c r="FV225" s="4550"/>
      <c r="FW225" s="4550"/>
      <c r="FX225" s="4550"/>
      <c r="FY225" s="4550"/>
      <c r="FZ225" s="4550"/>
      <c r="GA225" s="4550"/>
      <c r="GB225" s="4550"/>
      <c r="GC225" s="4550"/>
      <c r="GD225" s="4550"/>
      <c r="GE225" s="4550"/>
      <c r="GF225" s="4550"/>
      <c r="GG225" s="4550"/>
      <c r="GH225" s="4550"/>
      <c r="GI225" s="4550"/>
      <c r="GJ225" s="4550"/>
      <c r="GK225" s="4550"/>
      <c r="GL225" s="4550"/>
      <c r="GM225" s="4550"/>
      <c r="GN225" s="4550"/>
      <c r="GO225" s="4550"/>
      <c r="GP225" s="4550"/>
      <c r="GQ225" s="4550"/>
      <c r="GR225" s="4550"/>
      <c r="GS225" s="4550"/>
      <c r="GT225" s="4550"/>
      <c r="GU225" s="4550"/>
      <c r="GV225" s="4550"/>
      <c r="GW225" s="4550"/>
      <c r="GX225" s="4550"/>
      <c r="GY225" s="4550"/>
      <c r="GZ225" s="4550"/>
      <c r="HA225" s="4550"/>
      <c r="HB225" s="4550"/>
      <c r="HC225" s="4550"/>
      <c r="HD225" s="4550"/>
      <c r="HE225" s="4550"/>
      <c r="HF225" s="4550"/>
      <c r="HG225" s="4550"/>
      <c r="HH225" s="4550"/>
      <c r="HI225" s="4550"/>
      <c r="HJ225" s="4550"/>
      <c r="HK225" s="4550"/>
      <c r="HL225" s="4550"/>
      <c r="HM225" s="4550"/>
      <c r="HN225" s="4550"/>
      <c r="HO225" s="4550"/>
      <c r="HP225" s="4550"/>
      <c r="HQ225" s="4550"/>
      <c r="HR225" s="4550"/>
      <c r="HS225" s="4550"/>
      <c r="HT225" s="4550"/>
      <c r="HU225" s="4550"/>
      <c r="HV225" s="4550"/>
      <c r="HW225" s="4550"/>
      <c r="HX225" s="4550"/>
      <c r="HY225" s="4550"/>
      <c r="HZ225" s="4550"/>
      <c r="IA225" s="4550"/>
      <c r="IB225" s="4550"/>
      <c r="IC225" s="4550"/>
      <c r="ID225" s="4550"/>
      <c r="IE225" s="4550"/>
    </row>
    <row r="226" spans="1:239" s="4549" customFormat="1" ht="13.5" customHeight="1">
      <c r="A226" s="4167">
        <v>5.2</v>
      </c>
      <c r="B226" s="4532" t="s">
        <v>4657</v>
      </c>
      <c r="C226" s="4677">
        <v>2</v>
      </c>
      <c r="D226" s="4596" t="s">
        <v>2433</v>
      </c>
      <c r="E226" s="4318"/>
      <c r="F226" s="4969">
        <f t="shared" ref="F226:F232" si="6">ROUND(C226*E226,2)</f>
        <v>0</v>
      </c>
      <c r="G226" s="4537"/>
      <c r="H226" s="4537"/>
      <c r="I226" s="4537"/>
      <c r="J226" s="4537"/>
      <c r="K226" s="4537"/>
      <c r="L226" s="4537"/>
      <c r="M226" s="4537"/>
      <c r="N226" s="4537"/>
      <c r="O226" s="4537"/>
      <c r="P226" s="4537"/>
      <c r="Q226" s="4537"/>
      <c r="R226" s="4537"/>
      <c r="S226" s="4537"/>
      <c r="T226" s="4537"/>
      <c r="U226" s="4537"/>
      <c r="V226" s="4537"/>
      <c r="W226" s="4537"/>
      <c r="X226" s="4537"/>
      <c r="Y226" s="4537"/>
      <c r="Z226" s="4537"/>
      <c r="AA226" s="4537"/>
      <c r="AB226" s="4537"/>
      <c r="AC226" s="4537"/>
      <c r="AD226" s="4537"/>
      <c r="AE226" s="4537"/>
      <c r="AF226" s="4537"/>
      <c r="AG226" s="4537"/>
      <c r="AH226" s="4537"/>
      <c r="AI226" s="4537"/>
      <c r="AJ226" s="4537"/>
      <c r="AK226" s="4537"/>
      <c r="AL226" s="4537"/>
      <c r="AM226" s="4537"/>
      <c r="AN226" s="4537"/>
      <c r="AO226" s="4537"/>
      <c r="AP226" s="4537"/>
      <c r="AQ226" s="4537"/>
      <c r="AR226" s="4537"/>
      <c r="AS226" s="4550"/>
      <c r="AT226" s="4550"/>
      <c r="AU226" s="4550"/>
      <c r="AV226" s="4550"/>
      <c r="AW226" s="4550"/>
      <c r="AX226" s="4550"/>
      <c r="AY226" s="4550"/>
      <c r="AZ226" s="4550"/>
      <c r="BA226" s="4550"/>
      <c r="BB226" s="4550"/>
      <c r="BC226" s="4550"/>
      <c r="BD226" s="4550"/>
      <c r="BE226" s="4550"/>
      <c r="BF226" s="4550"/>
      <c r="BG226" s="4550"/>
      <c r="BH226" s="4550"/>
      <c r="BI226" s="4550"/>
      <c r="BJ226" s="4550"/>
      <c r="BK226" s="4550"/>
      <c r="BL226" s="4550"/>
      <c r="BM226" s="4550"/>
      <c r="BN226" s="4550"/>
      <c r="BO226" s="4550"/>
      <c r="BP226" s="4550"/>
      <c r="BQ226" s="4550"/>
      <c r="BR226" s="4550"/>
      <c r="BS226" s="4550"/>
      <c r="BT226" s="4550"/>
      <c r="BU226" s="4550"/>
      <c r="BV226" s="4550"/>
      <c r="BW226" s="4550"/>
      <c r="BX226" s="4550"/>
      <c r="BY226" s="4550"/>
      <c r="BZ226" s="4550"/>
      <c r="CA226" s="4550"/>
      <c r="CB226" s="4550"/>
      <c r="CC226" s="4550"/>
      <c r="CD226" s="4550"/>
      <c r="CE226" s="4550"/>
      <c r="CF226" s="4550"/>
      <c r="CG226" s="4550"/>
      <c r="CH226" s="4550"/>
      <c r="CI226" s="4550"/>
      <c r="CJ226" s="4550"/>
      <c r="CK226" s="4550"/>
      <c r="CL226" s="4550"/>
      <c r="CM226" s="4550"/>
      <c r="CN226" s="4550"/>
      <c r="CO226" s="4550"/>
      <c r="CP226" s="4550"/>
      <c r="CQ226" s="4550"/>
      <c r="CR226" s="4550"/>
      <c r="CS226" s="4550"/>
      <c r="CT226" s="4550"/>
      <c r="CU226" s="4550"/>
      <c r="CV226" s="4550"/>
      <c r="CW226" s="4550"/>
      <c r="CX226" s="4550"/>
      <c r="CY226" s="4550"/>
      <c r="CZ226" s="4550"/>
      <c r="DA226" s="4550"/>
      <c r="DB226" s="4550"/>
      <c r="DC226" s="4550"/>
      <c r="DD226" s="4550"/>
      <c r="DE226" s="4550"/>
      <c r="DF226" s="4550"/>
      <c r="DG226" s="4550"/>
      <c r="DH226" s="4550"/>
      <c r="DI226" s="4550"/>
      <c r="DJ226" s="4550"/>
      <c r="DK226" s="4550"/>
      <c r="DL226" s="4550"/>
      <c r="DM226" s="4550"/>
      <c r="DN226" s="4550"/>
      <c r="DO226" s="4550"/>
      <c r="DP226" s="4550"/>
      <c r="DQ226" s="4550"/>
      <c r="DR226" s="4550"/>
      <c r="DS226" s="4550"/>
      <c r="DT226" s="4550"/>
      <c r="DU226" s="4550"/>
      <c r="DV226" s="4550"/>
      <c r="DW226" s="4550"/>
      <c r="DX226" s="4550"/>
      <c r="DY226" s="4550"/>
      <c r="DZ226" s="4550"/>
      <c r="EA226" s="4550"/>
      <c r="EB226" s="4550"/>
      <c r="EC226" s="4550"/>
      <c r="ED226" s="4550"/>
      <c r="EE226" s="4550"/>
      <c r="EF226" s="4550"/>
      <c r="EG226" s="4550"/>
      <c r="EH226" s="4550"/>
      <c r="EI226" s="4550"/>
      <c r="EJ226" s="4550"/>
      <c r="EK226" s="4550"/>
      <c r="EL226" s="4550"/>
      <c r="EM226" s="4550"/>
      <c r="EN226" s="4550"/>
      <c r="EO226" s="4550"/>
      <c r="EP226" s="4550"/>
      <c r="EQ226" s="4550"/>
      <c r="ER226" s="4550"/>
      <c r="ES226" s="4550"/>
      <c r="ET226" s="4550"/>
      <c r="EU226" s="4550"/>
      <c r="EV226" s="4550"/>
      <c r="EW226" s="4550"/>
      <c r="EX226" s="4550"/>
      <c r="EY226" s="4550"/>
      <c r="EZ226" s="4550"/>
      <c r="FA226" s="4550"/>
      <c r="FB226" s="4550"/>
      <c r="FC226" s="4550"/>
      <c r="FD226" s="4550"/>
      <c r="FE226" s="4550"/>
      <c r="FF226" s="4550"/>
      <c r="FG226" s="4550"/>
      <c r="FH226" s="4550"/>
      <c r="FI226" s="4550"/>
      <c r="FJ226" s="4550"/>
      <c r="FK226" s="4550"/>
      <c r="FL226" s="4550"/>
      <c r="FM226" s="4550"/>
      <c r="FN226" s="4550"/>
      <c r="FO226" s="4550"/>
      <c r="FP226" s="4550"/>
      <c r="FQ226" s="4550"/>
      <c r="FR226" s="4550"/>
      <c r="FS226" s="4550"/>
      <c r="FT226" s="4550"/>
      <c r="FU226" s="4550"/>
      <c r="FV226" s="4550"/>
      <c r="FW226" s="4550"/>
      <c r="FX226" s="4550"/>
      <c r="FY226" s="4550"/>
      <c r="FZ226" s="4550"/>
      <c r="GA226" s="4550"/>
      <c r="GB226" s="4550"/>
      <c r="GC226" s="4550"/>
      <c r="GD226" s="4550"/>
      <c r="GE226" s="4550"/>
      <c r="GF226" s="4550"/>
      <c r="GG226" s="4550"/>
      <c r="GH226" s="4550"/>
      <c r="GI226" s="4550"/>
      <c r="GJ226" s="4550"/>
      <c r="GK226" s="4550"/>
      <c r="GL226" s="4550"/>
      <c r="GM226" s="4550"/>
      <c r="GN226" s="4550"/>
      <c r="GO226" s="4550"/>
      <c r="GP226" s="4550"/>
      <c r="GQ226" s="4550"/>
      <c r="GR226" s="4550"/>
      <c r="GS226" s="4550"/>
      <c r="GT226" s="4550"/>
      <c r="GU226" s="4550"/>
      <c r="GV226" s="4550"/>
      <c r="GW226" s="4550"/>
      <c r="GX226" s="4550"/>
      <c r="GY226" s="4550"/>
      <c r="GZ226" s="4550"/>
      <c r="HA226" s="4550"/>
      <c r="HB226" s="4550"/>
      <c r="HC226" s="4550"/>
      <c r="HD226" s="4550"/>
      <c r="HE226" s="4550"/>
      <c r="HF226" s="4550"/>
      <c r="HG226" s="4550"/>
      <c r="HH226" s="4550"/>
      <c r="HI226" s="4550"/>
      <c r="HJ226" s="4550"/>
      <c r="HK226" s="4550"/>
      <c r="HL226" s="4550"/>
      <c r="HM226" s="4550"/>
      <c r="HN226" s="4550"/>
      <c r="HO226" s="4550"/>
      <c r="HP226" s="4550"/>
      <c r="HQ226" s="4550"/>
      <c r="HR226" s="4550"/>
      <c r="HS226" s="4550"/>
      <c r="HT226" s="4550"/>
      <c r="HU226" s="4550"/>
      <c r="HV226" s="4550"/>
      <c r="HW226" s="4550"/>
      <c r="HX226" s="4550"/>
      <c r="HY226" s="4550"/>
      <c r="HZ226" s="4550"/>
      <c r="IA226" s="4550"/>
      <c r="IB226" s="4550"/>
      <c r="IC226" s="4550"/>
      <c r="ID226" s="4550"/>
      <c r="IE226" s="4550"/>
    </row>
    <row r="227" spans="1:239" s="4549" customFormat="1" ht="13.5" customHeight="1">
      <c r="A227" s="4167">
        <v>5.3</v>
      </c>
      <c r="B227" s="4532" t="s">
        <v>4658</v>
      </c>
      <c r="C227" s="4677">
        <v>1</v>
      </c>
      <c r="D227" s="4596" t="s">
        <v>2433</v>
      </c>
      <c r="E227" s="4318"/>
      <c r="F227" s="4969">
        <f t="shared" si="6"/>
        <v>0</v>
      </c>
      <c r="G227" s="4537"/>
      <c r="H227" s="4537"/>
      <c r="I227" s="4537"/>
      <c r="J227" s="4537"/>
      <c r="K227" s="4537"/>
      <c r="L227" s="4537"/>
      <c r="M227" s="4537"/>
      <c r="N227" s="4537"/>
      <c r="O227" s="4537"/>
      <c r="P227" s="4537"/>
      <c r="Q227" s="4537"/>
      <c r="R227" s="4537"/>
      <c r="S227" s="4537"/>
      <c r="T227" s="4537"/>
      <c r="U227" s="4537"/>
      <c r="V227" s="4537"/>
      <c r="W227" s="4537"/>
      <c r="X227" s="4537"/>
      <c r="Y227" s="4537"/>
      <c r="Z227" s="4537"/>
      <c r="AA227" s="4537"/>
      <c r="AB227" s="4537"/>
      <c r="AC227" s="4537"/>
      <c r="AD227" s="4537"/>
      <c r="AE227" s="4537"/>
      <c r="AF227" s="4537"/>
      <c r="AG227" s="4537"/>
      <c r="AH227" s="4537"/>
      <c r="AI227" s="4537"/>
      <c r="AJ227" s="4537"/>
      <c r="AK227" s="4537"/>
      <c r="AL227" s="4537"/>
      <c r="AM227" s="4537"/>
      <c r="AN227" s="4537"/>
      <c r="AO227" s="4537"/>
      <c r="AP227" s="4537"/>
      <c r="AQ227" s="4537"/>
      <c r="AR227" s="4537"/>
      <c r="AS227" s="4550"/>
      <c r="AT227" s="4550"/>
      <c r="AU227" s="4550"/>
      <c r="AV227" s="4550"/>
      <c r="AW227" s="4550"/>
      <c r="AX227" s="4550"/>
      <c r="AY227" s="4550"/>
      <c r="AZ227" s="4550"/>
      <c r="BA227" s="4550"/>
      <c r="BB227" s="4550"/>
      <c r="BC227" s="4550"/>
      <c r="BD227" s="4550"/>
      <c r="BE227" s="4550"/>
      <c r="BF227" s="4550"/>
      <c r="BG227" s="4550"/>
      <c r="BH227" s="4550"/>
      <c r="BI227" s="4550"/>
      <c r="BJ227" s="4550"/>
      <c r="BK227" s="4550"/>
      <c r="BL227" s="4550"/>
      <c r="BM227" s="4550"/>
      <c r="BN227" s="4550"/>
      <c r="BO227" s="4550"/>
      <c r="BP227" s="4550"/>
      <c r="BQ227" s="4550"/>
      <c r="BR227" s="4550"/>
      <c r="BS227" s="4550"/>
      <c r="BT227" s="4550"/>
      <c r="BU227" s="4550"/>
      <c r="BV227" s="4550"/>
      <c r="BW227" s="4550"/>
      <c r="BX227" s="4550"/>
      <c r="BY227" s="4550"/>
      <c r="BZ227" s="4550"/>
      <c r="CA227" s="4550"/>
      <c r="CB227" s="4550"/>
      <c r="CC227" s="4550"/>
      <c r="CD227" s="4550"/>
      <c r="CE227" s="4550"/>
      <c r="CF227" s="4550"/>
      <c r="CG227" s="4550"/>
      <c r="CH227" s="4550"/>
      <c r="CI227" s="4550"/>
      <c r="CJ227" s="4550"/>
      <c r="CK227" s="4550"/>
      <c r="CL227" s="4550"/>
      <c r="CM227" s="4550"/>
      <c r="CN227" s="4550"/>
      <c r="CO227" s="4550"/>
      <c r="CP227" s="4550"/>
      <c r="CQ227" s="4550"/>
      <c r="CR227" s="4550"/>
      <c r="CS227" s="4550"/>
      <c r="CT227" s="4550"/>
      <c r="CU227" s="4550"/>
      <c r="CV227" s="4550"/>
      <c r="CW227" s="4550"/>
      <c r="CX227" s="4550"/>
      <c r="CY227" s="4550"/>
      <c r="CZ227" s="4550"/>
      <c r="DA227" s="4550"/>
      <c r="DB227" s="4550"/>
      <c r="DC227" s="4550"/>
      <c r="DD227" s="4550"/>
      <c r="DE227" s="4550"/>
      <c r="DF227" s="4550"/>
      <c r="DG227" s="4550"/>
      <c r="DH227" s="4550"/>
      <c r="DI227" s="4550"/>
      <c r="DJ227" s="4550"/>
      <c r="DK227" s="4550"/>
      <c r="DL227" s="4550"/>
      <c r="DM227" s="4550"/>
      <c r="DN227" s="4550"/>
      <c r="DO227" s="4550"/>
      <c r="DP227" s="4550"/>
      <c r="DQ227" s="4550"/>
      <c r="DR227" s="4550"/>
      <c r="DS227" s="4550"/>
      <c r="DT227" s="4550"/>
      <c r="DU227" s="4550"/>
      <c r="DV227" s="4550"/>
      <c r="DW227" s="4550"/>
      <c r="DX227" s="4550"/>
      <c r="DY227" s="4550"/>
      <c r="DZ227" s="4550"/>
      <c r="EA227" s="4550"/>
      <c r="EB227" s="4550"/>
      <c r="EC227" s="4550"/>
      <c r="ED227" s="4550"/>
      <c r="EE227" s="4550"/>
      <c r="EF227" s="4550"/>
      <c r="EG227" s="4550"/>
      <c r="EH227" s="4550"/>
      <c r="EI227" s="4550"/>
      <c r="EJ227" s="4550"/>
      <c r="EK227" s="4550"/>
      <c r="EL227" s="4550"/>
      <c r="EM227" s="4550"/>
      <c r="EN227" s="4550"/>
      <c r="EO227" s="4550"/>
      <c r="EP227" s="4550"/>
      <c r="EQ227" s="4550"/>
      <c r="ER227" s="4550"/>
      <c r="ES227" s="4550"/>
      <c r="ET227" s="4550"/>
      <c r="EU227" s="4550"/>
      <c r="EV227" s="4550"/>
      <c r="EW227" s="4550"/>
      <c r="EX227" s="4550"/>
      <c r="EY227" s="4550"/>
      <c r="EZ227" s="4550"/>
      <c r="FA227" s="4550"/>
      <c r="FB227" s="4550"/>
      <c r="FC227" s="4550"/>
      <c r="FD227" s="4550"/>
      <c r="FE227" s="4550"/>
      <c r="FF227" s="4550"/>
      <c r="FG227" s="4550"/>
      <c r="FH227" s="4550"/>
      <c r="FI227" s="4550"/>
      <c r="FJ227" s="4550"/>
      <c r="FK227" s="4550"/>
      <c r="FL227" s="4550"/>
      <c r="FM227" s="4550"/>
      <c r="FN227" s="4550"/>
      <c r="FO227" s="4550"/>
      <c r="FP227" s="4550"/>
      <c r="FQ227" s="4550"/>
      <c r="FR227" s="4550"/>
      <c r="FS227" s="4550"/>
      <c r="FT227" s="4550"/>
      <c r="FU227" s="4550"/>
      <c r="FV227" s="4550"/>
      <c r="FW227" s="4550"/>
      <c r="FX227" s="4550"/>
      <c r="FY227" s="4550"/>
      <c r="FZ227" s="4550"/>
      <c r="GA227" s="4550"/>
      <c r="GB227" s="4550"/>
      <c r="GC227" s="4550"/>
      <c r="GD227" s="4550"/>
      <c r="GE227" s="4550"/>
      <c r="GF227" s="4550"/>
      <c r="GG227" s="4550"/>
      <c r="GH227" s="4550"/>
      <c r="GI227" s="4550"/>
      <c r="GJ227" s="4550"/>
      <c r="GK227" s="4550"/>
      <c r="GL227" s="4550"/>
      <c r="GM227" s="4550"/>
      <c r="GN227" s="4550"/>
      <c r="GO227" s="4550"/>
      <c r="GP227" s="4550"/>
      <c r="GQ227" s="4550"/>
      <c r="GR227" s="4550"/>
      <c r="GS227" s="4550"/>
      <c r="GT227" s="4550"/>
      <c r="GU227" s="4550"/>
      <c r="GV227" s="4550"/>
      <c r="GW227" s="4550"/>
      <c r="GX227" s="4550"/>
      <c r="GY227" s="4550"/>
      <c r="GZ227" s="4550"/>
      <c r="HA227" s="4550"/>
      <c r="HB227" s="4550"/>
      <c r="HC227" s="4550"/>
      <c r="HD227" s="4550"/>
      <c r="HE227" s="4550"/>
      <c r="HF227" s="4550"/>
      <c r="HG227" s="4550"/>
      <c r="HH227" s="4550"/>
      <c r="HI227" s="4550"/>
      <c r="HJ227" s="4550"/>
      <c r="HK227" s="4550"/>
      <c r="HL227" s="4550"/>
      <c r="HM227" s="4550"/>
      <c r="HN227" s="4550"/>
      <c r="HO227" s="4550"/>
      <c r="HP227" s="4550"/>
      <c r="HQ227" s="4550"/>
      <c r="HR227" s="4550"/>
      <c r="HS227" s="4550"/>
      <c r="HT227" s="4550"/>
      <c r="HU227" s="4550"/>
      <c r="HV227" s="4550"/>
      <c r="HW227" s="4550"/>
      <c r="HX227" s="4550"/>
      <c r="HY227" s="4550"/>
      <c r="HZ227" s="4550"/>
      <c r="IA227" s="4550"/>
      <c r="IB227" s="4550"/>
      <c r="IC227" s="4550"/>
      <c r="ID227" s="4550"/>
      <c r="IE227" s="4550"/>
    </row>
    <row r="228" spans="1:239" s="4549" customFormat="1" ht="13.5" customHeight="1">
      <c r="A228" s="4167">
        <v>5.4</v>
      </c>
      <c r="B228" s="4532" t="s">
        <v>4659</v>
      </c>
      <c r="C228" s="4677">
        <v>1</v>
      </c>
      <c r="D228" s="4596" t="s">
        <v>2433</v>
      </c>
      <c r="E228" s="4318"/>
      <c r="F228" s="4969">
        <f t="shared" si="6"/>
        <v>0</v>
      </c>
      <c r="G228" s="4537"/>
      <c r="H228" s="4537"/>
      <c r="I228" s="4537"/>
      <c r="J228" s="4537"/>
      <c r="K228" s="4537"/>
      <c r="L228" s="4537"/>
      <c r="M228" s="4537"/>
      <c r="N228" s="4537"/>
      <c r="O228" s="4537"/>
      <c r="P228" s="4537"/>
      <c r="Q228" s="4537"/>
      <c r="R228" s="4537"/>
      <c r="S228" s="4537"/>
      <c r="T228" s="4537"/>
      <c r="U228" s="4537"/>
      <c r="V228" s="4537"/>
      <c r="W228" s="4537"/>
      <c r="X228" s="4537"/>
      <c r="Y228" s="4537"/>
      <c r="Z228" s="4537"/>
      <c r="AA228" s="4537"/>
      <c r="AB228" s="4537"/>
      <c r="AC228" s="4537"/>
      <c r="AD228" s="4537"/>
      <c r="AE228" s="4537"/>
      <c r="AF228" s="4537"/>
      <c r="AG228" s="4537"/>
      <c r="AH228" s="4537"/>
      <c r="AI228" s="4537"/>
      <c r="AJ228" s="4537"/>
      <c r="AK228" s="4537"/>
      <c r="AL228" s="4537"/>
      <c r="AM228" s="4537"/>
      <c r="AN228" s="4537"/>
      <c r="AO228" s="4537"/>
      <c r="AP228" s="4537"/>
      <c r="AQ228" s="4537"/>
      <c r="AR228" s="4537"/>
      <c r="AS228" s="4550"/>
      <c r="AT228" s="4550"/>
      <c r="AU228" s="4550"/>
      <c r="AV228" s="4550"/>
      <c r="AW228" s="4550"/>
      <c r="AX228" s="4550"/>
      <c r="AY228" s="4550"/>
      <c r="AZ228" s="4550"/>
      <c r="BA228" s="4550"/>
      <c r="BB228" s="4550"/>
      <c r="BC228" s="4550"/>
      <c r="BD228" s="4550"/>
      <c r="BE228" s="4550"/>
      <c r="BF228" s="4550"/>
      <c r="BG228" s="4550"/>
      <c r="BH228" s="4550"/>
      <c r="BI228" s="4550"/>
      <c r="BJ228" s="4550"/>
      <c r="BK228" s="4550"/>
      <c r="BL228" s="4550"/>
      <c r="BM228" s="4550"/>
      <c r="BN228" s="4550"/>
      <c r="BO228" s="4550"/>
      <c r="BP228" s="4550"/>
      <c r="BQ228" s="4550"/>
      <c r="BR228" s="4550"/>
      <c r="BS228" s="4550"/>
      <c r="BT228" s="4550"/>
      <c r="BU228" s="4550"/>
      <c r="BV228" s="4550"/>
      <c r="BW228" s="4550"/>
      <c r="BX228" s="4550"/>
      <c r="BY228" s="4550"/>
      <c r="BZ228" s="4550"/>
      <c r="CA228" s="4550"/>
      <c r="CB228" s="4550"/>
      <c r="CC228" s="4550"/>
      <c r="CD228" s="4550"/>
      <c r="CE228" s="4550"/>
      <c r="CF228" s="4550"/>
      <c r="CG228" s="4550"/>
      <c r="CH228" s="4550"/>
      <c r="CI228" s="4550"/>
      <c r="CJ228" s="4550"/>
      <c r="CK228" s="4550"/>
      <c r="CL228" s="4550"/>
      <c r="CM228" s="4550"/>
      <c r="CN228" s="4550"/>
      <c r="CO228" s="4550"/>
      <c r="CP228" s="4550"/>
      <c r="CQ228" s="4550"/>
      <c r="CR228" s="4550"/>
      <c r="CS228" s="4550"/>
      <c r="CT228" s="4550"/>
      <c r="CU228" s="4550"/>
      <c r="CV228" s="4550"/>
      <c r="CW228" s="4550"/>
      <c r="CX228" s="4550"/>
      <c r="CY228" s="4550"/>
      <c r="CZ228" s="4550"/>
      <c r="DA228" s="4550"/>
      <c r="DB228" s="4550"/>
      <c r="DC228" s="4550"/>
      <c r="DD228" s="4550"/>
      <c r="DE228" s="4550"/>
      <c r="DF228" s="4550"/>
      <c r="DG228" s="4550"/>
      <c r="DH228" s="4550"/>
      <c r="DI228" s="4550"/>
      <c r="DJ228" s="4550"/>
      <c r="DK228" s="4550"/>
      <c r="DL228" s="4550"/>
      <c r="DM228" s="4550"/>
      <c r="DN228" s="4550"/>
      <c r="DO228" s="4550"/>
      <c r="DP228" s="4550"/>
      <c r="DQ228" s="4550"/>
      <c r="DR228" s="4550"/>
      <c r="DS228" s="4550"/>
      <c r="DT228" s="4550"/>
      <c r="DU228" s="4550"/>
      <c r="DV228" s="4550"/>
      <c r="DW228" s="4550"/>
      <c r="DX228" s="4550"/>
      <c r="DY228" s="4550"/>
      <c r="DZ228" s="4550"/>
      <c r="EA228" s="4550"/>
      <c r="EB228" s="4550"/>
      <c r="EC228" s="4550"/>
      <c r="ED228" s="4550"/>
      <c r="EE228" s="4550"/>
      <c r="EF228" s="4550"/>
      <c r="EG228" s="4550"/>
      <c r="EH228" s="4550"/>
      <c r="EI228" s="4550"/>
      <c r="EJ228" s="4550"/>
      <c r="EK228" s="4550"/>
      <c r="EL228" s="4550"/>
      <c r="EM228" s="4550"/>
      <c r="EN228" s="4550"/>
      <c r="EO228" s="4550"/>
      <c r="EP228" s="4550"/>
      <c r="EQ228" s="4550"/>
      <c r="ER228" s="4550"/>
      <c r="ES228" s="4550"/>
      <c r="ET228" s="4550"/>
      <c r="EU228" s="4550"/>
      <c r="EV228" s="4550"/>
      <c r="EW228" s="4550"/>
      <c r="EX228" s="4550"/>
      <c r="EY228" s="4550"/>
      <c r="EZ228" s="4550"/>
      <c r="FA228" s="4550"/>
      <c r="FB228" s="4550"/>
      <c r="FC228" s="4550"/>
      <c r="FD228" s="4550"/>
      <c r="FE228" s="4550"/>
      <c r="FF228" s="4550"/>
      <c r="FG228" s="4550"/>
      <c r="FH228" s="4550"/>
      <c r="FI228" s="4550"/>
      <c r="FJ228" s="4550"/>
      <c r="FK228" s="4550"/>
      <c r="FL228" s="4550"/>
      <c r="FM228" s="4550"/>
      <c r="FN228" s="4550"/>
      <c r="FO228" s="4550"/>
      <c r="FP228" s="4550"/>
      <c r="FQ228" s="4550"/>
      <c r="FR228" s="4550"/>
      <c r="FS228" s="4550"/>
      <c r="FT228" s="4550"/>
      <c r="FU228" s="4550"/>
      <c r="FV228" s="4550"/>
      <c r="FW228" s="4550"/>
      <c r="FX228" s="4550"/>
      <c r="FY228" s="4550"/>
      <c r="FZ228" s="4550"/>
      <c r="GA228" s="4550"/>
      <c r="GB228" s="4550"/>
      <c r="GC228" s="4550"/>
      <c r="GD228" s="4550"/>
      <c r="GE228" s="4550"/>
      <c r="GF228" s="4550"/>
      <c r="GG228" s="4550"/>
      <c r="GH228" s="4550"/>
      <c r="GI228" s="4550"/>
      <c r="GJ228" s="4550"/>
      <c r="GK228" s="4550"/>
      <c r="GL228" s="4550"/>
      <c r="GM228" s="4550"/>
      <c r="GN228" s="4550"/>
      <c r="GO228" s="4550"/>
      <c r="GP228" s="4550"/>
      <c r="GQ228" s="4550"/>
      <c r="GR228" s="4550"/>
      <c r="GS228" s="4550"/>
      <c r="GT228" s="4550"/>
      <c r="GU228" s="4550"/>
      <c r="GV228" s="4550"/>
      <c r="GW228" s="4550"/>
      <c r="GX228" s="4550"/>
      <c r="GY228" s="4550"/>
      <c r="GZ228" s="4550"/>
      <c r="HA228" s="4550"/>
      <c r="HB228" s="4550"/>
      <c r="HC228" s="4550"/>
      <c r="HD228" s="4550"/>
      <c r="HE228" s="4550"/>
      <c r="HF228" s="4550"/>
      <c r="HG228" s="4550"/>
      <c r="HH228" s="4550"/>
      <c r="HI228" s="4550"/>
      <c r="HJ228" s="4550"/>
      <c r="HK228" s="4550"/>
      <c r="HL228" s="4550"/>
      <c r="HM228" s="4550"/>
      <c r="HN228" s="4550"/>
      <c r="HO228" s="4550"/>
      <c r="HP228" s="4550"/>
      <c r="HQ228" s="4550"/>
      <c r="HR228" s="4550"/>
      <c r="HS228" s="4550"/>
      <c r="HT228" s="4550"/>
      <c r="HU228" s="4550"/>
      <c r="HV228" s="4550"/>
      <c r="HW228" s="4550"/>
      <c r="HX228" s="4550"/>
      <c r="HY228" s="4550"/>
      <c r="HZ228" s="4550"/>
      <c r="IA228" s="4550"/>
      <c r="IB228" s="4550"/>
      <c r="IC228" s="4550"/>
      <c r="ID228" s="4550"/>
      <c r="IE228" s="4550"/>
    </row>
    <row r="229" spans="1:239" s="4549" customFormat="1" ht="10.5" customHeight="1">
      <c r="A229" s="4167"/>
      <c r="B229" s="4532"/>
      <c r="C229" s="4677"/>
      <c r="D229" s="4593"/>
      <c r="E229" s="4318"/>
      <c r="F229" s="4969"/>
      <c r="G229" s="4537"/>
      <c r="H229" s="4537"/>
      <c r="I229" s="4537"/>
      <c r="J229" s="4537"/>
      <c r="K229" s="4537"/>
      <c r="L229" s="4537"/>
      <c r="M229" s="4537"/>
      <c r="N229" s="4537"/>
      <c r="O229" s="4537"/>
      <c r="P229" s="4537"/>
      <c r="Q229" s="4537"/>
      <c r="R229" s="4537"/>
      <c r="S229" s="4537"/>
      <c r="T229" s="4537"/>
      <c r="U229" s="4537"/>
      <c r="V229" s="4537"/>
      <c r="W229" s="4537"/>
      <c r="X229" s="4537"/>
      <c r="Y229" s="4537"/>
      <c r="Z229" s="4537"/>
      <c r="AA229" s="4537"/>
      <c r="AB229" s="4537"/>
      <c r="AC229" s="4537"/>
      <c r="AD229" s="4537"/>
      <c r="AE229" s="4537"/>
      <c r="AF229" s="4537"/>
      <c r="AG229" s="4537"/>
      <c r="AH229" s="4537"/>
      <c r="AI229" s="4537"/>
      <c r="AJ229" s="4537"/>
      <c r="AK229" s="4537"/>
      <c r="AL229" s="4537"/>
      <c r="AM229" s="4537"/>
      <c r="AN229" s="4537"/>
      <c r="AO229" s="4537"/>
      <c r="AP229" s="4537"/>
      <c r="AQ229" s="4537"/>
      <c r="AR229" s="4537"/>
      <c r="AS229" s="4550"/>
      <c r="AT229" s="4550"/>
      <c r="AU229" s="4550"/>
      <c r="AV229" s="4550"/>
      <c r="AW229" s="4550"/>
      <c r="AX229" s="4550"/>
      <c r="AY229" s="4550"/>
      <c r="AZ229" s="4550"/>
      <c r="BA229" s="4550"/>
      <c r="BB229" s="4550"/>
      <c r="BC229" s="4550"/>
      <c r="BD229" s="4550"/>
      <c r="BE229" s="4550"/>
      <c r="BF229" s="4550"/>
      <c r="BG229" s="4550"/>
      <c r="BH229" s="4550"/>
      <c r="BI229" s="4550"/>
      <c r="BJ229" s="4550"/>
      <c r="BK229" s="4550"/>
      <c r="BL229" s="4550"/>
      <c r="BM229" s="4550"/>
      <c r="BN229" s="4550"/>
      <c r="BO229" s="4550"/>
      <c r="BP229" s="4550"/>
      <c r="BQ229" s="4550"/>
      <c r="BR229" s="4550"/>
      <c r="BS229" s="4550"/>
      <c r="BT229" s="4550"/>
      <c r="BU229" s="4550"/>
      <c r="BV229" s="4550"/>
      <c r="BW229" s="4550"/>
      <c r="BX229" s="4550"/>
      <c r="BY229" s="4550"/>
      <c r="BZ229" s="4550"/>
      <c r="CA229" s="4550"/>
      <c r="CB229" s="4550"/>
      <c r="CC229" s="4550"/>
      <c r="CD229" s="4550"/>
      <c r="CE229" s="4550"/>
      <c r="CF229" s="4550"/>
      <c r="CG229" s="4550"/>
      <c r="CH229" s="4550"/>
      <c r="CI229" s="4550"/>
      <c r="CJ229" s="4550"/>
      <c r="CK229" s="4550"/>
      <c r="CL229" s="4550"/>
      <c r="CM229" s="4550"/>
      <c r="CN229" s="4550"/>
      <c r="CO229" s="4550"/>
      <c r="CP229" s="4550"/>
      <c r="CQ229" s="4550"/>
      <c r="CR229" s="4550"/>
      <c r="CS229" s="4550"/>
      <c r="CT229" s="4550"/>
      <c r="CU229" s="4550"/>
      <c r="CV229" s="4550"/>
      <c r="CW229" s="4550"/>
      <c r="CX229" s="4550"/>
      <c r="CY229" s="4550"/>
      <c r="CZ229" s="4550"/>
      <c r="DA229" s="4550"/>
      <c r="DB229" s="4550"/>
      <c r="DC229" s="4550"/>
      <c r="DD229" s="4550"/>
      <c r="DE229" s="4550"/>
      <c r="DF229" s="4550"/>
      <c r="DG229" s="4550"/>
      <c r="DH229" s="4550"/>
      <c r="DI229" s="4550"/>
      <c r="DJ229" s="4550"/>
      <c r="DK229" s="4550"/>
      <c r="DL229" s="4550"/>
      <c r="DM229" s="4550"/>
      <c r="DN229" s="4550"/>
      <c r="DO229" s="4550"/>
      <c r="DP229" s="4550"/>
      <c r="DQ229" s="4550"/>
      <c r="DR229" s="4550"/>
      <c r="DS229" s="4550"/>
      <c r="DT229" s="4550"/>
      <c r="DU229" s="4550"/>
      <c r="DV229" s="4550"/>
      <c r="DW229" s="4550"/>
      <c r="DX229" s="4550"/>
      <c r="DY229" s="4550"/>
      <c r="DZ229" s="4550"/>
      <c r="EA229" s="4550"/>
      <c r="EB229" s="4550"/>
      <c r="EC229" s="4550"/>
      <c r="ED229" s="4550"/>
      <c r="EE229" s="4550"/>
      <c r="EF229" s="4550"/>
      <c r="EG229" s="4550"/>
      <c r="EH229" s="4550"/>
      <c r="EI229" s="4550"/>
      <c r="EJ229" s="4550"/>
      <c r="EK229" s="4550"/>
      <c r="EL229" s="4550"/>
      <c r="EM229" s="4550"/>
      <c r="EN229" s="4550"/>
      <c r="EO229" s="4550"/>
      <c r="EP229" s="4550"/>
      <c r="EQ229" s="4550"/>
      <c r="ER229" s="4550"/>
      <c r="ES229" s="4550"/>
      <c r="ET229" s="4550"/>
      <c r="EU229" s="4550"/>
      <c r="EV229" s="4550"/>
      <c r="EW229" s="4550"/>
      <c r="EX229" s="4550"/>
      <c r="EY229" s="4550"/>
      <c r="EZ229" s="4550"/>
      <c r="FA229" s="4550"/>
      <c r="FB229" s="4550"/>
      <c r="FC229" s="4550"/>
      <c r="FD229" s="4550"/>
      <c r="FE229" s="4550"/>
      <c r="FF229" s="4550"/>
      <c r="FG229" s="4550"/>
      <c r="FH229" s="4550"/>
      <c r="FI229" s="4550"/>
      <c r="FJ229" s="4550"/>
      <c r="FK229" s="4550"/>
      <c r="FL229" s="4550"/>
      <c r="FM229" s="4550"/>
      <c r="FN229" s="4550"/>
      <c r="FO229" s="4550"/>
      <c r="FP229" s="4550"/>
      <c r="FQ229" s="4550"/>
      <c r="FR229" s="4550"/>
      <c r="FS229" s="4550"/>
      <c r="FT229" s="4550"/>
      <c r="FU229" s="4550"/>
      <c r="FV229" s="4550"/>
      <c r="FW229" s="4550"/>
      <c r="FX229" s="4550"/>
      <c r="FY229" s="4550"/>
      <c r="FZ229" s="4550"/>
      <c r="GA229" s="4550"/>
      <c r="GB229" s="4550"/>
      <c r="GC229" s="4550"/>
      <c r="GD229" s="4550"/>
      <c r="GE229" s="4550"/>
      <c r="GF229" s="4550"/>
      <c r="GG229" s="4550"/>
      <c r="GH229" s="4550"/>
      <c r="GI229" s="4550"/>
      <c r="GJ229" s="4550"/>
      <c r="GK229" s="4550"/>
      <c r="GL229" s="4550"/>
      <c r="GM229" s="4550"/>
      <c r="GN229" s="4550"/>
      <c r="GO229" s="4550"/>
      <c r="GP229" s="4550"/>
      <c r="GQ229" s="4550"/>
      <c r="GR229" s="4550"/>
      <c r="GS229" s="4550"/>
      <c r="GT229" s="4550"/>
      <c r="GU229" s="4550"/>
      <c r="GV229" s="4550"/>
      <c r="GW229" s="4550"/>
      <c r="GX229" s="4550"/>
      <c r="GY229" s="4550"/>
      <c r="GZ229" s="4550"/>
      <c r="HA229" s="4550"/>
      <c r="HB229" s="4550"/>
      <c r="HC229" s="4550"/>
      <c r="HD229" s="4550"/>
      <c r="HE229" s="4550"/>
      <c r="HF229" s="4550"/>
      <c r="HG229" s="4550"/>
      <c r="HH229" s="4550"/>
      <c r="HI229" s="4550"/>
      <c r="HJ229" s="4550"/>
      <c r="HK229" s="4550"/>
      <c r="HL229" s="4550"/>
      <c r="HM229" s="4550"/>
      <c r="HN229" s="4550"/>
      <c r="HO229" s="4550"/>
      <c r="HP229" s="4550"/>
      <c r="HQ229" s="4550"/>
      <c r="HR229" s="4550"/>
      <c r="HS229" s="4550"/>
      <c r="HT229" s="4550"/>
      <c r="HU229" s="4550"/>
      <c r="HV229" s="4550"/>
      <c r="HW229" s="4550"/>
      <c r="HX229" s="4550"/>
      <c r="HY229" s="4550"/>
      <c r="HZ229" s="4550"/>
      <c r="IA229" s="4550"/>
      <c r="IB229" s="4550"/>
      <c r="IC229" s="4550"/>
      <c r="ID229" s="4550"/>
      <c r="IE229" s="4550"/>
    </row>
    <row r="230" spans="1:239" s="4549" customFormat="1" ht="15.75" customHeight="1">
      <c r="A230" s="4168">
        <v>6</v>
      </c>
      <c r="B230" s="4614" t="s">
        <v>4160</v>
      </c>
      <c r="C230" s="4677"/>
      <c r="D230" s="4593"/>
      <c r="E230" s="4318"/>
      <c r="F230" s="4969"/>
      <c r="G230" s="4537"/>
      <c r="H230" s="4537"/>
      <c r="I230" s="4537"/>
      <c r="J230" s="4537"/>
      <c r="K230" s="4537"/>
      <c r="L230" s="4537"/>
      <c r="M230" s="4537"/>
      <c r="N230" s="4537"/>
      <c r="O230" s="4537"/>
      <c r="P230" s="4537"/>
      <c r="Q230" s="4537"/>
      <c r="R230" s="4537"/>
      <c r="S230" s="4537"/>
      <c r="T230" s="4537"/>
      <c r="U230" s="4537"/>
      <c r="V230" s="4537"/>
      <c r="W230" s="4537"/>
      <c r="X230" s="4537"/>
      <c r="Y230" s="4537"/>
      <c r="Z230" s="4537"/>
      <c r="AA230" s="4537"/>
      <c r="AB230" s="4537"/>
      <c r="AC230" s="4537"/>
      <c r="AD230" s="4537"/>
      <c r="AE230" s="4537"/>
      <c r="AF230" s="4537"/>
      <c r="AG230" s="4537"/>
      <c r="AH230" s="4537"/>
      <c r="AI230" s="4537"/>
      <c r="AJ230" s="4537"/>
      <c r="AK230" s="4537"/>
      <c r="AL230" s="4537"/>
      <c r="AM230" s="4537"/>
      <c r="AN230" s="4537"/>
      <c r="AO230" s="4537"/>
      <c r="AP230" s="4537"/>
      <c r="AQ230" s="4537"/>
      <c r="AR230" s="4537"/>
      <c r="AS230" s="4550"/>
      <c r="AT230" s="4550"/>
      <c r="AU230" s="4550"/>
      <c r="AV230" s="4550"/>
      <c r="AW230" s="4550"/>
      <c r="AX230" s="4550"/>
      <c r="AY230" s="4550"/>
      <c r="AZ230" s="4550"/>
      <c r="BA230" s="4550"/>
      <c r="BB230" s="4550"/>
      <c r="BC230" s="4550"/>
      <c r="BD230" s="4550"/>
      <c r="BE230" s="4550"/>
      <c r="BF230" s="4550"/>
      <c r="BG230" s="4550"/>
      <c r="BH230" s="4550"/>
      <c r="BI230" s="4550"/>
      <c r="BJ230" s="4550"/>
      <c r="BK230" s="4550"/>
      <c r="BL230" s="4550"/>
      <c r="BM230" s="4550"/>
      <c r="BN230" s="4550"/>
      <c r="BO230" s="4550"/>
      <c r="BP230" s="4550"/>
      <c r="BQ230" s="4550"/>
      <c r="BR230" s="4550"/>
      <c r="BS230" s="4550"/>
      <c r="BT230" s="4550"/>
      <c r="BU230" s="4550"/>
      <c r="BV230" s="4550"/>
      <c r="BW230" s="4550"/>
      <c r="BX230" s="4550"/>
      <c r="BY230" s="4550"/>
      <c r="BZ230" s="4550"/>
      <c r="CA230" s="4550"/>
      <c r="CB230" s="4550"/>
      <c r="CC230" s="4550"/>
      <c r="CD230" s="4550"/>
      <c r="CE230" s="4550"/>
      <c r="CF230" s="4550"/>
      <c r="CG230" s="4550"/>
      <c r="CH230" s="4550"/>
      <c r="CI230" s="4550"/>
      <c r="CJ230" s="4550"/>
      <c r="CK230" s="4550"/>
      <c r="CL230" s="4550"/>
      <c r="CM230" s="4550"/>
      <c r="CN230" s="4550"/>
      <c r="CO230" s="4550"/>
      <c r="CP230" s="4550"/>
      <c r="CQ230" s="4550"/>
      <c r="CR230" s="4550"/>
      <c r="CS230" s="4550"/>
      <c r="CT230" s="4550"/>
      <c r="CU230" s="4550"/>
      <c r="CV230" s="4550"/>
      <c r="CW230" s="4550"/>
      <c r="CX230" s="4550"/>
      <c r="CY230" s="4550"/>
      <c r="CZ230" s="4550"/>
      <c r="DA230" s="4550"/>
      <c r="DB230" s="4550"/>
      <c r="DC230" s="4550"/>
      <c r="DD230" s="4550"/>
      <c r="DE230" s="4550"/>
      <c r="DF230" s="4550"/>
      <c r="DG230" s="4550"/>
      <c r="DH230" s="4550"/>
      <c r="DI230" s="4550"/>
      <c r="DJ230" s="4550"/>
      <c r="DK230" s="4550"/>
      <c r="DL230" s="4550"/>
      <c r="DM230" s="4550"/>
      <c r="DN230" s="4550"/>
      <c r="DO230" s="4550"/>
      <c r="DP230" s="4550"/>
      <c r="DQ230" s="4550"/>
      <c r="DR230" s="4550"/>
      <c r="DS230" s="4550"/>
      <c r="DT230" s="4550"/>
      <c r="DU230" s="4550"/>
      <c r="DV230" s="4550"/>
      <c r="DW230" s="4550"/>
      <c r="DX230" s="4550"/>
      <c r="DY230" s="4550"/>
      <c r="DZ230" s="4550"/>
      <c r="EA230" s="4550"/>
      <c r="EB230" s="4550"/>
      <c r="EC230" s="4550"/>
      <c r="ED230" s="4550"/>
      <c r="EE230" s="4550"/>
      <c r="EF230" s="4550"/>
      <c r="EG230" s="4550"/>
      <c r="EH230" s="4550"/>
      <c r="EI230" s="4550"/>
      <c r="EJ230" s="4550"/>
      <c r="EK230" s="4550"/>
      <c r="EL230" s="4550"/>
      <c r="EM230" s="4550"/>
      <c r="EN230" s="4550"/>
      <c r="EO230" s="4550"/>
      <c r="EP230" s="4550"/>
      <c r="EQ230" s="4550"/>
      <c r="ER230" s="4550"/>
      <c r="ES230" s="4550"/>
      <c r="ET230" s="4550"/>
      <c r="EU230" s="4550"/>
      <c r="EV230" s="4550"/>
      <c r="EW230" s="4550"/>
      <c r="EX230" s="4550"/>
      <c r="EY230" s="4550"/>
      <c r="EZ230" s="4550"/>
      <c r="FA230" s="4550"/>
      <c r="FB230" s="4550"/>
      <c r="FC230" s="4550"/>
      <c r="FD230" s="4550"/>
      <c r="FE230" s="4550"/>
      <c r="FF230" s="4550"/>
      <c r="FG230" s="4550"/>
      <c r="FH230" s="4550"/>
      <c r="FI230" s="4550"/>
      <c r="FJ230" s="4550"/>
      <c r="FK230" s="4550"/>
      <c r="FL230" s="4550"/>
      <c r="FM230" s="4550"/>
      <c r="FN230" s="4550"/>
      <c r="FO230" s="4550"/>
      <c r="FP230" s="4550"/>
      <c r="FQ230" s="4550"/>
      <c r="FR230" s="4550"/>
      <c r="FS230" s="4550"/>
      <c r="FT230" s="4550"/>
      <c r="FU230" s="4550"/>
      <c r="FV230" s="4550"/>
      <c r="FW230" s="4550"/>
      <c r="FX230" s="4550"/>
      <c r="FY230" s="4550"/>
      <c r="FZ230" s="4550"/>
      <c r="GA230" s="4550"/>
      <c r="GB230" s="4550"/>
      <c r="GC230" s="4550"/>
      <c r="GD230" s="4550"/>
      <c r="GE230" s="4550"/>
      <c r="GF230" s="4550"/>
      <c r="GG230" s="4550"/>
      <c r="GH230" s="4550"/>
      <c r="GI230" s="4550"/>
      <c r="GJ230" s="4550"/>
      <c r="GK230" s="4550"/>
      <c r="GL230" s="4550"/>
      <c r="GM230" s="4550"/>
      <c r="GN230" s="4550"/>
      <c r="GO230" s="4550"/>
      <c r="GP230" s="4550"/>
      <c r="GQ230" s="4550"/>
      <c r="GR230" s="4550"/>
      <c r="GS230" s="4550"/>
      <c r="GT230" s="4550"/>
      <c r="GU230" s="4550"/>
      <c r="GV230" s="4550"/>
      <c r="GW230" s="4550"/>
      <c r="GX230" s="4550"/>
      <c r="GY230" s="4550"/>
      <c r="GZ230" s="4550"/>
      <c r="HA230" s="4550"/>
      <c r="HB230" s="4550"/>
      <c r="HC230" s="4550"/>
      <c r="HD230" s="4550"/>
      <c r="HE230" s="4550"/>
      <c r="HF230" s="4550"/>
      <c r="HG230" s="4550"/>
      <c r="HH230" s="4550"/>
      <c r="HI230" s="4550"/>
      <c r="HJ230" s="4550"/>
      <c r="HK230" s="4550"/>
      <c r="HL230" s="4550"/>
      <c r="HM230" s="4550"/>
      <c r="HN230" s="4550"/>
      <c r="HO230" s="4550"/>
      <c r="HP230" s="4550"/>
      <c r="HQ230" s="4550"/>
      <c r="HR230" s="4550"/>
      <c r="HS230" s="4550"/>
      <c r="HT230" s="4550"/>
      <c r="HU230" s="4550"/>
      <c r="HV230" s="4550"/>
      <c r="HW230" s="4550"/>
      <c r="HX230" s="4550"/>
      <c r="HY230" s="4550"/>
      <c r="HZ230" s="4550"/>
      <c r="IA230" s="4550"/>
      <c r="IB230" s="4550"/>
      <c r="IC230" s="4550"/>
      <c r="ID230" s="4550"/>
      <c r="IE230" s="4550"/>
    </row>
    <row r="231" spans="1:239" s="4549" customFormat="1" ht="14.25" customHeight="1">
      <c r="A231" s="4167">
        <v>6.1</v>
      </c>
      <c r="B231" s="4532" t="s">
        <v>4161</v>
      </c>
      <c r="C231" s="4677">
        <v>2</v>
      </c>
      <c r="D231" s="4596" t="s">
        <v>2433</v>
      </c>
      <c r="E231" s="4318"/>
      <c r="F231" s="4969">
        <f t="shared" si="6"/>
        <v>0</v>
      </c>
      <c r="G231" s="4537"/>
      <c r="H231" s="4537"/>
      <c r="I231" s="4537"/>
      <c r="J231" s="4537"/>
      <c r="K231" s="4537"/>
      <c r="L231" s="4537"/>
      <c r="M231" s="4537"/>
      <c r="N231" s="4537"/>
      <c r="O231" s="4537"/>
      <c r="P231" s="4537"/>
      <c r="Q231" s="4537"/>
      <c r="R231" s="4537"/>
      <c r="S231" s="4537"/>
      <c r="T231" s="4537"/>
      <c r="U231" s="4537"/>
      <c r="V231" s="4537"/>
      <c r="W231" s="4537"/>
      <c r="X231" s="4537"/>
      <c r="Y231" s="4537"/>
      <c r="Z231" s="4537"/>
      <c r="AA231" s="4537"/>
      <c r="AB231" s="4537"/>
      <c r="AC231" s="4537"/>
      <c r="AD231" s="4537"/>
      <c r="AE231" s="4537"/>
      <c r="AF231" s="4537"/>
      <c r="AG231" s="4537"/>
      <c r="AH231" s="4537"/>
      <c r="AI231" s="4537"/>
      <c r="AJ231" s="4537"/>
      <c r="AK231" s="4537"/>
      <c r="AL231" s="4537"/>
      <c r="AM231" s="4537"/>
      <c r="AN231" s="4537"/>
      <c r="AO231" s="4537"/>
      <c r="AP231" s="4537"/>
      <c r="AQ231" s="4537"/>
      <c r="AR231" s="4537"/>
      <c r="AS231" s="4550"/>
      <c r="AT231" s="4550"/>
      <c r="AU231" s="4550"/>
      <c r="AV231" s="4550"/>
      <c r="AW231" s="4550"/>
      <c r="AX231" s="4550"/>
      <c r="AY231" s="4550"/>
      <c r="AZ231" s="4550"/>
      <c r="BA231" s="4550"/>
      <c r="BB231" s="4550"/>
      <c r="BC231" s="4550"/>
      <c r="BD231" s="4550"/>
      <c r="BE231" s="4550"/>
      <c r="BF231" s="4550"/>
      <c r="BG231" s="4550"/>
      <c r="BH231" s="4550"/>
      <c r="BI231" s="4550"/>
      <c r="BJ231" s="4550"/>
      <c r="BK231" s="4550"/>
      <c r="BL231" s="4550"/>
      <c r="BM231" s="4550"/>
      <c r="BN231" s="4550"/>
      <c r="BO231" s="4550"/>
      <c r="BP231" s="4550"/>
      <c r="BQ231" s="4550"/>
      <c r="BR231" s="4550"/>
      <c r="BS231" s="4550"/>
      <c r="BT231" s="4550"/>
      <c r="BU231" s="4550"/>
      <c r="BV231" s="4550"/>
      <c r="BW231" s="4550"/>
      <c r="BX231" s="4550"/>
      <c r="BY231" s="4550"/>
      <c r="BZ231" s="4550"/>
      <c r="CA231" s="4550"/>
      <c r="CB231" s="4550"/>
      <c r="CC231" s="4550"/>
      <c r="CD231" s="4550"/>
      <c r="CE231" s="4550"/>
      <c r="CF231" s="4550"/>
      <c r="CG231" s="4550"/>
      <c r="CH231" s="4550"/>
      <c r="CI231" s="4550"/>
      <c r="CJ231" s="4550"/>
      <c r="CK231" s="4550"/>
      <c r="CL231" s="4550"/>
      <c r="CM231" s="4550"/>
      <c r="CN231" s="4550"/>
      <c r="CO231" s="4550"/>
      <c r="CP231" s="4550"/>
      <c r="CQ231" s="4550"/>
      <c r="CR231" s="4550"/>
      <c r="CS231" s="4550"/>
      <c r="CT231" s="4550"/>
      <c r="CU231" s="4550"/>
      <c r="CV231" s="4550"/>
      <c r="CW231" s="4550"/>
      <c r="CX231" s="4550"/>
      <c r="CY231" s="4550"/>
      <c r="CZ231" s="4550"/>
      <c r="DA231" s="4550"/>
      <c r="DB231" s="4550"/>
      <c r="DC231" s="4550"/>
      <c r="DD231" s="4550"/>
      <c r="DE231" s="4550"/>
      <c r="DF231" s="4550"/>
      <c r="DG231" s="4550"/>
      <c r="DH231" s="4550"/>
      <c r="DI231" s="4550"/>
      <c r="DJ231" s="4550"/>
      <c r="DK231" s="4550"/>
      <c r="DL231" s="4550"/>
      <c r="DM231" s="4550"/>
      <c r="DN231" s="4550"/>
      <c r="DO231" s="4550"/>
      <c r="DP231" s="4550"/>
      <c r="DQ231" s="4550"/>
      <c r="DR231" s="4550"/>
      <c r="DS231" s="4550"/>
      <c r="DT231" s="4550"/>
      <c r="DU231" s="4550"/>
      <c r="DV231" s="4550"/>
      <c r="DW231" s="4550"/>
      <c r="DX231" s="4550"/>
      <c r="DY231" s="4550"/>
      <c r="DZ231" s="4550"/>
      <c r="EA231" s="4550"/>
      <c r="EB231" s="4550"/>
      <c r="EC231" s="4550"/>
      <c r="ED231" s="4550"/>
      <c r="EE231" s="4550"/>
      <c r="EF231" s="4550"/>
      <c r="EG231" s="4550"/>
      <c r="EH231" s="4550"/>
      <c r="EI231" s="4550"/>
      <c r="EJ231" s="4550"/>
      <c r="EK231" s="4550"/>
      <c r="EL231" s="4550"/>
      <c r="EM231" s="4550"/>
      <c r="EN231" s="4550"/>
      <c r="EO231" s="4550"/>
      <c r="EP231" s="4550"/>
      <c r="EQ231" s="4550"/>
      <c r="ER231" s="4550"/>
      <c r="ES231" s="4550"/>
      <c r="ET231" s="4550"/>
      <c r="EU231" s="4550"/>
      <c r="EV231" s="4550"/>
      <c r="EW231" s="4550"/>
      <c r="EX231" s="4550"/>
      <c r="EY231" s="4550"/>
      <c r="EZ231" s="4550"/>
      <c r="FA231" s="4550"/>
      <c r="FB231" s="4550"/>
      <c r="FC231" s="4550"/>
      <c r="FD231" s="4550"/>
      <c r="FE231" s="4550"/>
      <c r="FF231" s="4550"/>
      <c r="FG231" s="4550"/>
      <c r="FH231" s="4550"/>
      <c r="FI231" s="4550"/>
      <c r="FJ231" s="4550"/>
      <c r="FK231" s="4550"/>
      <c r="FL231" s="4550"/>
      <c r="FM231" s="4550"/>
      <c r="FN231" s="4550"/>
      <c r="FO231" s="4550"/>
      <c r="FP231" s="4550"/>
      <c r="FQ231" s="4550"/>
      <c r="FR231" s="4550"/>
      <c r="FS231" s="4550"/>
      <c r="FT231" s="4550"/>
      <c r="FU231" s="4550"/>
      <c r="FV231" s="4550"/>
      <c r="FW231" s="4550"/>
      <c r="FX231" s="4550"/>
      <c r="FY231" s="4550"/>
      <c r="FZ231" s="4550"/>
      <c r="GA231" s="4550"/>
      <c r="GB231" s="4550"/>
      <c r="GC231" s="4550"/>
      <c r="GD231" s="4550"/>
      <c r="GE231" s="4550"/>
      <c r="GF231" s="4550"/>
      <c r="GG231" s="4550"/>
      <c r="GH231" s="4550"/>
      <c r="GI231" s="4550"/>
      <c r="GJ231" s="4550"/>
      <c r="GK231" s="4550"/>
      <c r="GL231" s="4550"/>
      <c r="GM231" s="4550"/>
      <c r="GN231" s="4550"/>
      <c r="GO231" s="4550"/>
      <c r="GP231" s="4550"/>
      <c r="GQ231" s="4550"/>
      <c r="GR231" s="4550"/>
      <c r="GS231" s="4550"/>
      <c r="GT231" s="4550"/>
      <c r="GU231" s="4550"/>
      <c r="GV231" s="4550"/>
      <c r="GW231" s="4550"/>
      <c r="GX231" s="4550"/>
      <c r="GY231" s="4550"/>
      <c r="GZ231" s="4550"/>
      <c r="HA231" s="4550"/>
      <c r="HB231" s="4550"/>
      <c r="HC231" s="4550"/>
      <c r="HD231" s="4550"/>
      <c r="HE231" s="4550"/>
      <c r="HF231" s="4550"/>
      <c r="HG231" s="4550"/>
      <c r="HH231" s="4550"/>
      <c r="HI231" s="4550"/>
      <c r="HJ231" s="4550"/>
      <c r="HK231" s="4550"/>
      <c r="HL231" s="4550"/>
      <c r="HM231" s="4550"/>
      <c r="HN231" s="4550"/>
      <c r="HO231" s="4550"/>
      <c r="HP231" s="4550"/>
      <c r="HQ231" s="4550"/>
      <c r="HR231" s="4550"/>
      <c r="HS231" s="4550"/>
      <c r="HT231" s="4550"/>
      <c r="HU231" s="4550"/>
      <c r="HV231" s="4550"/>
      <c r="HW231" s="4550"/>
      <c r="HX231" s="4550"/>
      <c r="HY231" s="4550"/>
      <c r="HZ231" s="4550"/>
      <c r="IA231" s="4550"/>
      <c r="IB231" s="4550"/>
      <c r="IC231" s="4550"/>
      <c r="ID231" s="4550"/>
      <c r="IE231" s="4550"/>
    </row>
    <row r="232" spans="1:239" s="4549" customFormat="1" ht="16.5" customHeight="1">
      <c r="A232" s="4167">
        <v>6.2</v>
      </c>
      <c r="B232" s="4532" t="s">
        <v>4162</v>
      </c>
      <c r="C232" s="4677">
        <v>2</v>
      </c>
      <c r="D232" s="4596" t="s">
        <v>2433</v>
      </c>
      <c r="E232" s="4318"/>
      <c r="F232" s="4969">
        <f t="shared" si="6"/>
        <v>0</v>
      </c>
      <c r="G232" s="4537"/>
      <c r="H232" s="4537"/>
      <c r="I232" s="4537"/>
      <c r="J232" s="4537"/>
      <c r="K232" s="4537"/>
      <c r="L232" s="4537"/>
      <c r="M232" s="4537"/>
      <c r="N232" s="4537"/>
      <c r="O232" s="4537"/>
      <c r="P232" s="4537"/>
      <c r="Q232" s="4537"/>
      <c r="R232" s="4537"/>
      <c r="S232" s="4537"/>
      <c r="T232" s="4537"/>
      <c r="U232" s="4537"/>
      <c r="V232" s="4537"/>
      <c r="W232" s="4537"/>
      <c r="X232" s="4537"/>
      <c r="Y232" s="4537"/>
      <c r="Z232" s="4537"/>
      <c r="AA232" s="4537"/>
      <c r="AB232" s="4537"/>
      <c r="AC232" s="4537"/>
      <c r="AD232" s="4537"/>
      <c r="AE232" s="4537"/>
      <c r="AF232" s="4537"/>
      <c r="AG232" s="4537"/>
      <c r="AH232" s="4537"/>
      <c r="AI232" s="4537"/>
      <c r="AJ232" s="4537"/>
      <c r="AK232" s="4537"/>
      <c r="AL232" s="4537"/>
      <c r="AM232" s="4537"/>
      <c r="AN232" s="4537"/>
      <c r="AO232" s="4537"/>
      <c r="AP232" s="4537"/>
      <c r="AQ232" s="4537"/>
      <c r="AR232" s="4537"/>
      <c r="AS232" s="4550"/>
      <c r="AT232" s="4550"/>
      <c r="AU232" s="4550"/>
      <c r="AV232" s="4550"/>
      <c r="AW232" s="4550"/>
      <c r="AX232" s="4550"/>
      <c r="AY232" s="4550"/>
      <c r="AZ232" s="4550"/>
      <c r="BA232" s="4550"/>
      <c r="BB232" s="4550"/>
      <c r="BC232" s="4550"/>
      <c r="BD232" s="4550"/>
      <c r="BE232" s="4550"/>
      <c r="BF232" s="4550"/>
      <c r="BG232" s="4550"/>
      <c r="BH232" s="4550"/>
      <c r="BI232" s="4550"/>
      <c r="BJ232" s="4550"/>
      <c r="BK232" s="4550"/>
      <c r="BL232" s="4550"/>
      <c r="BM232" s="4550"/>
      <c r="BN232" s="4550"/>
      <c r="BO232" s="4550"/>
      <c r="BP232" s="4550"/>
      <c r="BQ232" s="4550"/>
      <c r="BR232" s="4550"/>
      <c r="BS232" s="4550"/>
      <c r="BT232" s="4550"/>
      <c r="BU232" s="4550"/>
      <c r="BV232" s="4550"/>
      <c r="BW232" s="4550"/>
      <c r="BX232" s="4550"/>
      <c r="BY232" s="4550"/>
      <c r="BZ232" s="4550"/>
      <c r="CA232" s="4550"/>
      <c r="CB232" s="4550"/>
      <c r="CC232" s="4550"/>
      <c r="CD232" s="4550"/>
      <c r="CE232" s="4550"/>
      <c r="CF232" s="4550"/>
      <c r="CG232" s="4550"/>
      <c r="CH232" s="4550"/>
      <c r="CI232" s="4550"/>
      <c r="CJ232" s="4550"/>
      <c r="CK232" s="4550"/>
      <c r="CL232" s="4550"/>
      <c r="CM232" s="4550"/>
      <c r="CN232" s="4550"/>
      <c r="CO232" s="4550"/>
      <c r="CP232" s="4550"/>
      <c r="CQ232" s="4550"/>
      <c r="CR232" s="4550"/>
      <c r="CS232" s="4550"/>
      <c r="CT232" s="4550"/>
      <c r="CU232" s="4550"/>
      <c r="CV232" s="4550"/>
      <c r="CW232" s="4550"/>
      <c r="CX232" s="4550"/>
      <c r="CY232" s="4550"/>
      <c r="CZ232" s="4550"/>
      <c r="DA232" s="4550"/>
      <c r="DB232" s="4550"/>
      <c r="DC232" s="4550"/>
      <c r="DD232" s="4550"/>
      <c r="DE232" s="4550"/>
      <c r="DF232" s="4550"/>
      <c r="DG232" s="4550"/>
      <c r="DH232" s="4550"/>
      <c r="DI232" s="4550"/>
      <c r="DJ232" s="4550"/>
      <c r="DK232" s="4550"/>
      <c r="DL232" s="4550"/>
      <c r="DM232" s="4550"/>
      <c r="DN232" s="4550"/>
      <c r="DO232" s="4550"/>
      <c r="DP232" s="4550"/>
      <c r="DQ232" s="4550"/>
      <c r="DR232" s="4550"/>
      <c r="DS232" s="4550"/>
      <c r="DT232" s="4550"/>
      <c r="DU232" s="4550"/>
      <c r="DV232" s="4550"/>
      <c r="DW232" s="4550"/>
      <c r="DX232" s="4550"/>
      <c r="DY232" s="4550"/>
      <c r="DZ232" s="4550"/>
      <c r="EA232" s="4550"/>
      <c r="EB232" s="4550"/>
      <c r="EC232" s="4550"/>
      <c r="ED232" s="4550"/>
      <c r="EE232" s="4550"/>
      <c r="EF232" s="4550"/>
      <c r="EG232" s="4550"/>
      <c r="EH232" s="4550"/>
      <c r="EI232" s="4550"/>
      <c r="EJ232" s="4550"/>
      <c r="EK232" s="4550"/>
      <c r="EL232" s="4550"/>
      <c r="EM232" s="4550"/>
      <c r="EN232" s="4550"/>
      <c r="EO232" s="4550"/>
      <c r="EP232" s="4550"/>
      <c r="EQ232" s="4550"/>
      <c r="ER232" s="4550"/>
      <c r="ES232" s="4550"/>
      <c r="ET232" s="4550"/>
      <c r="EU232" s="4550"/>
      <c r="EV232" s="4550"/>
      <c r="EW232" s="4550"/>
      <c r="EX232" s="4550"/>
      <c r="EY232" s="4550"/>
      <c r="EZ232" s="4550"/>
      <c r="FA232" s="4550"/>
      <c r="FB232" s="4550"/>
      <c r="FC232" s="4550"/>
      <c r="FD232" s="4550"/>
      <c r="FE232" s="4550"/>
      <c r="FF232" s="4550"/>
      <c r="FG232" s="4550"/>
      <c r="FH232" s="4550"/>
      <c r="FI232" s="4550"/>
      <c r="FJ232" s="4550"/>
      <c r="FK232" s="4550"/>
      <c r="FL232" s="4550"/>
      <c r="FM232" s="4550"/>
      <c r="FN232" s="4550"/>
      <c r="FO232" s="4550"/>
      <c r="FP232" s="4550"/>
      <c r="FQ232" s="4550"/>
      <c r="FR232" s="4550"/>
      <c r="FS232" s="4550"/>
      <c r="FT232" s="4550"/>
      <c r="FU232" s="4550"/>
      <c r="FV232" s="4550"/>
      <c r="FW232" s="4550"/>
      <c r="FX232" s="4550"/>
      <c r="FY232" s="4550"/>
      <c r="FZ232" s="4550"/>
      <c r="GA232" s="4550"/>
      <c r="GB232" s="4550"/>
      <c r="GC232" s="4550"/>
      <c r="GD232" s="4550"/>
      <c r="GE232" s="4550"/>
      <c r="GF232" s="4550"/>
      <c r="GG232" s="4550"/>
      <c r="GH232" s="4550"/>
      <c r="GI232" s="4550"/>
      <c r="GJ232" s="4550"/>
      <c r="GK232" s="4550"/>
      <c r="GL232" s="4550"/>
      <c r="GM232" s="4550"/>
      <c r="GN232" s="4550"/>
      <c r="GO232" s="4550"/>
      <c r="GP232" s="4550"/>
      <c r="GQ232" s="4550"/>
      <c r="GR232" s="4550"/>
      <c r="GS232" s="4550"/>
      <c r="GT232" s="4550"/>
      <c r="GU232" s="4550"/>
      <c r="GV232" s="4550"/>
      <c r="GW232" s="4550"/>
      <c r="GX232" s="4550"/>
      <c r="GY232" s="4550"/>
      <c r="GZ232" s="4550"/>
      <c r="HA232" s="4550"/>
      <c r="HB232" s="4550"/>
      <c r="HC232" s="4550"/>
      <c r="HD232" s="4550"/>
      <c r="HE232" s="4550"/>
      <c r="HF232" s="4550"/>
      <c r="HG232" s="4550"/>
      <c r="HH232" s="4550"/>
      <c r="HI232" s="4550"/>
      <c r="HJ232" s="4550"/>
      <c r="HK232" s="4550"/>
      <c r="HL232" s="4550"/>
      <c r="HM232" s="4550"/>
      <c r="HN232" s="4550"/>
      <c r="HO232" s="4550"/>
      <c r="HP232" s="4550"/>
      <c r="HQ232" s="4550"/>
      <c r="HR232" s="4550"/>
      <c r="HS232" s="4550"/>
      <c r="HT232" s="4550"/>
      <c r="HU232" s="4550"/>
      <c r="HV232" s="4550"/>
      <c r="HW232" s="4550"/>
      <c r="HX232" s="4550"/>
      <c r="HY232" s="4550"/>
      <c r="HZ232" s="4550"/>
      <c r="IA232" s="4550"/>
      <c r="IB232" s="4550"/>
      <c r="IC232" s="4550"/>
      <c r="ID232" s="4550"/>
      <c r="IE232" s="4550"/>
    </row>
    <row r="233" spans="1:239" s="4549" customFormat="1" ht="15" customHeight="1">
      <c r="A233" s="4167">
        <v>6.3</v>
      </c>
      <c r="B233" s="4532" t="s">
        <v>4660</v>
      </c>
      <c r="C233" s="4677">
        <v>2</v>
      </c>
      <c r="D233" s="4596" t="s">
        <v>2433</v>
      </c>
      <c r="E233" s="4318"/>
      <c r="F233" s="4969">
        <f>ROUND(C233*E233,2)</f>
        <v>0</v>
      </c>
      <c r="G233" s="4537"/>
      <c r="H233" s="4537"/>
      <c r="I233" s="4537"/>
      <c r="J233" s="4537"/>
      <c r="K233" s="4537"/>
      <c r="L233" s="4537"/>
      <c r="M233" s="4537"/>
      <c r="N233" s="4537"/>
      <c r="O233" s="4537"/>
      <c r="P233" s="4537"/>
      <c r="Q233" s="4537"/>
      <c r="R233" s="4537"/>
      <c r="S233" s="4537"/>
      <c r="T233" s="4537"/>
      <c r="U233" s="4537"/>
      <c r="V233" s="4537"/>
      <c r="W233" s="4537"/>
      <c r="X233" s="4537"/>
      <c r="Y233" s="4537"/>
      <c r="Z233" s="4537"/>
      <c r="AA233" s="4537"/>
      <c r="AB233" s="4537"/>
      <c r="AC233" s="4537"/>
      <c r="AD233" s="4537"/>
      <c r="AE233" s="4537"/>
      <c r="AF233" s="4537"/>
      <c r="AG233" s="4537"/>
      <c r="AH233" s="4537"/>
      <c r="AI233" s="4537"/>
      <c r="AJ233" s="4537"/>
      <c r="AK233" s="4537"/>
      <c r="AL233" s="4537"/>
      <c r="AM233" s="4537"/>
      <c r="AN233" s="4537"/>
      <c r="AO233" s="4537"/>
      <c r="AP233" s="4537"/>
      <c r="AQ233" s="4537"/>
      <c r="AR233" s="4537"/>
      <c r="AS233" s="4550"/>
      <c r="AT233" s="4550"/>
      <c r="AU233" s="4550"/>
      <c r="AV233" s="4550"/>
      <c r="AW233" s="4550"/>
      <c r="AX233" s="4550"/>
      <c r="AY233" s="4550"/>
      <c r="AZ233" s="4550"/>
      <c r="BA233" s="4550"/>
      <c r="BB233" s="4550"/>
      <c r="BC233" s="4550"/>
      <c r="BD233" s="4550"/>
      <c r="BE233" s="4550"/>
      <c r="BF233" s="4550"/>
      <c r="BG233" s="4550"/>
      <c r="BH233" s="4550"/>
      <c r="BI233" s="4550"/>
      <c r="BJ233" s="4550"/>
      <c r="BK233" s="4550"/>
      <c r="BL233" s="4550"/>
      <c r="BM233" s="4550"/>
      <c r="BN233" s="4550"/>
      <c r="BO233" s="4550"/>
      <c r="BP233" s="4550"/>
      <c r="BQ233" s="4550"/>
      <c r="BR233" s="4550"/>
      <c r="BS233" s="4550"/>
      <c r="BT233" s="4550"/>
      <c r="BU233" s="4550"/>
      <c r="BV233" s="4550"/>
      <c r="BW233" s="4550"/>
      <c r="BX233" s="4550"/>
      <c r="BY233" s="4550"/>
      <c r="BZ233" s="4550"/>
      <c r="CA233" s="4550"/>
      <c r="CB233" s="4550"/>
      <c r="CC233" s="4550"/>
      <c r="CD233" s="4550"/>
      <c r="CE233" s="4550"/>
      <c r="CF233" s="4550"/>
      <c r="CG233" s="4550"/>
      <c r="CH233" s="4550"/>
      <c r="CI233" s="4550"/>
      <c r="CJ233" s="4550"/>
      <c r="CK233" s="4550"/>
      <c r="CL233" s="4550"/>
      <c r="CM233" s="4550"/>
      <c r="CN233" s="4550"/>
      <c r="CO233" s="4550"/>
      <c r="CP233" s="4550"/>
      <c r="CQ233" s="4550"/>
      <c r="CR233" s="4550"/>
      <c r="CS233" s="4550"/>
      <c r="CT233" s="4550"/>
      <c r="CU233" s="4550"/>
      <c r="CV233" s="4550"/>
      <c r="CW233" s="4550"/>
      <c r="CX233" s="4550"/>
      <c r="CY233" s="4550"/>
      <c r="CZ233" s="4550"/>
      <c r="DA233" s="4550"/>
      <c r="DB233" s="4550"/>
      <c r="DC233" s="4550"/>
      <c r="DD233" s="4550"/>
      <c r="DE233" s="4550"/>
      <c r="DF233" s="4550"/>
      <c r="DG233" s="4550"/>
      <c r="DH233" s="4550"/>
      <c r="DI233" s="4550"/>
      <c r="DJ233" s="4550"/>
      <c r="DK233" s="4550"/>
      <c r="DL233" s="4550"/>
      <c r="DM233" s="4550"/>
      <c r="DN233" s="4550"/>
      <c r="DO233" s="4550"/>
      <c r="DP233" s="4550"/>
      <c r="DQ233" s="4550"/>
      <c r="DR233" s="4550"/>
      <c r="DS233" s="4550"/>
      <c r="DT233" s="4550"/>
      <c r="DU233" s="4550"/>
      <c r="DV233" s="4550"/>
      <c r="DW233" s="4550"/>
      <c r="DX233" s="4550"/>
      <c r="DY233" s="4550"/>
      <c r="DZ233" s="4550"/>
      <c r="EA233" s="4550"/>
      <c r="EB233" s="4550"/>
      <c r="EC233" s="4550"/>
      <c r="ED233" s="4550"/>
      <c r="EE233" s="4550"/>
      <c r="EF233" s="4550"/>
      <c r="EG233" s="4550"/>
      <c r="EH233" s="4550"/>
      <c r="EI233" s="4550"/>
      <c r="EJ233" s="4550"/>
      <c r="EK233" s="4550"/>
      <c r="EL233" s="4550"/>
      <c r="EM233" s="4550"/>
      <c r="EN233" s="4550"/>
      <c r="EO233" s="4550"/>
      <c r="EP233" s="4550"/>
      <c r="EQ233" s="4550"/>
      <c r="ER233" s="4550"/>
      <c r="ES233" s="4550"/>
      <c r="ET233" s="4550"/>
      <c r="EU233" s="4550"/>
      <c r="EV233" s="4550"/>
      <c r="EW233" s="4550"/>
      <c r="EX233" s="4550"/>
      <c r="EY233" s="4550"/>
      <c r="EZ233" s="4550"/>
      <c r="FA233" s="4550"/>
      <c r="FB233" s="4550"/>
      <c r="FC233" s="4550"/>
      <c r="FD233" s="4550"/>
      <c r="FE233" s="4550"/>
      <c r="FF233" s="4550"/>
      <c r="FG233" s="4550"/>
      <c r="FH233" s="4550"/>
      <c r="FI233" s="4550"/>
      <c r="FJ233" s="4550"/>
      <c r="FK233" s="4550"/>
      <c r="FL233" s="4550"/>
      <c r="FM233" s="4550"/>
      <c r="FN233" s="4550"/>
      <c r="FO233" s="4550"/>
      <c r="FP233" s="4550"/>
      <c r="FQ233" s="4550"/>
      <c r="FR233" s="4550"/>
      <c r="FS233" s="4550"/>
      <c r="FT233" s="4550"/>
      <c r="FU233" s="4550"/>
      <c r="FV233" s="4550"/>
      <c r="FW233" s="4550"/>
      <c r="FX233" s="4550"/>
      <c r="FY233" s="4550"/>
      <c r="FZ233" s="4550"/>
      <c r="GA233" s="4550"/>
      <c r="GB233" s="4550"/>
      <c r="GC233" s="4550"/>
      <c r="GD233" s="4550"/>
      <c r="GE233" s="4550"/>
      <c r="GF233" s="4550"/>
      <c r="GG233" s="4550"/>
      <c r="GH233" s="4550"/>
      <c r="GI233" s="4550"/>
      <c r="GJ233" s="4550"/>
      <c r="GK233" s="4550"/>
      <c r="GL233" s="4550"/>
      <c r="GM233" s="4550"/>
      <c r="GN233" s="4550"/>
      <c r="GO233" s="4550"/>
      <c r="GP233" s="4550"/>
      <c r="GQ233" s="4550"/>
      <c r="GR233" s="4550"/>
      <c r="GS233" s="4550"/>
      <c r="GT233" s="4550"/>
      <c r="GU233" s="4550"/>
      <c r="GV233" s="4550"/>
      <c r="GW233" s="4550"/>
      <c r="GX233" s="4550"/>
      <c r="GY233" s="4550"/>
      <c r="GZ233" s="4550"/>
      <c r="HA233" s="4550"/>
      <c r="HB233" s="4550"/>
      <c r="HC233" s="4550"/>
      <c r="HD233" s="4550"/>
      <c r="HE233" s="4550"/>
      <c r="HF233" s="4550"/>
      <c r="HG233" s="4550"/>
      <c r="HH233" s="4550"/>
      <c r="HI233" s="4550"/>
      <c r="HJ233" s="4550"/>
      <c r="HK233" s="4550"/>
      <c r="HL233" s="4550"/>
      <c r="HM233" s="4550"/>
      <c r="HN233" s="4550"/>
      <c r="HO233" s="4550"/>
      <c r="HP233" s="4550"/>
      <c r="HQ233" s="4550"/>
      <c r="HR233" s="4550"/>
      <c r="HS233" s="4550"/>
      <c r="HT233" s="4550"/>
      <c r="HU233" s="4550"/>
      <c r="HV233" s="4550"/>
      <c r="HW233" s="4550"/>
      <c r="HX233" s="4550"/>
      <c r="HY233" s="4550"/>
      <c r="HZ233" s="4550"/>
      <c r="IA233" s="4550"/>
      <c r="IB233" s="4550"/>
      <c r="IC233" s="4550"/>
      <c r="ID233" s="4550"/>
      <c r="IE233" s="4550"/>
    </row>
    <row r="234" spans="1:239" s="4549" customFormat="1" ht="15.75" customHeight="1">
      <c r="A234" s="4167">
        <v>6.4</v>
      </c>
      <c r="B234" s="4532" t="s">
        <v>4567</v>
      </c>
      <c r="C234" s="4677">
        <v>2</v>
      </c>
      <c r="D234" s="4596" t="s">
        <v>2433</v>
      </c>
      <c r="E234" s="4318"/>
      <c r="F234" s="4969">
        <f>ROUND(C234*E234,2)</f>
        <v>0</v>
      </c>
      <c r="G234" s="4537"/>
      <c r="H234" s="4537"/>
      <c r="I234" s="4537"/>
      <c r="J234" s="4537"/>
      <c r="K234" s="4537"/>
      <c r="L234" s="4537"/>
      <c r="M234" s="4537"/>
      <c r="N234" s="4537"/>
      <c r="O234" s="4537"/>
      <c r="P234" s="4537"/>
      <c r="Q234" s="4537"/>
      <c r="R234" s="4537"/>
      <c r="S234" s="4537"/>
      <c r="T234" s="4537"/>
      <c r="U234" s="4537"/>
      <c r="V234" s="4537"/>
      <c r="W234" s="4537"/>
      <c r="X234" s="4537"/>
      <c r="Y234" s="4537"/>
      <c r="Z234" s="4537"/>
      <c r="AA234" s="4537"/>
      <c r="AB234" s="4537"/>
      <c r="AC234" s="4537"/>
      <c r="AD234" s="4537"/>
      <c r="AE234" s="4537"/>
      <c r="AF234" s="4537"/>
      <c r="AG234" s="4537"/>
      <c r="AH234" s="4537"/>
      <c r="AI234" s="4537"/>
      <c r="AJ234" s="4537"/>
      <c r="AK234" s="4537"/>
      <c r="AL234" s="4537"/>
      <c r="AM234" s="4537"/>
      <c r="AN234" s="4537"/>
      <c r="AO234" s="4537"/>
      <c r="AP234" s="4537"/>
      <c r="AQ234" s="4537"/>
      <c r="AR234" s="4537"/>
      <c r="AS234" s="4550"/>
      <c r="AT234" s="4550"/>
      <c r="AU234" s="4550"/>
      <c r="AV234" s="4550"/>
      <c r="AW234" s="4550"/>
      <c r="AX234" s="4550"/>
      <c r="AY234" s="4550"/>
      <c r="AZ234" s="4550"/>
      <c r="BA234" s="4550"/>
      <c r="BB234" s="4550"/>
      <c r="BC234" s="4550"/>
      <c r="BD234" s="4550"/>
      <c r="BE234" s="4550"/>
      <c r="BF234" s="4550"/>
      <c r="BG234" s="4550"/>
      <c r="BH234" s="4550"/>
      <c r="BI234" s="4550"/>
      <c r="BJ234" s="4550"/>
      <c r="BK234" s="4550"/>
      <c r="BL234" s="4550"/>
      <c r="BM234" s="4550"/>
      <c r="BN234" s="4550"/>
      <c r="BO234" s="4550"/>
      <c r="BP234" s="4550"/>
      <c r="BQ234" s="4550"/>
      <c r="BR234" s="4550"/>
      <c r="BS234" s="4550"/>
      <c r="BT234" s="4550"/>
      <c r="BU234" s="4550"/>
      <c r="BV234" s="4550"/>
      <c r="BW234" s="4550"/>
      <c r="BX234" s="4550"/>
      <c r="BY234" s="4550"/>
      <c r="BZ234" s="4550"/>
      <c r="CA234" s="4550"/>
      <c r="CB234" s="4550"/>
      <c r="CC234" s="4550"/>
      <c r="CD234" s="4550"/>
      <c r="CE234" s="4550"/>
      <c r="CF234" s="4550"/>
      <c r="CG234" s="4550"/>
      <c r="CH234" s="4550"/>
      <c r="CI234" s="4550"/>
      <c r="CJ234" s="4550"/>
      <c r="CK234" s="4550"/>
      <c r="CL234" s="4550"/>
      <c r="CM234" s="4550"/>
      <c r="CN234" s="4550"/>
      <c r="CO234" s="4550"/>
      <c r="CP234" s="4550"/>
      <c r="CQ234" s="4550"/>
      <c r="CR234" s="4550"/>
      <c r="CS234" s="4550"/>
      <c r="CT234" s="4550"/>
      <c r="CU234" s="4550"/>
      <c r="CV234" s="4550"/>
      <c r="CW234" s="4550"/>
      <c r="CX234" s="4550"/>
      <c r="CY234" s="4550"/>
      <c r="CZ234" s="4550"/>
      <c r="DA234" s="4550"/>
      <c r="DB234" s="4550"/>
      <c r="DC234" s="4550"/>
      <c r="DD234" s="4550"/>
      <c r="DE234" s="4550"/>
      <c r="DF234" s="4550"/>
      <c r="DG234" s="4550"/>
      <c r="DH234" s="4550"/>
      <c r="DI234" s="4550"/>
      <c r="DJ234" s="4550"/>
      <c r="DK234" s="4550"/>
      <c r="DL234" s="4550"/>
      <c r="DM234" s="4550"/>
      <c r="DN234" s="4550"/>
      <c r="DO234" s="4550"/>
      <c r="DP234" s="4550"/>
      <c r="DQ234" s="4550"/>
      <c r="DR234" s="4550"/>
      <c r="DS234" s="4550"/>
      <c r="DT234" s="4550"/>
      <c r="DU234" s="4550"/>
      <c r="DV234" s="4550"/>
      <c r="DW234" s="4550"/>
      <c r="DX234" s="4550"/>
      <c r="DY234" s="4550"/>
      <c r="DZ234" s="4550"/>
      <c r="EA234" s="4550"/>
      <c r="EB234" s="4550"/>
      <c r="EC234" s="4550"/>
      <c r="ED234" s="4550"/>
      <c r="EE234" s="4550"/>
      <c r="EF234" s="4550"/>
      <c r="EG234" s="4550"/>
      <c r="EH234" s="4550"/>
      <c r="EI234" s="4550"/>
      <c r="EJ234" s="4550"/>
      <c r="EK234" s="4550"/>
      <c r="EL234" s="4550"/>
      <c r="EM234" s="4550"/>
      <c r="EN234" s="4550"/>
      <c r="EO234" s="4550"/>
      <c r="EP234" s="4550"/>
      <c r="EQ234" s="4550"/>
      <c r="ER234" s="4550"/>
      <c r="ES234" s="4550"/>
      <c r="ET234" s="4550"/>
      <c r="EU234" s="4550"/>
      <c r="EV234" s="4550"/>
      <c r="EW234" s="4550"/>
      <c r="EX234" s="4550"/>
      <c r="EY234" s="4550"/>
      <c r="EZ234" s="4550"/>
      <c r="FA234" s="4550"/>
      <c r="FB234" s="4550"/>
      <c r="FC234" s="4550"/>
      <c r="FD234" s="4550"/>
      <c r="FE234" s="4550"/>
      <c r="FF234" s="4550"/>
      <c r="FG234" s="4550"/>
      <c r="FH234" s="4550"/>
      <c r="FI234" s="4550"/>
      <c r="FJ234" s="4550"/>
      <c r="FK234" s="4550"/>
      <c r="FL234" s="4550"/>
      <c r="FM234" s="4550"/>
      <c r="FN234" s="4550"/>
      <c r="FO234" s="4550"/>
      <c r="FP234" s="4550"/>
      <c r="FQ234" s="4550"/>
      <c r="FR234" s="4550"/>
      <c r="FS234" s="4550"/>
      <c r="FT234" s="4550"/>
      <c r="FU234" s="4550"/>
      <c r="FV234" s="4550"/>
      <c r="FW234" s="4550"/>
      <c r="FX234" s="4550"/>
      <c r="FY234" s="4550"/>
      <c r="FZ234" s="4550"/>
      <c r="GA234" s="4550"/>
      <c r="GB234" s="4550"/>
      <c r="GC234" s="4550"/>
      <c r="GD234" s="4550"/>
      <c r="GE234" s="4550"/>
      <c r="GF234" s="4550"/>
      <c r="GG234" s="4550"/>
      <c r="GH234" s="4550"/>
      <c r="GI234" s="4550"/>
      <c r="GJ234" s="4550"/>
      <c r="GK234" s="4550"/>
      <c r="GL234" s="4550"/>
      <c r="GM234" s="4550"/>
      <c r="GN234" s="4550"/>
      <c r="GO234" s="4550"/>
      <c r="GP234" s="4550"/>
      <c r="GQ234" s="4550"/>
      <c r="GR234" s="4550"/>
      <c r="GS234" s="4550"/>
      <c r="GT234" s="4550"/>
      <c r="GU234" s="4550"/>
      <c r="GV234" s="4550"/>
      <c r="GW234" s="4550"/>
      <c r="GX234" s="4550"/>
      <c r="GY234" s="4550"/>
      <c r="GZ234" s="4550"/>
      <c r="HA234" s="4550"/>
      <c r="HB234" s="4550"/>
      <c r="HC234" s="4550"/>
      <c r="HD234" s="4550"/>
      <c r="HE234" s="4550"/>
      <c r="HF234" s="4550"/>
      <c r="HG234" s="4550"/>
      <c r="HH234" s="4550"/>
      <c r="HI234" s="4550"/>
      <c r="HJ234" s="4550"/>
      <c r="HK234" s="4550"/>
      <c r="HL234" s="4550"/>
      <c r="HM234" s="4550"/>
      <c r="HN234" s="4550"/>
      <c r="HO234" s="4550"/>
      <c r="HP234" s="4550"/>
      <c r="HQ234" s="4550"/>
      <c r="HR234" s="4550"/>
      <c r="HS234" s="4550"/>
      <c r="HT234" s="4550"/>
      <c r="HU234" s="4550"/>
      <c r="HV234" s="4550"/>
      <c r="HW234" s="4550"/>
      <c r="HX234" s="4550"/>
      <c r="HY234" s="4550"/>
      <c r="HZ234" s="4550"/>
      <c r="IA234" s="4550"/>
      <c r="IB234" s="4550"/>
      <c r="IC234" s="4550"/>
      <c r="ID234" s="4550"/>
      <c r="IE234" s="4550"/>
    </row>
    <row r="235" spans="1:239" s="4549" customFormat="1" ht="8.25" customHeight="1">
      <c r="A235" s="4167"/>
      <c r="B235" s="4532"/>
      <c r="C235" s="4677"/>
      <c r="D235" s="4596"/>
      <c r="E235" s="4318"/>
      <c r="F235" s="4969"/>
      <c r="G235" s="4537"/>
      <c r="H235" s="4537"/>
      <c r="I235" s="4537"/>
      <c r="J235" s="4537"/>
      <c r="K235" s="4537"/>
      <c r="L235" s="4537"/>
      <c r="M235" s="4537"/>
      <c r="N235" s="4537"/>
      <c r="O235" s="4537"/>
      <c r="P235" s="4537"/>
      <c r="Q235" s="4537"/>
      <c r="R235" s="4537"/>
      <c r="S235" s="4537"/>
      <c r="T235" s="4537"/>
      <c r="U235" s="4537"/>
      <c r="V235" s="4537"/>
      <c r="W235" s="4537"/>
      <c r="X235" s="4537"/>
      <c r="Y235" s="4537"/>
      <c r="Z235" s="4537"/>
      <c r="AA235" s="4537"/>
      <c r="AB235" s="4537"/>
      <c r="AC235" s="4537"/>
      <c r="AD235" s="4537"/>
      <c r="AE235" s="4537"/>
      <c r="AF235" s="4537"/>
      <c r="AG235" s="4537"/>
      <c r="AH235" s="4537"/>
      <c r="AI235" s="4537"/>
      <c r="AJ235" s="4537"/>
      <c r="AK235" s="4537"/>
      <c r="AL235" s="4537"/>
      <c r="AM235" s="4537"/>
      <c r="AN235" s="4537"/>
      <c r="AO235" s="4537"/>
      <c r="AP235" s="4537"/>
      <c r="AQ235" s="4537"/>
      <c r="AR235" s="4537"/>
      <c r="AS235" s="4550"/>
      <c r="AT235" s="4550"/>
      <c r="AU235" s="4550"/>
      <c r="AV235" s="4550"/>
      <c r="AW235" s="4550"/>
      <c r="AX235" s="4550"/>
      <c r="AY235" s="4550"/>
      <c r="AZ235" s="4550"/>
      <c r="BA235" s="4550"/>
      <c r="BB235" s="4550"/>
      <c r="BC235" s="4550"/>
      <c r="BD235" s="4550"/>
      <c r="BE235" s="4550"/>
      <c r="BF235" s="4550"/>
      <c r="BG235" s="4550"/>
      <c r="BH235" s="4550"/>
      <c r="BI235" s="4550"/>
      <c r="BJ235" s="4550"/>
      <c r="BK235" s="4550"/>
      <c r="BL235" s="4550"/>
      <c r="BM235" s="4550"/>
      <c r="BN235" s="4550"/>
      <c r="BO235" s="4550"/>
      <c r="BP235" s="4550"/>
      <c r="BQ235" s="4550"/>
      <c r="BR235" s="4550"/>
      <c r="BS235" s="4550"/>
      <c r="BT235" s="4550"/>
      <c r="BU235" s="4550"/>
      <c r="BV235" s="4550"/>
      <c r="BW235" s="4550"/>
      <c r="BX235" s="4550"/>
      <c r="BY235" s="4550"/>
      <c r="BZ235" s="4550"/>
      <c r="CA235" s="4550"/>
      <c r="CB235" s="4550"/>
      <c r="CC235" s="4550"/>
      <c r="CD235" s="4550"/>
      <c r="CE235" s="4550"/>
      <c r="CF235" s="4550"/>
      <c r="CG235" s="4550"/>
      <c r="CH235" s="4550"/>
      <c r="CI235" s="4550"/>
      <c r="CJ235" s="4550"/>
      <c r="CK235" s="4550"/>
      <c r="CL235" s="4550"/>
      <c r="CM235" s="4550"/>
      <c r="CN235" s="4550"/>
      <c r="CO235" s="4550"/>
      <c r="CP235" s="4550"/>
      <c r="CQ235" s="4550"/>
      <c r="CR235" s="4550"/>
      <c r="CS235" s="4550"/>
      <c r="CT235" s="4550"/>
      <c r="CU235" s="4550"/>
      <c r="CV235" s="4550"/>
      <c r="CW235" s="4550"/>
      <c r="CX235" s="4550"/>
      <c r="CY235" s="4550"/>
      <c r="CZ235" s="4550"/>
      <c r="DA235" s="4550"/>
      <c r="DB235" s="4550"/>
      <c r="DC235" s="4550"/>
      <c r="DD235" s="4550"/>
      <c r="DE235" s="4550"/>
      <c r="DF235" s="4550"/>
      <c r="DG235" s="4550"/>
      <c r="DH235" s="4550"/>
      <c r="DI235" s="4550"/>
      <c r="DJ235" s="4550"/>
      <c r="DK235" s="4550"/>
      <c r="DL235" s="4550"/>
      <c r="DM235" s="4550"/>
      <c r="DN235" s="4550"/>
      <c r="DO235" s="4550"/>
      <c r="DP235" s="4550"/>
      <c r="DQ235" s="4550"/>
      <c r="DR235" s="4550"/>
      <c r="DS235" s="4550"/>
      <c r="DT235" s="4550"/>
      <c r="DU235" s="4550"/>
      <c r="DV235" s="4550"/>
      <c r="DW235" s="4550"/>
      <c r="DX235" s="4550"/>
      <c r="DY235" s="4550"/>
      <c r="DZ235" s="4550"/>
      <c r="EA235" s="4550"/>
      <c r="EB235" s="4550"/>
      <c r="EC235" s="4550"/>
      <c r="ED235" s="4550"/>
      <c r="EE235" s="4550"/>
      <c r="EF235" s="4550"/>
      <c r="EG235" s="4550"/>
      <c r="EH235" s="4550"/>
      <c r="EI235" s="4550"/>
      <c r="EJ235" s="4550"/>
      <c r="EK235" s="4550"/>
      <c r="EL235" s="4550"/>
      <c r="EM235" s="4550"/>
      <c r="EN235" s="4550"/>
      <c r="EO235" s="4550"/>
      <c r="EP235" s="4550"/>
      <c r="EQ235" s="4550"/>
      <c r="ER235" s="4550"/>
      <c r="ES235" s="4550"/>
      <c r="ET235" s="4550"/>
      <c r="EU235" s="4550"/>
      <c r="EV235" s="4550"/>
      <c r="EW235" s="4550"/>
      <c r="EX235" s="4550"/>
      <c r="EY235" s="4550"/>
      <c r="EZ235" s="4550"/>
      <c r="FA235" s="4550"/>
      <c r="FB235" s="4550"/>
      <c r="FC235" s="4550"/>
      <c r="FD235" s="4550"/>
      <c r="FE235" s="4550"/>
      <c r="FF235" s="4550"/>
      <c r="FG235" s="4550"/>
      <c r="FH235" s="4550"/>
      <c r="FI235" s="4550"/>
      <c r="FJ235" s="4550"/>
      <c r="FK235" s="4550"/>
      <c r="FL235" s="4550"/>
      <c r="FM235" s="4550"/>
      <c r="FN235" s="4550"/>
      <c r="FO235" s="4550"/>
      <c r="FP235" s="4550"/>
      <c r="FQ235" s="4550"/>
      <c r="FR235" s="4550"/>
      <c r="FS235" s="4550"/>
      <c r="FT235" s="4550"/>
      <c r="FU235" s="4550"/>
      <c r="FV235" s="4550"/>
      <c r="FW235" s="4550"/>
      <c r="FX235" s="4550"/>
      <c r="FY235" s="4550"/>
      <c r="FZ235" s="4550"/>
      <c r="GA235" s="4550"/>
      <c r="GB235" s="4550"/>
      <c r="GC235" s="4550"/>
      <c r="GD235" s="4550"/>
      <c r="GE235" s="4550"/>
      <c r="GF235" s="4550"/>
      <c r="GG235" s="4550"/>
      <c r="GH235" s="4550"/>
      <c r="GI235" s="4550"/>
      <c r="GJ235" s="4550"/>
      <c r="GK235" s="4550"/>
      <c r="GL235" s="4550"/>
      <c r="GM235" s="4550"/>
      <c r="GN235" s="4550"/>
      <c r="GO235" s="4550"/>
      <c r="GP235" s="4550"/>
      <c r="GQ235" s="4550"/>
      <c r="GR235" s="4550"/>
      <c r="GS235" s="4550"/>
      <c r="GT235" s="4550"/>
      <c r="GU235" s="4550"/>
      <c r="GV235" s="4550"/>
      <c r="GW235" s="4550"/>
      <c r="GX235" s="4550"/>
      <c r="GY235" s="4550"/>
      <c r="GZ235" s="4550"/>
      <c r="HA235" s="4550"/>
      <c r="HB235" s="4550"/>
      <c r="HC235" s="4550"/>
      <c r="HD235" s="4550"/>
      <c r="HE235" s="4550"/>
      <c r="HF235" s="4550"/>
      <c r="HG235" s="4550"/>
      <c r="HH235" s="4550"/>
      <c r="HI235" s="4550"/>
      <c r="HJ235" s="4550"/>
      <c r="HK235" s="4550"/>
      <c r="HL235" s="4550"/>
      <c r="HM235" s="4550"/>
      <c r="HN235" s="4550"/>
      <c r="HO235" s="4550"/>
      <c r="HP235" s="4550"/>
      <c r="HQ235" s="4550"/>
      <c r="HR235" s="4550"/>
      <c r="HS235" s="4550"/>
      <c r="HT235" s="4550"/>
      <c r="HU235" s="4550"/>
      <c r="HV235" s="4550"/>
      <c r="HW235" s="4550"/>
      <c r="HX235" s="4550"/>
      <c r="HY235" s="4550"/>
      <c r="HZ235" s="4550"/>
      <c r="IA235" s="4550"/>
      <c r="IB235" s="4550"/>
      <c r="IC235" s="4550"/>
      <c r="ID235" s="4550"/>
      <c r="IE235" s="4550"/>
    </row>
    <row r="236" spans="1:239" s="4549" customFormat="1" ht="15" customHeight="1">
      <c r="A236" s="4168">
        <v>7</v>
      </c>
      <c r="B236" s="4532" t="s">
        <v>4163</v>
      </c>
      <c r="C236" s="4659">
        <v>103.32</v>
      </c>
      <c r="D236" s="4600" t="s">
        <v>1</v>
      </c>
      <c r="E236" s="4318"/>
      <c r="F236" s="4995">
        <f t="shared" ref="F236" si="7">+C236*E236</f>
        <v>0</v>
      </c>
      <c r="G236" s="4537"/>
      <c r="H236" s="4537"/>
      <c r="I236" s="4537"/>
      <c r="J236" s="4537"/>
      <c r="K236" s="4537"/>
      <c r="L236" s="4537"/>
      <c r="M236" s="4537"/>
      <c r="N236" s="4537"/>
      <c r="O236" s="4537"/>
      <c r="P236" s="4537"/>
      <c r="Q236" s="4537"/>
      <c r="R236" s="4537"/>
      <c r="S236" s="4537"/>
      <c r="T236" s="4537"/>
      <c r="U236" s="4537"/>
      <c r="V236" s="4537"/>
      <c r="W236" s="4537"/>
      <c r="X236" s="4537"/>
      <c r="Y236" s="4537"/>
      <c r="Z236" s="4537"/>
      <c r="AA236" s="4537"/>
      <c r="AB236" s="4537"/>
      <c r="AC236" s="4537"/>
      <c r="AD236" s="4537"/>
      <c r="AE236" s="4537"/>
      <c r="AF236" s="4537"/>
      <c r="AG236" s="4537"/>
      <c r="AH236" s="4537"/>
      <c r="AI236" s="4537"/>
      <c r="AJ236" s="4537"/>
      <c r="AK236" s="4537"/>
      <c r="AL236" s="4537"/>
      <c r="AM236" s="4537"/>
      <c r="AN236" s="4537"/>
      <c r="AO236" s="4537"/>
      <c r="AP236" s="4537"/>
      <c r="AQ236" s="4537"/>
      <c r="AR236" s="4537"/>
      <c r="AS236" s="4550"/>
      <c r="AT236" s="4550"/>
      <c r="AU236" s="4550"/>
      <c r="AV236" s="4550"/>
      <c r="AW236" s="4550"/>
      <c r="AX236" s="4550"/>
      <c r="AY236" s="4550"/>
      <c r="AZ236" s="4550"/>
      <c r="BA236" s="4550"/>
      <c r="BB236" s="4550"/>
      <c r="BC236" s="4550"/>
      <c r="BD236" s="4550"/>
      <c r="BE236" s="4550"/>
      <c r="BF236" s="4550"/>
      <c r="BG236" s="4550"/>
      <c r="BH236" s="4550"/>
      <c r="BI236" s="4550"/>
      <c r="BJ236" s="4550"/>
      <c r="BK236" s="4550"/>
      <c r="BL236" s="4550"/>
      <c r="BM236" s="4550"/>
      <c r="BN236" s="4550"/>
      <c r="BO236" s="4550"/>
      <c r="BP236" s="4550"/>
      <c r="BQ236" s="4550"/>
      <c r="BR236" s="4550"/>
      <c r="BS236" s="4550"/>
      <c r="BT236" s="4550"/>
      <c r="BU236" s="4550"/>
      <c r="BV236" s="4550"/>
      <c r="BW236" s="4550"/>
      <c r="BX236" s="4550"/>
      <c r="BY236" s="4550"/>
      <c r="BZ236" s="4550"/>
      <c r="CA236" s="4550"/>
      <c r="CB236" s="4550"/>
      <c r="CC236" s="4550"/>
      <c r="CD236" s="4550"/>
      <c r="CE236" s="4550"/>
      <c r="CF236" s="4550"/>
      <c r="CG236" s="4550"/>
      <c r="CH236" s="4550"/>
      <c r="CI236" s="4550"/>
      <c r="CJ236" s="4550"/>
      <c r="CK236" s="4550"/>
      <c r="CL236" s="4550"/>
      <c r="CM236" s="4550"/>
      <c r="CN236" s="4550"/>
      <c r="CO236" s="4550"/>
      <c r="CP236" s="4550"/>
      <c r="CQ236" s="4550"/>
      <c r="CR236" s="4550"/>
      <c r="CS236" s="4550"/>
      <c r="CT236" s="4550"/>
      <c r="CU236" s="4550"/>
      <c r="CV236" s="4550"/>
      <c r="CW236" s="4550"/>
      <c r="CX236" s="4550"/>
      <c r="CY236" s="4550"/>
      <c r="CZ236" s="4550"/>
      <c r="DA236" s="4550"/>
      <c r="DB236" s="4550"/>
      <c r="DC236" s="4550"/>
      <c r="DD236" s="4550"/>
      <c r="DE236" s="4550"/>
      <c r="DF236" s="4550"/>
      <c r="DG236" s="4550"/>
      <c r="DH236" s="4550"/>
      <c r="DI236" s="4550"/>
      <c r="DJ236" s="4550"/>
      <c r="DK236" s="4550"/>
      <c r="DL236" s="4550"/>
      <c r="DM236" s="4550"/>
      <c r="DN236" s="4550"/>
      <c r="DO236" s="4550"/>
      <c r="DP236" s="4550"/>
      <c r="DQ236" s="4550"/>
      <c r="DR236" s="4550"/>
      <c r="DS236" s="4550"/>
      <c r="DT236" s="4550"/>
      <c r="DU236" s="4550"/>
      <c r="DV236" s="4550"/>
      <c r="DW236" s="4550"/>
      <c r="DX236" s="4550"/>
      <c r="DY236" s="4550"/>
      <c r="DZ236" s="4550"/>
      <c r="EA236" s="4550"/>
      <c r="EB236" s="4550"/>
      <c r="EC236" s="4550"/>
      <c r="ED236" s="4550"/>
      <c r="EE236" s="4550"/>
      <c r="EF236" s="4550"/>
      <c r="EG236" s="4550"/>
      <c r="EH236" s="4550"/>
      <c r="EI236" s="4550"/>
      <c r="EJ236" s="4550"/>
      <c r="EK236" s="4550"/>
      <c r="EL236" s="4550"/>
      <c r="EM236" s="4550"/>
      <c r="EN236" s="4550"/>
      <c r="EO236" s="4550"/>
      <c r="EP236" s="4550"/>
      <c r="EQ236" s="4550"/>
      <c r="ER236" s="4550"/>
      <c r="ES236" s="4550"/>
      <c r="ET236" s="4550"/>
      <c r="EU236" s="4550"/>
      <c r="EV236" s="4550"/>
      <c r="EW236" s="4550"/>
      <c r="EX236" s="4550"/>
      <c r="EY236" s="4550"/>
      <c r="EZ236" s="4550"/>
      <c r="FA236" s="4550"/>
      <c r="FB236" s="4550"/>
      <c r="FC236" s="4550"/>
      <c r="FD236" s="4550"/>
      <c r="FE236" s="4550"/>
      <c r="FF236" s="4550"/>
      <c r="FG236" s="4550"/>
      <c r="FH236" s="4550"/>
      <c r="FI236" s="4550"/>
      <c r="FJ236" s="4550"/>
      <c r="FK236" s="4550"/>
      <c r="FL236" s="4550"/>
      <c r="FM236" s="4550"/>
      <c r="FN236" s="4550"/>
      <c r="FO236" s="4550"/>
      <c r="FP236" s="4550"/>
      <c r="FQ236" s="4550"/>
      <c r="FR236" s="4550"/>
      <c r="FS236" s="4550"/>
      <c r="FT236" s="4550"/>
      <c r="FU236" s="4550"/>
      <c r="FV236" s="4550"/>
      <c r="FW236" s="4550"/>
      <c r="FX236" s="4550"/>
      <c r="FY236" s="4550"/>
      <c r="FZ236" s="4550"/>
      <c r="GA236" s="4550"/>
      <c r="GB236" s="4550"/>
      <c r="GC236" s="4550"/>
      <c r="GD236" s="4550"/>
      <c r="GE236" s="4550"/>
      <c r="GF236" s="4550"/>
      <c r="GG236" s="4550"/>
      <c r="GH236" s="4550"/>
      <c r="GI236" s="4550"/>
      <c r="GJ236" s="4550"/>
      <c r="GK236" s="4550"/>
      <c r="GL236" s="4550"/>
      <c r="GM236" s="4550"/>
      <c r="GN236" s="4550"/>
      <c r="GO236" s="4550"/>
      <c r="GP236" s="4550"/>
      <c r="GQ236" s="4550"/>
      <c r="GR236" s="4550"/>
      <c r="GS236" s="4550"/>
      <c r="GT236" s="4550"/>
      <c r="GU236" s="4550"/>
      <c r="GV236" s="4550"/>
      <c r="GW236" s="4550"/>
      <c r="GX236" s="4550"/>
      <c r="GY236" s="4550"/>
      <c r="GZ236" s="4550"/>
      <c r="HA236" s="4550"/>
      <c r="HB236" s="4550"/>
      <c r="HC236" s="4550"/>
      <c r="HD236" s="4550"/>
      <c r="HE236" s="4550"/>
      <c r="HF236" s="4550"/>
      <c r="HG236" s="4550"/>
      <c r="HH236" s="4550"/>
      <c r="HI236" s="4550"/>
      <c r="HJ236" s="4550"/>
      <c r="HK236" s="4550"/>
      <c r="HL236" s="4550"/>
      <c r="HM236" s="4550"/>
      <c r="HN236" s="4550"/>
      <c r="HO236" s="4550"/>
      <c r="HP236" s="4550"/>
      <c r="HQ236" s="4550"/>
      <c r="HR236" s="4550"/>
      <c r="HS236" s="4550"/>
      <c r="HT236" s="4550"/>
      <c r="HU236" s="4550"/>
      <c r="HV236" s="4550"/>
      <c r="HW236" s="4550"/>
      <c r="HX236" s="4550"/>
      <c r="HY236" s="4550"/>
      <c r="HZ236" s="4550"/>
      <c r="IA236" s="4550"/>
      <c r="IB236" s="4550"/>
      <c r="IC236" s="4550"/>
      <c r="ID236" s="4550"/>
      <c r="IE236" s="4550"/>
    </row>
    <row r="237" spans="1:239" s="4613" customFormat="1" ht="12.75">
      <c r="A237" s="4753"/>
      <c r="B237" s="4611" t="s">
        <v>4375</v>
      </c>
      <c r="C237" s="4603"/>
      <c r="D237" s="4604"/>
      <c r="E237" s="4996"/>
      <c r="F237" s="4997">
        <f>ROUND(SUM(F211:F236),2)</f>
        <v>0</v>
      </c>
      <c r="G237" s="4582"/>
      <c r="H237" s="4582"/>
      <c r="I237" s="4582"/>
      <c r="J237" s="4582"/>
      <c r="K237" s="4582"/>
      <c r="L237" s="4582"/>
      <c r="M237" s="4582"/>
      <c r="N237" s="4582"/>
      <c r="O237" s="4582"/>
      <c r="P237" s="4582"/>
      <c r="Q237" s="4582"/>
      <c r="R237" s="4582"/>
      <c r="S237" s="4582"/>
      <c r="T237" s="4582"/>
      <c r="U237" s="4582"/>
      <c r="V237" s="4582"/>
      <c r="W237" s="4582"/>
      <c r="X237" s="4582"/>
      <c r="Y237" s="4582"/>
      <c r="Z237" s="4582"/>
      <c r="AA237" s="4582"/>
      <c r="AB237" s="4582"/>
      <c r="AC237" s="4582"/>
      <c r="AD237" s="4582"/>
      <c r="AE237" s="4582"/>
      <c r="AF237" s="4582"/>
      <c r="AG237" s="4582"/>
      <c r="AH237" s="4582"/>
      <c r="AI237" s="4582"/>
      <c r="AJ237" s="4582"/>
      <c r="AK237" s="4582"/>
      <c r="AL237" s="4582"/>
      <c r="AM237" s="4582"/>
      <c r="AN237" s="4582"/>
      <c r="AO237" s="4582"/>
      <c r="AP237" s="4582"/>
      <c r="AQ237" s="4582"/>
      <c r="AR237" s="4582"/>
      <c r="AS237" s="4612"/>
      <c r="AT237" s="4612"/>
      <c r="AU237" s="4612"/>
      <c r="AV237" s="4612"/>
      <c r="AW237" s="4612"/>
      <c r="AX237" s="4612"/>
      <c r="AY237" s="4612"/>
      <c r="AZ237" s="4612"/>
      <c r="BA237" s="4612"/>
      <c r="BB237" s="4612"/>
      <c r="BC237" s="4612"/>
      <c r="BD237" s="4612"/>
      <c r="BE237" s="4612"/>
      <c r="BF237" s="4612"/>
      <c r="BG237" s="4612"/>
      <c r="BH237" s="4612"/>
      <c r="BI237" s="4612"/>
      <c r="BJ237" s="4612"/>
      <c r="BK237" s="4612"/>
      <c r="BL237" s="4612"/>
      <c r="BM237" s="4612"/>
      <c r="BN237" s="4612"/>
      <c r="BO237" s="4612"/>
      <c r="BP237" s="4612"/>
      <c r="BQ237" s="4612"/>
      <c r="BR237" s="4612"/>
      <c r="BS237" s="4612"/>
      <c r="BT237" s="4612"/>
      <c r="BU237" s="4612"/>
      <c r="BV237" s="4612"/>
      <c r="BW237" s="4612"/>
      <c r="BX237" s="4612"/>
      <c r="BY237" s="4612"/>
      <c r="BZ237" s="4612"/>
      <c r="CA237" s="4612"/>
      <c r="CB237" s="4612"/>
      <c r="CC237" s="4612"/>
      <c r="CD237" s="4612"/>
      <c r="CE237" s="4612"/>
      <c r="CF237" s="4612"/>
      <c r="CG237" s="4612"/>
      <c r="CH237" s="4612"/>
      <c r="CI237" s="4612"/>
      <c r="CJ237" s="4612"/>
      <c r="CK237" s="4612"/>
      <c r="CL237" s="4612"/>
      <c r="CM237" s="4612"/>
      <c r="CN237" s="4612"/>
      <c r="CO237" s="4612"/>
      <c r="CP237" s="4612"/>
      <c r="CQ237" s="4612"/>
      <c r="CR237" s="4612"/>
      <c r="CS237" s="4612"/>
      <c r="CT237" s="4612"/>
      <c r="CU237" s="4612"/>
      <c r="CV237" s="4612"/>
      <c r="CW237" s="4612"/>
      <c r="CX237" s="4612"/>
      <c r="CY237" s="4612"/>
      <c r="CZ237" s="4612"/>
      <c r="DA237" s="4612"/>
      <c r="DB237" s="4612"/>
      <c r="DC237" s="4612"/>
      <c r="DD237" s="4612"/>
      <c r="DE237" s="4612"/>
      <c r="DF237" s="4612"/>
      <c r="DG237" s="4612"/>
      <c r="DH237" s="4612"/>
      <c r="DI237" s="4612"/>
      <c r="DJ237" s="4612"/>
      <c r="DK237" s="4612"/>
      <c r="DL237" s="4612"/>
      <c r="DM237" s="4612"/>
      <c r="DN237" s="4612"/>
      <c r="DO237" s="4612"/>
      <c r="DP237" s="4612"/>
      <c r="DQ237" s="4612"/>
      <c r="DR237" s="4612"/>
      <c r="DS237" s="4612"/>
      <c r="DT237" s="4612"/>
      <c r="DU237" s="4612"/>
      <c r="DV237" s="4612"/>
      <c r="DW237" s="4612"/>
      <c r="DX237" s="4612"/>
      <c r="DY237" s="4612"/>
      <c r="DZ237" s="4612"/>
      <c r="EA237" s="4612"/>
      <c r="EB237" s="4612"/>
      <c r="EC237" s="4612"/>
      <c r="ED237" s="4612"/>
      <c r="EE237" s="4612"/>
      <c r="EF237" s="4612"/>
      <c r="EG237" s="4612"/>
      <c r="EH237" s="4612"/>
      <c r="EI237" s="4612"/>
      <c r="EJ237" s="4612"/>
      <c r="EK237" s="4612"/>
      <c r="EL237" s="4612"/>
      <c r="EM237" s="4612"/>
      <c r="EN237" s="4612"/>
      <c r="EO237" s="4612"/>
      <c r="EP237" s="4612"/>
      <c r="EQ237" s="4612"/>
      <c r="ER237" s="4612"/>
      <c r="ES237" s="4612"/>
      <c r="ET237" s="4612"/>
      <c r="EU237" s="4612"/>
      <c r="EV237" s="4612"/>
      <c r="EW237" s="4612"/>
      <c r="EX237" s="4612"/>
      <c r="EY237" s="4612"/>
      <c r="EZ237" s="4612"/>
      <c r="FA237" s="4612"/>
      <c r="FB237" s="4612"/>
      <c r="FC237" s="4612"/>
      <c r="FD237" s="4612"/>
      <c r="FE237" s="4612"/>
      <c r="FF237" s="4612"/>
      <c r="FG237" s="4612"/>
      <c r="FH237" s="4612"/>
      <c r="FI237" s="4612"/>
      <c r="FJ237" s="4612"/>
      <c r="FK237" s="4612"/>
      <c r="FL237" s="4612"/>
      <c r="FM237" s="4612"/>
      <c r="FN237" s="4612"/>
      <c r="FO237" s="4612"/>
      <c r="FP237" s="4612"/>
      <c r="FQ237" s="4612"/>
      <c r="FR237" s="4612"/>
      <c r="FS237" s="4612"/>
      <c r="FT237" s="4612"/>
      <c r="FU237" s="4612"/>
      <c r="FV237" s="4612"/>
      <c r="FW237" s="4612"/>
      <c r="FX237" s="4612"/>
      <c r="FY237" s="4612"/>
      <c r="FZ237" s="4612"/>
      <c r="GA237" s="4612"/>
      <c r="GB237" s="4612"/>
      <c r="GC237" s="4612"/>
      <c r="GD237" s="4612"/>
      <c r="GE237" s="4612"/>
      <c r="GF237" s="4612"/>
      <c r="GG237" s="4612"/>
      <c r="GH237" s="4612"/>
      <c r="GI237" s="4612"/>
      <c r="GJ237" s="4612"/>
      <c r="GK237" s="4612"/>
      <c r="GL237" s="4612"/>
      <c r="GM237" s="4612"/>
      <c r="GN237" s="4612"/>
      <c r="GO237" s="4612"/>
      <c r="GP237" s="4612"/>
      <c r="GQ237" s="4612"/>
      <c r="GR237" s="4612"/>
      <c r="GS237" s="4612"/>
      <c r="GT237" s="4612"/>
      <c r="GU237" s="4612"/>
      <c r="GV237" s="4612"/>
      <c r="GW237" s="4612"/>
      <c r="GX237" s="4612"/>
      <c r="GY237" s="4612"/>
      <c r="GZ237" s="4612"/>
      <c r="HA237" s="4612"/>
      <c r="HB237" s="4612"/>
      <c r="HC237" s="4612"/>
      <c r="HD237" s="4612"/>
      <c r="HE237" s="4612"/>
      <c r="HF237" s="4612"/>
      <c r="HG237" s="4612"/>
      <c r="HH237" s="4612"/>
      <c r="HI237" s="4612"/>
      <c r="HJ237" s="4612"/>
      <c r="HK237" s="4612"/>
      <c r="HL237" s="4612"/>
      <c r="HM237" s="4612"/>
      <c r="HN237" s="4612"/>
      <c r="HO237" s="4612"/>
      <c r="HP237" s="4612"/>
      <c r="HQ237" s="4612"/>
      <c r="HR237" s="4612"/>
      <c r="HS237" s="4612"/>
      <c r="HT237" s="4612"/>
      <c r="HU237" s="4612"/>
      <c r="HV237" s="4612"/>
      <c r="HW237" s="4612"/>
      <c r="HX237" s="4612"/>
      <c r="HY237" s="4612"/>
      <c r="HZ237" s="4612"/>
      <c r="IA237" s="4612"/>
      <c r="IB237" s="4612"/>
      <c r="IC237" s="4612"/>
      <c r="ID237" s="4612"/>
      <c r="IE237" s="4612"/>
    </row>
    <row r="238" spans="1:239" s="4548" customFormat="1" ht="15">
      <c r="A238" s="4754"/>
      <c r="B238" s="4645"/>
      <c r="C238" s="4646"/>
      <c r="D238" s="4647"/>
      <c r="E238" s="4998"/>
      <c r="F238" s="4999"/>
      <c r="G238" s="4537"/>
      <c r="H238" s="4537"/>
      <c r="I238" s="4537"/>
      <c r="J238" s="4537"/>
      <c r="K238" s="4537"/>
      <c r="L238" s="4537"/>
      <c r="M238" s="4537"/>
      <c r="N238" s="4537"/>
      <c r="O238" s="4537"/>
      <c r="P238" s="4537"/>
      <c r="Q238" s="4537"/>
      <c r="R238" s="4537"/>
      <c r="S238" s="4537"/>
      <c r="T238" s="4537"/>
      <c r="U238" s="4537"/>
      <c r="V238" s="4537"/>
      <c r="W238" s="4537"/>
      <c r="X238" s="4537"/>
      <c r="Y238" s="4537"/>
      <c r="Z238" s="4537"/>
      <c r="AA238" s="4537"/>
      <c r="AB238" s="4537"/>
      <c r="AC238" s="4537"/>
      <c r="AD238" s="4537"/>
      <c r="AE238" s="4537"/>
      <c r="AF238" s="4537"/>
      <c r="AG238" s="4537"/>
      <c r="AH238" s="4537"/>
      <c r="AI238" s="4537"/>
      <c r="AJ238" s="4537"/>
      <c r="AK238" s="4537"/>
      <c r="AL238" s="4537"/>
      <c r="AM238" s="4537"/>
      <c r="AN238" s="4537"/>
      <c r="AO238" s="4537"/>
      <c r="AP238" s="4537"/>
      <c r="AQ238" s="4537"/>
      <c r="AR238" s="4537"/>
      <c r="AS238" s="4537"/>
      <c r="AT238" s="4537"/>
      <c r="AU238" s="4537"/>
      <c r="AV238" s="4537"/>
      <c r="AW238" s="4537"/>
      <c r="AX238" s="4537"/>
      <c r="AY238" s="4537"/>
      <c r="AZ238" s="4537"/>
      <c r="BA238" s="4537"/>
      <c r="BB238" s="4537"/>
      <c r="BC238" s="4537"/>
      <c r="BD238" s="4537"/>
      <c r="BE238" s="4537"/>
      <c r="BF238" s="4537"/>
      <c r="BG238" s="4537"/>
      <c r="BH238" s="4537"/>
      <c r="BI238" s="4537"/>
      <c r="BJ238" s="4537"/>
      <c r="BK238" s="4537"/>
      <c r="BL238" s="4537"/>
      <c r="BM238" s="4537"/>
      <c r="BN238" s="4537"/>
      <c r="BO238" s="4537"/>
      <c r="BP238" s="4537"/>
      <c r="BQ238" s="4537"/>
      <c r="BR238" s="4537"/>
      <c r="BS238" s="4537"/>
      <c r="BT238" s="4537"/>
      <c r="BU238" s="4537"/>
      <c r="BV238" s="4537"/>
      <c r="BW238" s="4537"/>
      <c r="BX238" s="4537"/>
      <c r="BY238" s="4537"/>
      <c r="BZ238" s="4537"/>
      <c r="CA238" s="4537"/>
      <c r="CB238" s="4537"/>
      <c r="CC238" s="4537"/>
      <c r="CD238" s="4537"/>
      <c r="CE238" s="4537"/>
      <c r="CF238" s="4537"/>
      <c r="CG238" s="4537"/>
      <c r="CH238" s="4537"/>
      <c r="CI238" s="4537"/>
      <c r="CJ238" s="4537"/>
      <c r="CK238" s="4537"/>
      <c r="CL238" s="4537"/>
      <c r="CM238" s="4537"/>
      <c r="CN238" s="4537"/>
      <c r="CO238" s="4537"/>
      <c r="CP238" s="4537"/>
      <c r="CQ238" s="4537"/>
      <c r="CR238" s="4537"/>
      <c r="CS238" s="4537"/>
      <c r="CT238" s="4537"/>
      <c r="CU238" s="4537"/>
      <c r="CV238" s="4537"/>
      <c r="CW238" s="4537"/>
      <c r="CX238" s="4537"/>
      <c r="CY238" s="4537"/>
      <c r="CZ238" s="4537"/>
      <c r="DA238" s="4537"/>
      <c r="DB238" s="4537"/>
      <c r="DC238" s="4537"/>
      <c r="DD238" s="4537"/>
      <c r="DE238" s="4537"/>
      <c r="DF238" s="4537"/>
      <c r="DG238" s="4537"/>
      <c r="DH238" s="4537"/>
      <c r="DI238" s="4537"/>
      <c r="DJ238" s="4537"/>
      <c r="DK238" s="4537"/>
      <c r="DL238" s="4537"/>
      <c r="DM238" s="4537"/>
      <c r="DN238" s="4537"/>
      <c r="DO238" s="4537"/>
      <c r="DP238" s="4537"/>
      <c r="DQ238" s="4537"/>
      <c r="DR238" s="4537"/>
      <c r="DS238" s="4537"/>
      <c r="DT238" s="4537"/>
      <c r="DU238" s="4537"/>
      <c r="DV238" s="4537"/>
      <c r="DW238" s="4537"/>
      <c r="DX238" s="4537"/>
      <c r="DY238" s="4537"/>
      <c r="DZ238" s="4537"/>
      <c r="EA238" s="4537"/>
      <c r="EB238" s="4537"/>
      <c r="EC238" s="4537"/>
      <c r="ED238" s="4537"/>
      <c r="EE238" s="4537"/>
      <c r="EF238" s="4537"/>
      <c r="EG238" s="4537"/>
      <c r="EH238" s="4537"/>
      <c r="EI238" s="4537"/>
      <c r="EJ238" s="4537"/>
      <c r="EK238" s="4537"/>
      <c r="EL238" s="4537"/>
      <c r="EM238" s="4537"/>
      <c r="EN238" s="4537"/>
      <c r="EO238" s="4537"/>
      <c r="EP238" s="4537"/>
      <c r="EQ238" s="4537"/>
      <c r="ER238" s="4537"/>
      <c r="ES238" s="4537"/>
      <c r="ET238" s="4537"/>
      <c r="EU238" s="4537"/>
      <c r="EV238" s="4537"/>
      <c r="EW238" s="4537"/>
      <c r="EX238" s="4537"/>
      <c r="EY238" s="4537"/>
      <c r="EZ238" s="4537"/>
      <c r="FA238" s="4537"/>
      <c r="FB238" s="4537"/>
      <c r="FC238" s="4537"/>
      <c r="FD238" s="4537"/>
      <c r="FE238" s="4537"/>
      <c r="FF238" s="4537"/>
      <c r="FG238" s="4537"/>
      <c r="FH238" s="4537"/>
      <c r="FI238" s="4537"/>
      <c r="FJ238" s="4537"/>
      <c r="FK238" s="4537"/>
      <c r="FL238" s="4537"/>
      <c r="FM238" s="4537"/>
      <c r="FN238" s="4537"/>
      <c r="FO238" s="4537"/>
      <c r="FP238" s="4537"/>
      <c r="FQ238" s="4537"/>
      <c r="FR238" s="4537"/>
      <c r="FS238" s="4537"/>
      <c r="FT238" s="4537"/>
      <c r="FU238" s="4537"/>
      <c r="FV238" s="4537"/>
      <c r="FW238" s="4537"/>
      <c r="FX238" s="4537"/>
      <c r="FY238" s="4537"/>
      <c r="FZ238" s="4537"/>
      <c r="GA238" s="4537"/>
      <c r="GB238" s="4537"/>
      <c r="GC238" s="4537"/>
      <c r="GD238" s="4537"/>
      <c r="GE238" s="4537"/>
      <c r="GF238" s="4537"/>
      <c r="GG238" s="4537"/>
      <c r="GH238" s="4537"/>
      <c r="GI238" s="4537"/>
      <c r="GJ238" s="4537"/>
      <c r="GK238" s="4537"/>
      <c r="GL238" s="4537"/>
      <c r="GM238" s="4537"/>
      <c r="GN238" s="4537"/>
      <c r="GO238" s="4537"/>
      <c r="GP238" s="4537"/>
      <c r="GQ238" s="4537"/>
      <c r="GR238" s="4537"/>
      <c r="GS238" s="4537"/>
      <c r="GT238" s="4537"/>
      <c r="GU238" s="4537"/>
      <c r="GV238" s="4537"/>
      <c r="GW238" s="4537"/>
      <c r="GX238" s="4537"/>
      <c r="GY238" s="4537"/>
      <c r="GZ238" s="4537"/>
      <c r="HA238" s="4537"/>
      <c r="HB238" s="4537"/>
      <c r="HC238" s="4537"/>
      <c r="HD238" s="4537"/>
      <c r="HE238" s="4537"/>
      <c r="HF238" s="4537"/>
      <c r="HG238" s="4537"/>
      <c r="HH238" s="4537"/>
      <c r="HI238" s="4537"/>
      <c r="HJ238" s="4537"/>
      <c r="HK238" s="4537"/>
      <c r="HL238" s="4537"/>
      <c r="HM238" s="4537"/>
      <c r="HN238" s="4537"/>
      <c r="HO238" s="4537"/>
      <c r="HP238" s="4537"/>
      <c r="HQ238" s="4537"/>
      <c r="HR238" s="4537"/>
      <c r="HS238" s="4537"/>
      <c r="HT238" s="4537"/>
      <c r="HU238" s="4537"/>
      <c r="HV238" s="4537"/>
      <c r="HW238" s="4537"/>
      <c r="HX238" s="4537"/>
      <c r="HY238" s="4537"/>
      <c r="HZ238" s="4537"/>
      <c r="IA238" s="4537"/>
      <c r="IB238" s="4537"/>
      <c r="IC238" s="4537"/>
      <c r="ID238" s="4537"/>
      <c r="IE238" s="4537"/>
    </row>
    <row r="239" spans="1:239" s="4549" customFormat="1" ht="12.75" customHeight="1">
      <c r="A239" s="4752" t="s">
        <v>4376</v>
      </c>
      <c r="B239" s="4637" t="s">
        <v>4164</v>
      </c>
      <c r="C239" s="4167"/>
      <c r="D239" s="4167"/>
      <c r="E239" s="4318"/>
      <c r="F239" s="4318"/>
      <c r="G239" s="4537"/>
      <c r="H239" s="4537"/>
      <c r="I239" s="4537"/>
      <c r="J239" s="4537"/>
      <c r="K239" s="4537"/>
      <c r="L239" s="4537"/>
      <c r="M239" s="4537"/>
      <c r="N239" s="4537"/>
      <c r="O239" s="4537"/>
      <c r="P239" s="4537"/>
      <c r="Q239" s="4537"/>
      <c r="R239" s="4537"/>
      <c r="S239" s="4537"/>
      <c r="T239" s="4537"/>
      <c r="U239" s="4537"/>
      <c r="V239" s="4537"/>
      <c r="W239" s="4537"/>
      <c r="X239" s="4537"/>
      <c r="Y239" s="4537"/>
      <c r="Z239" s="4537"/>
      <c r="AA239" s="4537"/>
      <c r="AB239" s="4537"/>
      <c r="AC239" s="4537"/>
      <c r="AD239" s="4537"/>
      <c r="AE239" s="4537"/>
      <c r="AF239" s="4537"/>
      <c r="AG239" s="4537"/>
      <c r="AH239" s="4537"/>
      <c r="AI239" s="4537"/>
      <c r="AJ239" s="4537"/>
      <c r="AK239" s="4537"/>
      <c r="AL239" s="4537"/>
      <c r="AM239" s="4537"/>
      <c r="AN239" s="4537"/>
      <c r="AO239" s="4537"/>
      <c r="AP239" s="4537"/>
      <c r="AQ239" s="4537"/>
      <c r="AR239" s="4537"/>
      <c r="AS239" s="4550"/>
      <c r="AT239" s="4550"/>
      <c r="AU239" s="4550"/>
      <c r="AV239" s="4550"/>
      <c r="AW239" s="4550"/>
      <c r="AX239" s="4550"/>
      <c r="AY239" s="4550"/>
      <c r="AZ239" s="4550"/>
      <c r="BA239" s="4550"/>
      <c r="BB239" s="4550"/>
      <c r="BC239" s="4550"/>
      <c r="BD239" s="4550"/>
      <c r="BE239" s="4550"/>
      <c r="BF239" s="4550"/>
      <c r="BG239" s="4550"/>
      <c r="BH239" s="4550"/>
      <c r="BI239" s="4550"/>
      <c r="BJ239" s="4550"/>
      <c r="BK239" s="4550"/>
      <c r="BL239" s="4550"/>
      <c r="BM239" s="4550"/>
      <c r="BN239" s="4550"/>
      <c r="BO239" s="4550"/>
      <c r="BP239" s="4550"/>
      <c r="BQ239" s="4550"/>
      <c r="BR239" s="4550"/>
      <c r="BS239" s="4550"/>
      <c r="BT239" s="4550"/>
      <c r="BU239" s="4550"/>
      <c r="BV239" s="4550"/>
      <c r="BW239" s="4550"/>
      <c r="BX239" s="4550"/>
      <c r="BY239" s="4550"/>
      <c r="BZ239" s="4550"/>
      <c r="CA239" s="4550"/>
      <c r="CB239" s="4550"/>
      <c r="CC239" s="4550"/>
      <c r="CD239" s="4550"/>
      <c r="CE239" s="4550"/>
      <c r="CF239" s="4550"/>
      <c r="CG239" s="4550"/>
      <c r="CH239" s="4550"/>
      <c r="CI239" s="4550"/>
      <c r="CJ239" s="4550"/>
      <c r="CK239" s="4550"/>
      <c r="CL239" s="4550"/>
      <c r="CM239" s="4550"/>
      <c r="CN239" s="4550"/>
      <c r="CO239" s="4550"/>
      <c r="CP239" s="4550"/>
      <c r="CQ239" s="4550"/>
      <c r="CR239" s="4550"/>
      <c r="CS239" s="4550"/>
      <c r="CT239" s="4550"/>
      <c r="CU239" s="4550"/>
      <c r="CV239" s="4550"/>
      <c r="CW239" s="4550"/>
      <c r="CX239" s="4550"/>
      <c r="CY239" s="4550"/>
      <c r="CZ239" s="4550"/>
      <c r="DA239" s="4550"/>
      <c r="DB239" s="4550"/>
      <c r="DC239" s="4550"/>
      <c r="DD239" s="4550"/>
      <c r="DE239" s="4550"/>
      <c r="DF239" s="4550"/>
      <c r="DG239" s="4550"/>
      <c r="DH239" s="4550"/>
      <c r="DI239" s="4550"/>
      <c r="DJ239" s="4550"/>
      <c r="DK239" s="4550"/>
      <c r="DL239" s="4550"/>
      <c r="DM239" s="4550"/>
      <c r="DN239" s="4550"/>
      <c r="DO239" s="4550"/>
      <c r="DP239" s="4550"/>
      <c r="DQ239" s="4550"/>
      <c r="DR239" s="4550"/>
      <c r="DS239" s="4550"/>
      <c r="DT239" s="4550"/>
      <c r="DU239" s="4550"/>
      <c r="DV239" s="4550"/>
      <c r="DW239" s="4550"/>
      <c r="DX239" s="4550"/>
      <c r="DY239" s="4550"/>
      <c r="DZ239" s="4550"/>
      <c r="EA239" s="4550"/>
      <c r="EB239" s="4550"/>
      <c r="EC239" s="4550"/>
      <c r="ED239" s="4550"/>
      <c r="EE239" s="4550"/>
      <c r="EF239" s="4550"/>
      <c r="EG239" s="4550"/>
      <c r="EH239" s="4550"/>
      <c r="EI239" s="4550"/>
      <c r="EJ239" s="4550"/>
      <c r="EK239" s="4550"/>
      <c r="EL239" s="4550"/>
      <c r="EM239" s="4550"/>
      <c r="EN239" s="4550"/>
      <c r="EO239" s="4550"/>
      <c r="EP239" s="4550"/>
      <c r="EQ239" s="4550"/>
      <c r="ER239" s="4550"/>
      <c r="ES239" s="4550"/>
      <c r="ET239" s="4550"/>
      <c r="EU239" s="4550"/>
      <c r="EV239" s="4550"/>
      <c r="EW239" s="4550"/>
      <c r="EX239" s="4550"/>
      <c r="EY239" s="4550"/>
      <c r="EZ239" s="4550"/>
      <c r="FA239" s="4550"/>
      <c r="FB239" s="4550"/>
      <c r="FC239" s="4550"/>
      <c r="FD239" s="4550"/>
      <c r="FE239" s="4550"/>
      <c r="FF239" s="4550"/>
      <c r="FG239" s="4550"/>
      <c r="FH239" s="4550"/>
      <c r="FI239" s="4550"/>
      <c r="FJ239" s="4550"/>
      <c r="FK239" s="4550"/>
      <c r="FL239" s="4550"/>
      <c r="FM239" s="4550"/>
      <c r="FN239" s="4550"/>
      <c r="FO239" s="4550"/>
      <c r="FP239" s="4550"/>
      <c r="FQ239" s="4550"/>
      <c r="FR239" s="4550"/>
      <c r="FS239" s="4550"/>
      <c r="FT239" s="4550"/>
      <c r="FU239" s="4550"/>
      <c r="FV239" s="4550"/>
      <c r="FW239" s="4550"/>
      <c r="FX239" s="4550"/>
      <c r="FY239" s="4550"/>
      <c r="FZ239" s="4550"/>
      <c r="GA239" s="4550"/>
      <c r="GB239" s="4550"/>
      <c r="GC239" s="4550"/>
      <c r="GD239" s="4550"/>
      <c r="GE239" s="4550"/>
      <c r="GF239" s="4550"/>
      <c r="GG239" s="4550"/>
      <c r="GH239" s="4550"/>
      <c r="GI239" s="4550"/>
      <c r="GJ239" s="4550"/>
      <c r="GK239" s="4550"/>
      <c r="GL239" s="4550"/>
      <c r="GM239" s="4550"/>
      <c r="GN239" s="4550"/>
      <c r="GO239" s="4550"/>
      <c r="GP239" s="4550"/>
      <c r="GQ239" s="4550"/>
      <c r="GR239" s="4550"/>
      <c r="GS239" s="4550"/>
      <c r="GT239" s="4550"/>
      <c r="GU239" s="4550"/>
      <c r="GV239" s="4550"/>
      <c r="GW239" s="4550"/>
      <c r="GX239" s="4550"/>
      <c r="GY239" s="4550"/>
      <c r="GZ239" s="4550"/>
      <c r="HA239" s="4550"/>
      <c r="HB239" s="4550"/>
      <c r="HC239" s="4550"/>
      <c r="HD239" s="4550"/>
      <c r="HE239" s="4550"/>
      <c r="HF239" s="4550"/>
      <c r="HG239" s="4550"/>
      <c r="HH239" s="4550"/>
      <c r="HI239" s="4550"/>
      <c r="HJ239" s="4550"/>
      <c r="HK239" s="4550"/>
      <c r="HL239" s="4550"/>
      <c r="HM239" s="4550"/>
      <c r="HN239" s="4550"/>
      <c r="HO239" s="4550"/>
      <c r="HP239" s="4550"/>
      <c r="HQ239" s="4550"/>
      <c r="HR239" s="4550"/>
      <c r="HS239" s="4550"/>
      <c r="HT239" s="4550"/>
      <c r="HU239" s="4550"/>
      <c r="HV239" s="4550"/>
      <c r="HW239" s="4550"/>
      <c r="HX239" s="4550"/>
      <c r="HY239" s="4550"/>
      <c r="HZ239" s="4550"/>
      <c r="IA239" s="4550"/>
      <c r="IB239" s="4550"/>
      <c r="IC239" s="4550"/>
      <c r="ID239" s="4550"/>
      <c r="IE239" s="4550"/>
    </row>
    <row r="240" spans="1:239" s="4549" customFormat="1" ht="15">
      <c r="A240" s="4680">
        <v>1</v>
      </c>
      <c r="B240" s="4637" t="s">
        <v>4165</v>
      </c>
      <c r="C240" s="4659"/>
      <c r="D240" s="4755"/>
      <c r="E240" s="5000"/>
      <c r="F240" s="4318"/>
      <c r="G240" s="4537"/>
      <c r="H240" s="4537"/>
      <c r="I240" s="4537"/>
      <c r="J240" s="4537"/>
      <c r="K240" s="4537"/>
      <c r="L240" s="4537"/>
      <c r="M240" s="4537"/>
      <c r="N240" s="4537"/>
      <c r="O240" s="4537"/>
      <c r="P240" s="4537"/>
      <c r="Q240" s="4537"/>
      <c r="R240" s="4537"/>
      <c r="S240" s="4537"/>
      <c r="T240" s="4537"/>
      <c r="U240" s="4537"/>
      <c r="V240" s="4537"/>
      <c r="W240" s="4537"/>
      <c r="X240" s="4537"/>
      <c r="Y240" s="4537"/>
      <c r="Z240" s="4537"/>
      <c r="AA240" s="4537"/>
      <c r="AB240" s="4537"/>
      <c r="AC240" s="4537"/>
      <c r="AD240" s="4537"/>
      <c r="AE240" s="4537"/>
      <c r="AF240" s="4537"/>
      <c r="AG240" s="4537"/>
      <c r="AH240" s="4537"/>
      <c r="AI240" s="4537"/>
      <c r="AJ240" s="4537"/>
      <c r="AK240" s="4537"/>
      <c r="AL240" s="4537"/>
      <c r="AM240" s="4537"/>
      <c r="AN240" s="4537"/>
      <c r="AO240" s="4537"/>
      <c r="AP240" s="4537"/>
      <c r="AQ240" s="4537"/>
      <c r="AR240" s="4537"/>
      <c r="AS240" s="4550"/>
      <c r="AT240" s="4550"/>
      <c r="AU240" s="4550"/>
      <c r="AV240" s="4550"/>
      <c r="AW240" s="4550"/>
      <c r="AX240" s="4550"/>
      <c r="AY240" s="4550"/>
      <c r="AZ240" s="4550"/>
      <c r="BA240" s="4550"/>
      <c r="BB240" s="4550"/>
      <c r="BC240" s="4550"/>
      <c r="BD240" s="4550"/>
      <c r="BE240" s="4550"/>
      <c r="BF240" s="4550"/>
      <c r="BG240" s="4550"/>
      <c r="BH240" s="4550"/>
      <c r="BI240" s="4550"/>
      <c r="BJ240" s="4550"/>
      <c r="BK240" s="4550"/>
      <c r="BL240" s="4550"/>
      <c r="BM240" s="4550"/>
      <c r="BN240" s="4550"/>
      <c r="BO240" s="4550"/>
      <c r="BP240" s="4550"/>
      <c r="BQ240" s="4550"/>
      <c r="BR240" s="4550"/>
      <c r="BS240" s="4550"/>
      <c r="BT240" s="4550"/>
      <c r="BU240" s="4550"/>
      <c r="BV240" s="4550"/>
      <c r="BW240" s="4550"/>
      <c r="BX240" s="4550"/>
      <c r="BY240" s="4550"/>
      <c r="BZ240" s="4550"/>
      <c r="CA240" s="4550"/>
      <c r="CB240" s="4550"/>
      <c r="CC240" s="4550"/>
      <c r="CD240" s="4550"/>
      <c r="CE240" s="4550"/>
      <c r="CF240" s="4550"/>
      <c r="CG240" s="4550"/>
      <c r="CH240" s="4550"/>
      <c r="CI240" s="4550"/>
      <c r="CJ240" s="4550"/>
      <c r="CK240" s="4550"/>
      <c r="CL240" s="4550"/>
      <c r="CM240" s="4550"/>
      <c r="CN240" s="4550"/>
      <c r="CO240" s="4550"/>
      <c r="CP240" s="4550"/>
      <c r="CQ240" s="4550"/>
      <c r="CR240" s="4550"/>
      <c r="CS240" s="4550"/>
      <c r="CT240" s="4550"/>
      <c r="CU240" s="4550"/>
      <c r="CV240" s="4550"/>
      <c r="CW240" s="4550"/>
      <c r="CX240" s="4550"/>
      <c r="CY240" s="4550"/>
      <c r="CZ240" s="4550"/>
      <c r="DA240" s="4550"/>
      <c r="DB240" s="4550"/>
      <c r="DC240" s="4550"/>
      <c r="DD240" s="4550"/>
      <c r="DE240" s="4550"/>
      <c r="DF240" s="4550"/>
      <c r="DG240" s="4550"/>
      <c r="DH240" s="4550"/>
      <c r="DI240" s="4550"/>
      <c r="DJ240" s="4550"/>
      <c r="DK240" s="4550"/>
      <c r="DL240" s="4550"/>
      <c r="DM240" s="4550"/>
      <c r="DN240" s="4550"/>
      <c r="DO240" s="4550"/>
      <c r="DP240" s="4550"/>
      <c r="DQ240" s="4550"/>
      <c r="DR240" s="4550"/>
      <c r="DS240" s="4550"/>
      <c r="DT240" s="4550"/>
      <c r="DU240" s="4550"/>
      <c r="DV240" s="4550"/>
      <c r="DW240" s="4550"/>
      <c r="DX240" s="4550"/>
      <c r="DY240" s="4550"/>
      <c r="DZ240" s="4550"/>
      <c r="EA240" s="4550"/>
      <c r="EB240" s="4550"/>
      <c r="EC240" s="4550"/>
      <c r="ED240" s="4550"/>
      <c r="EE240" s="4550"/>
      <c r="EF240" s="4550"/>
      <c r="EG240" s="4550"/>
      <c r="EH240" s="4550"/>
      <c r="EI240" s="4550"/>
      <c r="EJ240" s="4550"/>
      <c r="EK240" s="4550"/>
      <c r="EL240" s="4550"/>
      <c r="EM240" s="4550"/>
      <c r="EN240" s="4550"/>
      <c r="EO240" s="4550"/>
      <c r="EP240" s="4550"/>
      <c r="EQ240" s="4550"/>
      <c r="ER240" s="4550"/>
      <c r="ES240" s="4550"/>
      <c r="ET240" s="4550"/>
      <c r="EU240" s="4550"/>
      <c r="EV240" s="4550"/>
      <c r="EW240" s="4550"/>
      <c r="EX240" s="4550"/>
      <c r="EY240" s="4550"/>
      <c r="EZ240" s="4550"/>
      <c r="FA240" s="4550"/>
      <c r="FB240" s="4550"/>
      <c r="FC240" s="4550"/>
      <c r="FD240" s="4550"/>
      <c r="FE240" s="4550"/>
      <c r="FF240" s="4550"/>
      <c r="FG240" s="4550"/>
      <c r="FH240" s="4550"/>
      <c r="FI240" s="4550"/>
      <c r="FJ240" s="4550"/>
      <c r="FK240" s="4550"/>
      <c r="FL240" s="4550"/>
      <c r="FM240" s="4550"/>
      <c r="FN240" s="4550"/>
      <c r="FO240" s="4550"/>
      <c r="FP240" s="4550"/>
      <c r="FQ240" s="4550"/>
      <c r="FR240" s="4550"/>
      <c r="FS240" s="4550"/>
      <c r="FT240" s="4550"/>
      <c r="FU240" s="4550"/>
      <c r="FV240" s="4550"/>
      <c r="FW240" s="4550"/>
      <c r="FX240" s="4550"/>
      <c r="FY240" s="4550"/>
      <c r="FZ240" s="4550"/>
      <c r="GA240" s="4550"/>
      <c r="GB240" s="4550"/>
      <c r="GC240" s="4550"/>
      <c r="GD240" s="4550"/>
      <c r="GE240" s="4550"/>
      <c r="GF240" s="4550"/>
      <c r="GG240" s="4550"/>
      <c r="GH240" s="4550"/>
      <c r="GI240" s="4550"/>
      <c r="GJ240" s="4550"/>
      <c r="GK240" s="4550"/>
      <c r="GL240" s="4550"/>
      <c r="GM240" s="4550"/>
      <c r="GN240" s="4550"/>
      <c r="GO240" s="4550"/>
      <c r="GP240" s="4550"/>
      <c r="GQ240" s="4550"/>
      <c r="GR240" s="4550"/>
      <c r="GS240" s="4550"/>
      <c r="GT240" s="4550"/>
      <c r="GU240" s="4550"/>
      <c r="GV240" s="4550"/>
      <c r="GW240" s="4550"/>
      <c r="GX240" s="4550"/>
      <c r="GY240" s="4550"/>
      <c r="GZ240" s="4550"/>
      <c r="HA240" s="4550"/>
      <c r="HB240" s="4550"/>
      <c r="HC240" s="4550"/>
      <c r="HD240" s="4550"/>
      <c r="HE240" s="4550"/>
      <c r="HF240" s="4550"/>
      <c r="HG240" s="4550"/>
      <c r="HH240" s="4550"/>
      <c r="HI240" s="4550"/>
      <c r="HJ240" s="4550"/>
      <c r="HK240" s="4550"/>
      <c r="HL240" s="4550"/>
      <c r="HM240" s="4550"/>
      <c r="HN240" s="4550"/>
      <c r="HO240" s="4550"/>
      <c r="HP240" s="4550"/>
      <c r="HQ240" s="4550"/>
      <c r="HR240" s="4550"/>
      <c r="HS240" s="4550"/>
      <c r="HT240" s="4550"/>
      <c r="HU240" s="4550"/>
      <c r="HV240" s="4550"/>
      <c r="HW240" s="4550"/>
      <c r="HX240" s="4550"/>
      <c r="HY240" s="4550"/>
      <c r="HZ240" s="4550"/>
      <c r="IA240" s="4550"/>
      <c r="IB240" s="4550"/>
      <c r="IC240" s="4550"/>
      <c r="ID240" s="4550"/>
      <c r="IE240" s="4550"/>
    </row>
    <row r="241" spans="1:239" s="4549" customFormat="1" ht="15">
      <c r="A241" s="4756">
        <v>1.1000000000000001</v>
      </c>
      <c r="B241" s="4635" t="s">
        <v>4166</v>
      </c>
      <c r="C241" s="4677">
        <v>661.5</v>
      </c>
      <c r="D241" s="4755" t="s">
        <v>2430</v>
      </c>
      <c r="E241" s="5000"/>
      <c r="F241" s="4969">
        <f t="shared" ref="F241:F243" si="8">ROUND(C241*E241,2)</f>
        <v>0</v>
      </c>
      <c r="G241" s="4537"/>
      <c r="H241" s="4537"/>
      <c r="I241" s="4537"/>
      <c r="J241" s="4537"/>
      <c r="K241" s="4537"/>
      <c r="L241" s="4537"/>
      <c r="M241" s="4537"/>
      <c r="N241" s="4537"/>
      <c r="O241" s="4537"/>
      <c r="P241" s="4537"/>
      <c r="Q241" s="4537"/>
      <c r="R241" s="4537"/>
      <c r="S241" s="4537"/>
      <c r="T241" s="4537"/>
      <c r="U241" s="4537"/>
      <c r="V241" s="4537"/>
      <c r="W241" s="4537"/>
      <c r="X241" s="4537"/>
      <c r="Y241" s="4537"/>
      <c r="Z241" s="4537"/>
      <c r="AA241" s="4537"/>
      <c r="AB241" s="4537"/>
      <c r="AC241" s="4537"/>
      <c r="AD241" s="4537"/>
      <c r="AE241" s="4537"/>
      <c r="AF241" s="4537"/>
      <c r="AG241" s="4537"/>
      <c r="AH241" s="4537"/>
      <c r="AI241" s="4537"/>
      <c r="AJ241" s="4537"/>
      <c r="AK241" s="4537"/>
      <c r="AL241" s="4537"/>
      <c r="AM241" s="4537"/>
      <c r="AN241" s="4537"/>
      <c r="AO241" s="4537"/>
      <c r="AP241" s="4537"/>
      <c r="AQ241" s="4537"/>
      <c r="AR241" s="4537"/>
      <c r="AS241" s="4550"/>
      <c r="AT241" s="4550"/>
      <c r="AU241" s="4550"/>
      <c r="AV241" s="4550"/>
      <c r="AW241" s="4550"/>
      <c r="AX241" s="4550"/>
      <c r="AY241" s="4550"/>
      <c r="AZ241" s="4550"/>
      <c r="BA241" s="4550"/>
      <c r="BB241" s="4550"/>
      <c r="BC241" s="4550"/>
      <c r="BD241" s="4550"/>
      <c r="BE241" s="4550"/>
      <c r="BF241" s="4550"/>
      <c r="BG241" s="4550"/>
      <c r="BH241" s="4550"/>
      <c r="BI241" s="4550"/>
      <c r="BJ241" s="4550"/>
      <c r="BK241" s="4550"/>
      <c r="BL241" s="4550"/>
      <c r="BM241" s="4550"/>
      <c r="BN241" s="4550"/>
      <c r="BO241" s="4550"/>
      <c r="BP241" s="4550"/>
      <c r="BQ241" s="4550"/>
      <c r="BR241" s="4550"/>
      <c r="BS241" s="4550"/>
      <c r="BT241" s="4550"/>
      <c r="BU241" s="4550"/>
      <c r="BV241" s="4550"/>
      <c r="BW241" s="4550"/>
      <c r="BX241" s="4550"/>
      <c r="BY241" s="4550"/>
      <c r="BZ241" s="4550"/>
      <c r="CA241" s="4550"/>
      <c r="CB241" s="4550"/>
      <c r="CC241" s="4550"/>
      <c r="CD241" s="4550"/>
      <c r="CE241" s="4550"/>
      <c r="CF241" s="4550"/>
      <c r="CG241" s="4550"/>
      <c r="CH241" s="4550"/>
      <c r="CI241" s="4550"/>
      <c r="CJ241" s="4550"/>
      <c r="CK241" s="4550"/>
      <c r="CL241" s="4550"/>
      <c r="CM241" s="4550"/>
      <c r="CN241" s="4550"/>
      <c r="CO241" s="4550"/>
      <c r="CP241" s="4550"/>
      <c r="CQ241" s="4550"/>
      <c r="CR241" s="4550"/>
      <c r="CS241" s="4550"/>
      <c r="CT241" s="4550"/>
      <c r="CU241" s="4550"/>
      <c r="CV241" s="4550"/>
      <c r="CW241" s="4550"/>
      <c r="CX241" s="4550"/>
      <c r="CY241" s="4550"/>
      <c r="CZ241" s="4550"/>
      <c r="DA241" s="4550"/>
      <c r="DB241" s="4550"/>
      <c r="DC241" s="4550"/>
      <c r="DD241" s="4550"/>
      <c r="DE241" s="4550"/>
      <c r="DF241" s="4550"/>
      <c r="DG241" s="4550"/>
      <c r="DH241" s="4550"/>
      <c r="DI241" s="4550"/>
      <c r="DJ241" s="4550"/>
      <c r="DK241" s="4550"/>
      <c r="DL241" s="4550"/>
      <c r="DM241" s="4550"/>
      <c r="DN241" s="4550"/>
      <c r="DO241" s="4550"/>
      <c r="DP241" s="4550"/>
      <c r="DQ241" s="4550"/>
      <c r="DR241" s="4550"/>
      <c r="DS241" s="4550"/>
      <c r="DT241" s="4550"/>
      <c r="DU241" s="4550"/>
      <c r="DV241" s="4550"/>
      <c r="DW241" s="4550"/>
      <c r="DX241" s="4550"/>
      <c r="DY241" s="4550"/>
      <c r="DZ241" s="4550"/>
      <c r="EA241" s="4550"/>
      <c r="EB241" s="4550"/>
      <c r="EC241" s="4550"/>
      <c r="ED241" s="4550"/>
      <c r="EE241" s="4550"/>
      <c r="EF241" s="4550"/>
      <c r="EG241" s="4550"/>
      <c r="EH241" s="4550"/>
      <c r="EI241" s="4550"/>
      <c r="EJ241" s="4550"/>
      <c r="EK241" s="4550"/>
      <c r="EL241" s="4550"/>
      <c r="EM241" s="4550"/>
      <c r="EN241" s="4550"/>
      <c r="EO241" s="4550"/>
      <c r="EP241" s="4550"/>
      <c r="EQ241" s="4550"/>
      <c r="ER241" s="4550"/>
      <c r="ES241" s="4550"/>
      <c r="ET241" s="4550"/>
      <c r="EU241" s="4550"/>
      <c r="EV241" s="4550"/>
      <c r="EW241" s="4550"/>
      <c r="EX241" s="4550"/>
      <c r="EY241" s="4550"/>
      <c r="EZ241" s="4550"/>
      <c r="FA241" s="4550"/>
      <c r="FB241" s="4550"/>
      <c r="FC241" s="4550"/>
      <c r="FD241" s="4550"/>
      <c r="FE241" s="4550"/>
      <c r="FF241" s="4550"/>
      <c r="FG241" s="4550"/>
      <c r="FH241" s="4550"/>
      <c r="FI241" s="4550"/>
      <c r="FJ241" s="4550"/>
      <c r="FK241" s="4550"/>
      <c r="FL241" s="4550"/>
      <c r="FM241" s="4550"/>
      <c r="FN241" s="4550"/>
      <c r="FO241" s="4550"/>
      <c r="FP241" s="4550"/>
      <c r="FQ241" s="4550"/>
      <c r="FR241" s="4550"/>
      <c r="FS241" s="4550"/>
      <c r="FT241" s="4550"/>
      <c r="FU241" s="4550"/>
      <c r="FV241" s="4550"/>
      <c r="FW241" s="4550"/>
      <c r="FX241" s="4550"/>
      <c r="FY241" s="4550"/>
      <c r="FZ241" s="4550"/>
      <c r="GA241" s="4550"/>
      <c r="GB241" s="4550"/>
      <c r="GC241" s="4550"/>
      <c r="GD241" s="4550"/>
      <c r="GE241" s="4550"/>
      <c r="GF241" s="4550"/>
      <c r="GG241" s="4550"/>
      <c r="GH241" s="4550"/>
      <c r="GI241" s="4550"/>
      <c r="GJ241" s="4550"/>
      <c r="GK241" s="4550"/>
      <c r="GL241" s="4550"/>
      <c r="GM241" s="4550"/>
      <c r="GN241" s="4550"/>
      <c r="GO241" s="4550"/>
      <c r="GP241" s="4550"/>
      <c r="GQ241" s="4550"/>
      <c r="GR241" s="4550"/>
      <c r="GS241" s="4550"/>
      <c r="GT241" s="4550"/>
      <c r="GU241" s="4550"/>
      <c r="GV241" s="4550"/>
      <c r="GW241" s="4550"/>
      <c r="GX241" s="4550"/>
      <c r="GY241" s="4550"/>
      <c r="GZ241" s="4550"/>
      <c r="HA241" s="4550"/>
      <c r="HB241" s="4550"/>
      <c r="HC241" s="4550"/>
      <c r="HD241" s="4550"/>
      <c r="HE241" s="4550"/>
      <c r="HF241" s="4550"/>
      <c r="HG241" s="4550"/>
      <c r="HH241" s="4550"/>
      <c r="HI241" s="4550"/>
      <c r="HJ241" s="4550"/>
      <c r="HK241" s="4550"/>
      <c r="HL241" s="4550"/>
      <c r="HM241" s="4550"/>
      <c r="HN241" s="4550"/>
      <c r="HO241" s="4550"/>
      <c r="HP241" s="4550"/>
      <c r="HQ241" s="4550"/>
      <c r="HR241" s="4550"/>
      <c r="HS241" s="4550"/>
      <c r="HT241" s="4550"/>
      <c r="HU241" s="4550"/>
      <c r="HV241" s="4550"/>
      <c r="HW241" s="4550"/>
      <c r="HX241" s="4550"/>
      <c r="HY241" s="4550"/>
      <c r="HZ241" s="4550"/>
      <c r="IA241" s="4550"/>
      <c r="IB241" s="4550"/>
      <c r="IC241" s="4550"/>
      <c r="ID241" s="4550"/>
      <c r="IE241" s="4550"/>
    </row>
    <row r="242" spans="1:239" s="4549" customFormat="1" ht="30" customHeight="1">
      <c r="A242" s="4756">
        <v>1.2</v>
      </c>
      <c r="B242" s="4675" t="s">
        <v>4156</v>
      </c>
      <c r="C242" s="4677">
        <v>661.5</v>
      </c>
      <c r="D242" s="4755" t="s">
        <v>2430</v>
      </c>
      <c r="E242" s="5000"/>
      <c r="F242" s="4969">
        <f t="shared" si="8"/>
        <v>0</v>
      </c>
      <c r="G242" s="4537"/>
      <c r="H242" s="4537"/>
      <c r="I242" s="4537"/>
      <c r="J242" s="4537"/>
      <c r="K242" s="4537"/>
      <c r="L242" s="4537"/>
      <c r="M242" s="4537"/>
      <c r="N242" s="4537"/>
      <c r="O242" s="4537"/>
      <c r="P242" s="4537"/>
      <c r="Q242" s="4537"/>
      <c r="R242" s="4537"/>
      <c r="S242" s="4537"/>
      <c r="T242" s="4537"/>
      <c r="U242" s="4537"/>
      <c r="V242" s="4537"/>
      <c r="W242" s="4537"/>
      <c r="X242" s="4537"/>
      <c r="Y242" s="4537"/>
      <c r="Z242" s="4537"/>
      <c r="AA242" s="4537"/>
      <c r="AB242" s="4537"/>
      <c r="AC242" s="4537"/>
      <c r="AD242" s="4537"/>
      <c r="AE242" s="4537"/>
      <c r="AF242" s="4537"/>
      <c r="AG242" s="4537"/>
      <c r="AH242" s="4537"/>
      <c r="AI242" s="4537"/>
      <c r="AJ242" s="4537"/>
      <c r="AK242" s="4537"/>
      <c r="AL242" s="4537"/>
      <c r="AM242" s="4537"/>
      <c r="AN242" s="4537"/>
      <c r="AO242" s="4537"/>
      <c r="AP242" s="4537"/>
      <c r="AQ242" s="4537"/>
      <c r="AR242" s="4537"/>
      <c r="AS242" s="4550"/>
      <c r="AT242" s="4550"/>
      <c r="AU242" s="4550"/>
      <c r="AV242" s="4550"/>
      <c r="AW242" s="4550"/>
      <c r="AX242" s="4550"/>
      <c r="AY242" s="4550"/>
      <c r="AZ242" s="4550"/>
      <c r="BA242" s="4550"/>
      <c r="BB242" s="4550"/>
      <c r="BC242" s="4550"/>
      <c r="BD242" s="4550"/>
      <c r="BE242" s="4550"/>
      <c r="BF242" s="4550"/>
      <c r="BG242" s="4550"/>
      <c r="BH242" s="4550"/>
      <c r="BI242" s="4550"/>
      <c r="BJ242" s="4550"/>
      <c r="BK242" s="4550"/>
      <c r="BL242" s="4550"/>
      <c r="BM242" s="4550"/>
      <c r="BN242" s="4550"/>
      <c r="BO242" s="4550"/>
      <c r="BP242" s="4550"/>
      <c r="BQ242" s="4550"/>
      <c r="BR242" s="4550"/>
      <c r="BS242" s="4550"/>
      <c r="BT242" s="4550"/>
      <c r="BU242" s="4550"/>
      <c r="BV242" s="4550"/>
      <c r="BW242" s="4550"/>
      <c r="BX242" s="4550"/>
      <c r="BY242" s="4550"/>
      <c r="BZ242" s="4550"/>
      <c r="CA242" s="4550"/>
      <c r="CB242" s="4550"/>
      <c r="CC242" s="4550"/>
      <c r="CD242" s="4550"/>
      <c r="CE242" s="4550"/>
      <c r="CF242" s="4550"/>
      <c r="CG242" s="4550"/>
      <c r="CH242" s="4550"/>
      <c r="CI242" s="4550"/>
      <c r="CJ242" s="4550"/>
      <c r="CK242" s="4550"/>
      <c r="CL242" s="4550"/>
      <c r="CM242" s="4550"/>
      <c r="CN242" s="4550"/>
      <c r="CO242" s="4550"/>
      <c r="CP242" s="4550"/>
      <c r="CQ242" s="4550"/>
      <c r="CR242" s="4550"/>
      <c r="CS242" s="4550"/>
      <c r="CT242" s="4550"/>
      <c r="CU242" s="4550"/>
      <c r="CV242" s="4550"/>
      <c r="CW242" s="4550"/>
      <c r="CX242" s="4550"/>
      <c r="CY242" s="4550"/>
      <c r="CZ242" s="4550"/>
      <c r="DA242" s="4550"/>
      <c r="DB242" s="4550"/>
      <c r="DC242" s="4550"/>
      <c r="DD242" s="4550"/>
      <c r="DE242" s="4550"/>
      <c r="DF242" s="4550"/>
      <c r="DG242" s="4550"/>
      <c r="DH242" s="4550"/>
      <c r="DI242" s="4550"/>
      <c r="DJ242" s="4550"/>
      <c r="DK242" s="4550"/>
      <c r="DL242" s="4550"/>
      <c r="DM242" s="4550"/>
      <c r="DN242" s="4550"/>
      <c r="DO242" s="4550"/>
      <c r="DP242" s="4550"/>
      <c r="DQ242" s="4550"/>
      <c r="DR242" s="4550"/>
      <c r="DS242" s="4550"/>
      <c r="DT242" s="4550"/>
      <c r="DU242" s="4550"/>
      <c r="DV242" s="4550"/>
      <c r="DW242" s="4550"/>
      <c r="DX242" s="4550"/>
      <c r="DY242" s="4550"/>
      <c r="DZ242" s="4550"/>
      <c r="EA242" s="4550"/>
      <c r="EB242" s="4550"/>
      <c r="EC242" s="4550"/>
      <c r="ED242" s="4550"/>
      <c r="EE242" s="4550"/>
      <c r="EF242" s="4550"/>
      <c r="EG242" s="4550"/>
      <c r="EH242" s="4550"/>
      <c r="EI242" s="4550"/>
      <c r="EJ242" s="4550"/>
      <c r="EK242" s="4550"/>
      <c r="EL242" s="4550"/>
      <c r="EM242" s="4550"/>
      <c r="EN242" s="4550"/>
      <c r="EO242" s="4550"/>
      <c r="EP242" s="4550"/>
      <c r="EQ242" s="4550"/>
      <c r="ER242" s="4550"/>
      <c r="ES242" s="4550"/>
      <c r="ET242" s="4550"/>
      <c r="EU242" s="4550"/>
      <c r="EV242" s="4550"/>
      <c r="EW242" s="4550"/>
      <c r="EX242" s="4550"/>
      <c r="EY242" s="4550"/>
      <c r="EZ242" s="4550"/>
      <c r="FA242" s="4550"/>
      <c r="FB242" s="4550"/>
      <c r="FC242" s="4550"/>
      <c r="FD242" s="4550"/>
      <c r="FE242" s="4550"/>
      <c r="FF242" s="4550"/>
      <c r="FG242" s="4550"/>
      <c r="FH242" s="4550"/>
      <c r="FI242" s="4550"/>
      <c r="FJ242" s="4550"/>
      <c r="FK242" s="4550"/>
      <c r="FL242" s="4550"/>
      <c r="FM242" s="4550"/>
      <c r="FN242" s="4550"/>
      <c r="FO242" s="4550"/>
      <c r="FP242" s="4550"/>
      <c r="FQ242" s="4550"/>
      <c r="FR242" s="4550"/>
      <c r="FS242" s="4550"/>
      <c r="FT242" s="4550"/>
      <c r="FU242" s="4550"/>
      <c r="FV242" s="4550"/>
      <c r="FW242" s="4550"/>
      <c r="FX242" s="4550"/>
      <c r="FY242" s="4550"/>
      <c r="FZ242" s="4550"/>
      <c r="GA242" s="4550"/>
      <c r="GB242" s="4550"/>
      <c r="GC242" s="4550"/>
      <c r="GD242" s="4550"/>
      <c r="GE242" s="4550"/>
      <c r="GF242" s="4550"/>
      <c r="GG242" s="4550"/>
      <c r="GH242" s="4550"/>
      <c r="GI242" s="4550"/>
      <c r="GJ242" s="4550"/>
      <c r="GK242" s="4550"/>
      <c r="GL242" s="4550"/>
      <c r="GM242" s="4550"/>
      <c r="GN242" s="4550"/>
      <c r="GO242" s="4550"/>
      <c r="GP242" s="4550"/>
      <c r="GQ242" s="4550"/>
      <c r="GR242" s="4550"/>
      <c r="GS242" s="4550"/>
      <c r="GT242" s="4550"/>
      <c r="GU242" s="4550"/>
      <c r="GV242" s="4550"/>
      <c r="GW242" s="4550"/>
      <c r="GX242" s="4550"/>
      <c r="GY242" s="4550"/>
      <c r="GZ242" s="4550"/>
      <c r="HA242" s="4550"/>
      <c r="HB242" s="4550"/>
      <c r="HC242" s="4550"/>
      <c r="HD242" s="4550"/>
      <c r="HE242" s="4550"/>
      <c r="HF242" s="4550"/>
      <c r="HG242" s="4550"/>
      <c r="HH242" s="4550"/>
      <c r="HI242" s="4550"/>
      <c r="HJ242" s="4550"/>
      <c r="HK242" s="4550"/>
      <c r="HL242" s="4550"/>
      <c r="HM242" s="4550"/>
      <c r="HN242" s="4550"/>
      <c r="HO242" s="4550"/>
      <c r="HP242" s="4550"/>
      <c r="HQ242" s="4550"/>
      <c r="HR242" s="4550"/>
      <c r="HS242" s="4550"/>
      <c r="HT242" s="4550"/>
      <c r="HU242" s="4550"/>
      <c r="HV242" s="4550"/>
      <c r="HW242" s="4550"/>
      <c r="HX242" s="4550"/>
      <c r="HY242" s="4550"/>
      <c r="HZ242" s="4550"/>
      <c r="IA242" s="4550"/>
      <c r="IB242" s="4550"/>
      <c r="IC242" s="4550"/>
      <c r="ID242" s="4550"/>
      <c r="IE242" s="4550"/>
    </row>
    <row r="243" spans="1:239" s="4549" customFormat="1" ht="15.75" customHeight="1">
      <c r="A243" s="4680">
        <v>2</v>
      </c>
      <c r="B243" s="4675" t="s">
        <v>4167</v>
      </c>
      <c r="C243" s="4677">
        <v>1</v>
      </c>
      <c r="D243" s="4757" t="s">
        <v>61</v>
      </c>
      <c r="E243" s="5000"/>
      <c r="F243" s="4969">
        <f t="shared" si="8"/>
        <v>0</v>
      </c>
      <c r="G243" s="4537"/>
      <c r="H243" s="4537"/>
      <c r="I243" s="4537"/>
      <c r="J243" s="4537"/>
      <c r="K243" s="4537"/>
      <c r="L243" s="4537"/>
      <c r="M243" s="4537"/>
      <c r="N243" s="4537"/>
      <c r="O243" s="4537"/>
      <c r="P243" s="4537"/>
      <c r="Q243" s="4537"/>
      <c r="R243" s="4537"/>
      <c r="S243" s="4537"/>
      <c r="T243" s="4537"/>
      <c r="U243" s="4537"/>
      <c r="V243" s="4537"/>
      <c r="W243" s="4537"/>
      <c r="X243" s="4537"/>
      <c r="Y243" s="4537"/>
      <c r="Z243" s="4537"/>
      <c r="AA243" s="4537"/>
      <c r="AB243" s="4537"/>
      <c r="AC243" s="4537"/>
      <c r="AD243" s="4537"/>
      <c r="AE243" s="4537"/>
      <c r="AF243" s="4537"/>
      <c r="AG243" s="4537"/>
      <c r="AH243" s="4537"/>
      <c r="AI243" s="4537"/>
      <c r="AJ243" s="4537"/>
      <c r="AK243" s="4537"/>
      <c r="AL243" s="4537"/>
      <c r="AM243" s="4537"/>
      <c r="AN243" s="4537"/>
      <c r="AO243" s="4537"/>
      <c r="AP243" s="4537"/>
      <c r="AQ243" s="4537"/>
      <c r="AR243" s="4537"/>
      <c r="AS243" s="4550"/>
      <c r="AT243" s="4550"/>
      <c r="AU243" s="4550"/>
      <c r="AV243" s="4550"/>
      <c r="AW243" s="4550"/>
      <c r="AX243" s="4550"/>
      <c r="AY243" s="4550"/>
      <c r="AZ243" s="4550"/>
      <c r="BA243" s="4550"/>
      <c r="BB243" s="4550"/>
      <c r="BC243" s="4550"/>
      <c r="BD243" s="4550"/>
      <c r="BE243" s="4550"/>
      <c r="BF243" s="4550"/>
      <c r="BG243" s="4550"/>
      <c r="BH243" s="4550"/>
      <c r="BI243" s="4550"/>
      <c r="BJ243" s="4550"/>
      <c r="BK243" s="4550"/>
      <c r="BL243" s="4550"/>
      <c r="BM243" s="4550"/>
      <c r="BN243" s="4550"/>
      <c r="BO243" s="4550"/>
      <c r="BP243" s="4550"/>
      <c r="BQ243" s="4550"/>
      <c r="BR243" s="4550"/>
      <c r="BS243" s="4550"/>
      <c r="BT243" s="4550"/>
      <c r="BU243" s="4550"/>
      <c r="BV243" s="4550"/>
      <c r="BW243" s="4550"/>
      <c r="BX243" s="4550"/>
      <c r="BY243" s="4550"/>
      <c r="BZ243" s="4550"/>
      <c r="CA243" s="4550"/>
      <c r="CB243" s="4550"/>
      <c r="CC243" s="4550"/>
      <c r="CD243" s="4550"/>
      <c r="CE243" s="4550"/>
      <c r="CF243" s="4550"/>
      <c r="CG243" s="4550"/>
      <c r="CH243" s="4550"/>
      <c r="CI243" s="4550"/>
      <c r="CJ243" s="4550"/>
      <c r="CK243" s="4550"/>
      <c r="CL243" s="4550"/>
      <c r="CM243" s="4550"/>
      <c r="CN243" s="4550"/>
      <c r="CO243" s="4550"/>
      <c r="CP243" s="4550"/>
      <c r="CQ243" s="4550"/>
      <c r="CR243" s="4550"/>
      <c r="CS243" s="4550"/>
      <c r="CT243" s="4550"/>
      <c r="CU243" s="4550"/>
      <c r="CV243" s="4550"/>
      <c r="CW243" s="4550"/>
      <c r="CX243" s="4550"/>
      <c r="CY243" s="4550"/>
      <c r="CZ243" s="4550"/>
      <c r="DA243" s="4550"/>
      <c r="DB243" s="4550"/>
      <c r="DC243" s="4550"/>
      <c r="DD243" s="4550"/>
      <c r="DE243" s="4550"/>
      <c r="DF243" s="4550"/>
      <c r="DG243" s="4550"/>
      <c r="DH243" s="4550"/>
      <c r="DI243" s="4550"/>
      <c r="DJ243" s="4550"/>
      <c r="DK243" s="4550"/>
      <c r="DL243" s="4550"/>
      <c r="DM243" s="4550"/>
      <c r="DN243" s="4550"/>
      <c r="DO243" s="4550"/>
      <c r="DP243" s="4550"/>
      <c r="DQ243" s="4550"/>
      <c r="DR243" s="4550"/>
      <c r="DS243" s="4550"/>
      <c r="DT243" s="4550"/>
      <c r="DU243" s="4550"/>
      <c r="DV243" s="4550"/>
      <c r="DW243" s="4550"/>
      <c r="DX243" s="4550"/>
      <c r="DY243" s="4550"/>
      <c r="DZ243" s="4550"/>
      <c r="EA243" s="4550"/>
      <c r="EB243" s="4550"/>
      <c r="EC243" s="4550"/>
      <c r="ED243" s="4550"/>
      <c r="EE243" s="4550"/>
      <c r="EF243" s="4550"/>
      <c r="EG243" s="4550"/>
      <c r="EH243" s="4550"/>
      <c r="EI243" s="4550"/>
      <c r="EJ243" s="4550"/>
      <c r="EK243" s="4550"/>
      <c r="EL243" s="4550"/>
      <c r="EM243" s="4550"/>
      <c r="EN243" s="4550"/>
      <c r="EO243" s="4550"/>
      <c r="EP243" s="4550"/>
      <c r="EQ243" s="4550"/>
      <c r="ER243" s="4550"/>
      <c r="ES243" s="4550"/>
      <c r="ET243" s="4550"/>
      <c r="EU243" s="4550"/>
      <c r="EV243" s="4550"/>
      <c r="EW243" s="4550"/>
      <c r="EX243" s="4550"/>
      <c r="EY243" s="4550"/>
      <c r="EZ243" s="4550"/>
      <c r="FA243" s="4550"/>
      <c r="FB243" s="4550"/>
      <c r="FC243" s="4550"/>
      <c r="FD243" s="4550"/>
      <c r="FE243" s="4550"/>
      <c r="FF243" s="4550"/>
      <c r="FG243" s="4550"/>
      <c r="FH243" s="4550"/>
      <c r="FI243" s="4550"/>
      <c r="FJ243" s="4550"/>
      <c r="FK243" s="4550"/>
      <c r="FL243" s="4550"/>
      <c r="FM243" s="4550"/>
      <c r="FN243" s="4550"/>
      <c r="FO243" s="4550"/>
      <c r="FP243" s="4550"/>
      <c r="FQ243" s="4550"/>
      <c r="FR243" s="4550"/>
      <c r="FS243" s="4550"/>
      <c r="FT243" s="4550"/>
      <c r="FU243" s="4550"/>
      <c r="FV243" s="4550"/>
      <c r="FW243" s="4550"/>
      <c r="FX243" s="4550"/>
      <c r="FY243" s="4550"/>
      <c r="FZ243" s="4550"/>
      <c r="GA243" s="4550"/>
      <c r="GB243" s="4550"/>
      <c r="GC243" s="4550"/>
      <c r="GD243" s="4550"/>
      <c r="GE243" s="4550"/>
      <c r="GF243" s="4550"/>
      <c r="GG243" s="4550"/>
      <c r="GH243" s="4550"/>
      <c r="GI243" s="4550"/>
      <c r="GJ243" s="4550"/>
      <c r="GK243" s="4550"/>
      <c r="GL243" s="4550"/>
      <c r="GM243" s="4550"/>
      <c r="GN243" s="4550"/>
      <c r="GO243" s="4550"/>
      <c r="GP243" s="4550"/>
      <c r="GQ243" s="4550"/>
      <c r="GR243" s="4550"/>
      <c r="GS243" s="4550"/>
      <c r="GT243" s="4550"/>
      <c r="GU243" s="4550"/>
      <c r="GV243" s="4550"/>
      <c r="GW243" s="4550"/>
      <c r="GX243" s="4550"/>
      <c r="GY243" s="4550"/>
      <c r="GZ243" s="4550"/>
      <c r="HA243" s="4550"/>
      <c r="HB243" s="4550"/>
      <c r="HC243" s="4550"/>
      <c r="HD243" s="4550"/>
      <c r="HE243" s="4550"/>
      <c r="HF243" s="4550"/>
      <c r="HG243" s="4550"/>
      <c r="HH243" s="4550"/>
      <c r="HI243" s="4550"/>
      <c r="HJ243" s="4550"/>
      <c r="HK243" s="4550"/>
      <c r="HL243" s="4550"/>
      <c r="HM243" s="4550"/>
      <c r="HN243" s="4550"/>
      <c r="HO243" s="4550"/>
      <c r="HP243" s="4550"/>
      <c r="HQ243" s="4550"/>
      <c r="HR243" s="4550"/>
      <c r="HS243" s="4550"/>
      <c r="HT243" s="4550"/>
      <c r="HU243" s="4550"/>
      <c r="HV243" s="4550"/>
      <c r="HW243" s="4550"/>
      <c r="HX243" s="4550"/>
      <c r="HY243" s="4550"/>
      <c r="HZ243" s="4550"/>
      <c r="IA243" s="4550"/>
      <c r="IB243" s="4550"/>
      <c r="IC243" s="4550"/>
      <c r="ID243" s="4550"/>
      <c r="IE243" s="4550"/>
    </row>
    <row r="244" spans="1:239" s="4549" customFormat="1" ht="15" customHeight="1">
      <c r="A244" s="4680">
        <v>3</v>
      </c>
      <c r="B244" s="4758" t="s">
        <v>4168</v>
      </c>
      <c r="C244" s="4659">
        <v>1</v>
      </c>
      <c r="D244" s="4757" t="s">
        <v>61</v>
      </c>
      <c r="E244" s="5000"/>
      <c r="F244" s="5000">
        <f t="shared" ref="F244:F257" si="9">ROUND((C244*E244),2)</f>
        <v>0</v>
      </c>
      <c r="G244" s="4537"/>
      <c r="H244" s="4537"/>
      <c r="I244" s="4537"/>
      <c r="J244" s="4537"/>
      <c r="K244" s="4537"/>
      <c r="L244" s="4537"/>
      <c r="M244" s="4537"/>
      <c r="N244" s="4537"/>
      <c r="O244" s="4537"/>
      <c r="P244" s="4537"/>
      <c r="Q244" s="4537"/>
      <c r="R244" s="4537"/>
      <c r="S244" s="4537"/>
      <c r="T244" s="4537"/>
      <c r="U244" s="4537"/>
      <c r="V244" s="4537"/>
      <c r="W244" s="4537"/>
      <c r="X244" s="4537"/>
      <c r="Y244" s="4537"/>
      <c r="Z244" s="4537"/>
      <c r="AA244" s="4537"/>
      <c r="AB244" s="4537"/>
      <c r="AC244" s="4537"/>
      <c r="AD244" s="4537"/>
      <c r="AE244" s="4537"/>
      <c r="AF244" s="4537"/>
      <c r="AG244" s="4537"/>
      <c r="AH244" s="4537"/>
      <c r="AI244" s="4537"/>
      <c r="AJ244" s="4537"/>
      <c r="AK244" s="4537"/>
      <c r="AL244" s="4537"/>
      <c r="AM244" s="4537"/>
      <c r="AN244" s="4537"/>
      <c r="AO244" s="4537"/>
      <c r="AP244" s="4537"/>
      <c r="AQ244" s="4537"/>
      <c r="AR244" s="4537"/>
      <c r="AS244" s="4550"/>
      <c r="AT244" s="4550"/>
      <c r="AU244" s="4550"/>
      <c r="AV244" s="4550"/>
      <c r="AW244" s="4550"/>
      <c r="AX244" s="4550"/>
      <c r="AY244" s="4550"/>
      <c r="AZ244" s="4550"/>
      <c r="BA244" s="4550"/>
      <c r="BB244" s="4550"/>
      <c r="BC244" s="4550"/>
      <c r="BD244" s="4550"/>
      <c r="BE244" s="4550"/>
      <c r="BF244" s="4550"/>
      <c r="BG244" s="4550"/>
      <c r="BH244" s="4550"/>
      <c r="BI244" s="4550"/>
      <c r="BJ244" s="4550"/>
      <c r="BK244" s="4550"/>
      <c r="BL244" s="4550"/>
      <c r="BM244" s="4550"/>
      <c r="BN244" s="4550"/>
      <c r="BO244" s="4550"/>
      <c r="BP244" s="4550"/>
      <c r="BQ244" s="4550"/>
      <c r="BR244" s="4550"/>
      <c r="BS244" s="4550"/>
      <c r="BT244" s="4550"/>
      <c r="BU244" s="4550"/>
      <c r="BV244" s="4550"/>
      <c r="BW244" s="4550"/>
      <c r="BX244" s="4550"/>
      <c r="BY244" s="4550"/>
      <c r="BZ244" s="4550"/>
      <c r="CA244" s="4550"/>
      <c r="CB244" s="4550"/>
      <c r="CC244" s="4550"/>
      <c r="CD244" s="4550"/>
      <c r="CE244" s="4550"/>
      <c r="CF244" s="4550"/>
      <c r="CG244" s="4550"/>
      <c r="CH244" s="4550"/>
      <c r="CI244" s="4550"/>
      <c r="CJ244" s="4550"/>
      <c r="CK244" s="4550"/>
      <c r="CL244" s="4550"/>
      <c r="CM244" s="4550"/>
      <c r="CN244" s="4550"/>
      <c r="CO244" s="4550"/>
      <c r="CP244" s="4550"/>
      <c r="CQ244" s="4550"/>
      <c r="CR244" s="4550"/>
      <c r="CS244" s="4550"/>
      <c r="CT244" s="4550"/>
      <c r="CU244" s="4550"/>
      <c r="CV244" s="4550"/>
      <c r="CW244" s="4550"/>
      <c r="CX244" s="4550"/>
      <c r="CY244" s="4550"/>
      <c r="CZ244" s="4550"/>
      <c r="DA244" s="4550"/>
      <c r="DB244" s="4550"/>
      <c r="DC244" s="4550"/>
      <c r="DD244" s="4550"/>
      <c r="DE244" s="4550"/>
      <c r="DF244" s="4550"/>
      <c r="DG244" s="4550"/>
      <c r="DH244" s="4550"/>
      <c r="DI244" s="4550"/>
      <c r="DJ244" s="4550"/>
      <c r="DK244" s="4550"/>
      <c r="DL244" s="4550"/>
      <c r="DM244" s="4550"/>
      <c r="DN244" s="4550"/>
      <c r="DO244" s="4550"/>
      <c r="DP244" s="4550"/>
      <c r="DQ244" s="4550"/>
      <c r="DR244" s="4550"/>
      <c r="DS244" s="4550"/>
      <c r="DT244" s="4550"/>
      <c r="DU244" s="4550"/>
      <c r="DV244" s="4550"/>
      <c r="DW244" s="4550"/>
      <c r="DX244" s="4550"/>
      <c r="DY244" s="4550"/>
      <c r="DZ244" s="4550"/>
      <c r="EA244" s="4550"/>
      <c r="EB244" s="4550"/>
      <c r="EC244" s="4550"/>
      <c r="ED244" s="4550"/>
      <c r="EE244" s="4550"/>
      <c r="EF244" s="4550"/>
      <c r="EG244" s="4550"/>
      <c r="EH244" s="4550"/>
      <c r="EI244" s="4550"/>
      <c r="EJ244" s="4550"/>
      <c r="EK244" s="4550"/>
      <c r="EL244" s="4550"/>
      <c r="EM244" s="4550"/>
      <c r="EN244" s="4550"/>
      <c r="EO244" s="4550"/>
      <c r="EP244" s="4550"/>
      <c r="EQ244" s="4550"/>
      <c r="ER244" s="4550"/>
      <c r="ES244" s="4550"/>
      <c r="ET244" s="4550"/>
      <c r="EU244" s="4550"/>
      <c r="EV244" s="4550"/>
      <c r="EW244" s="4550"/>
      <c r="EX244" s="4550"/>
      <c r="EY244" s="4550"/>
      <c r="EZ244" s="4550"/>
      <c r="FA244" s="4550"/>
      <c r="FB244" s="4550"/>
      <c r="FC244" s="4550"/>
      <c r="FD244" s="4550"/>
      <c r="FE244" s="4550"/>
      <c r="FF244" s="4550"/>
      <c r="FG244" s="4550"/>
      <c r="FH244" s="4550"/>
      <c r="FI244" s="4550"/>
      <c r="FJ244" s="4550"/>
      <c r="FK244" s="4550"/>
      <c r="FL244" s="4550"/>
      <c r="FM244" s="4550"/>
      <c r="FN244" s="4550"/>
      <c r="FO244" s="4550"/>
      <c r="FP244" s="4550"/>
      <c r="FQ244" s="4550"/>
      <c r="FR244" s="4550"/>
      <c r="FS244" s="4550"/>
      <c r="FT244" s="4550"/>
      <c r="FU244" s="4550"/>
      <c r="FV244" s="4550"/>
      <c r="FW244" s="4550"/>
      <c r="FX244" s="4550"/>
      <c r="FY244" s="4550"/>
      <c r="FZ244" s="4550"/>
      <c r="GA244" s="4550"/>
      <c r="GB244" s="4550"/>
      <c r="GC244" s="4550"/>
      <c r="GD244" s="4550"/>
      <c r="GE244" s="4550"/>
      <c r="GF244" s="4550"/>
      <c r="GG244" s="4550"/>
      <c r="GH244" s="4550"/>
      <c r="GI244" s="4550"/>
      <c r="GJ244" s="4550"/>
      <c r="GK244" s="4550"/>
      <c r="GL244" s="4550"/>
      <c r="GM244" s="4550"/>
      <c r="GN244" s="4550"/>
      <c r="GO244" s="4550"/>
      <c r="GP244" s="4550"/>
      <c r="GQ244" s="4550"/>
      <c r="GR244" s="4550"/>
      <c r="GS244" s="4550"/>
      <c r="GT244" s="4550"/>
      <c r="GU244" s="4550"/>
      <c r="GV244" s="4550"/>
      <c r="GW244" s="4550"/>
      <c r="GX244" s="4550"/>
      <c r="GY244" s="4550"/>
      <c r="GZ244" s="4550"/>
      <c r="HA244" s="4550"/>
      <c r="HB244" s="4550"/>
      <c r="HC244" s="4550"/>
      <c r="HD244" s="4550"/>
      <c r="HE244" s="4550"/>
      <c r="HF244" s="4550"/>
      <c r="HG244" s="4550"/>
      <c r="HH244" s="4550"/>
      <c r="HI244" s="4550"/>
      <c r="HJ244" s="4550"/>
      <c r="HK244" s="4550"/>
      <c r="HL244" s="4550"/>
      <c r="HM244" s="4550"/>
      <c r="HN244" s="4550"/>
      <c r="HO244" s="4550"/>
      <c r="HP244" s="4550"/>
      <c r="HQ244" s="4550"/>
      <c r="HR244" s="4550"/>
      <c r="HS244" s="4550"/>
      <c r="HT244" s="4550"/>
      <c r="HU244" s="4550"/>
      <c r="HV244" s="4550"/>
      <c r="HW244" s="4550"/>
      <c r="HX244" s="4550"/>
      <c r="HY244" s="4550"/>
      <c r="HZ244" s="4550"/>
      <c r="IA244" s="4550"/>
      <c r="IB244" s="4550"/>
      <c r="IC244" s="4550"/>
      <c r="ID244" s="4550"/>
      <c r="IE244" s="4550"/>
    </row>
    <row r="245" spans="1:239" s="4549" customFormat="1" ht="13.5" customHeight="1">
      <c r="A245" s="4168">
        <v>4</v>
      </c>
      <c r="B245" s="4657" t="s">
        <v>4582</v>
      </c>
      <c r="C245" s="4659">
        <v>2</v>
      </c>
      <c r="D245" s="4593" t="s">
        <v>2604</v>
      </c>
      <c r="E245" s="4318"/>
      <c r="F245" s="5000">
        <f t="shared" si="9"/>
        <v>0</v>
      </c>
      <c r="G245" s="4537"/>
      <c r="H245" s="4537"/>
      <c r="I245" s="4537"/>
      <c r="J245" s="4537"/>
      <c r="K245" s="4537"/>
      <c r="L245" s="4537"/>
      <c r="M245" s="4537"/>
      <c r="N245" s="4537"/>
      <c r="O245" s="4537"/>
      <c r="P245" s="4537"/>
      <c r="Q245" s="4537"/>
      <c r="R245" s="4537"/>
      <c r="S245" s="4537"/>
      <c r="T245" s="4537"/>
      <c r="U245" s="4537"/>
      <c r="V245" s="4537"/>
      <c r="W245" s="4537"/>
      <c r="X245" s="4537"/>
      <c r="Y245" s="4537"/>
      <c r="Z245" s="4537"/>
      <c r="AA245" s="4537"/>
      <c r="AB245" s="4537"/>
      <c r="AC245" s="4537"/>
      <c r="AD245" s="4537"/>
      <c r="AE245" s="4537"/>
      <c r="AF245" s="4537"/>
      <c r="AG245" s="4537"/>
      <c r="AH245" s="4537"/>
      <c r="AI245" s="4537"/>
      <c r="AJ245" s="4537"/>
      <c r="AK245" s="4537"/>
      <c r="AL245" s="4537"/>
      <c r="AM245" s="4537"/>
      <c r="AN245" s="4537"/>
      <c r="AO245" s="4537"/>
      <c r="AP245" s="4537"/>
      <c r="AQ245" s="4537"/>
      <c r="AR245" s="4537"/>
      <c r="AS245" s="4550"/>
      <c r="AT245" s="4550"/>
      <c r="AU245" s="4550"/>
      <c r="AV245" s="4550"/>
      <c r="AW245" s="4550"/>
      <c r="AX245" s="4550"/>
      <c r="AY245" s="4550"/>
      <c r="AZ245" s="4550"/>
      <c r="BA245" s="4550"/>
      <c r="BB245" s="4550"/>
      <c r="BC245" s="4550"/>
      <c r="BD245" s="4550"/>
      <c r="BE245" s="4550"/>
      <c r="BF245" s="4550"/>
      <c r="BG245" s="4550"/>
      <c r="BH245" s="4550"/>
      <c r="BI245" s="4550"/>
      <c r="BJ245" s="4550"/>
      <c r="BK245" s="4550"/>
      <c r="BL245" s="4550"/>
      <c r="BM245" s="4550"/>
      <c r="BN245" s="4550"/>
      <c r="BO245" s="4550"/>
      <c r="BP245" s="4550"/>
      <c r="BQ245" s="4550"/>
      <c r="BR245" s="4550"/>
      <c r="BS245" s="4550"/>
      <c r="BT245" s="4550"/>
      <c r="BU245" s="4550"/>
      <c r="BV245" s="4550"/>
      <c r="BW245" s="4550"/>
      <c r="BX245" s="4550"/>
      <c r="BY245" s="4550"/>
      <c r="BZ245" s="4550"/>
      <c r="CA245" s="4550"/>
      <c r="CB245" s="4550"/>
      <c r="CC245" s="4550"/>
      <c r="CD245" s="4550"/>
      <c r="CE245" s="4550"/>
      <c r="CF245" s="4550"/>
      <c r="CG245" s="4550"/>
      <c r="CH245" s="4550"/>
      <c r="CI245" s="4550"/>
      <c r="CJ245" s="4550"/>
      <c r="CK245" s="4550"/>
      <c r="CL245" s="4550"/>
      <c r="CM245" s="4550"/>
      <c r="CN245" s="4550"/>
      <c r="CO245" s="4550"/>
      <c r="CP245" s="4550"/>
      <c r="CQ245" s="4550"/>
      <c r="CR245" s="4550"/>
      <c r="CS245" s="4550"/>
      <c r="CT245" s="4550"/>
      <c r="CU245" s="4550"/>
      <c r="CV245" s="4550"/>
      <c r="CW245" s="4550"/>
      <c r="CX245" s="4550"/>
      <c r="CY245" s="4550"/>
      <c r="CZ245" s="4550"/>
      <c r="DA245" s="4550"/>
      <c r="DB245" s="4550"/>
      <c r="DC245" s="4550"/>
      <c r="DD245" s="4550"/>
      <c r="DE245" s="4550"/>
      <c r="DF245" s="4550"/>
      <c r="DG245" s="4550"/>
      <c r="DH245" s="4550"/>
      <c r="DI245" s="4550"/>
      <c r="DJ245" s="4550"/>
      <c r="DK245" s="4550"/>
      <c r="DL245" s="4550"/>
      <c r="DM245" s="4550"/>
      <c r="DN245" s="4550"/>
      <c r="DO245" s="4550"/>
      <c r="DP245" s="4550"/>
      <c r="DQ245" s="4550"/>
      <c r="DR245" s="4550"/>
      <c r="DS245" s="4550"/>
      <c r="DT245" s="4550"/>
      <c r="DU245" s="4550"/>
      <c r="DV245" s="4550"/>
      <c r="DW245" s="4550"/>
      <c r="DX245" s="4550"/>
      <c r="DY245" s="4550"/>
      <c r="DZ245" s="4550"/>
      <c r="EA245" s="4550"/>
      <c r="EB245" s="4550"/>
      <c r="EC245" s="4550"/>
      <c r="ED245" s="4550"/>
      <c r="EE245" s="4550"/>
      <c r="EF245" s="4550"/>
      <c r="EG245" s="4550"/>
      <c r="EH245" s="4550"/>
      <c r="EI245" s="4550"/>
      <c r="EJ245" s="4550"/>
      <c r="EK245" s="4550"/>
      <c r="EL245" s="4550"/>
      <c r="EM245" s="4550"/>
      <c r="EN245" s="4550"/>
      <c r="EO245" s="4550"/>
      <c r="EP245" s="4550"/>
      <c r="EQ245" s="4550"/>
      <c r="ER245" s="4550"/>
      <c r="ES245" s="4550"/>
      <c r="ET245" s="4550"/>
      <c r="EU245" s="4550"/>
      <c r="EV245" s="4550"/>
      <c r="EW245" s="4550"/>
      <c r="EX245" s="4550"/>
      <c r="EY245" s="4550"/>
      <c r="EZ245" s="4550"/>
      <c r="FA245" s="4550"/>
      <c r="FB245" s="4550"/>
      <c r="FC245" s="4550"/>
      <c r="FD245" s="4550"/>
      <c r="FE245" s="4550"/>
      <c r="FF245" s="4550"/>
      <c r="FG245" s="4550"/>
      <c r="FH245" s="4550"/>
      <c r="FI245" s="4550"/>
      <c r="FJ245" s="4550"/>
      <c r="FK245" s="4550"/>
      <c r="FL245" s="4550"/>
      <c r="FM245" s="4550"/>
      <c r="FN245" s="4550"/>
      <c r="FO245" s="4550"/>
      <c r="FP245" s="4550"/>
      <c r="FQ245" s="4550"/>
      <c r="FR245" s="4550"/>
      <c r="FS245" s="4550"/>
      <c r="FT245" s="4550"/>
      <c r="FU245" s="4550"/>
      <c r="FV245" s="4550"/>
      <c r="FW245" s="4550"/>
      <c r="FX245" s="4550"/>
      <c r="FY245" s="4550"/>
      <c r="FZ245" s="4550"/>
      <c r="GA245" s="4550"/>
      <c r="GB245" s="4550"/>
      <c r="GC245" s="4550"/>
      <c r="GD245" s="4550"/>
      <c r="GE245" s="4550"/>
      <c r="GF245" s="4550"/>
      <c r="GG245" s="4550"/>
      <c r="GH245" s="4550"/>
      <c r="GI245" s="4550"/>
      <c r="GJ245" s="4550"/>
      <c r="GK245" s="4550"/>
      <c r="GL245" s="4550"/>
      <c r="GM245" s="4550"/>
      <c r="GN245" s="4550"/>
      <c r="GO245" s="4550"/>
      <c r="GP245" s="4550"/>
      <c r="GQ245" s="4550"/>
      <c r="GR245" s="4550"/>
      <c r="GS245" s="4550"/>
      <c r="GT245" s="4550"/>
      <c r="GU245" s="4550"/>
      <c r="GV245" s="4550"/>
      <c r="GW245" s="4550"/>
      <c r="GX245" s="4550"/>
      <c r="GY245" s="4550"/>
      <c r="GZ245" s="4550"/>
      <c r="HA245" s="4550"/>
      <c r="HB245" s="4550"/>
      <c r="HC245" s="4550"/>
      <c r="HD245" s="4550"/>
      <c r="HE245" s="4550"/>
      <c r="HF245" s="4550"/>
      <c r="HG245" s="4550"/>
      <c r="HH245" s="4550"/>
      <c r="HI245" s="4550"/>
      <c r="HJ245" s="4550"/>
      <c r="HK245" s="4550"/>
      <c r="HL245" s="4550"/>
      <c r="HM245" s="4550"/>
      <c r="HN245" s="4550"/>
      <c r="HO245" s="4550"/>
      <c r="HP245" s="4550"/>
      <c r="HQ245" s="4550"/>
      <c r="HR245" s="4550"/>
      <c r="HS245" s="4550"/>
      <c r="HT245" s="4550"/>
      <c r="HU245" s="4550"/>
      <c r="HV245" s="4550"/>
      <c r="HW245" s="4550"/>
      <c r="HX245" s="4550"/>
      <c r="HY245" s="4550"/>
      <c r="HZ245" s="4550"/>
      <c r="IA245" s="4550"/>
      <c r="IB245" s="4550"/>
      <c r="IC245" s="4550"/>
      <c r="ID245" s="4550"/>
      <c r="IE245" s="4550"/>
    </row>
    <row r="246" spans="1:239" s="4549" customFormat="1" ht="30.75" customHeight="1">
      <c r="A246" s="4168">
        <v>5</v>
      </c>
      <c r="B246" s="4634" t="s">
        <v>4661</v>
      </c>
      <c r="C246" s="4659">
        <v>9</v>
      </c>
      <c r="D246" s="4596" t="s">
        <v>2433</v>
      </c>
      <c r="E246" s="4318"/>
      <c r="F246" s="5000">
        <f t="shared" si="9"/>
        <v>0</v>
      </c>
      <c r="G246" s="4537"/>
      <c r="H246" s="4537"/>
      <c r="I246" s="4537"/>
      <c r="J246" s="4537"/>
      <c r="K246" s="4537"/>
      <c r="L246" s="4537"/>
      <c r="M246" s="4537"/>
      <c r="N246" s="4537"/>
      <c r="O246" s="4537"/>
      <c r="P246" s="4537"/>
      <c r="Q246" s="4537"/>
      <c r="R246" s="4537"/>
      <c r="S246" s="4537"/>
      <c r="T246" s="4537"/>
      <c r="U246" s="4537"/>
      <c r="V246" s="4537"/>
      <c r="W246" s="4537"/>
      <c r="X246" s="4537"/>
      <c r="Y246" s="4537"/>
      <c r="Z246" s="4537"/>
      <c r="AA246" s="4537"/>
      <c r="AB246" s="4537"/>
      <c r="AC246" s="4537"/>
      <c r="AD246" s="4537"/>
      <c r="AE246" s="4537"/>
      <c r="AF246" s="4537"/>
      <c r="AG246" s="4537"/>
      <c r="AH246" s="4537"/>
      <c r="AI246" s="4537"/>
      <c r="AJ246" s="4537"/>
      <c r="AK246" s="4537"/>
      <c r="AL246" s="4537"/>
      <c r="AM246" s="4537"/>
      <c r="AN246" s="4537"/>
      <c r="AO246" s="4537"/>
      <c r="AP246" s="4537"/>
      <c r="AQ246" s="4537"/>
      <c r="AR246" s="4537"/>
      <c r="AS246" s="4550"/>
      <c r="AT246" s="4550"/>
      <c r="AU246" s="4550"/>
      <c r="AV246" s="4550"/>
      <c r="AW246" s="4550"/>
      <c r="AX246" s="4550"/>
      <c r="AY246" s="4550"/>
      <c r="AZ246" s="4550"/>
      <c r="BA246" s="4550"/>
      <c r="BB246" s="4550"/>
      <c r="BC246" s="4550"/>
      <c r="BD246" s="4550"/>
      <c r="BE246" s="4550"/>
      <c r="BF246" s="4550"/>
      <c r="BG246" s="4550"/>
      <c r="BH246" s="4550"/>
      <c r="BI246" s="4550"/>
      <c r="BJ246" s="4550"/>
      <c r="BK246" s="4550"/>
      <c r="BL246" s="4550"/>
      <c r="BM246" s="4550"/>
      <c r="BN246" s="4550"/>
      <c r="BO246" s="4550"/>
      <c r="BP246" s="4550"/>
      <c r="BQ246" s="4550"/>
      <c r="BR246" s="4550"/>
      <c r="BS246" s="4550"/>
      <c r="BT246" s="4550"/>
      <c r="BU246" s="4550"/>
      <c r="BV246" s="4550"/>
      <c r="BW246" s="4550"/>
      <c r="BX246" s="4550"/>
      <c r="BY246" s="4550"/>
      <c r="BZ246" s="4550"/>
      <c r="CA246" s="4550"/>
      <c r="CB246" s="4550"/>
      <c r="CC246" s="4550"/>
      <c r="CD246" s="4550"/>
      <c r="CE246" s="4550"/>
      <c r="CF246" s="4550"/>
      <c r="CG246" s="4550"/>
      <c r="CH246" s="4550"/>
      <c r="CI246" s="4550"/>
      <c r="CJ246" s="4550"/>
      <c r="CK246" s="4550"/>
      <c r="CL246" s="4550"/>
      <c r="CM246" s="4550"/>
      <c r="CN246" s="4550"/>
      <c r="CO246" s="4550"/>
      <c r="CP246" s="4550"/>
      <c r="CQ246" s="4550"/>
      <c r="CR246" s="4550"/>
      <c r="CS246" s="4550"/>
      <c r="CT246" s="4550"/>
      <c r="CU246" s="4550"/>
      <c r="CV246" s="4550"/>
      <c r="CW246" s="4550"/>
      <c r="CX246" s="4550"/>
      <c r="CY246" s="4550"/>
      <c r="CZ246" s="4550"/>
      <c r="DA246" s="4550"/>
      <c r="DB246" s="4550"/>
      <c r="DC246" s="4550"/>
      <c r="DD246" s="4550"/>
      <c r="DE246" s="4550"/>
      <c r="DF246" s="4550"/>
      <c r="DG246" s="4550"/>
      <c r="DH246" s="4550"/>
      <c r="DI246" s="4550"/>
      <c r="DJ246" s="4550"/>
      <c r="DK246" s="4550"/>
      <c r="DL246" s="4550"/>
      <c r="DM246" s="4550"/>
      <c r="DN246" s="4550"/>
      <c r="DO246" s="4550"/>
      <c r="DP246" s="4550"/>
      <c r="DQ246" s="4550"/>
      <c r="DR246" s="4550"/>
      <c r="DS246" s="4550"/>
      <c r="DT246" s="4550"/>
      <c r="DU246" s="4550"/>
      <c r="DV246" s="4550"/>
      <c r="DW246" s="4550"/>
      <c r="DX246" s="4550"/>
      <c r="DY246" s="4550"/>
      <c r="DZ246" s="4550"/>
      <c r="EA246" s="4550"/>
      <c r="EB246" s="4550"/>
      <c r="EC246" s="4550"/>
      <c r="ED246" s="4550"/>
      <c r="EE246" s="4550"/>
      <c r="EF246" s="4550"/>
      <c r="EG246" s="4550"/>
      <c r="EH246" s="4550"/>
      <c r="EI246" s="4550"/>
      <c r="EJ246" s="4550"/>
      <c r="EK246" s="4550"/>
      <c r="EL246" s="4550"/>
      <c r="EM246" s="4550"/>
      <c r="EN246" s="4550"/>
      <c r="EO246" s="4550"/>
      <c r="EP246" s="4550"/>
      <c r="EQ246" s="4550"/>
      <c r="ER246" s="4550"/>
      <c r="ES246" s="4550"/>
      <c r="ET246" s="4550"/>
      <c r="EU246" s="4550"/>
      <c r="EV246" s="4550"/>
      <c r="EW246" s="4550"/>
      <c r="EX246" s="4550"/>
      <c r="EY246" s="4550"/>
      <c r="EZ246" s="4550"/>
      <c r="FA246" s="4550"/>
      <c r="FB246" s="4550"/>
      <c r="FC246" s="4550"/>
      <c r="FD246" s="4550"/>
      <c r="FE246" s="4550"/>
      <c r="FF246" s="4550"/>
      <c r="FG246" s="4550"/>
      <c r="FH246" s="4550"/>
      <c r="FI246" s="4550"/>
      <c r="FJ246" s="4550"/>
      <c r="FK246" s="4550"/>
      <c r="FL246" s="4550"/>
      <c r="FM246" s="4550"/>
      <c r="FN246" s="4550"/>
      <c r="FO246" s="4550"/>
      <c r="FP246" s="4550"/>
      <c r="FQ246" s="4550"/>
      <c r="FR246" s="4550"/>
      <c r="FS246" s="4550"/>
      <c r="FT246" s="4550"/>
      <c r="FU246" s="4550"/>
      <c r="FV246" s="4550"/>
      <c r="FW246" s="4550"/>
      <c r="FX246" s="4550"/>
      <c r="FY246" s="4550"/>
      <c r="FZ246" s="4550"/>
      <c r="GA246" s="4550"/>
      <c r="GB246" s="4550"/>
      <c r="GC246" s="4550"/>
      <c r="GD246" s="4550"/>
      <c r="GE246" s="4550"/>
      <c r="GF246" s="4550"/>
      <c r="GG246" s="4550"/>
      <c r="GH246" s="4550"/>
      <c r="GI246" s="4550"/>
      <c r="GJ246" s="4550"/>
      <c r="GK246" s="4550"/>
      <c r="GL246" s="4550"/>
      <c r="GM246" s="4550"/>
      <c r="GN246" s="4550"/>
      <c r="GO246" s="4550"/>
      <c r="GP246" s="4550"/>
      <c r="GQ246" s="4550"/>
      <c r="GR246" s="4550"/>
      <c r="GS246" s="4550"/>
      <c r="GT246" s="4550"/>
      <c r="GU246" s="4550"/>
      <c r="GV246" s="4550"/>
      <c r="GW246" s="4550"/>
      <c r="GX246" s="4550"/>
      <c r="GY246" s="4550"/>
      <c r="GZ246" s="4550"/>
      <c r="HA246" s="4550"/>
      <c r="HB246" s="4550"/>
      <c r="HC246" s="4550"/>
      <c r="HD246" s="4550"/>
      <c r="HE246" s="4550"/>
      <c r="HF246" s="4550"/>
      <c r="HG246" s="4550"/>
      <c r="HH246" s="4550"/>
      <c r="HI246" s="4550"/>
      <c r="HJ246" s="4550"/>
      <c r="HK246" s="4550"/>
      <c r="HL246" s="4550"/>
      <c r="HM246" s="4550"/>
      <c r="HN246" s="4550"/>
      <c r="HO246" s="4550"/>
      <c r="HP246" s="4550"/>
      <c r="HQ246" s="4550"/>
      <c r="HR246" s="4550"/>
      <c r="HS246" s="4550"/>
      <c r="HT246" s="4550"/>
      <c r="HU246" s="4550"/>
      <c r="HV246" s="4550"/>
      <c r="HW246" s="4550"/>
      <c r="HX246" s="4550"/>
      <c r="HY246" s="4550"/>
      <c r="HZ246" s="4550"/>
      <c r="IA246" s="4550"/>
      <c r="IB246" s="4550"/>
      <c r="IC246" s="4550"/>
      <c r="ID246" s="4550"/>
      <c r="IE246" s="4550"/>
    </row>
    <row r="247" spans="1:239" s="4549" customFormat="1" ht="18" customHeight="1">
      <c r="A247" s="4168">
        <v>6</v>
      </c>
      <c r="B247" s="4759" t="s">
        <v>4681</v>
      </c>
      <c r="C247" s="4659">
        <v>54.9</v>
      </c>
      <c r="D247" s="4755" t="s">
        <v>2430</v>
      </c>
      <c r="E247" s="4318"/>
      <c r="F247" s="5000">
        <f t="shared" si="9"/>
        <v>0</v>
      </c>
      <c r="G247" s="4537"/>
      <c r="H247" s="4537"/>
      <c r="I247" s="4537"/>
      <c r="J247" s="4537"/>
      <c r="K247" s="4537"/>
      <c r="L247" s="4537"/>
      <c r="M247" s="4537"/>
      <c r="N247" s="4537"/>
      <c r="O247" s="4537"/>
      <c r="P247" s="4537"/>
      <c r="Q247" s="4537"/>
      <c r="R247" s="4537"/>
      <c r="S247" s="4537"/>
      <c r="T247" s="4537"/>
      <c r="U247" s="4537"/>
      <c r="V247" s="4537"/>
      <c r="W247" s="4537"/>
      <c r="X247" s="4537"/>
      <c r="Y247" s="4537"/>
      <c r="Z247" s="4537"/>
      <c r="AA247" s="4537"/>
      <c r="AB247" s="4537"/>
      <c r="AC247" s="4537"/>
      <c r="AD247" s="4537"/>
      <c r="AE247" s="4537"/>
      <c r="AF247" s="4537"/>
      <c r="AG247" s="4537"/>
      <c r="AH247" s="4537"/>
      <c r="AI247" s="4537"/>
      <c r="AJ247" s="4537"/>
      <c r="AK247" s="4537"/>
      <c r="AL247" s="4537"/>
      <c r="AM247" s="4537"/>
      <c r="AN247" s="4537"/>
      <c r="AO247" s="4537"/>
      <c r="AP247" s="4537"/>
      <c r="AQ247" s="4537"/>
      <c r="AR247" s="4537"/>
      <c r="AS247" s="4550"/>
      <c r="AT247" s="4550"/>
      <c r="AU247" s="4550"/>
      <c r="AV247" s="4550"/>
      <c r="AW247" s="4550"/>
      <c r="AX247" s="4550"/>
      <c r="AY247" s="4550"/>
      <c r="AZ247" s="4550"/>
      <c r="BA247" s="4550"/>
      <c r="BB247" s="4550"/>
      <c r="BC247" s="4550"/>
      <c r="BD247" s="4550"/>
      <c r="BE247" s="4550"/>
      <c r="BF247" s="4550"/>
      <c r="BG247" s="4550"/>
      <c r="BH247" s="4550"/>
      <c r="BI247" s="4550"/>
      <c r="BJ247" s="4550"/>
      <c r="BK247" s="4550"/>
      <c r="BL247" s="4550"/>
      <c r="BM247" s="4550"/>
      <c r="BN247" s="4550"/>
      <c r="BO247" s="4550"/>
      <c r="BP247" s="4550"/>
      <c r="BQ247" s="4550"/>
      <c r="BR247" s="4550"/>
      <c r="BS247" s="4550"/>
      <c r="BT247" s="4550"/>
      <c r="BU247" s="4550"/>
      <c r="BV247" s="4550"/>
      <c r="BW247" s="4550"/>
      <c r="BX247" s="4550"/>
      <c r="BY247" s="4550"/>
      <c r="BZ247" s="4550"/>
      <c r="CA247" s="4550"/>
      <c r="CB247" s="4550"/>
      <c r="CC247" s="4550"/>
      <c r="CD247" s="4550"/>
      <c r="CE247" s="4550"/>
      <c r="CF247" s="4550"/>
      <c r="CG247" s="4550"/>
      <c r="CH247" s="4550"/>
      <c r="CI247" s="4550"/>
      <c r="CJ247" s="4550"/>
      <c r="CK247" s="4550"/>
      <c r="CL247" s="4550"/>
      <c r="CM247" s="4550"/>
      <c r="CN247" s="4550"/>
      <c r="CO247" s="4550"/>
      <c r="CP247" s="4550"/>
      <c r="CQ247" s="4550"/>
      <c r="CR247" s="4550"/>
      <c r="CS247" s="4550"/>
      <c r="CT247" s="4550"/>
      <c r="CU247" s="4550"/>
      <c r="CV247" s="4550"/>
      <c r="CW247" s="4550"/>
      <c r="CX247" s="4550"/>
      <c r="CY247" s="4550"/>
      <c r="CZ247" s="4550"/>
      <c r="DA247" s="4550"/>
      <c r="DB247" s="4550"/>
      <c r="DC247" s="4550"/>
      <c r="DD247" s="4550"/>
      <c r="DE247" s="4550"/>
      <c r="DF247" s="4550"/>
      <c r="DG247" s="4550"/>
      <c r="DH247" s="4550"/>
      <c r="DI247" s="4550"/>
      <c r="DJ247" s="4550"/>
      <c r="DK247" s="4550"/>
      <c r="DL247" s="4550"/>
      <c r="DM247" s="4550"/>
      <c r="DN247" s="4550"/>
      <c r="DO247" s="4550"/>
      <c r="DP247" s="4550"/>
      <c r="DQ247" s="4550"/>
      <c r="DR247" s="4550"/>
      <c r="DS247" s="4550"/>
      <c r="DT247" s="4550"/>
      <c r="DU247" s="4550"/>
      <c r="DV247" s="4550"/>
      <c r="DW247" s="4550"/>
      <c r="DX247" s="4550"/>
      <c r="DY247" s="4550"/>
      <c r="DZ247" s="4550"/>
      <c r="EA247" s="4550"/>
      <c r="EB247" s="4550"/>
      <c r="EC247" s="4550"/>
      <c r="ED247" s="4550"/>
      <c r="EE247" s="4550"/>
      <c r="EF247" s="4550"/>
      <c r="EG247" s="4550"/>
      <c r="EH247" s="4550"/>
      <c r="EI247" s="4550"/>
      <c r="EJ247" s="4550"/>
      <c r="EK247" s="4550"/>
      <c r="EL247" s="4550"/>
      <c r="EM247" s="4550"/>
      <c r="EN247" s="4550"/>
      <c r="EO247" s="4550"/>
      <c r="EP247" s="4550"/>
      <c r="EQ247" s="4550"/>
      <c r="ER247" s="4550"/>
      <c r="ES247" s="4550"/>
      <c r="ET247" s="4550"/>
      <c r="EU247" s="4550"/>
      <c r="EV247" s="4550"/>
      <c r="EW247" s="4550"/>
      <c r="EX247" s="4550"/>
      <c r="EY247" s="4550"/>
      <c r="EZ247" s="4550"/>
      <c r="FA247" s="4550"/>
      <c r="FB247" s="4550"/>
      <c r="FC247" s="4550"/>
      <c r="FD247" s="4550"/>
      <c r="FE247" s="4550"/>
      <c r="FF247" s="4550"/>
      <c r="FG247" s="4550"/>
      <c r="FH247" s="4550"/>
      <c r="FI247" s="4550"/>
      <c r="FJ247" s="4550"/>
      <c r="FK247" s="4550"/>
      <c r="FL247" s="4550"/>
      <c r="FM247" s="4550"/>
      <c r="FN247" s="4550"/>
      <c r="FO247" s="4550"/>
      <c r="FP247" s="4550"/>
      <c r="FQ247" s="4550"/>
      <c r="FR247" s="4550"/>
      <c r="FS247" s="4550"/>
      <c r="FT247" s="4550"/>
      <c r="FU247" s="4550"/>
      <c r="FV247" s="4550"/>
      <c r="FW247" s="4550"/>
      <c r="FX247" s="4550"/>
      <c r="FY247" s="4550"/>
      <c r="FZ247" s="4550"/>
      <c r="GA247" s="4550"/>
      <c r="GB247" s="4550"/>
      <c r="GC247" s="4550"/>
      <c r="GD247" s="4550"/>
      <c r="GE247" s="4550"/>
      <c r="GF247" s="4550"/>
      <c r="GG247" s="4550"/>
      <c r="GH247" s="4550"/>
      <c r="GI247" s="4550"/>
      <c r="GJ247" s="4550"/>
      <c r="GK247" s="4550"/>
      <c r="GL247" s="4550"/>
      <c r="GM247" s="4550"/>
      <c r="GN247" s="4550"/>
      <c r="GO247" s="4550"/>
      <c r="GP247" s="4550"/>
      <c r="GQ247" s="4550"/>
      <c r="GR247" s="4550"/>
      <c r="GS247" s="4550"/>
      <c r="GT247" s="4550"/>
      <c r="GU247" s="4550"/>
      <c r="GV247" s="4550"/>
      <c r="GW247" s="4550"/>
      <c r="GX247" s="4550"/>
      <c r="GY247" s="4550"/>
      <c r="GZ247" s="4550"/>
      <c r="HA247" s="4550"/>
      <c r="HB247" s="4550"/>
      <c r="HC247" s="4550"/>
      <c r="HD247" s="4550"/>
      <c r="HE247" s="4550"/>
      <c r="HF247" s="4550"/>
      <c r="HG247" s="4550"/>
      <c r="HH247" s="4550"/>
      <c r="HI247" s="4550"/>
      <c r="HJ247" s="4550"/>
      <c r="HK247" s="4550"/>
      <c r="HL247" s="4550"/>
      <c r="HM247" s="4550"/>
      <c r="HN247" s="4550"/>
      <c r="HO247" s="4550"/>
      <c r="HP247" s="4550"/>
      <c r="HQ247" s="4550"/>
      <c r="HR247" s="4550"/>
      <c r="HS247" s="4550"/>
      <c r="HT247" s="4550"/>
      <c r="HU247" s="4550"/>
      <c r="HV247" s="4550"/>
      <c r="HW247" s="4550"/>
      <c r="HX247" s="4550"/>
      <c r="HY247" s="4550"/>
      <c r="HZ247" s="4550"/>
      <c r="IA247" s="4550"/>
      <c r="IB247" s="4550"/>
      <c r="IC247" s="4550"/>
      <c r="ID247" s="4550"/>
      <c r="IE247" s="4550"/>
    </row>
    <row r="248" spans="1:239" s="4549" customFormat="1" ht="15">
      <c r="A248" s="4168">
        <v>7</v>
      </c>
      <c r="B248" s="4635" t="s">
        <v>4169</v>
      </c>
      <c r="C248" s="4167">
        <v>686.28</v>
      </c>
      <c r="D248" s="4605" t="s">
        <v>2432</v>
      </c>
      <c r="E248" s="4318"/>
      <c r="F248" s="5000">
        <f t="shared" si="9"/>
        <v>0</v>
      </c>
      <c r="G248" s="4537"/>
      <c r="H248" s="4537"/>
      <c r="I248" s="4537"/>
      <c r="J248" s="4537"/>
      <c r="K248" s="4537"/>
      <c r="L248" s="4537"/>
      <c r="M248" s="4537"/>
      <c r="N248" s="4537"/>
      <c r="O248" s="4537"/>
      <c r="P248" s="4537"/>
      <c r="Q248" s="4537"/>
      <c r="R248" s="4537"/>
      <c r="S248" s="4537"/>
      <c r="T248" s="4537"/>
      <c r="U248" s="4537"/>
      <c r="V248" s="4537"/>
      <c r="W248" s="4537"/>
      <c r="X248" s="4537"/>
      <c r="Y248" s="4537"/>
      <c r="Z248" s="4537"/>
      <c r="AA248" s="4537"/>
      <c r="AB248" s="4537"/>
      <c r="AC248" s="4537"/>
      <c r="AD248" s="4537"/>
      <c r="AE248" s="4537"/>
      <c r="AF248" s="4537"/>
      <c r="AG248" s="4537"/>
      <c r="AH248" s="4537"/>
      <c r="AI248" s="4537"/>
      <c r="AJ248" s="4537"/>
      <c r="AK248" s="4537"/>
      <c r="AL248" s="4537"/>
      <c r="AM248" s="4537"/>
      <c r="AN248" s="4537"/>
      <c r="AO248" s="4537"/>
      <c r="AP248" s="4537"/>
      <c r="AQ248" s="4537"/>
      <c r="AR248" s="4537"/>
      <c r="AS248" s="4550"/>
      <c r="AT248" s="4550"/>
      <c r="AU248" s="4550"/>
      <c r="AV248" s="4550"/>
      <c r="AW248" s="4550"/>
      <c r="AX248" s="4550"/>
      <c r="AY248" s="4550"/>
      <c r="AZ248" s="4550"/>
      <c r="BA248" s="4550"/>
      <c r="BB248" s="4550"/>
      <c r="BC248" s="4550"/>
      <c r="BD248" s="4550"/>
      <c r="BE248" s="4550"/>
      <c r="BF248" s="4550"/>
      <c r="BG248" s="4550"/>
      <c r="BH248" s="4550"/>
      <c r="BI248" s="4550"/>
      <c r="BJ248" s="4550"/>
      <c r="BK248" s="4550"/>
      <c r="BL248" s="4550"/>
      <c r="BM248" s="4550"/>
      <c r="BN248" s="4550"/>
      <c r="BO248" s="4550"/>
      <c r="BP248" s="4550"/>
      <c r="BQ248" s="4550"/>
      <c r="BR248" s="4550"/>
      <c r="BS248" s="4550"/>
      <c r="BT248" s="4550"/>
      <c r="BU248" s="4550"/>
      <c r="BV248" s="4550"/>
      <c r="BW248" s="4550"/>
      <c r="BX248" s="4550"/>
      <c r="BY248" s="4550"/>
      <c r="BZ248" s="4550"/>
      <c r="CA248" s="4550"/>
      <c r="CB248" s="4550"/>
      <c r="CC248" s="4550"/>
      <c r="CD248" s="4550"/>
      <c r="CE248" s="4550"/>
      <c r="CF248" s="4550"/>
      <c r="CG248" s="4550"/>
      <c r="CH248" s="4550"/>
      <c r="CI248" s="4550"/>
      <c r="CJ248" s="4550"/>
      <c r="CK248" s="4550"/>
      <c r="CL248" s="4550"/>
      <c r="CM248" s="4550"/>
      <c r="CN248" s="4550"/>
      <c r="CO248" s="4550"/>
      <c r="CP248" s="4550"/>
      <c r="CQ248" s="4550"/>
      <c r="CR248" s="4550"/>
      <c r="CS248" s="4550"/>
      <c r="CT248" s="4550"/>
      <c r="CU248" s="4550"/>
      <c r="CV248" s="4550"/>
      <c r="CW248" s="4550"/>
      <c r="CX248" s="4550"/>
      <c r="CY248" s="4550"/>
      <c r="CZ248" s="4550"/>
      <c r="DA248" s="4550"/>
      <c r="DB248" s="4550"/>
      <c r="DC248" s="4550"/>
      <c r="DD248" s="4550"/>
      <c r="DE248" s="4550"/>
      <c r="DF248" s="4550"/>
      <c r="DG248" s="4550"/>
      <c r="DH248" s="4550"/>
      <c r="DI248" s="4550"/>
      <c r="DJ248" s="4550"/>
      <c r="DK248" s="4550"/>
      <c r="DL248" s="4550"/>
      <c r="DM248" s="4550"/>
      <c r="DN248" s="4550"/>
      <c r="DO248" s="4550"/>
      <c r="DP248" s="4550"/>
      <c r="DQ248" s="4550"/>
      <c r="DR248" s="4550"/>
      <c r="DS248" s="4550"/>
      <c r="DT248" s="4550"/>
      <c r="DU248" s="4550"/>
      <c r="DV248" s="4550"/>
      <c r="DW248" s="4550"/>
      <c r="DX248" s="4550"/>
      <c r="DY248" s="4550"/>
      <c r="DZ248" s="4550"/>
      <c r="EA248" s="4550"/>
      <c r="EB248" s="4550"/>
      <c r="EC248" s="4550"/>
      <c r="ED248" s="4550"/>
      <c r="EE248" s="4550"/>
      <c r="EF248" s="4550"/>
      <c r="EG248" s="4550"/>
      <c r="EH248" s="4550"/>
      <c r="EI248" s="4550"/>
      <c r="EJ248" s="4550"/>
      <c r="EK248" s="4550"/>
      <c r="EL248" s="4550"/>
      <c r="EM248" s="4550"/>
      <c r="EN248" s="4550"/>
      <c r="EO248" s="4550"/>
      <c r="EP248" s="4550"/>
      <c r="EQ248" s="4550"/>
      <c r="ER248" s="4550"/>
      <c r="ES248" s="4550"/>
      <c r="ET248" s="4550"/>
      <c r="EU248" s="4550"/>
      <c r="EV248" s="4550"/>
      <c r="EW248" s="4550"/>
      <c r="EX248" s="4550"/>
      <c r="EY248" s="4550"/>
      <c r="EZ248" s="4550"/>
      <c r="FA248" s="4550"/>
      <c r="FB248" s="4550"/>
      <c r="FC248" s="4550"/>
      <c r="FD248" s="4550"/>
      <c r="FE248" s="4550"/>
      <c r="FF248" s="4550"/>
      <c r="FG248" s="4550"/>
      <c r="FH248" s="4550"/>
      <c r="FI248" s="4550"/>
      <c r="FJ248" s="4550"/>
      <c r="FK248" s="4550"/>
      <c r="FL248" s="4550"/>
      <c r="FM248" s="4550"/>
      <c r="FN248" s="4550"/>
      <c r="FO248" s="4550"/>
      <c r="FP248" s="4550"/>
      <c r="FQ248" s="4550"/>
      <c r="FR248" s="4550"/>
      <c r="FS248" s="4550"/>
      <c r="FT248" s="4550"/>
      <c r="FU248" s="4550"/>
      <c r="FV248" s="4550"/>
      <c r="FW248" s="4550"/>
      <c r="FX248" s="4550"/>
      <c r="FY248" s="4550"/>
      <c r="FZ248" s="4550"/>
      <c r="GA248" s="4550"/>
      <c r="GB248" s="4550"/>
      <c r="GC248" s="4550"/>
      <c r="GD248" s="4550"/>
      <c r="GE248" s="4550"/>
      <c r="GF248" s="4550"/>
      <c r="GG248" s="4550"/>
      <c r="GH248" s="4550"/>
      <c r="GI248" s="4550"/>
      <c r="GJ248" s="4550"/>
      <c r="GK248" s="4550"/>
      <c r="GL248" s="4550"/>
      <c r="GM248" s="4550"/>
      <c r="GN248" s="4550"/>
      <c r="GO248" s="4550"/>
      <c r="GP248" s="4550"/>
      <c r="GQ248" s="4550"/>
      <c r="GR248" s="4550"/>
      <c r="GS248" s="4550"/>
      <c r="GT248" s="4550"/>
      <c r="GU248" s="4550"/>
      <c r="GV248" s="4550"/>
      <c r="GW248" s="4550"/>
      <c r="GX248" s="4550"/>
      <c r="GY248" s="4550"/>
      <c r="GZ248" s="4550"/>
      <c r="HA248" s="4550"/>
      <c r="HB248" s="4550"/>
      <c r="HC248" s="4550"/>
      <c r="HD248" s="4550"/>
      <c r="HE248" s="4550"/>
      <c r="HF248" s="4550"/>
      <c r="HG248" s="4550"/>
      <c r="HH248" s="4550"/>
      <c r="HI248" s="4550"/>
      <c r="HJ248" s="4550"/>
      <c r="HK248" s="4550"/>
      <c r="HL248" s="4550"/>
      <c r="HM248" s="4550"/>
      <c r="HN248" s="4550"/>
      <c r="HO248" s="4550"/>
      <c r="HP248" s="4550"/>
      <c r="HQ248" s="4550"/>
      <c r="HR248" s="4550"/>
      <c r="HS248" s="4550"/>
      <c r="HT248" s="4550"/>
      <c r="HU248" s="4550"/>
      <c r="HV248" s="4550"/>
      <c r="HW248" s="4550"/>
      <c r="HX248" s="4550"/>
      <c r="HY248" s="4550"/>
      <c r="HZ248" s="4550"/>
      <c r="IA248" s="4550"/>
      <c r="IB248" s="4550"/>
      <c r="IC248" s="4550"/>
      <c r="ID248" s="4550"/>
      <c r="IE248" s="4550"/>
    </row>
    <row r="249" spans="1:239" s="4549" customFormat="1" ht="15">
      <c r="A249" s="4167"/>
      <c r="B249" s="4692"/>
      <c r="C249" s="4167"/>
      <c r="D249" s="4605"/>
      <c r="E249" s="4318"/>
      <c r="F249" s="5000"/>
      <c r="G249" s="4537"/>
      <c r="H249" s="4537"/>
      <c r="I249" s="4537"/>
      <c r="J249" s="4537"/>
      <c r="K249" s="4537"/>
      <c r="L249" s="4537"/>
      <c r="M249" s="4537"/>
      <c r="N249" s="4537"/>
      <c r="O249" s="4537"/>
      <c r="P249" s="4537"/>
      <c r="Q249" s="4537"/>
      <c r="R249" s="4537"/>
      <c r="S249" s="4537"/>
      <c r="T249" s="4537"/>
      <c r="U249" s="4537"/>
      <c r="V249" s="4537"/>
      <c r="W249" s="4537"/>
      <c r="X249" s="4537"/>
      <c r="Y249" s="4537"/>
      <c r="Z249" s="4537"/>
      <c r="AA249" s="4537"/>
      <c r="AB249" s="4537"/>
      <c r="AC249" s="4537"/>
      <c r="AD249" s="4537"/>
      <c r="AE249" s="4537"/>
      <c r="AF249" s="4537"/>
      <c r="AG249" s="4537"/>
      <c r="AH249" s="4537"/>
      <c r="AI249" s="4537"/>
      <c r="AJ249" s="4537"/>
      <c r="AK249" s="4537"/>
      <c r="AL249" s="4537"/>
      <c r="AM249" s="4537"/>
      <c r="AN249" s="4537"/>
      <c r="AO249" s="4537"/>
      <c r="AP249" s="4537"/>
      <c r="AQ249" s="4537"/>
      <c r="AR249" s="4537"/>
      <c r="AS249" s="4550"/>
      <c r="AT249" s="4550"/>
      <c r="AU249" s="4550"/>
      <c r="AV249" s="4550"/>
      <c r="AW249" s="4550"/>
      <c r="AX249" s="4550"/>
      <c r="AY249" s="4550"/>
      <c r="AZ249" s="4550"/>
      <c r="BA249" s="4550"/>
      <c r="BB249" s="4550"/>
      <c r="BC249" s="4550"/>
      <c r="BD249" s="4550"/>
      <c r="BE249" s="4550"/>
      <c r="BF249" s="4550"/>
      <c r="BG249" s="4550"/>
      <c r="BH249" s="4550"/>
      <c r="BI249" s="4550"/>
      <c r="BJ249" s="4550"/>
      <c r="BK249" s="4550"/>
      <c r="BL249" s="4550"/>
      <c r="BM249" s="4550"/>
      <c r="BN249" s="4550"/>
      <c r="BO249" s="4550"/>
      <c r="BP249" s="4550"/>
      <c r="BQ249" s="4550"/>
      <c r="BR249" s="4550"/>
      <c r="BS249" s="4550"/>
      <c r="BT249" s="4550"/>
      <c r="BU249" s="4550"/>
      <c r="BV249" s="4550"/>
      <c r="BW249" s="4550"/>
      <c r="BX249" s="4550"/>
      <c r="BY249" s="4550"/>
      <c r="BZ249" s="4550"/>
      <c r="CA249" s="4550"/>
      <c r="CB249" s="4550"/>
      <c r="CC249" s="4550"/>
      <c r="CD249" s="4550"/>
      <c r="CE249" s="4550"/>
      <c r="CF249" s="4550"/>
      <c r="CG249" s="4550"/>
      <c r="CH249" s="4550"/>
      <c r="CI249" s="4550"/>
      <c r="CJ249" s="4550"/>
      <c r="CK249" s="4550"/>
      <c r="CL249" s="4550"/>
      <c r="CM249" s="4550"/>
      <c r="CN249" s="4550"/>
      <c r="CO249" s="4550"/>
      <c r="CP249" s="4550"/>
      <c r="CQ249" s="4550"/>
      <c r="CR249" s="4550"/>
      <c r="CS249" s="4550"/>
      <c r="CT249" s="4550"/>
      <c r="CU249" s="4550"/>
      <c r="CV249" s="4550"/>
      <c r="CW249" s="4550"/>
      <c r="CX249" s="4550"/>
      <c r="CY249" s="4550"/>
      <c r="CZ249" s="4550"/>
      <c r="DA249" s="4550"/>
      <c r="DB249" s="4550"/>
      <c r="DC249" s="4550"/>
      <c r="DD249" s="4550"/>
      <c r="DE249" s="4550"/>
      <c r="DF249" s="4550"/>
      <c r="DG249" s="4550"/>
      <c r="DH249" s="4550"/>
      <c r="DI249" s="4550"/>
      <c r="DJ249" s="4550"/>
      <c r="DK249" s="4550"/>
      <c r="DL249" s="4550"/>
      <c r="DM249" s="4550"/>
      <c r="DN249" s="4550"/>
      <c r="DO249" s="4550"/>
      <c r="DP249" s="4550"/>
      <c r="DQ249" s="4550"/>
      <c r="DR249" s="4550"/>
      <c r="DS249" s="4550"/>
      <c r="DT249" s="4550"/>
      <c r="DU249" s="4550"/>
      <c r="DV249" s="4550"/>
      <c r="DW249" s="4550"/>
      <c r="DX249" s="4550"/>
      <c r="DY249" s="4550"/>
      <c r="DZ249" s="4550"/>
      <c r="EA249" s="4550"/>
      <c r="EB249" s="4550"/>
      <c r="EC249" s="4550"/>
      <c r="ED249" s="4550"/>
      <c r="EE249" s="4550"/>
      <c r="EF249" s="4550"/>
      <c r="EG249" s="4550"/>
      <c r="EH249" s="4550"/>
      <c r="EI249" s="4550"/>
      <c r="EJ249" s="4550"/>
      <c r="EK249" s="4550"/>
      <c r="EL249" s="4550"/>
      <c r="EM249" s="4550"/>
      <c r="EN249" s="4550"/>
      <c r="EO249" s="4550"/>
      <c r="EP249" s="4550"/>
      <c r="EQ249" s="4550"/>
      <c r="ER249" s="4550"/>
      <c r="ES249" s="4550"/>
      <c r="ET249" s="4550"/>
      <c r="EU249" s="4550"/>
      <c r="EV249" s="4550"/>
      <c r="EW249" s="4550"/>
      <c r="EX249" s="4550"/>
      <c r="EY249" s="4550"/>
      <c r="EZ249" s="4550"/>
      <c r="FA249" s="4550"/>
      <c r="FB249" s="4550"/>
      <c r="FC249" s="4550"/>
      <c r="FD249" s="4550"/>
      <c r="FE249" s="4550"/>
      <c r="FF249" s="4550"/>
      <c r="FG249" s="4550"/>
      <c r="FH249" s="4550"/>
      <c r="FI249" s="4550"/>
      <c r="FJ249" s="4550"/>
      <c r="FK249" s="4550"/>
      <c r="FL249" s="4550"/>
      <c r="FM249" s="4550"/>
      <c r="FN249" s="4550"/>
      <c r="FO249" s="4550"/>
      <c r="FP249" s="4550"/>
      <c r="FQ249" s="4550"/>
      <c r="FR249" s="4550"/>
      <c r="FS249" s="4550"/>
      <c r="FT249" s="4550"/>
      <c r="FU249" s="4550"/>
      <c r="FV249" s="4550"/>
      <c r="FW249" s="4550"/>
      <c r="FX249" s="4550"/>
      <c r="FY249" s="4550"/>
      <c r="FZ249" s="4550"/>
      <c r="GA249" s="4550"/>
      <c r="GB249" s="4550"/>
      <c r="GC249" s="4550"/>
      <c r="GD249" s="4550"/>
      <c r="GE249" s="4550"/>
      <c r="GF249" s="4550"/>
      <c r="GG249" s="4550"/>
      <c r="GH249" s="4550"/>
      <c r="GI249" s="4550"/>
      <c r="GJ249" s="4550"/>
      <c r="GK249" s="4550"/>
      <c r="GL249" s="4550"/>
      <c r="GM249" s="4550"/>
      <c r="GN249" s="4550"/>
      <c r="GO249" s="4550"/>
      <c r="GP249" s="4550"/>
      <c r="GQ249" s="4550"/>
      <c r="GR249" s="4550"/>
      <c r="GS249" s="4550"/>
      <c r="GT249" s="4550"/>
      <c r="GU249" s="4550"/>
      <c r="GV249" s="4550"/>
      <c r="GW249" s="4550"/>
      <c r="GX249" s="4550"/>
      <c r="GY249" s="4550"/>
      <c r="GZ249" s="4550"/>
      <c r="HA249" s="4550"/>
      <c r="HB249" s="4550"/>
      <c r="HC249" s="4550"/>
      <c r="HD249" s="4550"/>
      <c r="HE249" s="4550"/>
      <c r="HF249" s="4550"/>
      <c r="HG249" s="4550"/>
      <c r="HH249" s="4550"/>
      <c r="HI249" s="4550"/>
      <c r="HJ249" s="4550"/>
      <c r="HK249" s="4550"/>
      <c r="HL249" s="4550"/>
      <c r="HM249" s="4550"/>
      <c r="HN249" s="4550"/>
      <c r="HO249" s="4550"/>
      <c r="HP249" s="4550"/>
      <c r="HQ249" s="4550"/>
      <c r="HR249" s="4550"/>
      <c r="HS249" s="4550"/>
      <c r="HT249" s="4550"/>
      <c r="HU249" s="4550"/>
      <c r="HV249" s="4550"/>
      <c r="HW249" s="4550"/>
      <c r="HX249" s="4550"/>
      <c r="HY249" s="4550"/>
      <c r="HZ249" s="4550"/>
      <c r="IA249" s="4550"/>
      <c r="IB249" s="4550"/>
      <c r="IC249" s="4550"/>
      <c r="ID249" s="4550"/>
      <c r="IE249" s="4550"/>
    </row>
    <row r="250" spans="1:239" s="4549" customFormat="1" ht="15">
      <c r="A250" s="4168">
        <v>8</v>
      </c>
      <c r="B250" s="4637" t="s">
        <v>4170</v>
      </c>
      <c r="C250" s="4167"/>
      <c r="D250" s="4605"/>
      <c r="E250" s="4318"/>
      <c r="F250" s="5000"/>
      <c r="G250" s="4537"/>
      <c r="H250" s="4537"/>
      <c r="I250" s="4537"/>
      <c r="J250" s="4537"/>
      <c r="K250" s="4537"/>
      <c r="L250" s="4537"/>
      <c r="M250" s="4537"/>
      <c r="N250" s="4537"/>
      <c r="O250" s="4537"/>
      <c r="P250" s="4537"/>
      <c r="Q250" s="4537"/>
      <c r="R250" s="4537"/>
      <c r="S250" s="4537"/>
      <c r="T250" s="4537"/>
      <c r="U250" s="4537"/>
      <c r="V250" s="4537"/>
      <c r="W250" s="4537"/>
      <c r="X250" s="4537"/>
      <c r="Y250" s="4537"/>
      <c r="Z250" s="4537"/>
      <c r="AA250" s="4537"/>
      <c r="AB250" s="4537"/>
      <c r="AC250" s="4537"/>
      <c r="AD250" s="4537"/>
      <c r="AE250" s="4537"/>
      <c r="AF250" s="4537"/>
      <c r="AG250" s="4537"/>
      <c r="AH250" s="4537"/>
      <c r="AI250" s="4537"/>
      <c r="AJ250" s="4537"/>
      <c r="AK250" s="4537"/>
      <c r="AL250" s="4537"/>
      <c r="AM250" s="4537"/>
      <c r="AN250" s="4537"/>
      <c r="AO250" s="4537"/>
      <c r="AP250" s="4537"/>
      <c r="AQ250" s="4537"/>
      <c r="AR250" s="4537"/>
      <c r="AS250" s="4550"/>
      <c r="AT250" s="4550"/>
      <c r="AU250" s="4550"/>
      <c r="AV250" s="4550"/>
      <c r="AW250" s="4550"/>
      <c r="AX250" s="4550"/>
      <c r="AY250" s="4550"/>
      <c r="AZ250" s="4550"/>
      <c r="BA250" s="4550"/>
      <c r="BB250" s="4550"/>
      <c r="BC250" s="4550"/>
      <c r="BD250" s="4550"/>
      <c r="BE250" s="4550"/>
      <c r="BF250" s="4550"/>
      <c r="BG250" s="4550"/>
      <c r="BH250" s="4550"/>
      <c r="BI250" s="4550"/>
      <c r="BJ250" s="4550"/>
      <c r="BK250" s="4550"/>
      <c r="BL250" s="4550"/>
      <c r="BM250" s="4550"/>
      <c r="BN250" s="4550"/>
      <c r="BO250" s="4550"/>
      <c r="BP250" s="4550"/>
      <c r="BQ250" s="4550"/>
      <c r="BR250" s="4550"/>
      <c r="BS250" s="4550"/>
      <c r="BT250" s="4550"/>
      <c r="BU250" s="4550"/>
      <c r="BV250" s="4550"/>
      <c r="BW250" s="4550"/>
      <c r="BX250" s="4550"/>
      <c r="BY250" s="4550"/>
      <c r="BZ250" s="4550"/>
      <c r="CA250" s="4550"/>
      <c r="CB250" s="4550"/>
      <c r="CC250" s="4550"/>
      <c r="CD250" s="4550"/>
      <c r="CE250" s="4550"/>
      <c r="CF250" s="4550"/>
      <c r="CG250" s="4550"/>
      <c r="CH250" s="4550"/>
      <c r="CI250" s="4550"/>
      <c r="CJ250" s="4550"/>
      <c r="CK250" s="4550"/>
      <c r="CL250" s="4550"/>
      <c r="CM250" s="4550"/>
      <c r="CN250" s="4550"/>
      <c r="CO250" s="4550"/>
      <c r="CP250" s="4550"/>
      <c r="CQ250" s="4550"/>
      <c r="CR250" s="4550"/>
      <c r="CS250" s="4550"/>
      <c r="CT250" s="4550"/>
      <c r="CU250" s="4550"/>
      <c r="CV250" s="4550"/>
      <c r="CW250" s="4550"/>
      <c r="CX250" s="4550"/>
      <c r="CY250" s="4550"/>
      <c r="CZ250" s="4550"/>
      <c r="DA250" s="4550"/>
      <c r="DB250" s="4550"/>
      <c r="DC250" s="4550"/>
      <c r="DD250" s="4550"/>
      <c r="DE250" s="4550"/>
      <c r="DF250" s="4550"/>
      <c r="DG250" s="4550"/>
      <c r="DH250" s="4550"/>
      <c r="DI250" s="4550"/>
      <c r="DJ250" s="4550"/>
      <c r="DK250" s="4550"/>
      <c r="DL250" s="4550"/>
      <c r="DM250" s="4550"/>
      <c r="DN250" s="4550"/>
      <c r="DO250" s="4550"/>
      <c r="DP250" s="4550"/>
      <c r="DQ250" s="4550"/>
      <c r="DR250" s="4550"/>
      <c r="DS250" s="4550"/>
      <c r="DT250" s="4550"/>
      <c r="DU250" s="4550"/>
      <c r="DV250" s="4550"/>
      <c r="DW250" s="4550"/>
      <c r="DX250" s="4550"/>
      <c r="DY250" s="4550"/>
      <c r="DZ250" s="4550"/>
      <c r="EA250" s="4550"/>
      <c r="EB250" s="4550"/>
      <c r="EC250" s="4550"/>
      <c r="ED250" s="4550"/>
      <c r="EE250" s="4550"/>
      <c r="EF250" s="4550"/>
      <c r="EG250" s="4550"/>
      <c r="EH250" s="4550"/>
      <c r="EI250" s="4550"/>
      <c r="EJ250" s="4550"/>
      <c r="EK250" s="4550"/>
      <c r="EL250" s="4550"/>
      <c r="EM250" s="4550"/>
      <c r="EN250" s="4550"/>
      <c r="EO250" s="4550"/>
      <c r="EP250" s="4550"/>
      <c r="EQ250" s="4550"/>
      <c r="ER250" s="4550"/>
      <c r="ES250" s="4550"/>
      <c r="ET250" s="4550"/>
      <c r="EU250" s="4550"/>
      <c r="EV250" s="4550"/>
      <c r="EW250" s="4550"/>
      <c r="EX250" s="4550"/>
      <c r="EY250" s="4550"/>
      <c r="EZ250" s="4550"/>
      <c r="FA250" s="4550"/>
      <c r="FB250" s="4550"/>
      <c r="FC250" s="4550"/>
      <c r="FD250" s="4550"/>
      <c r="FE250" s="4550"/>
      <c r="FF250" s="4550"/>
      <c r="FG250" s="4550"/>
      <c r="FH250" s="4550"/>
      <c r="FI250" s="4550"/>
      <c r="FJ250" s="4550"/>
      <c r="FK250" s="4550"/>
      <c r="FL250" s="4550"/>
      <c r="FM250" s="4550"/>
      <c r="FN250" s="4550"/>
      <c r="FO250" s="4550"/>
      <c r="FP250" s="4550"/>
      <c r="FQ250" s="4550"/>
      <c r="FR250" s="4550"/>
      <c r="FS250" s="4550"/>
      <c r="FT250" s="4550"/>
      <c r="FU250" s="4550"/>
      <c r="FV250" s="4550"/>
      <c r="FW250" s="4550"/>
      <c r="FX250" s="4550"/>
      <c r="FY250" s="4550"/>
      <c r="FZ250" s="4550"/>
      <c r="GA250" s="4550"/>
      <c r="GB250" s="4550"/>
      <c r="GC250" s="4550"/>
      <c r="GD250" s="4550"/>
      <c r="GE250" s="4550"/>
      <c r="GF250" s="4550"/>
      <c r="GG250" s="4550"/>
      <c r="GH250" s="4550"/>
      <c r="GI250" s="4550"/>
      <c r="GJ250" s="4550"/>
      <c r="GK250" s="4550"/>
      <c r="GL250" s="4550"/>
      <c r="GM250" s="4550"/>
      <c r="GN250" s="4550"/>
      <c r="GO250" s="4550"/>
      <c r="GP250" s="4550"/>
      <c r="GQ250" s="4550"/>
      <c r="GR250" s="4550"/>
      <c r="GS250" s="4550"/>
      <c r="GT250" s="4550"/>
      <c r="GU250" s="4550"/>
      <c r="GV250" s="4550"/>
      <c r="GW250" s="4550"/>
      <c r="GX250" s="4550"/>
      <c r="GY250" s="4550"/>
      <c r="GZ250" s="4550"/>
      <c r="HA250" s="4550"/>
      <c r="HB250" s="4550"/>
      <c r="HC250" s="4550"/>
      <c r="HD250" s="4550"/>
      <c r="HE250" s="4550"/>
      <c r="HF250" s="4550"/>
      <c r="HG250" s="4550"/>
      <c r="HH250" s="4550"/>
      <c r="HI250" s="4550"/>
      <c r="HJ250" s="4550"/>
      <c r="HK250" s="4550"/>
      <c r="HL250" s="4550"/>
      <c r="HM250" s="4550"/>
      <c r="HN250" s="4550"/>
      <c r="HO250" s="4550"/>
      <c r="HP250" s="4550"/>
      <c r="HQ250" s="4550"/>
      <c r="HR250" s="4550"/>
      <c r="HS250" s="4550"/>
      <c r="HT250" s="4550"/>
      <c r="HU250" s="4550"/>
      <c r="HV250" s="4550"/>
      <c r="HW250" s="4550"/>
      <c r="HX250" s="4550"/>
      <c r="HY250" s="4550"/>
      <c r="HZ250" s="4550"/>
      <c r="IA250" s="4550"/>
      <c r="IB250" s="4550"/>
      <c r="IC250" s="4550"/>
      <c r="ID250" s="4550"/>
      <c r="IE250" s="4550"/>
    </row>
    <row r="251" spans="1:239" s="4549" customFormat="1" ht="15">
      <c r="A251" s="4168">
        <v>8.1</v>
      </c>
      <c r="B251" s="4637" t="s">
        <v>4171</v>
      </c>
      <c r="C251" s="4167"/>
      <c r="D251" s="4593"/>
      <c r="E251" s="4318"/>
      <c r="F251" s="5000"/>
      <c r="G251" s="4537"/>
      <c r="H251" s="4537"/>
      <c r="I251" s="4537"/>
      <c r="J251" s="4537"/>
      <c r="K251" s="4537"/>
      <c r="L251" s="4537"/>
      <c r="M251" s="4537"/>
      <c r="N251" s="4537"/>
      <c r="O251" s="4537"/>
      <c r="P251" s="4537"/>
      <c r="Q251" s="4537"/>
      <c r="R251" s="4537"/>
      <c r="S251" s="4537"/>
      <c r="T251" s="4537"/>
      <c r="U251" s="4537"/>
      <c r="V251" s="4537"/>
      <c r="W251" s="4537"/>
      <c r="X251" s="4537"/>
      <c r="Y251" s="4537"/>
      <c r="Z251" s="4537"/>
      <c r="AA251" s="4537"/>
      <c r="AB251" s="4537"/>
      <c r="AC251" s="4537"/>
      <c r="AD251" s="4537"/>
      <c r="AE251" s="4537"/>
      <c r="AF251" s="4537"/>
      <c r="AG251" s="4537"/>
      <c r="AH251" s="4537"/>
      <c r="AI251" s="4537"/>
      <c r="AJ251" s="4537"/>
      <c r="AK251" s="4537"/>
      <c r="AL251" s="4537"/>
      <c r="AM251" s="4537"/>
      <c r="AN251" s="4537"/>
      <c r="AO251" s="4537"/>
      <c r="AP251" s="4537"/>
      <c r="AQ251" s="4537"/>
      <c r="AR251" s="4537"/>
      <c r="AS251" s="4550"/>
      <c r="AT251" s="4550"/>
      <c r="AU251" s="4550"/>
      <c r="AV251" s="4550"/>
      <c r="AW251" s="4550"/>
      <c r="AX251" s="4550"/>
      <c r="AY251" s="4550"/>
      <c r="AZ251" s="4550"/>
      <c r="BA251" s="4550"/>
      <c r="BB251" s="4550"/>
      <c r="BC251" s="4550"/>
      <c r="BD251" s="4550"/>
      <c r="BE251" s="4550"/>
      <c r="BF251" s="4550"/>
      <c r="BG251" s="4550"/>
      <c r="BH251" s="4550"/>
      <c r="BI251" s="4550"/>
      <c r="BJ251" s="4550"/>
      <c r="BK251" s="4550"/>
      <c r="BL251" s="4550"/>
      <c r="BM251" s="4550"/>
      <c r="BN251" s="4550"/>
      <c r="BO251" s="4550"/>
      <c r="BP251" s="4550"/>
      <c r="BQ251" s="4550"/>
      <c r="BR251" s="4550"/>
      <c r="BS251" s="4550"/>
      <c r="BT251" s="4550"/>
      <c r="BU251" s="4550"/>
      <c r="BV251" s="4550"/>
      <c r="BW251" s="4550"/>
      <c r="BX251" s="4550"/>
      <c r="BY251" s="4550"/>
      <c r="BZ251" s="4550"/>
      <c r="CA251" s="4550"/>
      <c r="CB251" s="4550"/>
      <c r="CC251" s="4550"/>
      <c r="CD251" s="4550"/>
      <c r="CE251" s="4550"/>
      <c r="CF251" s="4550"/>
      <c r="CG251" s="4550"/>
      <c r="CH251" s="4550"/>
      <c r="CI251" s="4550"/>
      <c r="CJ251" s="4550"/>
      <c r="CK251" s="4550"/>
      <c r="CL251" s="4550"/>
      <c r="CM251" s="4550"/>
      <c r="CN251" s="4550"/>
      <c r="CO251" s="4550"/>
      <c r="CP251" s="4550"/>
      <c r="CQ251" s="4550"/>
      <c r="CR251" s="4550"/>
      <c r="CS251" s="4550"/>
      <c r="CT251" s="4550"/>
      <c r="CU251" s="4550"/>
      <c r="CV251" s="4550"/>
      <c r="CW251" s="4550"/>
      <c r="CX251" s="4550"/>
      <c r="CY251" s="4550"/>
      <c r="CZ251" s="4550"/>
      <c r="DA251" s="4550"/>
      <c r="DB251" s="4550"/>
      <c r="DC251" s="4550"/>
      <c r="DD251" s="4550"/>
      <c r="DE251" s="4550"/>
      <c r="DF251" s="4550"/>
      <c r="DG251" s="4550"/>
      <c r="DH251" s="4550"/>
      <c r="DI251" s="4550"/>
      <c r="DJ251" s="4550"/>
      <c r="DK251" s="4550"/>
      <c r="DL251" s="4550"/>
      <c r="DM251" s="4550"/>
      <c r="DN251" s="4550"/>
      <c r="DO251" s="4550"/>
      <c r="DP251" s="4550"/>
      <c r="DQ251" s="4550"/>
      <c r="DR251" s="4550"/>
      <c r="DS251" s="4550"/>
      <c r="DT251" s="4550"/>
      <c r="DU251" s="4550"/>
      <c r="DV251" s="4550"/>
      <c r="DW251" s="4550"/>
      <c r="DX251" s="4550"/>
      <c r="DY251" s="4550"/>
      <c r="DZ251" s="4550"/>
      <c r="EA251" s="4550"/>
      <c r="EB251" s="4550"/>
      <c r="EC251" s="4550"/>
      <c r="ED251" s="4550"/>
      <c r="EE251" s="4550"/>
      <c r="EF251" s="4550"/>
      <c r="EG251" s="4550"/>
      <c r="EH251" s="4550"/>
      <c r="EI251" s="4550"/>
      <c r="EJ251" s="4550"/>
      <c r="EK251" s="4550"/>
      <c r="EL251" s="4550"/>
      <c r="EM251" s="4550"/>
      <c r="EN251" s="4550"/>
      <c r="EO251" s="4550"/>
      <c r="EP251" s="4550"/>
      <c r="EQ251" s="4550"/>
      <c r="ER251" s="4550"/>
      <c r="ES251" s="4550"/>
      <c r="ET251" s="4550"/>
      <c r="EU251" s="4550"/>
      <c r="EV251" s="4550"/>
      <c r="EW251" s="4550"/>
      <c r="EX251" s="4550"/>
      <c r="EY251" s="4550"/>
      <c r="EZ251" s="4550"/>
      <c r="FA251" s="4550"/>
      <c r="FB251" s="4550"/>
      <c r="FC251" s="4550"/>
      <c r="FD251" s="4550"/>
      <c r="FE251" s="4550"/>
      <c r="FF251" s="4550"/>
      <c r="FG251" s="4550"/>
      <c r="FH251" s="4550"/>
      <c r="FI251" s="4550"/>
      <c r="FJ251" s="4550"/>
      <c r="FK251" s="4550"/>
      <c r="FL251" s="4550"/>
      <c r="FM251" s="4550"/>
      <c r="FN251" s="4550"/>
      <c r="FO251" s="4550"/>
      <c r="FP251" s="4550"/>
      <c r="FQ251" s="4550"/>
      <c r="FR251" s="4550"/>
      <c r="FS251" s="4550"/>
      <c r="FT251" s="4550"/>
      <c r="FU251" s="4550"/>
      <c r="FV251" s="4550"/>
      <c r="FW251" s="4550"/>
      <c r="FX251" s="4550"/>
      <c r="FY251" s="4550"/>
      <c r="FZ251" s="4550"/>
      <c r="GA251" s="4550"/>
      <c r="GB251" s="4550"/>
      <c r="GC251" s="4550"/>
      <c r="GD251" s="4550"/>
      <c r="GE251" s="4550"/>
      <c r="GF251" s="4550"/>
      <c r="GG251" s="4550"/>
      <c r="GH251" s="4550"/>
      <c r="GI251" s="4550"/>
      <c r="GJ251" s="4550"/>
      <c r="GK251" s="4550"/>
      <c r="GL251" s="4550"/>
      <c r="GM251" s="4550"/>
      <c r="GN251" s="4550"/>
      <c r="GO251" s="4550"/>
      <c r="GP251" s="4550"/>
      <c r="GQ251" s="4550"/>
      <c r="GR251" s="4550"/>
      <c r="GS251" s="4550"/>
      <c r="GT251" s="4550"/>
      <c r="GU251" s="4550"/>
      <c r="GV251" s="4550"/>
      <c r="GW251" s="4550"/>
      <c r="GX251" s="4550"/>
      <c r="GY251" s="4550"/>
      <c r="GZ251" s="4550"/>
      <c r="HA251" s="4550"/>
      <c r="HB251" s="4550"/>
      <c r="HC251" s="4550"/>
      <c r="HD251" s="4550"/>
      <c r="HE251" s="4550"/>
      <c r="HF251" s="4550"/>
      <c r="HG251" s="4550"/>
      <c r="HH251" s="4550"/>
      <c r="HI251" s="4550"/>
      <c r="HJ251" s="4550"/>
      <c r="HK251" s="4550"/>
      <c r="HL251" s="4550"/>
      <c r="HM251" s="4550"/>
      <c r="HN251" s="4550"/>
      <c r="HO251" s="4550"/>
      <c r="HP251" s="4550"/>
      <c r="HQ251" s="4550"/>
      <c r="HR251" s="4550"/>
      <c r="HS251" s="4550"/>
      <c r="HT251" s="4550"/>
      <c r="HU251" s="4550"/>
      <c r="HV251" s="4550"/>
      <c r="HW251" s="4550"/>
      <c r="HX251" s="4550"/>
      <c r="HY251" s="4550"/>
      <c r="HZ251" s="4550"/>
      <c r="IA251" s="4550"/>
      <c r="IB251" s="4550"/>
      <c r="IC251" s="4550"/>
      <c r="ID251" s="4550"/>
      <c r="IE251" s="4550"/>
    </row>
    <row r="252" spans="1:239" s="4549" customFormat="1" ht="12.75" customHeight="1">
      <c r="A252" s="4654" t="s">
        <v>493</v>
      </c>
      <c r="B252" s="4635" t="s">
        <v>2353</v>
      </c>
      <c r="C252" s="4677">
        <v>15</v>
      </c>
      <c r="D252" s="4593" t="s">
        <v>1</v>
      </c>
      <c r="E252" s="4318"/>
      <c r="F252" s="5000">
        <f t="shared" si="9"/>
        <v>0</v>
      </c>
      <c r="G252" s="4537"/>
      <c r="H252" s="4537"/>
      <c r="I252" s="4537"/>
      <c r="J252" s="4537"/>
      <c r="K252" s="4537"/>
      <c r="L252" s="4537"/>
      <c r="M252" s="4537"/>
      <c r="N252" s="4537"/>
      <c r="O252" s="4537"/>
      <c r="P252" s="4537"/>
      <c r="Q252" s="4537"/>
      <c r="R252" s="4537"/>
      <c r="S252" s="4537"/>
      <c r="T252" s="4537"/>
      <c r="U252" s="4537"/>
      <c r="V252" s="4537"/>
      <c r="W252" s="4537"/>
      <c r="X252" s="4537"/>
      <c r="Y252" s="4537"/>
      <c r="Z252" s="4537"/>
      <c r="AA252" s="4537"/>
      <c r="AB252" s="4537"/>
      <c r="AC252" s="4537"/>
      <c r="AD252" s="4537"/>
      <c r="AE252" s="4537"/>
      <c r="AF252" s="4537"/>
      <c r="AG252" s="4537"/>
      <c r="AH252" s="4537"/>
      <c r="AI252" s="4537"/>
      <c r="AJ252" s="4537"/>
      <c r="AK252" s="4537"/>
      <c r="AL252" s="4537"/>
      <c r="AM252" s="4537"/>
      <c r="AN252" s="4537"/>
      <c r="AO252" s="4537"/>
      <c r="AP252" s="4537"/>
      <c r="AQ252" s="4537"/>
      <c r="AR252" s="4537"/>
      <c r="AS252" s="4550"/>
      <c r="AT252" s="4550"/>
      <c r="AU252" s="4550"/>
      <c r="AV252" s="4550"/>
      <c r="AW252" s="4550"/>
      <c r="AX252" s="4550"/>
      <c r="AY252" s="4550"/>
      <c r="AZ252" s="4550"/>
      <c r="BA252" s="4550"/>
      <c r="BB252" s="4550"/>
      <c r="BC252" s="4550"/>
      <c r="BD252" s="4550"/>
      <c r="BE252" s="4550"/>
      <c r="BF252" s="4550"/>
      <c r="BG252" s="4550"/>
      <c r="BH252" s="4550"/>
      <c r="BI252" s="4550"/>
      <c r="BJ252" s="4550"/>
      <c r="BK252" s="4550"/>
      <c r="BL252" s="4550"/>
      <c r="BM252" s="4550"/>
      <c r="BN252" s="4550"/>
      <c r="BO252" s="4550"/>
      <c r="BP252" s="4550"/>
      <c r="BQ252" s="4550"/>
      <c r="BR252" s="4550"/>
      <c r="BS252" s="4550"/>
      <c r="BT252" s="4550"/>
      <c r="BU252" s="4550"/>
      <c r="BV252" s="4550"/>
      <c r="BW252" s="4550"/>
      <c r="BX252" s="4550"/>
      <c r="BY252" s="4550"/>
      <c r="BZ252" s="4550"/>
      <c r="CA252" s="4550"/>
      <c r="CB252" s="4550"/>
      <c r="CC252" s="4550"/>
      <c r="CD252" s="4550"/>
      <c r="CE252" s="4550"/>
      <c r="CF252" s="4550"/>
      <c r="CG252" s="4550"/>
      <c r="CH252" s="4550"/>
      <c r="CI252" s="4550"/>
      <c r="CJ252" s="4550"/>
      <c r="CK252" s="4550"/>
      <c r="CL252" s="4550"/>
      <c r="CM252" s="4550"/>
      <c r="CN252" s="4550"/>
      <c r="CO252" s="4550"/>
      <c r="CP252" s="4550"/>
      <c r="CQ252" s="4550"/>
      <c r="CR252" s="4550"/>
      <c r="CS252" s="4550"/>
      <c r="CT252" s="4550"/>
      <c r="CU252" s="4550"/>
      <c r="CV252" s="4550"/>
      <c r="CW252" s="4550"/>
      <c r="CX252" s="4550"/>
      <c r="CY252" s="4550"/>
      <c r="CZ252" s="4550"/>
      <c r="DA252" s="4550"/>
      <c r="DB252" s="4550"/>
      <c r="DC252" s="4550"/>
      <c r="DD252" s="4550"/>
      <c r="DE252" s="4550"/>
      <c r="DF252" s="4550"/>
      <c r="DG252" s="4550"/>
      <c r="DH252" s="4550"/>
      <c r="DI252" s="4550"/>
      <c r="DJ252" s="4550"/>
      <c r="DK252" s="4550"/>
      <c r="DL252" s="4550"/>
      <c r="DM252" s="4550"/>
      <c r="DN252" s="4550"/>
      <c r="DO252" s="4550"/>
      <c r="DP252" s="4550"/>
      <c r="DQ252" s="4550"/>
      <c r="DR252" s="4550"/>
      <c r="DS252" s="4550"/>
      <c r="DT252" s="4550"/>
      <c r="DU252" s="4550"/>
      <c r="DV252" s="4550"/>
      <c r="DW252" s="4550"/>
      <c r="DX252" s="4550"/>
      <c r="DY252" s="4550"/>
      <c r="DZ252" s="4550"/>
      <c r="EA252" s="4550"/>
      <c r="EB252" s="4550"/>
      <c r="EC252" s="4550"/>
      <c r="ED252" s="4550"/>
      <c r="EE252" s="4550"/>
      <c r="EF252" s="4550"/>
      <c r="EG252" s="4550"/>
      <c r="EH252" s="4550"/>
      <c r="EI252" s="4550"/>
      <c r="EJ252" s="4550"/>
      <c r="EK252" s="4550"/>
      <c r="EL252" s="4550"/>
      <c r="EM252" s="4550"/>
      <c r="EN252" s="4550"/>
      <c r="EO252" s="4550"/>
      <c r="EP252" s="4550"/>
      <c r="EQ252" s="4550"/>
      <c r="ER252" s="4550"/>
      <c r="ES252" s="4550"/>
      <c r="ET252" s="4550"/>
      <c r="EU252" s="4550"/>
      <c r="EV252" s="4550"/>
      <c r="EW252" s="4550"/>
      <c r="EX252" s="4550"/>
      <c r="EY252" s="4550"/>
      <c r="EZ252" s="4550"/>
      <c r="FA252" s="4550"/>
      <c r="FB252" s="4550"/>
      <c r="FC252" s="4550"/>
      <c r="FD252" s="4550"/>
      <c r="FE252" s="4550"/>
      <c r="FF252" s="4550"/>
      <c r="FG252" s="4550"/>
      <c r="FH252" s="4550"/>
      <c r="FI252" s="4550"/>
      <c r="FJ252" s="4550"/>
      <c r="FK252" s="4550"/>
      <c r="FL252" s="4550"/>
      <c r="FM252" s="4550"/>
      <c r="FN252" s="4550"/>
      <c r="FO252" s="4550"/>
      <c r="FP252" s="4550"/>
      <c r="FQ252" s="4550"/>
      <c r="FR252" s="4550"/>
      <c r="FS252" s="4550"/>
      <c r="FT252" s="4550"/>
      <c r="FU252" s="4550"/>
      <c r="FV252" s="4550"/>
      <c r="FW252" s="4550"/>
      <c r="FX252" s="4550"/>
      <c r="FY252" s="4550"/>
      <c r="FZ252" s="4550"/>
      <c r="GA252" s="4550"/>
      <c r="GB252" s="4550"/>
      <c r="GC252" s="4550"/>
      <c r="GD252" s="4550"/>
      <c r="GE252" s="4550"/>
      <c r="GF252" s="4550"/>
      <c r="GG252" s="4550"/>
      <c r="GH252" s="4550"/>
      <c r="GI252" s="4550"/>
      <c r="GJ252" s="4550"/>
      <c r="GK252" s="4550"/>
      <c r="GL252" s="4550"/>
      <c r="GM252" s="4550"/>
      <c r="GN252" s="4550"/>
      <c r="GO252" s="4550"/>
      <c r="GP252" s="4550"/>
      <c r="GQ252" s="4550"/>
      <c r="GR252" s="4550"/>
      <c r="GS252" s="4550"/>
      <c r="GT252" s="4550"/>
      <c r="GU252" s="4550"/>
      <c r="GV252" s="4550"/>
      <c r="GW252" s="4550"/>
      <c r="GX252" s="4550"/>
      <c r="GY252" s="4550"/>
      <c r="GZ252" s="4550"/>
      <c r="HA252" s="4550"/>
      <c r="HB252" s="4550"/>
      <c r="HC252" s="4550"/>
      <c r="HD252" s="4550"/>
      <c r="HE252" s="4550"/>
      <c r="HF252" s="4550"/>
      <c r="HG252" s="4550"/>
      <c r="HH252" s="4550"/>
      <c r="HI252" s="4550"/>
      <c r="HJ252" s="4550"/>
      <c r="HK252" s="4550"/>
      <c r="HL252" s="4550"/>
      <c r="HM252" s="4550"/>
      <c r="HN252" s="4550"/>
      <c r="HO252" s="4550"/>
      <c r="HP252" s="4550"/>
      <c r="HQ252" s="4550"/>
      <c r="HR252" s="4550"/>
      <c r="HS252" s="4550"/>
      <c r="HT252" s="4550"/>
      <c r="HU252" s="4550"/>
      <c r="HV252" s="4550"/>
      <c r="HW252" s="4550"/>
      <c r="HX252" s="4550"/>
      <c r="HY252" s="4550"/>
      <c r="HZ252" s="4550"/>
      <c r="IA252" s="4550"/>
      <c r="IB252" s="4550"/>
      <c r="IC252" s="4550"/>
      <c r="ID252" s="4550"/>
      <c r="IE252" s="4550"/>
    </row>
    <row r="253" spans="1:239" s="4549" customFormat="1" ht="13.5" customHeight="1">
      <c r="A253" s="4729" t="s">
        <v>494</v>
      </c>
      <c r="B253" s="4636" t="s">
        <v>4172</v>
      </c>
      <c r="C253" s="4731">
        <v>12.96</v>
      </c>
      <c r="D253" s="4760" t="s">
        <v>2430</v>
      </c>
      <c r="E253" s="4980"/>
      <c r="F253" s="5001">
        <f t="shared" si="9"/>
        <v>0</v>
      </c>
      <c r="G253" s="4537"/>
      <c r="H253" s="4537"/>
      <c r="I253" s="4537"/>
      <c r="J253" s="4537"/>
      <c r="K253" s="4537"/>
      <c r="L253" s="4537"/>
      <c r="M253" s="4537"/>
      <c r="N253" s="4537"/>
      <c r="O253" s="4537"/>
      <c r="P253" s="4537"/>
      <c r="Q253" s="4537"/>
      <c r="R253" s="4537"/>
      <c r="S253" s="4537"/>
      <c r="T253" s="4537"/>
      <c r="U253" s="4537"/>
      <c r="V253" s="4537"/>
      <c r="W253" s="4537"/>
      <c r="X253" s="4537"/>
      <c r="Y253" s="4537"/>
      <c r="Z253" s="4537"/>
      <c r="AA253" s="4537"/>
      <c r="AB253" s="4537"/>
      <c r="AC253" s="4537"/>
      <c r="AD253" s="4537"/>
      <c r="AE253" s="4537"/>
      <c r="AF253" s="4537"/>
      <c r="AG253" s="4537"/>
      <c r="AH253" s="4537"/>
      <c r="AI253" s="4537"/>
      <c r="AJ253" s="4537"/>
      <c r="AK253" s="4537"/>
      <c r="AL253" s="4537"/>
      <c r="AM253" s="4537"/>
      <c r="AN253" s="4537"/>
      <c r="AO253" s="4537"/>
      <c r="AP253" s="4537"/>
      <c r="AQ253" s="4537"/>
      <c r="AR253" s="4537"/>
      <c r="AS253" s="4550"/>
      <c r="AT253" s="4550"/>
      <c r="AU253" s="4550"/>
      <c r="AV253" s="4550"/>
      <c r="AW253" s="4550"/>
      <c r="AX253" s="4550"/>
      <c r="AY253" s="4550"/>
      <c r="AZ253" s="4550"/>
      <c r="BA253" s="4550"/>
      <c r="BB253" s="4550"/>
      <c r="BC253" s="4550"/>
      <c r="BD253" s="4550"/>
      <c r="BE253" s="4550"/>
      <c r="BF253" s="4550"/>
      <c r="BG253" s="4550"/>
      <c r="BH253" s="4550"/>
      <c r="BI253" s="4550"/>
      <c r="BJ253" s="4550"/>
      <c r="BK253" s="4550"/>
      <c r="BL253" s="4550"/>
      <c r="BM253" s="4550"/>
      <c r="BN253" s="4550"/>
      <c r="BO253" s="4550"/>
      <c r="BP253" s="4550"/>
      <c r="BQ253" s="4550"/>
      <c r="BR253" s="4550"/>
      <c r="BS253" s="4550"/>
      <c r="BT253" s="4550"/>
      <c r="BU253" s="4550"/>
      <c r="BV253" s="4550"/>
      <c r="BW253" s="4550"/>
      <c r="BX253" s="4550"/>
      <c r="BY253" s="4550"/>
      <c r="BZ253" s="4550"/>
      <c r="CA253" s="4550"/>
      <c r="CB253" s="4550"/>
      <c r="CC253" s="4550"/>
      <c r="CD253" s="4550"/>
      <c r="CE253" s="4550"/>
      <c r="CF253" s="4550"/>
      <c r="CG253" s="4550"/>
      <c r="CH253" s="4550"/>
      <c r="CI253" s="4550"/>
      <c r="CJ253" s="4550"/>
      <c r="CK253" s="4550"/>
      <c r="CL253" s="4550"/>
      <c r="CM253" s="4550"/>
      <c r="CN253" s="4550"/>
      <c r="CO253" s="4550"/>
      <c r="CP253" s="4550"/>
      <c r="CQ253" s="4550"/>
      <c r="CR253" s="4550"/>
      <c r="CS253" s="4550"/>
      <c r="CT253" s="4550"/>
      <c r="CU253" s="4550"/>
      <c r="CV253" s="4550"/>
      <c r="CW253" s="4550"/>
      <c r="CX253" s="4550"/>
      <c r="CY253" s="4550"/>
      <c r="CZ253" s="4550"/>
      <c r="DA253" s="4550"/>
      <c r="DB253" s="4550"/>
      <c r="DC253" s="4550"/>
      <c r="DD253" s="4550"/>
      <c r="DE253" s="4550"/>
      <c r="DF253" s="4550"/>
      <c r="DG253" s="4550"/>
      <c r="DH253" s="4550"/>
      <c r="DI253" s="4550"/>
      <c r="DJ253" s="4550"/>
      <c r="DK253" s="4550"/>
      <c r="DL253" s="4550"/>
      <c r="DM253" s="4550"/>
      <c r="DN253" s="4550"/>
      <c r="DO253" s="4550"/>
      <c r="DP253" s="4550"/>
      <c r="DQ253" s="4550"/>
      <c r="DR253" s="4550"/>
      <c r="DS253" s="4550"/>
      <c r="DT253" s="4550"/>
      <c r="DU253" s="4550"/>
      <c r="DV253" s="4550"/>
      <c r="DW253" s="4550"/>
      <c r="DX253" s="4550"/>
      <c r="DY253" s="4550"/>
      <c r="DZ253" s="4550"/>
      <c r="EA253" s="4550"/>
      <c r="EB253" s="4550"/>
      <c r="EC253" s="4550"/>
      <c r="ED253" s="4550"/>
      <c r="EE253" s="4550"/>
      <c r="EF253" s="4550"/>
      <c r="EG253" s="4550"/>
      <c r="EH253" s="4550"/>
      <c r="EI253" s="4550"/>
      <c r="EJ253" s="4550"/>
      <c r="EK253" s="4550"/>
      <c r="EL253" s="4550"/>
      <c r="EM253" s="4550"/>
      <c r="EN253" s="4550"/>
      <c r="EO253" s="4550"/>
      <c r="EP253" s="4550"/>
      <c r="EQ253" s="4550"/>
      <c r="ER253" s="4550"/>
      <c r="ES253" s="4550"/>
      <c r="ET253" s="4550"/>
      <c r="EU253" s="4550"/>
      <c r="EV253" s="4550"/>
      <c r="EW253" s="4550"/>
      <c r="EX253" s="4550"/>
      <c r="EY253" s="4550"/>
      <c r="EZ253" s="4550"/>
      <c r="FA253" s="4550"/>
      <c r="FB253" s="4550"/>
      <c r="FC253" s="4550"/>
      <c r="FD253" s="4550"/>
      <c r="FE253" s="4550"/>
      <c r="FF253" s="4550"/>
      <c r="FG253" s="4550"/>
      <c r="FH253" s="4550"/>
      <c r="FI253" s="4550"/>
      <c r="FJ253" s="4550"/>
      <c r="FK253" s="4550"/>
      <c r="FL253" s="4550"/>
      <c r="FM253" s="4550"/>
      <c r="FN253" s="4550"/>
      <c r="FO253" s="4550"/>
      <c r="FP253" s="4550"/>
      <c r="FQ253" s="4550"/>
      <c r="FR253" s="4550"/>
      <c r="FS253" s="4550"/>
      <c r="FT253" s="4550"/>
      <c r="FU253" s="4550"/>
      <c r="FV253" s="4550"/>
      <c r="FW253" s="4550"/>
      <c r="FX253" s="4550"/>
      <c r="FY253" s="4550"/>
      <c r="FZ253" s="4550"/>
      <c r="GA253" s="4550"/>
      <c r="GB253" s="4550"/>
      <c r="GC253" s="4550"/>
      <c r="GD253" s="4550"/>
      <c r="GE253" s="4550"/>
      <c r="GF253" s="4550"/>
      <c r="GG253" s="4550"/>
      <c r="GH253" s="4550"/>
      <c r="GI253" s="4550"/>
      <c r="GJ253" s="4550"/>
      <c r="GK253" s="4550"/>
      <c r="GL253" s="4550"/>
      <c r="GM253" s="4550"/>
      <c r="GN253" s="4550"/>
      <c r="GO253" s="4550"/>
      <c r="GP253" s="4550"/>
      <c r="GQ253" s="4550"/>
      <c r="GR253" s="4550"/>
      <c r="GS253" s="4550"/>
      <c r="GT253" s="4550"/>
      <c r="GU253" s="4550"/>
      <c r="GV253" s="4550"/>
      <c r="GW253" s="4550"/>
      <c r="GX253" s="4550"/>
      <c r="GY253" s="4550"/>
      <c r="GZ253" s="4550"/>
      <c r="HA253" s="4550"/>
      <c r="HB253" s="4550"/>
      <c r="HC253" s="4550"/>
      <c r="HD253" s="4550"/>
      <c r="HE253" s="4550"/>
      <c r="HF253" s="4550"/>
      <c r="HG253" s="4550"/>
      <c r="HH253" s="4550"/>
      <c r="HI253" s="4550"/>
      <c r="HJ253" s="4550"/>
      <c r="HK253" s="4550"/>
      <c r="HL253" s="4550"/>
      <c r="HM253" s="4550"/>
      <c r="HN253" s="4550"/>
      <c r="HO253" s="4550"/>
      <c r="HP253" s="4550"/>
      <c r="HQ253" s="4550"/>
      <c r="HR253" s="4550"/>
      <c r="HS253" s="4550"/>
      <c r="HT253" s="4550"/>
      <c r="HU253" s="4550"/>
      <c r="HV253" s="4550"/>
      <c r="HW253" s="4550"/>
      <c r="HX253" s="4550"/>
      <c r="HY253" s="4550"/>
      <c r="HZ253" s="4550"/>
      <c r="IA253" s="4550"/>
      <c r="IB253" s="4550"/>
      <c r="IC253" s="4550"/>
      <c r="ID253" s="4550"/>
      <c r="IE253" s="4550"/>
    </row>
    <row r="254" spans="1:239" s="4549" customFormat="1" ht="18.75" customHeight="1">
      <c r="A254" s="4654" t="s">
        <v>495</v>
      </c>
      <c r="B254" s="4635" t="s">
        <v>4055</v>
      </c>
      <c r="C254" s="4677">
        <v>11.73</v>
      </c>
      <c r="D254" s="4755" t="s">
        <v>2430</v>
      </c>
      <c r="E254" s="4318"/>
      <c r="F254" s="5000">
        <f t="shared" si="9"/>
        <v>0</v>
      </c>
      <c r="G254" s="4537"/>
      <c r="H254" s="4537"/>
      <c r="I254" s="4537"/>
      <c r="J254" s="4537"/>
      <c r="K254" s="4537"/>
      <c r="L254" s="4537"/>
      <c r="M254" s="4537"/>
      <c r="N254" s="4537"/>
      <c r="O254" s="4537"/>
      <c r="P254" s="4537"/>
      <c r="Q254" s="4537"/>
      <c r="R254" s="4537"/>
      <c r="S254" s="4537"/>
      <c r="T254" s="4537"/>
      <c r="U254" s="4537"/>
      <c r="V254" s="4537"/>
      <c r="W254" s="4537"/>
      <c r="X254" s="4537"/>
      <c r="Y254" s="4537"/>
      <c r="Z254" s="4537"/>
      <c r="AA254" s="4537"/>
      <c r="AB254" s="4537"/>
      <c r="AC254" s="4537"/>
      <c r="AD254" s="4537"/>
      <c r="AE254" s="4537"/>
      <c r="AF254" s="4537"/>
      <c r="AG254" s="4537"/>
      <c r="AH254" s="4537"/>
      <c r="AI254" s="4537"/>
      <c r="AJ254" s="4537"/>
      <c r="AK254" s="4537"/>
      <c r="AL254" s="4537"/>
      <c r="AM254" s="4537"/>
      <c r="AN254" s="4537"/>
      <c r="AO254" s="4537"/>
      <c r="AP254" s="4537"/>
      <c r="AQ254" s="4537"/>
      <c r="AR254" s="4537"/>
      <c r="AS254" s="4550"/>
      <c r="AT254" s="4550"/>
      <c r="AU254" s="4550"/>
      <c r="AV254" s="4550"/>
      <c r="AW254" s="4550"/>
      <c r="AX254" s="4550"/>
      <c r="AY254" s="4550"/>
      <c r="AZ254" s="4550"/>
      <c r="BA254" s="4550"/>
      <c r="BB254" s="4550"/>
      <c r="BC254" s="4550"/>
      <c r="BD254" s="4550"/>
      <c r="BE254" s="4550"/>
      <c r="BF254" s="4550"/>
      <c r="BG254" s="4550"/>
      <c r="BH254" s="4550"/>
      <c r="BI254" s="4550"/>
      <c r="BJ254" s="4550"/>
      <c r="BK254" s="4550"/>
      <c r="BL254" s="4550"/>
      <c r="BM254" s="4550"/>
      <c r="BN254" s="4550"/>
      <c r="BO254" s="4550"/>
      <c r="BP254" s="4550"/>
      <c r="BQ254" s="4550"/>
      <c r="BR254" s="4550"/>
      <c r="BS254" s="4550"/>
      <c r="BT254" s="4550"/>
      <c r="BU254" s="4550"/>
      <c r="BV254" s="4550"/>
      <c r="BW254" s="4550"/>
      <c r="BX254" s="4550"/>
      <c r="BY254" s="4550"/>
      <c r="BZ254" s="4550"/>
      <c r="CA254" s="4550"/>
      <c r="CB254" s="4550"/>
      <c r="CC254" s="4550"/>
      <c r="CD254" s="4550"/>
      <c r="CE254" s="4550"/>
      <c r="CF254" s="4550"/>
      <c r="CG254" s="4550"/>
      <c r="CH254" s="4550"/>
      <c r="CI254" s="4550"/>
      <c r="CJ254" s="4550"/>
      <c r="CK254" s="4550"/>
      <c r="CL254" s="4550"/>
      <c r="CM254" s="4550"/>
      <c r="CN254" s="4550"/>
      <c r="CO254" s="4550"/>
      <c r="CP254" s="4550"/>
      <c r="CQ254" s="4550"/>
      <c r="CR254" s="4550"/>
      <c r="CS254" s="4550"/>
      <c r="CT254" s="4550"/>
      <c r="CU254" s="4550"/>
      <c r="CV254" s="4550"/>
      <c r="CW254" s="4550"/>
      <c r="CX254" s="4550"/>
      <c r="CY254" s="4550"/>
      <c r="CZ254" s="4550"/>
      <c r="DA254" s="4550"/>
      <c r="DB254" s="4550"/>
      <c r="DC254" s="4550"/>
      <c r="DD254" s="4550"/>
      <c r="DE254" s="4550"/>
      <c r="DF254" s="4550"/>
      <c r="DG254" s="4550"/>
      <c r="DH254" s="4550"/>
      <c r="DI254" s="4550"/>
      <c r="DJ254" s="4550"/>
      <c r="DK254" s="4550"/>
      <c r="DL254" s="4550"/>
      <c r="DM254" s="4550"/>
      <c r="DN254" s="4550"/>
      <c r="DO254" s="4550"/>
      <c r="DP254" s="4550"/>
      <c r="DQ254" s="4550"/>
      <c r="DR254" s="4550"/>
      <c r="DS254" s="4550"/>
      <c r="DT254" s="4550"/>
      <c r="DU254" s="4550"/>
      <c r="DV254" s="4550"/>
      <c r="DW254" s="4550"/>
      <c r="DX254" s="4550"/>
      <c r="DY254" s="4550"/>
      <c r="DZ254" s="4550"/>
      <c r="EA254" s="4550"/>
      <c r="EB254" s="4550"/>
      <c r="EC254" s="4550"/>
      <c r="ED254" s="4550"/>
      <c r="EE254" s="4550"/>
      <c r="EF254" s="4550"/>
      <c r="EG254" s="4550"/>
      <c r="EH254" s="4550"/>
      <c r="EI254" s="4550"/>
      <c r="EJ254" s="4550"/>
      <c r="EK254" s="4550"/>
      <c r="EL254" s="4550"/>
      <c r="EM254" s="4550"/>
      <c r="EN254" s="4550"/>
      <c r="EO254" s="4550"/>
      <c r="EP254" s="4550"/>
      <c r="EQ254" s="4550"/>
      <c r="ER254" s="4550"/>
      <c r="ES254" s="4550"/>
      <c r="ET254" s="4550"/>
      <c r="EU254" s="4550"/>
      <c r="EV254" s="4550"/>
      <c r="EW254" s="4550"/>
      <c r="EX254" s="4550"/>
      <c r="EY254" s="4550"/>
      <c r="EZ254" s="4550"/>
      <c r="FA254" s="4550"/>
      <c r="FB254" s="4550"/>
      <c r="FC254" s="4550"/>
      <c r="FD254" s="4550"/>
      <c r="FE254" s="4550"/>
      <c r="FF254" s="4550"/>
      <c r="FG254" s="4550"/>
      <c r="FH254" s="4550"/>
      <c r="FI254" s="4550"/>
      <c r="FJ254" s="4550"/>
      <c r="FK254" s="4550"/>
      <c r="FL254" s="4550"/>
      <c r="FM254" s="4550"/>
      <c r="FN254" s="4550"/>
      <c r="FO254" s="4550"/>
      <c r="FP254" s="4550"/>
      <c r="FQ254" s="4550"/>
      <c r="FR254" s="4550"/>
      <c r="FS254" s="4550"/>
      <c r="FT254" s="4550"/>
      <c r="FU254" s="4550"/>
      <c r="FV254" s="4550"/>
      <c r="FW254" s="4550"/>
      <c r="FX254" s="4550"/>
      <c r="FY254" s="4550"/>
      <c r="FZ254" s="4550"/>
      <c r="GA254" s="4550"/>
      <c r="GB254" s="4550"/>
      <c r="GC254" s="4550"/>
      <c r="GD254" s="4550"/>
      <c r="GE254" s="4550"/>
      <c r="GF254" s="4550"/>
      <c r="GG254" s="4550"/>
      <c r="GH254" s="4550"/>
      <c r="GI254" s="4550"/>
      <c r="GJ254" s="4550"/>
      <c r="GK254" s="4550"/>
      <c r="GL254" s="4550"/>
      <c r="GM254" s="4550"/>
      <c r="GN254" s="4550"/>
      <c r="GO254" s="4550"/>
      <c r="GP254" s="4550"/>
      <c r="GQ254" s="4550"/>
      <c r="GR254" s="4550"/>
      <c r="GS254" s="4550"/>
      <c r="GT254" s="4550"/>
      <c r="GU254" s="4550"/>
      <c r="GV254" s="4550"/>
      <c r="GW254" s="4550"/>
      <c r="GX254" s="4550"/>
      <c r="GY254" s="4550"/>
      <c r="GZ254" s="4550"/>
      <c r="HA254" s="4550"/>
      <c r="HB254" s="4550"/>
      <c r="HC254" s="4550"/>
      <c r="HD254" s="4550"/>
      <c r="HE254" s="4550"/>
      <c r="HF254" s="4550"/>
      <c r="HG254" s="4550"/>
      <c r="HH254" s="4550"/>
      <c r="HI254" s="4550"/>
      <c r="HJ254" s="4550"/>
      <c r="HK254" s="4550"/>
      <c r="HL254" s="4550"/>
      <c r="HM254" s="4550"/>
      <c r="HN254" s="4550"/>
      <c r="HO254" s="4550"/>
      <c r="HP254" s="4550"/>
      <c r="HQ254" s="4550"/>
      <c r="HR254" s="4550"/>
      <c r="HS254" s="4550"/>
      <c r="HT254" s="4550"/>
      <c r="HU254" s="4550"/>
      <c r="HV254" s="4550"/>
      <c r="HW254" s="4550"/>
      <c r="HX254" s="4550"/>
      <c r="HY254" s="4550"/>
      <c r="HZ254" s="4550"/>
      <c r="IA254" s="4550"/>
      <c r="IB254" s="4550"/>
      <c r="IC254" s="4550"/>
      <c r="ID254" s="4550"/>
      <c r="IE254" s="4550"/>
    </row>
    <row r="255" spans="1:239" s="4549" customFormat="1" ht="30" customHeight="1">
      <c r="A255" s="4654" t="s">
        <v>496</v>
      </c>
      <c r="B255" s="4675" t="s">
        <v>4156</v>
      </c>
      <c r="C255" s="4677">
        <v>1.43</v>
      </c>
      <c r="D255" s="4755" t="s">
        <v>2430</v>
      </c>
      <c r="E255" s="4318"/>
      <c r="F255" s="5000">
        <f t="shared" si="9"/>
        <v>0</v>
      </c>
      <c r="G255" s="4537"/>
      <c r="H255" s="4537"/>
      <c r="I255" s="4537"/>
      <c r="J255" s="4537"/>
      <c r="K255" s="4537"/>
      <c r="L255" s="4537"/>
      <c r="M255" s="4537"/>
      <c r="N255" s="4537"/>
      <c r="O255" s="4537"/>
      <c r="P255" s="4537"/>
      <c r="Q255" s="4537"/>
      <c r="R255" s="4537"/>
      <c r="S255" s="4537"/>
      <c r="T255" s="4537"/>
      <c r="U255" s="4537"/>
      <c r="V255" s="4537"/>
      <c r="W255" s="4537"/>
      <c r="X255" s="4537"/>
      <c r="Y255" s="4537"/>
      <c r="Z255" s="4537"/>
      <c r="AA255" s="4537"/>
      <c r="AB255" s="4537"/>
      <c r="AC255" s="4537"/>
      <c r="AD255" s="4537"/>
      <c r="AE255" s="4537"/>
      <c r="AF255" s="4537"/>
      <c r="AG255" s="4537"/>
      <c r="AH255" s="4537"/>
      <c r="AI255" s="4537"/>
      <c r="AJ255" s="4537"/>
      <c r="AK255" s="4537"/>
      <c r="AL255" s="4537"/>
      <c r="AM255" s="4537"/>
      <c r="AN255" s="4537"/>
      <c r="AO255" s="4537"/>
      <c r="AP255" s="4537"/>
      <c r="AQ255" s="4537"/>
      <c r="AR255" s="4537"/>
      <c r="AS255" s="4550"/>
      <c r="AT255" s="4550"/>
      <c r="AU255" s="4550"/>
      <c r="AV255" s="4550"/>
      <c r="AW255" s="4550"/>
      <c r="AX255" s="4550"/>
      <c r="AY255" s="4550"/>
      <c r="AZ255" s="4550"/>
      <c r="BA255" s="4550"/>
      <c r="BB255" s="4550"/>
      <c r="BC255" s="4550"/>
      <c r="BD255" s="4550"/>
      <c r="BE255" s="4550"/>
      <c r="BF255" s="4550"/>
      <c r="BG255" s="4550"/>
      <c r="BH255" s="4550"/>
      <c r="BI255" s="4550"/>
      <c r="BJ255" s="4550"/>
      <c r="BK255" s="4550"/>
      <c r="BL255" s="4550"/>
      <c r="BM255" s="4550"/>
      <c r="BN255" s="4550"/>
      <c r="BO255" s="4550"/>
      <c r="BP255" s="4550"/>
      <c r="BQ255" s="4550"/>
      <c r="BR255" s="4550"/>
      <c r="BS255" s="4550"/>
      <c r="BT255" s="4550"/>
      <c r="BU255" s="4550"/>
      <c r="BV255" s="4550"/>
      <c r="BW255" s="4550"/>
      <c r="BX255" s="4550"/>
      <c r="BY255" s="4550"/>
      <c r="BZ255" s="4550"/>
      <c r="CA255" s="4550"/>
      <c r="CB255" s="4550"/>
      <c r="CC255" s="4550"/>
      <c r="CD255" s="4550"/>
      <c r="CE255" s="4550"/>
      <c r="CF255" s="4550"/>
      <c r="CG255" s="4550"/>
      <c r="CH255" s="4550"/>
      <c r="CI255" s="4550"/>
      <c r="CJ255" s="4550"/>
      <c r="CK255" s="4550"/>
      <c r="CL255" s="4550"/>
      <c r="CM255" s="4550"/>
      <c r="CN255" s="4550"/>
      <c r="CO255" s="4550"/>
      <c r="CP255" s="4550"/>
      <c r="CQ255" s="4550"/>
      <c r="CR255" s="4550"/>
      <c r="CS255" s="4550"/>
      <c r="CT255" s="4550"/>
      <c r="CU255" s="4550"/>
      <c r="CV255" s="4550"/>
      <c r="CW255" s="4550"/>
      <c r="CX255" s="4550"/>
      <c r="CY255" s="4550"/>
      <c r="CZ255" s="4550"/>
      <c r="DA255" s="4550"/>
      <c r="DB255" s="4550"/>
      <c r="DC255" s="4550"/>
      <c r="DD255" s="4550"/>
      <c r="DE255" s="4550"/>
      <c r="DF255" s="4550"/>
      <c r="DG255" s="4550"/>
      <c r="DH255" s="4550"/>
      <c r="DI255" s="4550"/>
      <c r="DJ255" s="4550"/>
      <c r="DK255" s="4550"/>
      <c r="DL255" s="4550"/>
      <c r="DM255" s="4550"/>
      <c r="DN255" s="4550"/>
      <c r="DO255" s="4550"/>
      <c r="DP255" s="4550"/>
      <c r="DQ255" s="4550"/>
      <c r="DR255" s="4550"/>
      <c r="DS255" s="4550"/>
      <c r="DT255" s="4550"/>
      <c r="DU255" s="4550"/>
      <c r="DV255" s="4550"/>
      <c r="DW255" s="4550"/>
      <c r="DX255" s="4550"/>
      <c r="DY255" s="4550"/>
      <c r="DZ255" s="4550"/>
      <c r="EA255" s="4550"/>
      <c r="EB255" s="4550"/>
      <c r="EC255" s="4550"/>
      <c r="ED255" s="4550"/>
      <c r="EE255" s="4550"/>
      <c r="EF255" s="4550"/>
      <c r="EG255" s="4550"/>
      <c r="EH255" s="4550"/>
      <c r="EI255" s="4550"/>
      <c r="EJ255" s="4550"/>
      <c r="EK255" s="4550"/>
      <c r="EL255" s="4550"/>
      <c r="EM255" s="4550"/>
      <c r="EN255" s="4550"/>
      <c r="EO255" s="4550"/>
      <c r="EP255" s="4550"/>
      <c r="EQ255" s="4550"/>
      <c r="ER255" s="4550"/>
      <c r="ES255" s="4550"/>
      <c r="ET255" s="4550"/>
      <c r="EU255" s="4550"/>
      <c r="EV255" s="4550"/>
      <c r="EW255" s="4550"/>
      <c r="EX255" s="4550"/>
      <c r="EY255" s="4550"/>
      <c r="EZ255" s="4550"/>
      <c r="FA255" s="4550"/>
      <c r="FB255" s="4550"/>
      <c r="FC255" s="4550"/>
      <c r="FD255" s="4550"/>
      <c r="FE255" s="4550"/>
      <c r="FF255" s="4550"/>
      <c r="FG255" s="4550"/>
      <c r="FH255" s="4550"/>
      <c r="FI255" s="4550"/>
      <c r="FJ255" s="4550"/>
      <c r="FK255" s="4550"/>
      <c r="FL255" s="4550"/>
      <c r="FM255" s="4550"/>
      <c r="FN255" s="4550"/>
      <c r="FO255" s="4550"/>
      <c r="FP255" s="4550"/>
      <c r="FQ255" s="4550"/>
      <c r="FR255" s="4550"/>
      <c r="FS255" s="4550"/>
      <c r="FT255" s="4550"/>
      <c r="FU255" s="4550"/>
      <c r="FV255" s="4550"/>
      <c r="FW255" s="4550"/>
      <c r="FX255" s="4550"/>
      <c r="FY255" s="4550"/>
      <c r="FZ255" s="4550"/>
      <c r="GA255" s="4550"/>
      <c r="GB255" s="4550"/>
      <c r="GC255" s="4550"/>
      <c r="GD255" s="4550"/>
      <c r="GE255" s="4550"/>
      <c r="GF255" s="4550"/>
      <c r="GG255" s="4550"/>
      <c r="GH255" s="4550"/>
      <c r="GI255" s="4550"/>
      <c r="GJ255" s="4550"/>
      <c r="GK255" s="4550"/>
      <c r="GL255" s="4550"/>
      <c r="GM255" s="4550"/>
      <c r="GN255" s="4550"/>
      <c r="GO255" s="4550"/>
      <c r="GP255" s="4550"/>
      <c r="GQ255" s="4550"/>
      <c r="GR255" s="4550"/>
      <c r="GS255" s="4550"/>
      <c r="GT255" s="4550"/>
      <c r="GU255" s="4550"/>
      <c r="GV255" s="4550"/>
      <c r="GW255" s="4550"/>
      <c r="GX255" s="4550"/>
      <c r="GY255" s="4550"/>
      <c r="GZ255" s="4550"/>
      <c r="HA255" s="4550"/>
      <c r="HB255" s="4550"/>
      <c r="HC255" s="4550"/>
      <c r="HD255" s="4550"/>
      <c r="HE255" s="4550"/>
      <c r="HF255" s="4550"/>
      <c r="HG255" s="4550"/>
      <c r="HH255" s="4550"/>
      <c r="HI255" s="4550"/>
      <c r="HJ255" s="4550"/>
      <c r="HK255" s="4550"/>
      <c r="HL255" s="4550"/>
      <c r="HM255" s="4550"/>
      <c r="HN255" s="4550"/>
      <c r="HO255" s="4550"/>
      <c r="HP255" s="4550"/>
      <c r="HQ255" s="4550"/>
      <c r="HR255" s="4550"/>
      <c r="HS255" s="4550"/>
      <c r="HT255" s="4550"/>
      <c r="HU255" s="4550"/>
      <c r="HV255" s="4550"/>
      <c r="HW255" s="4550"/>
      <c r="HX255" s="4550"/>
      <c r="HY255" s="4550"/>
      <c r="HZ255" s="4550"/>
      <c r="IA255" s="4550"/>
      <c r="IB255" s="4550"/>
      <c r="IC255" s="4550"/>
      <c r="ID255" s="4550"/>
      <c r="IE255" s="4550"/>
    </row>
    <row r="256" spans="1:239" s="4549" customFormat="1" ht="30" customHeight="1">
      <c r="A256" s="4654" t="s">
        <v>497</v>
      </c>
      <c r="B256" s="4635" t="s">
        <v>4173</v>
      </c>
      <c r="C256" s="4677">
        <v>15</v>
      </c>
      <c r="D256" s="4755" t="s">
        <v>1</v>
      </c>
      <c r="E256" s="4318"/>
      <c r="F256" s="5000">
        <f t="shared" si="9"/>
        <v>0</v>
      </c>
      <c r="G256" s="4537"/>
      <c r="H256" s="4537"/>
      <c r="I256" s="4537"/>
      <c r="J256" s="4537"/>
      <c r="K256" s="4537"/>
      <c r="L256" s="4537"/>
      <c r="M256" s="4537"/>
      <c r="N256" s="4537"/>
      <c r="O256" s="4537"/>
      <c r="P256" s="4537"/>
      <c r="Q256" s="4537"/>
      <c r="R256" s="4537"/>
      <c r="S256" s="4537"/>
      <c r="T256" s="4537"/>
      <c r="U256" s="4537"/>
      <c r="V256" s="4537"/>
      <c r="W256" s="4537"/>
      <c r="X256" s="4537"/>
      <c r="Y256" s="4537"/>
      <c r="Z256" s="4537"/>
      <c r="AA256" s="4537"/>
      <c r="AB256" s="4537"/>
      <c r="AC256" s="4537"/>
      <c r="AD256" s="4537"/>
      <c r="AE256" s="4537"/>
      <c r="AF256" s="4537"/>
      <c r="AG256" s="4537"/>
      <c r="AH256" s="4537"/>
      <c r="AI256" s="4537"/>
      <c r="AJ256" s="4537"/>
      <c r="AK256" s="4537"/>
      <c r="AL256" s="4537"/>
      <c r="AM256" s="4537"/>
      <c r="AN256" s="4537"/>
      <c r="AO256" s="4537"/>
      <c r="AP256" s="4537"/>
      <c r="AQ256" s="4537"/>
      <c r="AR256" s="4537"/>
      <c r="AS256" s="4550"/>
      <c r="AT256" s="4550"/>
      <c r="AU256" s="4550"/>
      <c r="AV256" s="4550"/>
      <c r="AW256" s="4550"/>
      <c r="AX256" s="4550"/>
      <c r="AY256" s="4550"/>
      <c r="AZ256" s="4550"/>
      <c r="BA256" s="4550"/>
      <c r="BB256" s="4550"/>
      <c r="BC256" s="4550"/>
      <c r="BD256" s="4550"/>
      <c r="BE256" s="4550"/>
      <c r="BF256" s="4550"/>
      <c r="BG256" s="4550"/>
      <c r="BH256" s="4550"/>
      <c r="BI256" s="4550"/>
      <c r="BJ256" s="4550"/>
      <c r="BK256" s="4550"/>
      <c r="BL256" s="4550"/>
      <c r="BM256" s="4550"/>
      <c r="BN256" s="4550"/>
      <c r="BO256" s="4550"/>
      <c r="BP256" s="4550"/>
      <c r="BQ256" s="4550"/>
      <c r="BR256" s="4550"/>
      <c r="BS256" s="4550"/>
      <c r="BT256" s="4550"/>
      <c r="BU256" s="4550"/>
      <c r="BV256" s="4550"/>
      <c r="BW256" s="4550"/>
      <c r="BX256" s="4550"/>
      <c r="BY256" s="4550"/>
      <c r="BZ256" s="4550"/>
      <c r="CA256" s="4550"/>
      <c r="CB256" s="4550"/>
      <c r="CC256" s="4550"/>
      <c r="CD256" s="4550"/>
      <c r="CE256" s="4550"/>
      <c r="CF256" s="4550"/>
      <c r="CG256" s="4550"/>
      <c r="CH256" s="4550"/>
      <c r="CI256" s="4550"/>
      <c r="CJ256" s="4550"/>
      <c r="CK256" s="4550"/>
      <c r="CL256" s="4550"/>
      <c r="CM256" s="4550"/>
      <c r="CN256" s="4550"/>
      <c r="CO256" s="4550"/>
      <c r="CP256" s="4550"/>
      <c r="CQ256" s="4550"/>
      <c r="CR256" s="4550"/>
      <c r="CS256" s="4550"/>
      <c r="CT256" s="4550"/>
      <c r="CU256" s="4550"/>
      <c r="CV256" s="4550"/>
      <c r="CW256" s="4550"/>
      <c r="CX256" s="4550"/>
      <c r="CY256" s="4550"/>
      <c r="CZ256" s="4550"/>
      <c r="DA256" s="4550"/>
      <c r="DB256" s="4550"/>
      <c r="DC256" s="4550"/>
      <c r="DD256" s="4550"/>
      <c r="DE256" s="4550"/>
      <c r="DF256" s="4550"/>
      <c r="DG256" s="4550"/>
      <c r="DH256" s="4550"/>
      <c r="DI256" s="4550"/>
      <c r="DJ256" s="4550"/>
      <c r="DK256" s="4550"/>
      <c r="DL256" s="4550"/>
      <c r="DM256" s="4550"/>
      <c r="DN256" s="4550"/>
      <c r="DO256" s="4550"/>
      <c r="DP256" s="4550"/>
      <c r="DQ256" s="4550"/>
      <c r="DR256" s="4550"/>
      <c r="DS256" s="4550"/>
      <c r="DT256" s="4550"/>
      <c r="DU256" s="4550"/>
      <c r="DV256" s="4550"/>
      <c r="DW256" s="4550"/>
      <c r="DX256" s="4550"/>
      <c r="DY256" s="4550"/>
      <c r="DZ256" s="4550"/>
      <c r="EA256" s="4550"/>
      <c r="EB256" s="4550"/>
      <c r="EC256" s="4550"/>
      <c r="ED256" s="4550"/>
      <c r="EE256" s="4550"/>
      <c r="EF256" s="4550"/>
      <c r="EG256" s="4550"/>
      <c r="EH256" s="4550"/>
      <c r="EI256" s="4550"/>
      <c r="EJ256" s="4550"/>
      <c r="EK256" s="4550"/>
      <c r="EL256" s="4550"/>
      <c r="EM256" s="4550"/>
      <c r="EN256" s="4550"/>
      <c r="EO256" s="4550"/>
      <c r="EP256" s="4550"/>
      <c r="EQ256" s="4550"/>
      <c r="ER256" s="4550"/>
      <c r="ES256" s="4550"/>
      <c r="ET256" s="4550"/>
      <c r="EU256" s="4550"/>
      <c r="EV256" s="4550"/>
      <c r="EW256" s="4550"/>
      <c r="EX256" s="4550"/>
      <c r="EY256" s="4550"/>
      <c r="EZ256" s="4550"/>
      <c r="FA256" s="4550"/>
      <c r="FB256" s="4550"/>
      <c r="FC256" s="4550"/>
      <c r="FD256" s="4550"/>
      <c r="FE256" s="4550"/>
      <c r="FF256" s="4550"/>
      <c r="FG256" s="4550"/>
      <c r="FH256" s="4550"/>
      <c r="FI256" s="4550"/>
      <c r="FJ256" s="4550"/>
      <c r="FK256" s="4550"/>
      <c r="FL256" s="4550"/>
      <c r="FM256" s="4550"/>
      <c r="FN256" s="4550"/>
      <c r="FO256" s="4550"/>
      <c r="FP256" s="4550"/>
      <c r="FQ256" s="4550"/>
      <c r="FR256" s="4550"/>
      <c r="FS256" s="4550"/>
      <c r="FT256" s="4550"/>
      <c r="FU256" s="4550"/>
      <c r="FV256" s="4550"/>
      <c r="FW256" s="4550"/>
      <c r="FX256" s="4550"/>
      <c r="FY256" s="4550"/>
      <c r="FZ256" s="4550"/>
      <c r="GA256" s="4550"/>
      <c r="GB256" s="4550"/>
      <c r="GC256" s="4550"/>
      <c r="GD256" s="4550"/>
      <c r="GE256" s="4550"/>
      <c r="GF256" s="4550"/>
      <c r="GG256" s="4550"/>
      <c r="GH256" s="4550"/>
      <c r="GI256" s="4550"/>
      <c r="GJ256" s="4550"/>
      <c r="GK256" s="4550"/>
      <c r="GL256" s="4550"/>
      <c r="GM256" s="4550"/>
      <c r="GN256" s="4550"/>
      <c r="GO256" s="4550"/>
      <c r="GP256" s="4550"/>
      <c r="GQ256" s="4550"/>
      <c r="GR256" s="4550"/>
      <c r="GS256" s="4550"/>
      <c r="GT256" s="4550"/>
      <c r="GU256" s="4550"/>
      <c r="GV256" s="4550"/>
      <c r="GW256" s="4550"/>
      <c r="GX256" s="4550"/>
      <c r="GY256" s="4550"/>
      <c r="GZ256" s="4550"/>
      <c r="HA256" s="4550"/>
      <c r="HB256" s="4550"/>
      <c r="HC256" s="4550"/>
      <c r="HD256" s="4550"/>
      <c r="HE256" s="4550"/>
      <c r="HF256" s="4550"/>
      <c r="HG256" s="4550"/>
      <c r="HH256" s="4550"/>
      <c r="HI256" s="4550"/>
      <c r="HJ256" s="4550"/>
      <c r="HK256" s="4550"/>
      <c r="HL256" s="4550"/>
      <c r="HM256" s="4550"/>
      <c r="HN256" s="4550"/>
      <c r="HO256" s="4550"/>
      <c r="HP256" s="4550"/>
      <c r="HQ256" s="4550"/>
      <c r="HR256" s="4550"/>
      <c r="HS256" s="4550"/>
      <c r="HT256" s="4550"/>
      <c r="HU256" s="4550"/>
      <c r="HV256" s="4550"/>
      <c r="HW256" s="4550"/>
      <c r="HX256" s="4550"/>
      <c r="HY256" s="4550"/>
      <c r="HZ256" s="4550"/>
      <c r="IA256" s="4550"/>
      <c r="IB256" s="4550"/>
      <c r="IC256" s="4550"/>
      <c r="ID256" s="4550"/>
      <c r="IE256" s="4550"/>
    </row>
    <row r="257" spans="1:239" s="4549" customFormat="1" ht="28.5">
      <c r="A257" s="4654" t="s">
        <v>498</v>
      </c>
      <c r="B257" s="4635" t="s">
        <v>4174</v>
      </c>
      <c r="C257" s="4677">
        <v>2</v>
      </c>
      <c r="D257" s="4596" t="s">
        <v>2433</v>
      </c>
      <c r="E257" s="4318"/>
      <c r="F257" s="5000">
        <f t="shared" si="9"/>
        <v>0</v>
      </c>
      <c r="G257" s="4537"/>
      <c r="H257" s="4537"/>
      <c r="I257" s="4537"/>
      <c r="J257" s="4537"/>
      <c r="K257" s="4537"/>
      <c r="L257" s="4537"/>
      <c r="M257" s="4537"/>
      <c r="N257" s="4537"/>
      <c r="O257" s="4537"/>
      <c r="P257" s="4537"/>
      <c r="Q257" s="4537"/>
      <c r="R257" s="4537"/>
      <c r="S257" s="4537"/>
      <c r="T257" s="4537"/>
      <c r="U257" s="4537"/>
      <c r="V257" s="4537"/>
      <c r="W257" s="4537"/>
      <c r="X257" s="4537"/>
      <c r="Y257" s="4537"/>
      <c r="Z257" s="4537"/>
      <c r="AA257" s="4537"/>
      <c r="AB257" s="4537"/>
      <c r="AC257" s="4537"/>
      <c r="AD257" s="4537"/>
      <c r="AE257" s="4537"/>
      <c r="AF257" s="4537"/>
      <c r="AG257" s="4537"/>
      <c r="AH257" s="4537"/>
      <c r="AI257" s="4537"/>
      <c r="AJ257" s="4537"/>
      <c r="AK257" s="4537"/>
      <c r="AL257" s="4537"/>
      <c r="AM257" s="4537"/>
      <c r="AN257" s="4537"/>
      <c r="AO257" s="4537"/>
      <c r="AP257" s="4537"/>
      <c r="AQ257" s="4537"/>
      <c r="AR257" s="4537"/>
      <c r="AS257" s="4550"/>
      <c r="AT257" s="4550"/>
      <c r="AU257" s="4550"/>
      <c r="AV257" s="4550"/>
      <c r="AW257" s="4550"/>
      <c r="AX257" s="4550"/>
      <c r="AY257" s="4550"/>
      <c r="AZ257" s="4550"/>
      <c r="BA257" s="4550"/>
      <c r="BB257" s="4550"/>
      <c r="BC257" s="4550"/>
      <c r="BD257" s="4550"/>
      <c r="BE257" s="4550"/>
      <c r="BF257" s="4550"/>
      <c r="BG257" s="4550"/>
      <c r="BH257" s="4550"/>
      <c r="BI257" s="4550"/>
      <c r="BJ257" s="4550"/>
      <c r="BK257" s="4550"/>
      <c r="BL257" s="4550"/>
      <c r="BM257" s="4550"/>
      <c r="BN257" s="4550"/>
      <c r="BO257" s="4550"/>
      <c r="BP257" s="4550"/>
      <c r="BQ257" s="4550"/>
      <c r="BR257" s="4550"/>
      <c r="BS257" s="4550"/>
      <c r="BT257" s="4550"/>
      <c r="BU257" s="4550"/>
      <c r="BV257" s="4550"/>
      <c r="BW257" s="4550"/>
      <c r="BX257" s="4550"/>
      <c r="BY257" s="4550"/>
      <c r="BZ257" s="4550"/>
      <c r="CA257" s="4550"/>
      <c r="CB257" s="4550"/>
      <c r="CC257" s="4550"/>
      <c r="CD257" s="4550"/>
      <c r="CE257" s="4550"/>
      <c r="CF257" s="4550"/>
      <c r="CG257" s="4550"/>
      <c r="CH257" s="4550"/>
      <c r="CI257" s="4550"/>
      <c r="CJ257" s="4550"/>
      <c r="CK257" s="4550"/>
      <c r="CL257" s="4550"/>
      <c r="CM257" s="4550"/>
      <c r="CN257" s="4550"/>
      <c r="CO257" s="4550"/>
      <c r="CP257" s="4550"/>
      <c r="CQ257" s="4550"/>
      <c r="CR257" s="4550"/>
      <c r="CS257" s="4550"/>
      <c r="CT257" s="4550"/>
      <c r="CU257" s="4550"/>
      <c r="CV257" s="4550"/>
      <c r="CW257" s="4550"/>
      <c r="CX257" s="4550"/>
      <c r="CY257" s="4550"/>
      <c r="CZ257" s="4550"/>
      <c r="DA257" s="4550"/>
      <c r="DB257" s="4550"/>
      <c r="DC257" s="4550"/>
      <c r="DD257" s="4550"/>
      <c r="DE257" s="4550"/>
      <c r="DF257" s="4550"/>
      <c r="DG257" s="4550"/>
      <c r="DH257" s="4550"/>
      <c r="DI257" s="4550"/>
      <c r="DJ257" s="4550"/>
      <c r="DK257" s="4550"/>
      <c r="DL257" s="4550"/>
      <c r="DM257" s="4550"/>
      <c r="DN257" s="4550"/>
      <c r="DO257" s="4550"/>
      <c r="DP257" s="4550"/>
      <c r="DQ257" s="4550"/>
      <c r="DR257" s="4550"/>
      <c r="DS257" s="4550"/>
      <c r="DT257" s="4550"/>
      <c r="DU257" s="4550"/>
      <c r="DV257" s="4550"/>
      <c r="DW257" s="4550"/>
      <c r="DX257" s="4550"/>
      <c r="DY257" s="4550"/>
      <c r="DZ257" s="4550"/>
      <c r="EA257" s="4550"/>
      <c r="EB257" s="4550"/>
      <c r="EC257" s="4550"/>
      <c r="ED257" s="4550"/>
      <c r="EE257" s="4550"/>
      <c r="EF257" s="4550"/>
      <c r="EG257" s="4550"/>
      <c r="EH257" s="4550"/>
      <c r="EI257" s="4550"/>
      <c r="EJ257" s="4550"/>
      <c r="EK257" s="4550"/>
      <c r="EL257" s="4550"/>
      <c r="EM257" s="4550"/>
      <c r="EN257" s="4550"/>
      <c r="EO257" s="4550"/>
      <c r="EP257" s="4550"/>
      <c r="EQ257" s="4550"/>
      <c r="ER257" s="4550"/>
      <c r="ES257" s="4550"/>
      <c r="ET257" s="4550"/>
      <c r="EU257" s="4550"/>
      <c r="EV257" s="4550"/>
      <c r="EW257" s="4550"/>
      <c r="EX257" s="4550"/>
      <c r="EY257" s="4550"/>
      <c r="EZ257" s="4550"/>
      <c r="FA257" s="4550"/>
      <c r="FB257" s="4550"/>
      <c r="FC257" s="4550"/>
      <c r="FD257" s="4550"/>
      <c r="FE257" s="4550"/>
      <c r="FF257" s="4550"/>
      <c r="FG257" s="4550"/>
      <c r="FH257" s="4550"/>
      <c r="FI257" s="4550"/>
      <c r="FJ257" s="4550"/>
      <c r="FK257" s="4550"/>
      <c r="FL257" s="4550"/>
      <c r="FM257" s="4550"/>
      <c r="FN257" s="4550"/>
      <c r="FO257" s="4550"/>
      <c r="FP257" s="4550"/>
      <c r="FQ257" s="4550"/>
      <c r="FR257" s="4550"/>
      <c r="FS257" s="4550"/>
      <c r="FT257" s="4550"/>
      <c r="FU257" s="4550"/>
      <c r="FV257" s="4550"/>
      <c r="FW257" s="4550"/>
      <c r="FX257" s="4550"/>
      <c r="FY257" s="4550"/>
      <c r="FZ257" s="4550"/>
      <c r="GA257" s="4550"/>
      <c r="GB257" s="4550"/>
      <c r="GC257" s="4550"/>
      <c r="GD257" s="4550"/>
      <c r="GE257" s="4550"/>
      <c r="GF257" s="4550"/>
      <c r="GG257" s="4550"/>
      <c r="GH257" s="4550"/>
      <c r="GI257" s="4550"/>
      <c r="GJ257" s="4550"/>
      <c r="GK257" s="4550"/>
      <c r="GL257" s="4550"/>
      <c r="GM257" s="4550"/>
      <c r="GN257" s="4550"/>
      <c r="GO257" s="4550"/>
      <c r="GP257" s="4550"/>
      <c r="GQ257" s="4550"/>
      <c r="GR257" s="4550"/>
      <c r="GS257" s="4550"/>
      <c r="GT257" s="4550"/>
      <c r="GU257" s="4550"/>
      <c r="GV257" s="4550"/>
      <c r="GW257" s="4550"/>
      <c r="GX257" s="4550"/>
      <c r="GY257" s="4550"/>
      <c r="GZ257" s="4550"/>
      <c r="HA257" s="4550"/>
      <c r="HB257" s="4550"/>
      <c r="HC257" s="4550"/>
      <c r="HD257" s="4550"/>
      <c r="HE257" s="4550"/>
      <c r="HF257" s="4550"/>
      <c r="HG257" s="4550"/>
      <c r="HH257" s="4550"/>
      <c r="HI257" s="4550"/>
      <c r="HJ257" s="4550"/>
      <c r="HK257" s="4550"/>
      <c r="HL257" s="4550"/>
      <c r="HM257" s="4550"/>
      <c r="HN257" s="4550"/>
      <c r="HO257" s="4550"/>
      <c r="HP257" s="4550"/>
      <c r="HQ257" s="4550"/>
      <c r="HR257" s="4550"/>
      <c r="HS257" s="4550"/>
      <c r="HT257" s="4550"/>
      <c r="HU257" s="4550"/>
      <c r="HV257" s="4550"/>
      <c r="HW257" s="4550"/>
      <c r="HX257" s="4550"/>
      <c r="HY257" s="4550"/>
      <c r="HZ257" s="4550"/>
      <c r="IA257" s="4550"/>
      <c r="IB257" s="4550"/>
      <c r="IC257" s="4550"/>
      <c r="ID257" s="4550"/>
      <c r="IE257" s="4550"/>
    </row>
    <row r="258" spans="1:239" s="4549" customFormat="1" ht="15">
      <c r="A258" s="4167"/>
      <c r="B258" s="4734"/>
      <c r="C258" s="4677"/>
      <c r="D258" s="4593"/>
      <c r="E258" s="4318"/>
      <c r="F258" s="5000"/>
      <c r="G258" s="4537"/>
      <c r="H258" s="4537"/>
      <c r="I258" s="4537"/>
      <c r="J258" s="4537"/>
      <c r="K258" s="4537"/>
      <c r="L258" s="4537"/>
      <c r="M258" s="4537"/>
      <c r="N258" s="4537"/>
      <c r="O258" s="4537"/>
      <c r="P258" s="4537"/>
      <c r="Q258" s="4537"/>
      <c r="R258" s="4537"/>
      <c r="S258" s="4537"/>
      <c r="T258" s="4537"/>
      <c r="U258" s="4537"/>
      <c r="V258" s="4537"/>
      <c r="W258" s="4537"/>
      <c r="X258" s="4537"/>
      <c r="Y258" s="4537"/>
      <c r="Z258" s="4537"/>
      <c r="AA258" s="4537"/>
      <c r="AB258" s="4537"/>
      <c r="AC258" s="4537"/>
      <c r="AD258" s="4537"/>
      <c r="AE258" s="4537"/>
      <c r="AF258" s="4537"/>
      <c r="AG258" s="4537"/>
      <c r="AH258" s="4537"/>
      <c r="AI258" s="4537"/>
      <c r="AJ258" s="4537"/>
      <c r="AK258" s="4537"/>
      <c r="AL258" s="4537"/>
      <c r="AM258" s="4537"/>
      <c r="AN258" s="4537"/>
      <c r="AO258" s="4537"/>
      <c r="AP258" s="4537"/>
      <c r="AQ258" s="4537"/>
      <c r="AR258" s="4537"/>
      <c r="AS258" s="4550"/>
      <c r="AT258" s="4550"/>
      <c r="AU258" s="4550"/>
      <c r="AV258" s="4550"/>
      <c r="AW258" s="4550"/>
      <c r="AX258" s="4550"/>
      <c r="AY258" s="4550"/>
      <c r="AZ258" s="4550"/>
      <c r="BA258" s="4550"/>
      <c r="BB258" s="4550"/>
      <c r="BC258" s="4550"/>
      <c r="BD258" s="4550"/>
      <c r="BE258" s="4550"/>
      <c r="BF258" s="4550"/>
      <c r="BG258" s="4550"/>
      <c r="BH258" s="4550"/>
      <c r="BI258" s="4550"/>
      <c r="BJ258" s="4550"/>
      <c r="BK258" s="4550"/>
      <c r="BL258" s="4550"/>
      <c r="BM258" s="4550"/>
      <c r="BN258" s="4550"/>
      <c r="BO258" s="4550"/>
      <c r="BP258" s="4550"/>
      <c r="BQ258" s="4550"/>
      <c r="BR258" s="4550"/>
      <c r="BS258" s="4550"/>
      <c r="BT258" s="4550"/>
      <c r="BU258" s="4550"/>
      <c r="BV258" s="4550"/>
      <c r="BW258" s="4550"/>
      <c r="BX258" s="4550"/>
      <c r="BY258" s="4550"/>
      <c r="BZ258" s="4550"/>
      <c r="CA258" s="4550"/>
      <c r="CB258" s="4550"/>
      <c r="CC258" s="4550"/>
      <c r="CD258" s="4550"/>
      <c r="CE258" s="4550"/>
      <c r="CF258" s="4550"/>
      <c r="CG258" s="4550"/>
      <c r="CH258" s="4550"/>
      <c r="CI258" s="4550"/>
      <c r="CJ258" s="4550"/>
      <c r="CK258" s="4550"/>
      <c r="CL258" s="4550"/>
      <c r="CM258" s="4550"/>
      <c r="CN258" s="4550"/>
      <c r="CO258" s="4550"/>
      <c r="CP258" s="4550"/>
      <c r="CQ258" s="4550"/>
      <c r="CR258" s="4550"/>
      <c r="CS258" s="4550"/>
      <c r="CT258" s="4550"/>
      <c r="CU258" s="4550"/>
      <c r="CV258" s="4550"/>
      <c r="CW258" s="4550"/>
      <c r="CX258" s="4550"/>
      <c r="CY258" s="4550"/>
      <c r="CZ258" s="4550"/>
      <c r="DA258" s="4550"/>
      <c r="DB258" s="4550"/>
      <c r="DC258" s="4550"/>
      <c r="DD258" s="4550"/>
      <c r="DE258" s="4550"/>
      <c r="DF258" s="4550"/>
      <c r="DG258" s="4550"/>
      <c r="DH258" s="4550"/>
      <c r="DI258" s="4550"/>
      <c r="DJ258" s="4550"/>
      <c r="DK258" s="4550"/>
      <c r="DL258" s="4550"/>
      <c r="DM258" s="4550"/>
      <c r="DN258" s="4550"/>
      <c r="DO258" s="4550"/>
      <c r="DP258" s="4550"/>
      <c r="DQ258" s="4550"/>
      <c r="DR258" s="4550"/>
      <c r="DS258" s="4550"/>
      <c r="DT258" s="4550"/>
      <c r="DU258" s="4550"/>
      <c r="DV258" s="4550"/>
      <c r="DW258" s="4550"/>
      <c r="DX258" s="4550"/>
      <c r="DY258" s="4550"/>
      <c r="DZ258" s="4550"/>
      <c r="EA258" s="4550"/>
      <c r="EB258" s="4550"/>
      <c r="EC258" s="4550"/>
      <c r="ED258" s="4550"/>
      <c r="EE258" s="4550"/>
      <c r="EF258" s="4550"/>
      <c r="EG258" s="4550"/>
      <c r="EH258" s="4550"/>
      <c r="EI258" s="4550"/>
      <c r="EJ258" s="4550"/>
      <c r="EK258" s="4550"/>
      <c r="EL258" s="4550"/>
      <c r="EM258" s="4550"/>
      <c r="EN258" s="4550"/>
      <c r="EO258" s="4550"/>
      <c r="EP258" s="4550"/>
      <c r="EQ258" s="4550"/>
      <c r="ER258" s="4550"/>
      <c r="ES258" s="4550"/>
      <c r="ET258" s="4550"/>
      <c r="EU258" s="4550"/>
      <c r="EV258" s="4550"/>
      <c r="EW258" s="4550"/>
      <c r="EX258" s="4550"/>
      <c r="EY258" s="4550"/>
      <c r="EZ258" s="4550"/>
      <c r="FA258" s="4550"/>
      <c r="FB258" s="4550"/>
      <c r="FC258" s="4550"/>
      <c r="FD258" s="4550"/>
      <c r="FE258" s="4550"/>
      <c r="FF258" s="4550"/>
      <c r="FG258" s="4550"/>
      <c r="FH258" s="4550"/>
      <c r="FI258" s="4550"/>
      <c r="FJ258" s="4550"/>
      <c r="FK258" s="4550"/>
      <c r="FL258" s="4550"/>
      <c r="FM258" s="4550"/>
      <c r="FN258" s="4550"/>
      <c r="FO258" s="4550"/>
      <c r="FP258" s="4550"/>
      <c r="FQ258" s="4550"/>
      <c r="FR258" s="4550"/>
      <c r="FS258" s="4550"/>
      <c r="FT258" s="4550"/>
      <c r="FU258" s="4550"/>
      <c r="FV258" s="4550"/>
      <c r="FW258" s="4550"/>
      <c r="FX258" s="4550"/>
      <c r="FY258" s="4550"/>
      <c r="FZ258" s="4550"/>
      <c r="GA258" s="4550"/>
      <c r="GB258" s="4550"/>
      <c r="GC258" s="4550"/>
      <c r="GD258" s="4550"/>
      <c r="GE258" s="4550"/>
      <c r="GF258" s="4550"/>
      <c r="GG258" s="4550"/>
      <c r="GH258" s="4550"/>
      <c r="GI258" s="4550"/>
      <c r="GJ258" s="4550"/>
      <c r="GK258" s="4550"/>
      <c r="GL258" s="4550"/>
      <c r="GM258" s="4550"/>
      <c r="GN258" s="4550"/>
      <c r="GO258" s="4550"/>
      <c r="GP258" s="4550"/>
      <c r="GQ258" s="4550"/>
      <c r="GR258" s="4550"/>
      <c r="GS258" s="4550"/>
      <c r="GT258" s="4550"/>
      <c r="GU258" s="4550"/>
      <c r="GV258" s="4550"/>
      <c r="GW258" s="4550"/>
      <c r="GX258" s="4550"/>
      <c r="GY258" s="4550"/>
      <c r="GZ258" s="4550"/>
      <c r="HA258" s="4550"/>
      <c r="HB258" s="4550"/>
      <c r="HC258" s="4550"/>
      <c r="HD258" s="4550"/>
      <c r="HE258" s="4550"/>
      <c r="HF258" s="4550"/>
      <c r="HG258" s="4550"/>
      <c r="HH258" s="4550"/>
      <c r="HI258" s="4550"/>
      <c r="HJ258" s="4550"/>
      <c r="HK258" s="4550"/>
      <c r="HL258" s="4550"/>
      <c r="HM258" s="4550"/>
      <c r="HN258" s="4550"/>
      <c r="HO258" s="4550"/>
      <c r="HP258" s="4550"/>
      <c r="HQ258" s="4550"/>
      <c r="HR258" s="4550"/>
      <c r="HS258" s="4550"/>
      <c r="HT258" s="4550"/>
      <c r="HU258" s="4550"/>
      <c r="HV258" s="4550"/>
      <c r="HW258" s="4550"/>
      <c r="HX258" s="4550"/>
      <c r="HY258" s="4550"/>
      <c r="HZ258" s="4550"/>
      <c r="IA258" s="4550"/>
      <c r="IB258" s="4550"/>
      <c r="IC258" s="4550"/>
      <c r="ID258" s="4550"/>
      <c r="IE258" s="4550"/>
    </row>
    <row r="259" spans="1:239" s="4549" customFormat="1" ht="15">
      <c r="A259" s="4168">
        <v>8.1999999999999993</v>
      </c>
      <c r="B259" s="4637" t="s">
        <v>4175</v>
      </c>
      <c r="C259" s="4167"/>
      <c r="D259" s="4593"/>
      <c r="E259" s="4318"/>
      <c r="F259" s="5000"/>
      <c r="G259" s="4537"/>
      <c r="H259" s="4537"/>
      <c r="I259" s="4537"/>
      <c r="J259" s="4537"/>
      <c r="K259" s="4537"/>
      <c r="L259" s="4537"/>
      <c r="M259" s="4537"/>
      <c r="N259" s="4537"/>
      <c r="O259" s="4537"/>
      <c r="P259" s="4537"/>
      <c r="Q259" s="4537"/>
      <c r="R259" s="4537"/>
      <c r="S259" s="4537"/>
      <c r="T259" s="4537"/>
      <c r="U259" s="4537"/>
      <c r="V259" s="4537"/>
      <c r="W259" s="4537"/>
      <c r="X259" s="4537"/>
      <c r="Y259" s="4537"/>
      <c r="Z259" s="4537"/>
      <c r="AA259" s="4537"/>
      <c r="AB259" s="4537"/>
      <c r="AC259" s="4537"/>
      <c r="AD259" s="4537"/>
      <c r="AE259" s="4537"/>
      <c r="AF259" s="4537"/>
      <c r="AG259" s="4537"/>
      <c r="AH259" s="4537"/>
      <c r="AI259" s="4537"/>
      <c r="AJ259" s="4537"/>
      <c r="AK259" s="4537"/>
      <c r="AL259" s="4537"/>
      <c r="AM259" s="4537"/>
      <c r="AN259" s="4537"/>
      <c r="AO259" s="4537"/>
      <c r="AP259" s="4537"/>
      <c r="AQ259" s="4537"/>
      <c r="AR259" s="4537"/>
      <c r="AS259" s="4550"/>
      <c r="AT259" s="4550"/>
      <c r="AU259" s="4550"/>
      <c r="AV259" s="4550"/>
      <c r="AW259" s="4550"/>
      <c r="AX259" s="4550"/>
      <c r="AY259" s="4550"/>
      <c r="AZ259" s="4550"/>
      <c r="BA259" s="4550"/>
      <c r="BB259" s="4550"/>
      <c r="BC259" s="4550"/>
      <c r="BD259" s="4550"/>
      <c r="BE259" s="4550"/>
      <c r="BF259" s="4550"/>
      <c r="BG259" s="4550"/>
      <c r="BH259" s="4550"/>
      <c r="BI259" s="4550"/>
      <c r="BJ259" s="4550"/>
      <c r="BK259" s="4550"/>
      <c r="BL259" s="4550"/>
      <c r="BM259" s="4550"/>
      <c r="BN259" s="4550"/>
      <c r="BO259" s="4550"/>
      <c r="BP259" s="4550"/>
      <c r="BQ259" s="4550"/>
      <c r="BR259" s="4550"/>
      <c r="BS259" s="4550"/>
      <c r="BT259" s="4550"/>
      <c r="BU259" s="4550"/>
      <c r="BV259" s="4550"/>
      <c r="BW259" s="4550"/>
      <c r="BX259" s="4550"/>
      <c r="BY259" s="4550"/>
      <c r="BZ259" s="4550"/>
      <c r="CA259" s="4550"/>
      <c r="CB259" s="4550"/>
      <c r="CC259" s="4550"/>
      <c r="CD259" s="4550"/>
      <c r="CE259" s="4550"/>
      <c r="CF259" s="4550"/>
      <c r="CG259" s="4550"/>
      <c r="CH259" s="4550"/>
      <c r="CI259" s="4550"/>
      <c r="CJ259" s="4550"/>
      <c r="CK259" s="4550"/>
      <c r="CL259" s="4550"/>
      <c r="CM259" s="4550"/>
      <c r="CN259" s="4550"/>
      <c r="CO259" s="4550"/>
      <c r="CP259" s="4550"/>
      <c r="CQ259" s="4550"/>
      <c r="CR259" s="4550"/>
      <c r="CS259" s="4550"/>
      <c r="CT259" s="4550"/>
      <c r="CU259" s="4550"/>
      <c r="CV259" s="4550"/>
      <c r="CW259" s="4550"/>
      <c r="CX259" s="4550"/>
      <c r="CY259" s="4550"/>
      <c r="CZ259" s="4550"/>
      <c r="DA259" s="4550"/>
      <c r="DB259" s="4550"/>
      <c r="DC259" s="4550"/>
      <c r="DD259" s="4550"/>
      <c r="DE259" s="4550"/>
      <c r="DF259" s="4550"/>
      <c r="DG259" s="4550"/>
      <c r="DH259" s="4550"/>
      <c r="DI259" s="4550"/>
      <c r="DJ259" s="4550"/>
      <c r="DK259" s="4550"/>
      <c r="DL259" s="4550"/>
      <c r="DM259" s="4550"/>
      <c r="DN259" s="4550"/>
      <c r="DO259" s="4550"/>
      <c r="DP259" s="4550"/>
      <c r="DQ259" s="4550"/>
      <c r="DR259" s="4550"/>
      <c r="DS259" s="4550"/>
      <c r="DT259" s="4550"/>
      <c r="DU259" s="4550"/>
      <c r="DV259" s="4550"/>
      <c r="DW259" s="4550"/>
      <c r="DX259" s="4550"/>
      <c r="DY259" s="4550"/>
      <c r="DZ259" s="4550"/>
      <c r="EA259" s="4550"/>
      <c r="EB259" s="4550"/>
      <c r="EC259" s="4550"/>
      <c r="ED259" s="4550"/>
      <c r="EE259" s="4550"/>
      <c r="EF259" s="4550"/>
      <c r="EG259" s="4550"/>
      <c r="EH259" s="4550"/>
      <c r="EI259" s="4550"/>
      <c r="EJ259" s="4550"/>
      <c r="EK259" s="4550"/>
      <c r="EL259" s="4550"/>
      <c r="EM259" s="4550"/>
      <c r="EN259" s="4550"/>
      <c r="EO259" s="4550"/>
      <c r="EP259" s="4550"/>
      <c r="EQ259" s="4550"/>
      <c r="ER259" s="4550"/>
      <c r="ES259" s="4550"/>
      <c r="ET259" s="4550"/>
      <c r="EU259" s="4550"/>
      <c r="EV259" s="4550"/>
      <c r="EW259" s="4550"/>
      <c r="EX259" s="4550"/>
      <c r="EY259" s="4550"/>
      <c r="EZ259" s="4550"/>
      <c r="FA259" s="4550"/>
      <c r="FB259" s="4550"/>
      <c r="FC259" s="4550"/>
      <c r="FD259" s="4550"/>
      <c r="FE259" s="4550"/>
      <c r="FF259" s="4550"/>
      <c r="FG259" s="4550"/>
      <c r="FH259" s="4550"/>
      <c r="FI259" s="4550"/>
      <c r="FJ259" s="4550"/>
      <c r="FK259" s="4550"/>
      <c r="FL259" s="4550"/>
      <c r="FM259" s="4550"/>
      <c r="FN259" s="4550"/>
      <c r="FO259" s="4550"/>
      <c r="FP259" s="4550"/>
      <c r="FQ259" s="4550"/>
      <c r="FR259" s="4550"/>
      <c r="FS259" s="4550"/>
      <c r="FT259" s="4550"/>
      <c r="FU259" s="4550"/>
      <c r="FV259" s="4550"/>
      <c r="FW259" s="4550"/>
      <c r="FX259" s="4550"/>
      <c r="FY259" s="4550"/>
      <c r="FZ259" s="4550"/>
      <c r="GA259" s="4550"/>
      <c r="GB259" s="4550"/>
      <c r="GC259" s="4550"/>
      <c r="GD259" s="4550"/>
      <c r="GE259" s="4550"/>
      <c r="GF259" s="4550"/>
      <c r="GG259" s="4550"/>
      <c r="GH259" s="4550"/>
      <c r="GI259" s="4550"/>
      <c r="GJ259" s="4550"/>
      <c r="GK259" s="4550"/>
      <c r="GL259" s="4550"/>
      <c r="GM259" s="4550"/>
      <c r="GN259" s="4550"/>
      <c r="GO259" s="4550"/>
      <c r="GP259" s="4550"/>
      <c r="GQ259" s="4550"/>
      <c r="GR259" s="4550"/>
      <c r="GS259" s="4550"/>
      <c r="GT259" s="4550"/>
      <c r="GU259" s="4550"/>
      <c r="GV259" s="4550"/>
      <c r="GW259" s="4550"/>
      <c r="GX259" s="4550"/>
      <c r="GY259" s="4550"/>
      <c r="GZ259" s="4550"/>
      <c r="HA259" s="4550"/>
      <c r="HB259" s="4550"/>
      <c r="HC259" s="4550"/>
      <c r="HD259" s="4550"/>
      <c r="HE259" s="4550"/>
      <c r="HF259" s="4550"/>
      <c r="HG259" s="4550"/>
      <c r="HH259" s="4550"/>
      <c r="HI259" s="4550"/>
      <c r="HJ259" s="4550"/>
      <c r="HK259" s="4550"/>
      <c r="HL259" s="4550"/>
      <c r="HM259" s="4550"/>
      <c r="HN259" s="4550"/>
      <c r="HO259" s="4550"/>
      <c r="HP259" s="4550"/>
      <c r="HQ259" s="4550"/>
      <c r="HR259" s="4550"/>
      <c r="HS259" s="4550"/>
      <c r="HT259" s="4550"/>
      <c r="HU259" s="4550"/>
      <c r="HV259" s="4550"/>
      <c r="HW259" s="4550"/>
      <c r="HX259" s="4550"/>
      <c r="HY259" s="4550"/>
      <c r="HZ259" s="4550"/>
      <c r="IA259" s="4550"/>
      <c r="IB259" s="4550"/>
      <c r="IC259" s="4550"/>
      <c r="ID259" s="4550"/>
      <c r="IE259" s="4550"/>
    </row>
    <row r="260" spans="1:239" s="4549" customFormat="1" ht="15">
      <c r="A260" s="4654" t="s">
        <v>506</v>
      </c>
      <c r="B260" s="4635" t="s">
        <v>2353</v>
      </c>
      <c r="C260" s="4677">
        <v>7</v>
      </c>
      <c r="D260" s="4593" t="s">
        <v>1</v>
      </c>
      <c r="E260" s="4318"/>
      <c r="F260" s="5000">
        <f t="shared" ref="F260:F266" si="10">ROUND((C260*E260),2)</f>
        <v>0</v>
      </c>
      <c r="G260" s="4537"/>
      <c r="H260" s="4537"/>
      <c r="I260" s="4537"/>
      <c r="J260" s="4537"/>
      <c r="K260" s="4537"/>
      <c r="L260" s="4537"/>
      <c r="M260" s="4537"/>
      <c r="N260" s="4537"/>
      <c r="O260" s="4537"/>
      <c r="P260" s="4537"/>
      <c r="Q260" s="4537"/>
      <c r="R260" s="4537"/>
      <c r="S260" s="4537"/>
      <c r="T260" s="4537"/>
      <c r="U260" s="4537"/>
      <c r="V260" s="4537"/>
      <c r="W260" s="4537"/>
      <c r="X260" s="4537"/>
      <c r="Y260" s="4537"/>
      <c r="Z260" s="4537"/>
      <c r="AA260" s="4537"/>
      <c r="AB260" s="4537"/>
      <c r="AC260" s="4537"/>
      <c r="AD260" s="4537"/>
      <c r="AE260" s="4537"/>
      <c r="AF260" s="4537"/>
      <c r="AG260" s="4537"/>
      <c r="AH260" s="4537"/>
      <c r="AI260" s="4537"/>
      <c r="AJ260" s="4537"/>
      <c r="AK260" s="4537"/>
      <c r="AL260" s="4537"/>
      <c r="AM260" s="4537"/>
      <c r="AN260" s="4537"/>
      <c r="AO260" s="4537"/>
      <c r="AP260" s="4537"/>
      <c r="AQ260" s="4537"/>
      <c r="AR260" s="4537"/>
      <c r="AS260" s="4550"/>
      <c r="AT260" s="4550"/>
      <c r="AU260" s="4550"/>
      <c r="AV260" s="4550"/>
      <c r="AW260" s="4550"/>
      <c r="AX260" s="4550"/>
      <c r="AY260" s="4550"/>
      <c r="AZ260" s="4550"/>
      <c r="BA260" s="4550"/>
      <c r="BB260" s="4550"/>
      <c r="BC260" s="4550"/>
      <c r="BD260" s="4550"/>
      <c r="BE260" s="4550"/>
      <c r="BF260" s="4550"/>
      <c r="BG260" s="4550"/>
      <c r="BH260" s="4550"/>
      <c r="BI260" s="4550"/>
      <c r="BJ260" s="4550"/>
      <c r="BK260" s="4550"/>
      <c r="BL260" s="4550"/>
      <c r="BM260" s="4550"/>
      <c r="BN260" s="4550"/>
      <c r="BO260" s="4550"/>
      <c r="BP260" s="4550"/>
      <c r="BQ260" s="4550"/>
      <c r="BR260" s="4550"/>
      <c r="BS260" s="4550"/>
      <c r="BT260" s="4550"/>
      <c r="BU260" s="4550"/>
      <c r="BV260" s="4550"/>
      <c r="BW260" s="4550"/>
      <c r="BX260" s="4550"/>
      <c r="BY260" s="4550"/>
      <c r="BZ260" s="4550"/>
      <c r="CA260" s="4550"/>
      <c r="CB260" s="4550"/>
      <c r="CC260" s="4550"/>
      <c r="CD260" s="4550"/>
      <c r="CE260" s="4550"/>
      <c r="CF260" s="4550"/>
      <c r="CG260" s="4550"/>
      <c r="CH260" s="4550"/>
      <c r="CI260" s="4550"/>
      <c r="CJ260" s="4550"/>
      <c r="CK260" s="4550"/>
      <c r="CL260" s="4550"/>
      <c r="CM260" s="4550"/>
      <c r="CN260" s="4550"/>
      <c r="CO260" s="4550"/>
      <c r="CP260" s="4550"/>
      <c r="CQ260" s="4550"/>
      <c r="CR260" s="4550"/>
      <c r="CS260" s="4550"/>
      <c r="CT260" s="4550"/>
      <c r="CU260" s="4550"/>
      <c r="CV260" s="4550"/>
      <c r="CW260" s="4550"/>
      <c r="CX260" s="4550"/>
      <c r="CY260" s="4550"/>
      <c r="CZ260" s="4550"/>
      <c r="DA260" s="4550"/>
      <c r="DB260" s="4550"/>
      <c r="DC260" s="4550"/>
      <c r="DD260" s="4550"/>
      <c r="DE260" s="4550"/>
      <c r="DF260" s="4550"/>
      <c r="DG260" s="4550"/>
      <c r="DH260" s="4550"/>
      <c r="DI260" s="4550"/>
      <c r="DJ260" s="4550"/>
      <c r="DK260" s="4550"/>
      <c r="DL260" s="4550"/>
      <c r="DM260" s="4550"/>
      <c r="DN260" s="4550"/>
      <c r="DO260" s="4550"/>
      <c r="DP260" s="4550"/>
      <c r="DQ260" s="4550"/>
      <c r="DR260" s="4550"/>
      <c r="DS260" s="4550"/>
      <c r="DT260" s="4550"/>
      <c r="DU260" s="4550"/>
      <c r="DV260" s="4550"/>
      <c r="DW260" s="4550"/>
      <c r="DX260" s="4550"/>
      <c r="DY260" s="4550"/>
      <c r="DZ260" s="4550"/>
      <c r="EA260" s="4550"/>
      <c r="EB260" s="4550"/>
      <c r="EC260" s="4550"/>
      <c r="ED260" s="4550"/>
      <c r="EE260" s="4550"/>
      <c r="EF260" s="4550"/>
      <c r="EG260" s="4550"/>
      <c r="EH260" s="4550"/>
      <c r="EI260" s="4550"/>
      <c r="EJ260" s="4550"/>
      <c r="EK260" s="4550"/>
      <c r="EL260" s="4550"/>
      <c r="EM260" s="4550"/>
      <c r="EN260" s="4550"/>
      <c r="EO260" s="4550"/>
      <c r="EP260" s="4550"/>
      <c r="EQ260" s="4550"/>
      <c r="ER260" s="4550"/>
      <c r="ES260" s="4550"/>
      <c r="ET260" s="4550"/>
      <c r="EU260" s="4550"/>
      <c r="EV260" s="4550"/>
      <c r="EW260" s="4550"/>
      <c r="EX260" s="4550"/>
      <c r="EY260" s="4550"/>
      <c r="EZ260" s="4550"/>
      <c r="FA260" s="4550"/>
      <c r="FB260" s="4550"/>
      <c r="FC260" s="4550"/>
      <c r="FD260" s="4550"/>
      <c r="FE260" s="4550"/>
      <c r="FF260" s="4550"/>
      <c r="FG260" s="4550"/>
      <c r="FH260" s="4550"/>
      <c r="FI260" s="4550"/>
      <c r="FJ260" s="4550"/>
      <c r="FK260" s="4550"/>
      <c r="FL260" s="4550"/>
      <c r="FM260" s="4550"/>
      <c r="FN260" s="4550"/>
      <c r="FO260" s="4550"/>
      <c r="FP260" s="4550"/>
      <c r="FQ260" s="4550"/>
      <c r="FR260" s="4550"/>
      <c r="FS260" s="4550"/>
      <c r="FT260" s="4550"/>
      <c r="FU260" s="4550"/>
      <c r="FV260" s="4550"/>
      <c r="FW260" s="4550"/>
      <c r="FX260" s="4550"/>
      <c r="FY260" s="4550"/>
      <c r="FZ260" s="4550"/>
      <c r="GA260" s="4550"/>
      <c r="GB260" s="4550"/>
      <c r="GC260" s="4550"/>
      <c r="GD260" s="4550"/>
      <c r="GE260" s="4550"/>
      <c r="GF260" s="4550"/>
      <c r="GG260" s="4550"/>
      <c r="GH260" s="4550"/>
      <c r="GI260" s="4550"/>
      <c r="GJ260" s="4550"/>
      <c r="GK260" s="4550"/>
      <c r="GL260" s="4550"/>
      <c r="GM260" s="4550"/>
      <c r="GN260" s="4550"/>
      <c r="GO260" s="4550"/>
      <c r="GP260" s="4550"/>
      <c r="GQ260" s="4550"/>
      <c r="GR260" s="4550"/>
      <c r="GS260" s="4550"/>
      <c r="GT260" s="4550"/>
      <c r="GU260" s="4550"/>
      <c r="GV260" s="4550"/>
      <c r="GW260" s="4550"/>
      <c r="GX260" s="4550"/>
      <c r="GY260" s="4550"/>
      <c r="GZ260" s="4550"/>
      <c r="HA260" s="4550"/>
      <c r="HB260" s="4550"/>
      <c r="HC260" s="4550"/>
      <c r="HD260" s="4550"/>
      <c r="HE260" s="4550"/>
      <c r="HF260" s="4550"/>
      <c r="HG260" s="4550"/>
      <c r="HH260" s="4550"/>
      <c r="HI260" s="4550"/>
      <c r="HJ260" s="4550"/>
      <c r="HK260" s="4550"/>
      <c r="HL260" s="4550"/>
      <c r="HM260" s="4550"/>
      <c r="HN260" s="4550"/>
      <c r="HO260" s="4550"/>
      <c r="HP260" s="4550"/>
      <c r="HQ260" s="4550"/>
      <c r="HR260" s="4550"/>
      <c r="HS260" s="4550"/>
      <c r="HT260" s="4550"/>
      <c r="HU260" s="4550"/>
      <c r="HV260" s="4550"/>
      <c r="HW260" s="4550"/>
      <c r="HX260" s="4550"/>
      <c r="HY260" s="4550"/>
      <c r="HZ260" s="4550"/>
      <c r="IA260" s="4550"/>
      <c r="IB260" s="4550"/>
      <c r="IC260" s="4550"/>
      <c r="ID260" s="4550"/>
      <c r="IE260" s="4550"/>
    </row>
    <row r="261" spans="1:239" s="4549" customFormat="1" ht="15">
      <c r="A261" s="4654" t="s">
        <v>507</v>
      </c>
      <c r="B261" s="4635" t="s">
        <v>4172</v>
      </c>
      <c r="C261" s="4677">
        <v>4.32</v>
      </c>
      <c r="D261" s="4755" t="s">
        <v>2430</v>
      </c>
      <c r="E261" s="4318"/>
      <c r="F261" s="5000">
        <f t="shared" si="10"/>
        <v>0</v>
      </c>
      <c r="G261" s="4537"/>
      <c r="H261" s="4537"/>
      <c r="I261" s="4537"/>
      <c r="J261" s="4537"/>
      <c r="K261" s="4537"/>
      <c r="L261" s="4537"/>
      <c r="M261" s="4537"/>
      <c r="N261" s="4537"/>
      <c r="O261" s="4537"/>
      <c r="P261" s="4537"/>
      <c r="Q261" s="4537"/>
      <c r="R261" s="4537"/>
      <c r="S261" s="4537"/>
      <c r="T261" s="4537"/>
      <c r="U261" s="4537"/>
      <c r="V261" s="4537"/>
      <c r="W261" s="4537"/>
      <c r="X261" s="4537"/>
      <c r="Y261" s="4537"/>
      <c r="Z261" s="4537"/>
      <c r="AA261" s="4537"/>
      <c r="AB261" s="4537"/>
      <c r="AC261" s="4537"/>
      <c r="AD261" s="4537"/>
      <c r="AE261" s="4537"/>
      <c r="AF261" s="4537"/>
      <c r="AG261" s="4537"/>
      <c r="AH261" s="4537"/>
      <c r="AI261" s="4537"/>
      <c r="AJ261" s="4537"/>
      <c r="AK261" s="4537"/>
      <c r="AL261" s="4537"/>
      <c r="AM261" s="4537"/>
      <c r="AN261" s="4537"/>
      <c r="AO261" s="4537"/>
      <c r="AP261" s="4537"/>
      <c r="AQ261" s="4537"/>
      <c r="AR261" s="4537"/>
      <c r="AS261" s="4550"/>
      <c r="AT261" s="4550"/>
      <c r="AU261" s="4550"/>
      <c r="AV261" s="4550"/>
      <c r="AW261" s="4550"/>
      <c r="AX261" s="4550"/>
      <c r="AY261" s="4550"/>
      <c r="AZ261" s="4550"/>
      <c r="BA261" s="4550"/>
      <c r="BB261" s="4550"/>
      <c r="BC261" s="4550"/>
      <c r="BD261" s="4550"/>
      <c r="BE261" s="4550"/>
      <c r="BF261" s="4550"/>
      <c r="BG261" s="4550"/>
      <c r="BH261" s="4550"/>
      <c r="BI261" s="4550"/>
      <c r="BJ261" s="4550"/>
      <c r="BK261" s="4550"/>
      <c r="BL261" s="4550"/>
      <c r="BM261" s="4550"/>
      <c r="BN261" s="4550"/>
      <c r="BO261" s="4550"/>
      <c r="BP261" s="4550"/>
      <c r="BQ261" s="4550"/>
      <c r="BR261" s="4550"/>
      <c r="BS261" s="4550"/>
      <c r="BT261" s="4550"/>
      <c r="BU261" s="4550"/>
      <c r="BV261" s="4550"/>
      <c r="BW261" s="4550"/>
      <c r="BX261" s="4550"/>
      <c r="BY261" s="4550"/>
      <c r="BZ261" s="4550"/>
      <c r="CA261" s="4550"/>
      <c r="CB261" s="4550"/>
      <c r="CC261" s="4550"/>
      <c r="CD261" s="4550"/>
      <c r="CE261" s="4550"/>
      <c r="CF261" s="4550"/>
      <c r="CG261" s="4550"/>
      <c r="CH261" s="4550"/>
      <c r="CI261" s="4550"/>
      <c r="CJ261" s="4550"/>
      <c r="CK261" s="4550"/>
      <c r="CL261" s="4550"/>
      <c r="CM261" s="4550"/>
      <c r="CN261" s="4550"/>
      <c r="CO261" s="4550"/>
      <c r="CP261" s="4550"/>
      <c r="CQ261" s="4550"/>
      <c r="CR261" s="4550"/>
      <c r="CS261" s="4550"/>
      <c r="CT261" s="4550"/>
      <c r="CU261" s="4550"/>
      <c r="CV261" s="4550"/>
      <c r="CW261" s="4550"/>
      <c r="CX261" s="4550"/>
      <c r="CY261" s="4550"/>
      <c r="CZ261" s="4550"/>
      <c r="DA261" s="4550"/>
      <c r="DB261" s="4550"/>
      <c r="DC261" s="4550"/>
      <c r="DD261" s="4550"/>
      <c r="DE261" s="4550"/>
      <c r="DF261" s="4550"/>
      <c r="DG261" s="4550"/>
      <c r="DH261" s="4550"/>
      <c r="DI261" s="4550"/>
      <c r="DJ261" s="4550"/>
      <c r="DK261" s="4550"/>
      <c r="DL261" s="4550"/>
      <c r="DM261" s="4550"/>
      <c r="DN261" s="4550"/>
      <c r="DO261" s="4550"/>
      <c r="DP261" s="4550"/>
      <c r="DQ261" s="4550"/>
      <c r="DR261" s="4550"/>
      <c r="DS261" s="4550"/>
      <c r="DT261" s="4550"/>
      <c r="DU261" s="4550"/>
      <c r="DV261" s="4550"/>
      <c r="DW261" s="4550"/>
      <c r="DX261" s="4550"/>
      <c r="DY261" s="4550"/>
      <c r="DZ261" s="4550"/>
      <c r="EA261" s="4550"/>
      <c r="EB261" s="4550"/>
      <c r="EC261" s="4550"/>
      <c r="ED261" s="4550"/>
      <c r="EE261" s="4550"/>
      <c r="EF261" s="4550"/>
      <c r="EG261" s="4550"/>
      <c r="EH261" s="4550"/>
      <c r="EI261" s="4550"/>
      <c r="EJ261" s="4550"/>
      <c r="EK261" s="4550"/>
      <c r="EL261" s="4550"/>
      <c r="EM261" s="4550"/>
      <c r="EN261" s="4550"/>
      <c r="EO261" s="4550"/>
      <c r="EP261" s="4550"/>
      <c r="EQ261" s="4550"/>
      <c r="ER261" s="4550"/>
      <c r="ES261" s="4550"/>
      <c r="ET261" s="4550"/>
      <c r="EU261" s="4550"/>
      <c r="EV261" s="4550"/>
      <c r="EW261" s="4550"/>
      <c r="EX261" s="4550"/>
      <c r="EY261" s="4550"/>
      <c r="EZ261" s="4550"/>
      <c r="FA261" s="4550"/>
      <c r="FB261" s="4550"/>
      <c r="FC261" s="4550"/>
      <c r="FD261" s="4550"/>
      <c r="FE261" s="4550"/>
      <c r="FF261" s="4550"/>
      <c r="FG261" s="4550"/>
      <c r="FH261" s="4550"/>
      <c r="FI261" s="4550"/>
      <c r="FJ261" s="4550"/>
      <c r="FK261" s="4550"/>
      <c r="FL261" s="4550"/>
      <c r="FM261" s="4550"/>
      <c r="FN261" s="4550"/>
      <c r="FO261" s="4550"/>
      <c r="FP261" s="4550"/>
      <c r="FQ261" s="4550"/>
      <c r="FR261" s="4550"/>
      <c r="FS261" s="4550"/>
      <c r="FT261" s="4550"/>
      <c r="FU261" s="4550"/>
      <c r="FV261" s="4550"/>
      <c r="FW261" s="4550"/>
      <c r="FX261" s="4550"/>
      <c r="FY261" s="4550"/>
      <c r="FZ261" s="4550"/>
      <c r="GA261" s="4550"/>
      <c r="GB261" s="4550"/>
      <c r="GC261" s="4550"/>
      <c r="GD261" s="4550"/>
      <c r="GE261" s="4550"/>
      <c r="GF261" s="4550"/>
      <c r="GG261" s="4550"/>
      <c r="GH261" s="4550"/>
      <c r="GI261" s="4550"/>
      <c r="GJ261" s="4550"/>
      <c r="GK261" s="4550"/>
      <c r="GL261" s="4550"/>
      <c r="GM261" s="4550"/>
      <c r="GN261" s="4550"/>
      <c r="GO261" s="4550"/>
      <c r="GP261" s="4550"/>
      <c r="GQ261" s="4550"/>
      <c r="GR261" s="4550"/>
      <c r="GS261" s="4550"/>
      <c r="GT261" s="4550"/>
      <c r="GU261" s="4550"/>
      <c r="GV261" s="4550"/>
      <c r="GW261" s="4550"/>
      <c r="GX261" s="4550"/>
      <c r="GY261" s="4550"/>
      <c r="GZ261" s="4550"/>
      <c r="HA261" s="4550"/>
      <c r="HB261" s="4550"/>
      <c r="HC261" s="4550"/>
      <c r="HD261" s="4550"/>
      <c r="HE261" s="4550"/>
      <c r="HF261" s="4550"/>
      <c r="HG261" s="4550"/>
      <c r="HH261" s="4550"/>
      <c r="HI261" s="4550"/>
      <c r="HJ261" s="4550"/>
      <c r="HK261" s="4550"/>
      <c r="HL261" s="4550"/>
      <c r="HM261" s="4550"/>
      <c r="HN261" s="4550"/>
      <c r="HO261" s="4550"/>
      <c r="HP261" s="4550"/>
      <c r="HQ261" s="4550"/>
      <c r="HR261" s="4550"/>
      <c r="HS261" s="4550"/>
      <c r="HT261" s="4550"/>
      <c r="HU261" s="4550"/>
      <c r="HV261" s="4550"/>
      <c r="HW261" s="4550"/>
      <c r="HX261" s="4550"/>
      <c r="HY261" s="4550"/>
      <c r="HZ261" s="4550"/>
      <c r="IA261" s="4550"/>
      <c r="IB261" s="4550"/>
      <c r="IC261" s="4550"/>
      <c r="ID261" s="4550"/>
      <c r="IE261" s="4550"/>
    </row>
    <row r="262" spans="1:239" s="4549" customFormat="1" ht="28.5">
      <c r="A262" s="4654" t="s">
        <v>508</v>
      </c>
      <c r="B262" s="4635" t="s">
        <v>4055</v>
      </c>
      <c r="C262" s="4677">
        <v>3.91</v>
      </c>
      <c r="D262" s="4755" t="s">
        <v>2430</v>
      </c>
      <c r="E262" s="4318"/>
      <c r="F262" s="5000">
        <f t="shared" si="10"/>
        <v>0</v>
      </c>
      <c r="G262" s="4537"/>
      <c r="H262" s="4537"/>
      <c r="I262" s="4537"/>
      <c r="J262" s="4537"/>
      <c r="K262" s="4537"/>
      <c r="L262" s="4537"/>
      <c r="M262" s="4537"/>
      <c r="N262" s="4537"/>
      <c r="O262" s="4537"/>
      <c r="P262" s="4537"/>
      <c r="Q262" s="4537"/>
      <c r="R262" s="4537"/>
      <c r="S262" s="4537"/>
      <c r="T262" s="4537"/>
      <c r="U262" s="4537"/>
      <c r="V262" s="4537"/>
      <c r="W262" s="4537"/>
      <c r="X262" s="4537"/>
      <c r="Y262" s="4537"/>
      <c r="Z262" s="4537"/>
      <c r="AA262" s="4537"/>
      <c r="AB262" s="4537"/>
      <c r="AC262" s="4537"/>
      <c r="AD262" s="4537"/>
      <c r="AE262" s="4537"/>
      <c r="AF262" s="4537"/>
      <c r="AG262" s="4537"/>
      <c r="AH262" s="4537"/>
      <c r="AI262" s="4537"/>
      <c r="AJ262" s="4537"/>
      <c r="AK262" s="4537"/>
      <c r="AL262" s="4537"/>
      <c r="AM262" s="4537"/>
      <c r="AN262" s="4537"/>
      <c r="AO262" s="4537"/>
      <c r="AP262" s="4537"/>
      <c r="AQ262" s="4537"/>
      <c r="AR262" s="4537"/>
      <c r="AS262" s="4550"/>
      <c r="AT262" s="4550"/>
      <c r="AU262" s="4550"/>
      <c r="AV262" s="4550"/>
      <c r="AW262" s="4550"/>
      <c r="AX262" s="4550"/>
      <c r="AY262" s="4550"/>
      <c r="AZ262" s="4550"/>
      <c r="BA262" s="4550"/>
      <c r="BB262" s="4550"/>
      <c r="BC262" s="4550"/>
      <c r="BD262" s="4550"/>
      <c r="BE262" s="4550"/>
      <c r="BF262" s="4550"/>
      <c r="BG262" s="4550"/>
      <c r="BH262" s="4550"/>
      <c r="BI262" s="4550"/>
      <c r="BJ262" s="4550"/>
      <c r="BK262" s="4550"/>
      <c r="BL262" s="4550"/>
      <c r="BM262" s="4550"/>
      <c r="BN262" s="4550"/>
      <c r="BO262" s="4550"/>
      <c r="BP262" s="4550"/>
      <c r="BQ262" s="4550"/>
      <c r="BR262" s="4550"/>
      <c r="BS262" s="4550"/>
      <c r="BT262" s="4550"/>
      <c r="BU262" s="4550"/>
      <c r="BV262" s="4550"/>
      <c r="BW262" s="4550"/>
      <c r="BX262" s="4550"/>
      <c r="BY262" s="4550"/>
      <c r="BZ262" s="4550"/>
      <c r="CA262" s="4550"/>
      <c r="CB262" s="4550"/>
      <c r="CC262" s="4550"/>
      <c r="CD262" s="4550"/>
      <c r="CE262" s="4550"/>
      <c r="CF262" s="4550"/>
      <c r="CG262" s="4550"/>
      <c r="CH262" s="4550"/>
      <c r="CI262" s="4550"/>
      <c r="CJ262" s="4550"/>
      <c r="CK262" s="4550"/>
      <c r="CL262" s="4550"/>
      <c r="CM262" s="4550"/>
      <c r="CN262" s="4550"/>
      <c r="CO262" s="4550"/>
      <c r="CP262" s="4550"/>
      <c r="CQ262" s="4550"/>
      <c r="CR262" s="4550"/>
      <c r="CS262" s="4550"/>
      <c r="CT262" s="4550"/>
      <c r="CU262" s="4550"/>
      <c r="CV262" s="4550"/>
      <c r="CW262" s="4550"/>
      <c r="CX262" s="4550"/>
      <c r="CY262" s="4550"/>
      <c r="CZ262" s="4550"/>
      <c r="DA262" s="4550"/>
      <c r="DB262" s="4550"/>
      <c r="DC262" s="4550"/>
      <c r="DD262" s="4550"/>
      <c r="DE262" s="4550"/>
      <c r="DF262" s="4550"/>
      <c r="DG262" s="4550"/>
      <c r="DH262" s="4550"/>
      <c r="DI262" s="4550"/>
      <c r="DJ262" s="4550"/>
      <c r="DK262" s="4550"/>
      <c r="DL262" s="4550"/>
      <c r="DM262" s="4550"/>
      <c r="DN262" s="4550"/>
      <c r="DO262" s="4550"/>
      <c r="DP262" s="4550"/>
      <c r="DQ262" s="4550"/>
      <c r="DR262" s="4550"/>
      <c r="DS262" s="4550"/>
      <c r="DT262" s="4550"/>
      <c r="DU262" s="4550"/>
      <c r="DV262" s="4550"/>
      <c r="DW262" s="4550"/>
      <c r="DX262" s="4550"/>
      <c r="DY262" s="4550"/>
      <c r="DZ262" s="4550"/>
      <c r="EA262" s="4550"/>
      <c r="EB262" s="4550"/>
      <c r="EC262" s="4550"/>
      <c r="ED262" s="4550"/>
      <c r="EE262" s="4550"/>
      <c r="EF262" s="4550"/>
      <c r="EG262" s="4550"/>
      <c r="EH262" s="4550"/>
      <c r="EI262" s="4550"/>
      <c r="EJ262" s="4550"/>
      <c r="EK262" s="4550"/>
      <c r="EL262" s="4550"/>
      <c r="EM262" s="4550"/>
      <c r="EN262" s="4550"/>
      <c r="EO262" s="4550"/>
      <c r="EP262" s="4550"/>
      <c r="EQ262" s="4550"/>
      <c r="ER262" s="4550"/>
      <c r="ES262" s="4550"/>
      <c r="ET262" s="4550"/>
      <c r="EU262" s="4550"/>
      <c r="EV262" s="4550"/>
      <c r="EW262" s="4550"/>
      <c r="EX262" s="4550"/>
      <c r="EY262" s="4550"/>
      <c r="EZ262" s="4550"/>
      <c r="FA262" s="4550"/>
      <c r="FB262" s="4550"/>
      <c r="FC262" s="4550"/>
      <c r="FD262" s="4550"/>
      <c r="FE262" s="4550"/>
      <c r="FF262" s="4550"/>
      <c r="FG262" s="4550"/>
      <c r="FH262" s="4550"/>
      <c r="FI262" s="4550"/>
      <c r="FJ262" s="4550"/>
      <c r="FK262" s="4550"/>
      <c r="FL262" s="4550"/>
      <c r="FM262" s="4550"/>
      <c r="FN262" s="4550"/>
      <c r="FO262" s="4550"/>
      <c r="FP262" s="4550"/>
      <c r="FQ262" s="4550"/>
      <c r="FR262" s="4550"/>
      <c r="FS262" s="4550"/>
      <c r="FT262" s="4550"/>
      <c r="FU262" s="4550"/>
      <c r="FV262" s="4550"/>
      <c r="FW262" s="4550"/>
      <c r="FX262" s="4550"/>
      <c r="FY262" s="4550"/>
      <c r="FZ262" s="4550"/>
      <c r="GA262" s="4550"/>
      <c r="GB262" s="4550"/>
      <c r="GC262" s="4550"/>
      <c r="GD262" s="4550"/>
      <c r="GE262" s="4550"/>
      <c r="GF262" s="4550"/>
      <c r="GG262" s="4550"/>
      <c r="GH262" s="4550"/>
      <c r="GI262" s="4550"/>
      <c r="GJ262" s="4550"/>
      <c r="GK262" s="4550"/>
      <c r="GL262" s="4550"/>
      <c r="GM262" s="4550"/>
      <c r="GN262" s="4550"/>
      <c r="GO262" s="4550"/>
      <c r="GP262" s="4550"/>
      <c r="GQ262" s="4550"/>
      <c r="GR262" s="4550"/>
      <c r="GS262" s="4550"/>
      <c r="GT262" s="4550"/>
      <c r="GU262" s="4550"/>
      <c r="GV262" s="4550"/>
      <c r="GW262" s="4550"/>
      <c r="GX262" s="4550"/>
      <c r="GY262" s="4550"/>
      <c r="GZ262" s="4550"/>
      <c r="HA262" s="4550"/>
      <c r="HB262" s="4550"/>
      <c r="HC262" s="4550"/>
      <c r="HD262" s="4550"/>
      <c r="HE262" s="4550"/>
      <c r="HF262" s="4550"/>
      <c r="HG262" s="4550"/>
      <c r="HH262" s="4550"/>
      <c r="HI262" s="4550"/>
      <c r="HJ262" s="4550"/>
      <c r="HK262" s="4550"/>
      <c r="HL262" s="4550"/>
      <c r="HM262" s="4550"/>
      <c r="HN262" s="4550"/>
      <c r="HO262" s="4550"/>
      <c r="HP262" s="4550"/>
      <c r="HQ262" s="4550"/>
      <c r="HR262" s="4550"/>
      <c r="HS262" s="4550"/>
      <c r="HT262" s="4550"/>
      <c r="HU262" s="4550"/>
      <c r="HV262" s="4550"/>
      <c r="HW262" s="4550"/>
      <c r="HX262" s="4550"/>
      <c r="HY262" s="4550"/>
      <c r="HZ262" s="4550"/>
      <c r="IA262" s="4550"/>
      <c r="IB262" s="4550"/>
      <c r="IC262" s="4550"/>
      <c r="ID262" s="4550"/>
      <c r="IE262" s="4550"/>
    </row>
    <row r="263" spans="1:239" s="4549" customFormat="1" ht="28.5">
      <c r="A263" s="4654" t="s">
        <v>509</v>
      </c>
      <c r="B263" s="4635" t="s">
        <v>4662</v>
      </c>
      <c r="C263" s="4677">
        <v>0.49</v>
      </c>
      <c r="D263" s="4755" t="s">
        <v>2430</v>
      </c>
      <c r="E263" s="4318"/>
      <c r="F263" s="5000">
        <f t="shared" si="10"/>
        <v>0</v>
      </c>
      <c r="G263" s="4537"/>
      <c r="H263" s="4537"/>
      <c r="I263" s="4537"/>
      <c r="J263" s="4537"/>
      <c r="K263" s="4537"/>
      <c r="L263" s="4537"/>
      <c r="M263" s="4537"/>
      <c r="N263" s="4537"/>
      <c r="O263" s="4537"/>
      <c r="P263" s="4537"/>
      <c r="Q263" s="4537"/>
      <c r="R263" s="4537"/>
      <c r="S263" s="4537"/>
      <c r="T263" s="4537"/>
      <c r="U263" s="4537"/>
      <c r="V263" s="4537"/>
      <c r="W263" s="4537"/>
      <c r="X263" s="4537"/>
      <c r="Y263" s="4537"/>
      <c r="Z263" s="4537"/>
      <c r="AA263" s="4537"/>
      <c r="AB263" s="4537"/>
      <c r="AC263" s="4537"/>
      <c r="AD263" s="4537"/>
      <c r="AE263" s="4537"/>
      <c r="AF263" s="4537"/>
      <c r="AG263" s="4537"/>
      <c r="AH263" s="4537"/>
      <c r="AI263" s="4537"/>
      <c r="AJ263" s="4537"/>
      <c r="AK263" s="4537"/>
      <c r="AL263" s="4537"/>
      <c r="AM263" s="4537"/>
      <c r="AN263" s="4537"/>
      <c r="AO263" s="4537"/>
      <c r="AP263" s="4537"/>
      <c r="AQ263" s="4537"/>
      <c r="AR263" s="4537"/>
      <c r="AS263" s="4550"/>
      <c r="AT263" s="4550"/>
      <c r="AU263" s="4550"/>
      <c r="AV263" s="4550"/>
      <c r="AW263" s="4550"/>
      <c r="AX263" s="4550"/>
      <c r="AY263" s="4550"/>
      <c r="AZ263" s="4550"/>
      <c r="BA263" s="4550"/>
      <c r="BB263" s="4550"/>
      <c r="BC263" s="4550"/>
      <c r="BD263" s="4550"/>
      <c r="BE263" s="4550"/>
      <c r="BF263" s="4550"/>
      <c r="BG263" s="4550"/>
      <c r="BH263" s="4550"/>
      <c r="BI263" s="4550"/>
      <c r="BJ263" s="4550"/>
      <c r="BK263" s="4550"/>
      <c r="BL263" s="4550"/>
      <c r="BM263" s="4550"/>
      <c r="BN263" s="4550"/>
      <c r="BO263" s="4550"/>
      <c r="BP263" s="4550"/>
      <c r="BQ263" s="4550"/>
      <c r="BR263" s="4550"/>
      <c r="BS263" s="4550"/>
      <c r="BT263" s="4550"/>
      <c r="BU263" s="4550"/>
      <c r="BV263" s="4550"/>
      <c r="BW263" s="4550"/>
      <c r="BX263" s="4550"/>
      <c r="BY263" s="4550"/>
      <c r="BZ263" s="4550"/>
      <c r="CA263" s="4550"/>
      <c r="CB263" s="4550"/>
      <c r="CC263" s="4550"/>
      <c r="CD263" s="4550"/>
      <c r="CE263" s="4550"/>
      <c r="CF263" s="4550"/>
      <c r="CG263" s="4550"/>
      <c r="CH263" s="4550"/>
      <c r="CI263" s="4550"/>
      <c r="CJ263" s="4550"/>
      <c r="CK263" s="4550"/>
      <c r="CL263" s="4550"/>
      <c r="CM263" s="4550"/>
      <c r="CN263" s="4550"/>
      <c r="CO263" s="4550"/>
      <c r="CP263" s="4550"/>
      <c r="CQ263" s="4550"/>
      <c r="CR263" s="4550"/>
      <c r="CS263" s="4550"/>
      <c r="CT263" s="4550"/>
      <c r="CU263" s="4550"/>
      <c r="CV263" s="4550"/>
      <c r="CW263" s="4550"/>
      <c r="CX263" s="4550"/>
      <c r="CY263" s="4550"/>
      <c r="CZ263" s="4550"/>
      <c r="DA263" s="4550"/>
      <c r="DB263" s="4550"/>
      <c r="DC263" s="4550"/>
      <c r="DD263" s="4550"/>
      <c r="DE263" s="4550"/>
      <c r="DF263" s="4550"/>
      <c r="DG263" s="4550"/>
      <c r="DH263" s="4550"/>
      <c r="DI263" s="4550"/>
      <c r="DJ263" s="4550"/>
      <c r="DK263" s="4550"/>
      <c r="DL263" s="4550"/>
      <c r="DM263" s="4550"/>
      <c r="DN263" s="4550"/>
      <c r="DO263" s="4550"/>
      <c r="DP263" s="4550"/>
      <c r="DQ263" s="4550"/>
      <c r="DR263" s="4550"/>
      <c r="DS263" s="4550"/>
      <c r="DT263" s="4550"/>
      <c r="DU263" s="4550"/>
      <c r="DV263" s="4550"/>
      <c r="DW263" s="4550"/>
      <c r="DX263" s="4550"/>
      <c r="DY263" s="4550"/>
      <c r="DZ263" s="4550"/>
      <c r="EA263" s="4550"/>
      <c r="EB263" s="4550"/>
      <c r="EC263" s="4550"/>
      <c r="ED263" s="4550"/>
      <c r="EE263" s="4550"/>
      <c r="EF263" s="4550"/>
      <c r="EG263" s="4550"/>
      <c r="EH263" s="4550"/>
      <c r="EI263" s="4550"/>
      <c r="EJ263" s="4550"/>
      <c r="EK263" s="4550"/>
      <c r="EL263" s="4550"/>
      <c r="EM263" s="4550"/>
      <c r="EN263" s="4550"/>
      <c r="EO263" s="4550"/>
      <c r="EP263" s="4550"/>
      <c r="EQ263" s="4550"/>
      <c r="ER263" s="4550"/>
      <c r="ES263" s="4550"/>
      <c r="ET263" s="4550"/>
      <c r="EU263" s="4550"/>
      <c r="EV263" s="4550"/>
      <c r="EW263" s="4550"/>
      <c r="EX263" s="4550"/>
      <c r="EY263" s="4550"/>
      <c r="EZ263" s="4550"/>
      <c r="FA263" s="4550"/>
      <c r="FB263" s="4550"/>
      <c r="FC263" s="4550"/>
      <c r="FD263" s="4550"/>
      <c r="FE263" s="4550"/>
      <c r="FF263" s="4550"/>
      <c r="FG263" s="4550"/>
      <c r="FH263" s="4550"/>
      <c r="FI263" s="4550"/>
      <c r="FJ263" s="4550"/>
      <c r="FK263" s="4550"/>
      <c r="FL263" s="4550"/>
      <c r="FM263" s="4550"/>
      <c r="FN263" s="4550"/>
      <c r="FO263" s="4550"/>
      <c r="FP263" s="4550"/>
      <c r="FQ263" s="4550"/>
      <c r="FR263" s="4550"/>
      <c r="FS263" s="4550"/>
      <c r="FT263" s="4550"/>
      <c r="FU263" s="4550"/>
      <c r="FV263" s="4550"/>
      <c r="FW263" s="4550"/>
      <c r="FX263" s="4550"/>
      <c r="FY263" s="4550"/>
      <c r="FZ263" s="4550"/>
      <c r="GA263" s="4550"/>
      <c r="GB263" s="4550"/>
      <c r="GC263" s="4550"/>
      <c r="GD263" s="4550"/>
      <c r="GE263" s="4550"/>
      <c r="GF263" s="4550"/>
      <c r="GG263" s="4550"/>
      <c r="GH263" s="4550"/>
      <c r="GI263" s="4550"/>
      <c r="GJ263" s="4550"/>
      <c r="GK263" s="4550"/>
      <c r="GL263" s="4550"/>
      <c r="GM263" s="4550"/>
      <c r="GN263" s="4550"/>
      <c r="GO263" s="4550"/>
      <c r="GP263" s="4550"/>
      <c r="GQ263" s="4550"/>
      <c r="GR263" s="4550"/>
      <c r="GS263" s="4550"/>
      <c r="GT263" s="4550"/>
      <c r="GU263" s="4550"/>
      <c r="GV263" s="4550"/>
      <c r="GW263" s="4550"/>
      <c r="GX263" s="4550"/>
      <c r="GY263" s="4550"/>
      <c r="GZ263" s="4550"/>
      <c r="HA263" s="4550"/>
      <c r="HB263" s="4550"/>
      <c r="HC263" s="4550"/>
      <c r="HD263" s="4550"/>
      <c r="HE263" s="4550"/>
      <c r="HF263" s="4550"/>
      <c r="HG263" s="4550"/>
      <c r="HH263" s="4550"/>
      <c r="HI263" s="4550"/>
      <c r="HJ263" s="4550"/>
      <c r="HK263" s="4550"/>
      <c r="HL263" s="4550"/>
      <c r="HM263" s="4550"/>
      <c r="HN263" s="4550"/>
      <c r="HO263" s="4550"/>
      <c r="HP263" s="4550"/>
      <c r="HQ263" s="4550"/>
      <c r="HR263" s="4550"/>
      <c r="HS263" s="4550"/>
      <c r="HT263" s="4550"/>
      <c r="HU263" s="4550"/>
      <c r="HV263" s="4550"/>
      <c r="HW263" s="4550"/>
      <c r="HX263" s="4550"/>
      <c r="HY263" s="4550"/>
      <c r="HZ263" s="4550"/>
      <c r="IA263" s="4550"/>
      <c r="IB263" s="4550"/>
      <c r="IC263" s="4550"/>
      <c r="ID263" s="4550"/>
      <c r="IE263" s="4550"/>
    </row>
    <row r="264" spans="1:239" s="4549" customFormat="1" ht="28.5">
      <c r="A264" s="4654" t="s">
        <v>510</v>
      </c>
      <c r="B264" s="4635" t="s">
        <v>4176</v>
      </c>
      <c r="C264" s="4677">
        <v>7</v>
      </c>
      <c r="D264" s="4755" t="s">
        <v>1</v>
      </c>
      <c r="E264" s="4318"/>
      <c r="F264" s="5000">
        <f t="shared" si="10"/>
        <v>0</v>
      </c>
      <c r="G264" s="4537"/>
      <c r="H264" s="4537"/>
      <c r="I264" s="4537"/>
      <c r="J264" s="4537"/>
      <c r="K264" s="4537"/>
      <c r="L264" s="4537"/>
      <c r="M264" s="4537"/>
      <c r="N264" s="4537"/>
      <c r="O264" s="4537"/>
      <c r="P264" s="4537"/>
      <c r="Q264" s="4537"/>
      <c r="R264" s="4537"/>
      <c r="S264" s="4537"/>
      <c r="T264" s="4537"/>
      <c r="U264" s="4537"/>
      <c r="V264" s="4537"/>
      <c r="W264" s="4537"/>
      <c r="X264" s="4537"/>
      <c r="Y264" s="4537"/>
      <c r="Z264" s="4537"/>
      <c r="AA264" s="4537"/>
      <c r="AB264" s="4537"/>
      <c r="AC264" s="4537"/>
      <c r="AD264" s="4537"/>
      <c r="AE264" s="4537"/>
      <c r="AF264" s="4537"/>
      <c r="AG264" s="4537"/>
      <c r="AH264" s="4537"/>
      <c r="AI264" s="4537"/>
      <c r="AJ264" s="4537"/>
      <c r="AK264" s="4537"/>
      <c r="AL264" s="4537"/>
      <c r="AM264" s="4537"/>
      <c r="AN264" s="4537"/>
      <c r="AO264" s="4537"/>
      <c r="AP264" s="4537"/>
      <c r="AQ264" s="4537"/>
      <c r="AR264" s="4537"/>
      <c r="AS264" s="4550"/>
      <c r="AT264" s="4550"/>
      <c r="AU264" s="4550"/>
      <c r="AV264" s="4550"/>
      <c r="AW264" s="4550"/>
      <c r="AX264" s="4550"/>
      <c r="AY264" s="4550"/>
      <c r="AZ264" s="4550"/>
      <c r="BA264" s="4550"/>
      <c r="BB264" s="4550"/>
      <c r="BC264" s="4550"/>
      <c r="BD264" s="4550"/>
      <c r="BE264" s="4550"/>
      <c r="BF264" s="4550"/>
      <c r="BG264" s="4550"/>
      <c r="BH264" s="4550"/>
      <c r="BI264" s="4550"/>
      <c r="BJ264" s="4550"/>
      <c r="BK264" s="4550"/>
      <c r="BL264" s="4550"/>
      <c r="BM264" s="4550"/>
      <c r="BN264" s="4550"/>
      <c r="BO264" s="4550"/>
      <c r="BP264" s="4550"/>
      <c r="BQ264" s="4550"/>
      <c r="BR264" s="4550"/>
      <c r="BS264" s="4550"/>
      <c r="BT264" s="4550"/>
      <c r="BU264" s="4550"/>
      <c r="BV264" s="4550"/>
      <c r="BW264" s="4550"/>
      <c r="BX264" s="4550"/>
      <c r="BY264" s="4550"/>
      <c r="BZ264" s="4550"/>
      <c r="CA264" s="4550"/>
      <c r="CB264" s="4550"/>
      <c r="CC264" s="4550"/>
      <c r="CD264" s="4550"/>
      <c r="CE264" s="4550"/>
      <c r="CF264" s="4550"/>
      <c r="CG264" s="4550"/>
      <c r="CH264" s="4550"/>
      <c r="CI264" s="4550"/>
      <c r="CJ264" s="4550"/>
      <c r="CK264" s="4550"/>
      <c r="CL264" s="4550"/>
      <c r="CM264" s="4550"/>
      <c r="CN264" s="4550"/>
      <c r="CO264" s="4550"/>
      <c r="CP264" s="4550"/>
      <c r="CQ264" s="4550"/>
      <c r="CR264" s="4550"/>
      <c r="CS264" s="4550"/>
      <c r="CT264" s="4550"/>
      <c r="CU264" s="4550"/>
      <c r="CV264" s="4550"/>
      <c r="CW264" s="4550"/>
      <c r="CX264" s="4550"/>
      <c r="CY264" s="4550"/>
      <c r="CZ264" s="4550"/>
      <c r="DA264" s="4550"/>
      <c r="DB264" s="4550"/>
      <c r="DC264" s="4550"/>
      <c r="DD264" s="4550"/>
      <c r="DE264" s="4550"/>
      <c r="DF264" s="4550"/>
      <c r="DG264" s="4550"/>
      <c r="DH264" s="4550"/>
      <c r="DI264" s="4550"/>
      <c r="DJ264" s="4550"/>
      <c r="DK264" s="4550"/>
      <c r="DL264" s="4550"/>
      <c r="DM264" s="4550"/>
      <c r="DN264" s="4550"/>
      <c r="DO264" s="4550"/>
      <c r="DP264" s="4550"/>
      <c r="DQ264" s="4550"/>
      <c r="DR264" s="4550"/>
      <c r="DS264" s="4550"/>
      <c r="DT264" s="4550"/>
      <c r="DU264" s="4550"/>
      <c r="DV264" s="4550"/>
      <c r="DW264" s="4550"/>
      <c r="DX264" s="4550"/>
      <c r="DY264" s="4550"/>
      <c r="DZ264" s="4550"/>
      <c r="EA264" s="4550"/>
      <c r="EB264" s="4550"/>
      <c r="EC264" s="4550"/>
      <c r="ED264" s="4550"/>
      <c r="EE264" s="4550"/>
      <c r="EF264" s="4550"/>
      <c r="EG264" s="4550"/>
      <c r="EH264" s="4550"/>
      <c r="EI264" s="4550"/>
      <c r="EJ264" s="4550"/>
      <c r="EK264" s="4550"/>
      <c r="EL264" s="4550"/>
      <c r="EM264" s="4550"/>
      <c r="EN264" s="4550"/>
      <c r="EO264" s="4550"/>
      <c r="EP264" s="4550"/>
      <c r="EQ264" s="4550"/>
      <c r="ER264" s="4550"/>
      <c r="ES264" s="4550"/>
      <c r="ET264" s="4550"/>
      <c r="EU264" s="4550"/>
      <c r="EV264" s="4550"/>
      <c r="EW264" s="4550"/>
      <c r="EX264" s="4550"/>
      <c r="EY264" s="4550"/>
      <c r="EZ264" s="4550"/>
      <c r="FA264" s="4550"/>
      <c r="FB264" s="4550"/>
      <c r="FC264" s="4550"/>
      <c r="FD264" s="4550"/>
      <c r="FE264" s="4550"/>
      <c r="FF264" s="4550"/>
      <c r="FG264" s="4550"/>
      <c r="FH264" s="4550"/>
      <c r="FI264" s="4550"/>
      <c r="FJ264" s="4550"/>
      <c r="FK264" s="4550"/>
      <c r="FL264" s="4550"/>
      <c r="FM264" s="4550"/>
      <c r="FN264" s="4550"/>
      <c r="FO264" s="4550"/>
      <c r="FP264" s="4550"/>
      <c r="FQ264" s="4550"/>
      <c r="FR264" s="4550"/>
      <c r="FS264" s="4550"/>
      <c r="FT264" s="4550"/>
      <c r="FU264" s="4550"/>
      <c r="FV264" s="4550"/>
      <c r="FW264" s="4550"/>
      <c r="FX264" s="4550"/>
      <c r="FY264" s="4550"/>
      <c r="FZ264" s="4550"/>
      <c r="GA264" s="4550"/>
      <c r="GB264" s="4550"/>
      <c r="GC264" s="4550"/>
      <c r="GD264" s="4550"/>
      <c r="GE264" s="4550"/>
      <c r="GF264" s="4550"/>
      <c r="GG264" s="4550"/>
      <c r="GH264" s="4550"/>
      <c r="GI264" s="4550"/>
      <c r="GJ264" s="4550"/>
      <c r="GK264" s="4550"/>
      <c r="GL264" s="4550"/>
      <c r="GM264" s="4550"/>
      <c r="GN264" s="4550"/>
      <c r="GO264" s="4550"/>
      <c r="GP264" s="4550"/>
      <c r="GQ264" s="4550"/>
      <c r="GR264" s="4550"/>
      <c r="GS264" s="4550"/>
      <c r="GT264" s="4550"/>
      <c r="GU264" s="4550"/>
      <c r="GV264" s="4550"/>
      <c r="GW264" s="4550"/>
      <c r="GX264" s="4550"/>
      <c r="GY264" s="4550"/>
      <c r="GZ264" s="4550"/>
      <c r="HA264" s="4550"/>
      <c r="HB264" s="4550"/>
      <c r="HC264" s="4550"/>
      <c r="HD264" s="4550"/>
      <c r="HE264" s="4550"/>
      <c r="HF264" s="4550"/>
      <c r="HG264" s="4550"/>
      <c r="HH264" s="4550"/>
      <c r="HI264" s="4550"/>
      <c r="HJ264" s="4550"/>
      <c r="HK264" s="4550"/>
      <c r="HL264" s="4550"/>
      <c r="HM264" s="4550"/>
      <c r="HN264" s="4550"/>
      <c r="HO264" s="4550"/>
      <c r="HP264" s="4550"/>
      <c r="HQ264" s="4550"/>
      <c r="HR264" s="4550"/>
      <c r="HS264" s="4550"/>
      <c r="HT264" s="4550"/>
      <c r="HU264" s="4550"/>
      <c r="HV264" s="4550"/>
      <c r="HW264" s="4550"/>
      <c r="HX264" s="4550"/>
      <c r="HY264" s="4550"/>
      <c r="HZ264" s="4550"/>
      <c r="IA264" s="4550"/>
      <c r="IB264" s="4550"/>
      <c r="IC264" s="4550"/>
      <c r="ID264" s="4550"/>
      <c r="IE264" s="4550"/>
    </row>
    <row r="265" spans="1:239" s="4549" customFormat="1" ht="28.5">
      <c r="A265" s="4654" t="s">
        <v>511</v>
      </c>
      <c r="B265" s="4635" t="s">
        <v>4177</v>
      </c>
      <c r="C265" s="4677">
        <v>2</v>
      </c>
      <c r="D265" s="4593" t="s">
        <v>2433</v>
      </c>
      <c r="E265" s="4318"/>
      <c r="F265" s="5000">
        <f t="shared" si="10"/>
        <v>0</v>
      </c>
      <c r="G265" s="4537"/>
      <c r="H265" s="4537"/>
      <c r="I265" s="4537"/>
      <c r="J265" s="4537"/>
      <c r="K265" s="4537"/>
      <c r="L265" s="4537"/>
      <c r="M265" s="4537"/>
      <c r="N265" s="4537"/>
      <c r="O265" s="4537"/>
      <c r="P265" s="4537"/>
      <c r="Q265" s="4537"/>
      <c r="R265" s="4537"/>
      <c r="S265" s="4537"/>
      <c r="T265" s="4537"/>
      <c r="U265" s="4537"/>
      <c r="V265" s="4537"/>
      <c r="W265" s="4537"/>
      <c r="X265" s="4537"/>
      <c r="Y265" s="4537"/>
      <c r="Z265" s="4537"/>
      <c r="AA265" s="4537"/>
      <c r="AB265" s="4537"/>
      <c r="AC265" s="4537"/>
      <c r="AD265" s="4537"/>
      <c r="AE265" s="4537"/>
      <c r="AF265" s="4537"/>
      <c r="AG265" s="4537"/>
      <c r="AH265" s="4537"/>
      <c r="AI265" s="4537"/>
      <c r="AJ265" s="4537"/>
      <c r="AK265" s="4537"/>
      <c r="AL265" s="4537"/>
      <c r="AM265" s="4537"/>
      <c r="AN265" s="4537"/>
      <c r="AO265" s="4537"/>
      <c r="AP265" s="4537"/>
      <c r="AQ265" s="4537"/>
      <c r="AR265" s="4537"/>
      <c r="AS265" s="4550"/>
      <c r="AT265" s="4550"/>
      <c r="AU265" s="4550"/>
      <c r="AV265" s="4550"/>
      <c r="AW265" s="4550"/>
      <c r="AX265" s="4550"/>
      <c r="AY265" s="4550"/>
      <c r="AZ265" s="4550"/>
      <c r="BA265" s="4550"/>
      <c r="BB265" s="4550"/>
      <c r="BC265" s="4550"/>
      <c r="BD265" s="4550"/>
      <c r="BE265" s="4550"/>
      <c r="BF265" s="4550"/>
      <c r="BG265" s="4550"/>
      <c r="BH265" s="4550"/>
      <c r="BI265" s="4550"/>
      <c r="BJ265" s="4550"/>
      <c r="BK265" s="4550"/>
      <c r="BL265" s="4550"/>
      <c r="BM265" s="4550"/>
      <c r="BN265" s="4550"/>
      <c r="BO265" s="4550"/>
      <c r="BP265" s="4550"/>
      <c r="BQ265" s="4550"/>
      <c r="BR265" s="4550"/>
      <c r="BS265" s="4550"/>
      <c r="BT265" s="4550"/>
      <c r="BU265" s="4550"/>
      <c r="BV265" s="4550"/>
      <c r="BW265" s="4550"/>
      <c r="BX265" s="4550"/>
      <c r="BY265" s="4550"/>
      <c r="BZ265" s="4550"/>
      <c r="CA265" s="4550"/>
      <c r="CB265" s="4550"/>
      <c r="CC265" s="4550"/>
      <c r="CD265" s="4550"/>
      <c r="CE265" s="4550"/>
      <c r="CF265" s="4550"/>
      <c r="CG265" s="4550"/>
      <c r="CH265" s="4550"/>
      <c r="CI265" s="4550"/>
      <c r="CJ265" s="4550"/>
      <c r="CK265" s="4550"/>
      <c r="CL265" s="4550"/>
      <c r="CM265" s="4550"/>
      <c r="CN265" s="4550"/>
      <c r="CO265" s="4550"/>
      <c r="CP265" s="4550"/>
      <c r="CQ265" s="4550"/>
      <c r="CR265" s="4550"/>
      <c r="CS265" s="4550"/>
      <c r="CT265" s="4550"/>
      <c r="CU265" s="4550"/>
      <c r="CV265" s="4550"/>
      <c r="CW265" s="4550"/>
      <c r="CX265" s="4550"/>
      <c r="CY265" s="4550"/>
      <c r="CZ265" s="4550"/>
      <c r="DA265" s="4550"/>
      <c r="DB265" s="4550"/>
      <c r="DC265" s="4550"/>
      <c r="DD265" s="4550"/>
      <c r="DE265" s="4550"/>
      <c r="DF265" s="4550"/>
      <c r="DG265" s="4550"/>
      <c r="DH265" s="4550"/>
      <c r="DI265" s="4550"/>
      <c r="DJ265" s="4550"/>
      <c r="DK265" s="4550"/>
      <c r="DL265" s="4550"/>
      <c r="DM265" s="4550"/>
      <c r="DN265" s="4550"/>
      <c r="DO265" s="4550"/>
      <c r="DP265" s="4550"/>
      <c r="DQ265" s="4550"/>
      <c r="DR265" s="4550"/>
      <c r="DS265" s="4550"/>
      <c r="DT265" s="4550"/>
      <c r="DU265" s="4550"/>
      <c r="DV265" s="4550"/>
      <c r="DW265" s="4550"/>
      <c r="DX265" s="4550"/>
      <c r="DY265" s="4550"/>
      <c r="DZ265" s="4550"/>
      <c r="EA265" s="4550"/>
      <c r="EB265" s="4550"/>
      <c r="EC265" s="4550"/>
      <c r="ED265" s="4550"/>
      <c r="EE265" s="4550"/>
      <c r="EF265" s="4550"/>
      <c r="EG265" s="4550"/>
      <c r="EH265" s="4550"/>
      <c r="EI265" s="4550"/>
      <c r="EJ265" s="4550"/>
      <c r="EK265" s="4550"/>
      <c r="EL265" s="4550"/>
      <c r="EM265" s="4550"/>
      <c r="EN265" s="4550"/>
      <c r="EO265" s="4550"/>
      <c r="EP265" s="4550"/>
      <c r="EQ265" s="4550"/>
      <c r="ER265" s="4550"/>
      <c r="ES265" s="4550"/>
      <c r="ET265" s="4550"/>
      <c r="EU265" s="4550"/>
      <c r="EV265" s="4550"/>
      <c r="EW265" s="4550"/>
      <c r="EX265" s="4550"/>
      <c r="EY265" s="4550"/>
      <c r="EZ265" s="4550"/>
      <c r="FA265" s="4550"/>
      <c r="FB265" s="4550"/>
      <c r="FC265" s="4550"/>
      <c r="FD265" s="4550"/>
      <c r="FE265" s="4550"/>
      <c r="FF265" s="4550"/>
      <c r="FG265" s="4550"/>
      <c r="FH265" s="4550"/>
      <c r="FI265" s="4550"/>
      <c r="FJ265" s="4550"/>
      <c r="FK265" s="4550"/>
      <c r="FL265" s="4550"/>
      <c r="FM265" s="4550"/>
      <c r="FN265" s="4550"/>
      <c r="FO265" s="4550"/>
      <c r="FP265" s="4550"/>
      <c r="FQ265" s="4550"/>
      <c r="FR265" s="4550"/>
      <c r="FS265" s="4550"/>
      <c r="FT265" s="4550"/>
      <c r="FU265" s="4550"/>
      <c r="FV265" s="4550"/>
      <c r="FW265" s="4550"/>
      <c r="FX265" s="4550"/>
      <c r="FY265" s="4550"/>
      <c r="FZ265" s="4550"/>
      <c r="GA265" s="4550"/>
      <c r="GB265" s="4550"/>
      <c r="GC265" s="4550"/>
      <c r="GD265" s="4550"/>
      <c r="GE265" s="4550"/>
      <c r="GF265" s="4550"/>
      <c r="GG265" s="4550"/>
      <c r="GH265" s="4550"/>
      <c r="GI265" s="4550"/>
      <c r="GJ265" s="4550"/>
      <c r="GK265" s="4550"/>
      <c r="GL265" s="4550"/>
      <c r="GM265" s="4550"/>
      <c r="GN265" s="4550"/>
      <c r="GO265" s="4550"/>
      <c r="GP265" s="4550"/>
      <c r="GQ265" s="4550"/>
      <c r="GR265" s="4550"/>
      <c r="GS265" s="4550"/>
      <c r="GT265" s="4550"/>
      <c r="GU265" s="4550"/>
      <c r="GV265" s="4550"/>
      <c r="GW265" s="4550"/>
      <c r="GX265" s="4550"/>
      <c r="GY265" s="4550"/>
      <c r="GZ265" s="4550"/>
      <c r="HA265" s="4550"/>
      <c r="HB265" s="4550"/>
      <c r="HC265" s="4550"/>
      <c r="HD265" s="4550"/>
      <c r="HE265" s="4550"/>
      <c r="HF265" s="4550"/>
      <c r="HG265" s="4550"/>
      <c r="HH265" s="4550"/>
      <c r="HI265" s="4550"/>
      <c r="HJ265" s="4550"/>
      <c r="HK265" s="4550"/>
      <c r="HL265" s="4550"/>
      <c r="HM265" s="4550"/>
      <c r="HN265" s="4550"/>
      <c r="HO265" s="4550"/>
      <c r="HP265" s="4550"/>
      <c r="HQ265" s="4550"/>
      <c r="HR265" s="4550"/>
      <c r="HS265" s="4550"/>
      <c r="HT265" s="4550"/>
      <c r="HU265" s="4550"/>
      <c r="HV265" s="4550"/>
      <c r="HW265" s="4550"/>
      <c r="HX265" s="4550"/>
      <c r="HY265" s="4550"/>
      <c r="HZ265" s="4550"/>
      <c r="IA265" s="4550"/>
      <c r="IB265" s="4550"/>
      <c r="IC265" s="4550"/>
      <c r="ID265" s="4550"/>
      <c r="IE265" s="4550"/>
    </row>
    <row r="266" spans="1:239" s="4549" customFormat="1" ht="28.5">
      <c r="A266" s="4654" t="s">
        <v>512</v>
      </c>
      <c r="B266" s="4635" t="s">
        <v>4178</v>
      </c>
      <c r="C266" s="4677">
        <v>1</v>
      </c>
      <c r="D266" s="4593" t="s">
        <v>2433</v>
      </c>
      <c r="E266" s="4318"/>
      <c r="F266" s="5000">
        <f t="shared" si="10"/>
        <v>0</v>
      </c>
      <c r="G266" s="4537"/>
      <c r="H266" s="4537"/>
      <c r="I266" s="4537"/>
      <c r="J266" s="4537"/>
      <c r="K266" s="4537"/>
      <c r="L266" s="4537"/>
      <c r="M266" s="4537"/>
      <c r="N266" s="4537"/>
      <c r="O266" s="4537"/>
      <c r="P266" s="4537"/>
      <c r="Q266" s="4537"/>
      <c r="R266" s="4537"/>
      <c r="S266" s="4537"/>
      <c r="T266" s="4537"/>
      <c r="U266" s="4537"/>
      <c r="V266" s="4537"/>
      <c r="W266" s="4537"/>
      <c r="X266" s="4537"/>
      <c r="Y266" s="4537"/>
      <c r="Z266" s="4537"/>
      <c r="AA266" s="4537"/>
      <c r="AB266" s="4537"/>
      <c r="AC266" s="4537"/>
      <c r="AD266" s="4537"/>
      <c r="AE266" s="4537"/>
      <c r="AF266" s="4537"/>
      <c r="AG266" s="4537"/>
      <c r="AH266" s="4537"/>
      <c r="AI266" s="4537"/>
      <c r="AJ266" s="4537"/>
      <c r="AK266" s="4537"/>
      <c r="AL266" s="4537"/>
      <c r="AM266" s="4537"/>
      <c r="AN266" s="4537"/>
      <c r="AO266" s="4537"/>
      <c r="AP266" s="4537"/>
      <c r="AQ266" s="4537"/>
      <c r="AR266" s="4537"/>
      <c r="AS266" s="4550"/>
      <c r="AT266" s="4550"/>
      <c r="AU266" s="4550"/>
      <c r="AV266" s="4550"/>
      <c r="AW266" s="4550"/>
      <c r="AX266" s="4550"/>
      <c r="AY266" s="4550"/>
      <c r="AZ266" s="4550"/>
      <c r="BA266" s="4550"/>
      <c r="BB266" s="4550"/>
      <c r="BC266" s="4550"/>
      <c r="BD266" s="4550"/>
      <c r="BE266" s="4550"/>
      <c r="BF266" s="4550"/>
      <c r="BG266" s="4550"/>
      <c r="BH266" s="4550"/>
      <c r="BI266" s="4550"/>
      <c r="BJ266" s="4550"/>
      <c r="BK266" s="4550"/>
      <c r="BL266" s="4550"/>
      <c r="BM266" s="4550"/>
      <c r="BN266" s="4550"/>
      <c r="BO266" s="4550"/>
      <c r="BP266" s="4550"/>
      <c r="BQ266" s="4550"/>
      <c r="BR266" s="4550"/>
      <c r="BS266" s="4550"/>
      <c r="BT266" s="4550"/>
      <c r="BU266" s="4550"/>
      <c r="BV266" s="4550"/>
      <c r="BW266" s="4550"/>
      <c r="BX266" s="4550"/>
      <c r="BY266" s="4550"/>
      <c r="BZ266" s="4550"/>
      <c r="CA266" s="4550"/>
      <c r="CB266" s="4550"/>
      <c r="CC266" s="4550"/>
      <c r="CD266" s="4550"/>
      <c r="CE266" s="4550"/>
      <c r="CF266" s="4550"/>
      <c r="CG266" s="4550"/>
      <c r="CH266" s="4550"/>
      <c r="CI266" s="4550"/>
      <c r="CJ266" s="4550"/>
      <c r="CK266" s="4550"/>
      <c r="CL266" s="4550"/>
      <c r="CM266" s="4550"/>
      <c r="CN266" s="4550"/>
      <c r="CO266" s="4550"/>
      <c r="CP266" s="4550"/>
      <c r="CQ266" s="4550"/>
      <c r="CR266" s="4550"/>
      <c r="CS266" s="4550"/>
      <c r="CT266" s="4550"/>
      <c r="CU266" s="4550"/>
      <c r="CV266" s="4550"/>
      <c r="CW266" s="4550"/>
      <c r="CX266" s="4550"/>
      <c r="CY266" s="4550"/>
      <c r="CZ266" s="4550"/>
      <c r="DA266" s="4550"/>
      <c r="DB266" s="4550"/>
      <c r="DC266" s="4550"/>
      <c r="DD266" s="4550"/>
      <c r="DE266" s="4550"/>
      <c r="DF266" s="4550"/>
      <c r="DG266" s="4550"/>
      <c r="DH266" s="4550"/>
      <c r="DI266" s="4550"/>
      <c r="DJ266" s="4550"/>
      <c r="DK266" s="4550"/>
      <c r="DL266" s="4550"/>
      <c r="DM266" s="4550"/>
      <c r="DN266" s="4550"/>
      <c r="DO266" s="4550"/>
      <c r="DP266" s="4550"/>
      <c r="DQ266" s="4550"/>
      <c r="DR266" s="4550"/>
      <c r="DS266" s="4550"/>
      <c r="DT266" s="4550"/>
      <c r="DU266" s="4550"/>
      <c r="DV266" s="4550"/>
      <c r="DW266" s="4550"/>
      <c r="DX266" s="4550"/>
      <c r="DY266" s="4550"/>
      <c r="DZ266" s="4550"/>
      <c r="EA266" s="4550"/>
      <c r="EB266" s="4550"/>
      <c r="EC266" s="4550"/>
      <c r="ED266" s="4550"/>
      <c r="EE266" s="4550"/>
      <c r="EF266" s="4550"/>
      <c r="EG266" s="4550"/>
      <c r="EH266" s="4550"/>
      <c r="EI266" s="4550"/>
      <c r="EJ266" s="4550"/>
      <c r="EK266" s="4550"/>
      <c r="EL266" s="4550"/>
      <c r="EM266" s="4550"/>
      <c r="EN266" s="4550"/>
      <c r="EO266" s="4550"/>
      <c r="EP266" s="4550"/>
      <c r="EQ266" s="4550"/>
      <c r="ER266" s="4550"/>
      <c r="ES266" s="4550"/>
      <c r="ET266" s="4550"/>
      <c r="EU266" s="4550"/>
      <c r="EV266" s="4550"/>
      <c r="EW266" s="4550"/>
      <c r="EX266" s="4550"/>
      <c r="EY266" s="4550"/>
      <c r="EZ266" s="4550"/>
      <c r="FA266" s="4550"/>
      <c r="FB266" s="4550"/>
      <c r="FC266" s="4550"/>
      <c r="FD266" s="4550"/>
      <c r="FE266" s="4550"/>
      <c r="FF266" s="4550"/>
      <c r="FG266" s="4550"/>
      <c r="FH266" s="4550"/>
      <c r="FI266" s="4550"/>
      <c r="FJ266" s="4550"/>
      <c r="FK266" s="4550"/>
      <c r="FL266" s="4550"/>
      <c r="FM266" s="4550"/>
      <c r="FN266" s="4550"/>
      <c r="FO266" s="4550"/>
      <c r="FP266" s="4550"/>
      <c r="FQ266" s="4550"/>
      <c r="FR266" s="4550"/>
      <c r="FS266" s="4550"/>
      <c r="FT266" s="4550"/>
      <c r="FU266" s="4550"/>
      <c r="FV266" s="4550"/>
      <c r="FW266" s="4550"/>
      <c r="FX266" s="4550"/>
      <c r="FY266" s="4550"/>
      <c r="FZ266" s="4550"/>
      <c r="GA266" s="4550"/>
      <c r="GB266" s="4550"/>
      <c r="GC266" s="4550"/>
      <c r="GD266" s="4550"/>
      <c r="GE266" s="4550"/>
      <c r="GF266" s="4550"/>
      <c r="GG266" s="4550"/>
      <c r="GH266" s="4550"/>
      <c r="GI266" s="4550"/>
      <c r="GJ266" s="4550"/>
      <c r="GK266" s="4550"/>
      <c r="GL266" s="4550"/>
      <c r="GM266" s="4550"/>
      <c r="GN266" s="4550"/>
      <c r="GO266" s="4550"/>
      <c r="GP266" s="4550"/>
      <c r="GQ266" s="4550"/>
      <c r="GR266" s="4550"/>
      <c r="GS266" s="4550"/>
      <c r="GT266" s="4550"/>
      <c r="GU266" s="4550"/>
      <c r="GV266" s="4550"/>
      <c r="GW266" s="4550"/>
      <c r="GX266" s="4550"/>
      <c r="GY266" s="4550"/>
      <c r="GZ266" s="4550"/>
      <c r="HA266" s="4550"/>
      <c r="HB266" s="4550"/>
      <c r="HC266" s="4550"/>
      <c r="HD266" s="4550"/>
      <c r="HE266" s="4550"/>
      <c r="HF266" s="4550"/>
      <c r="HG266" s="4550"/>
      <c r="HH266" s="4550"/>
      <c r="HI266" s="4550"/>
      <c r="HJ266" s="4550"/>
      <c r="HK266" s="4550"/>
      <c r="HL266" s="4550"/>
      <c r="HM266" s="4550"/>
      <c r="HN266" s="4550"/>
      <c r="HO266" s="4550"/>
      <c r="HP266" s="4550"/>
      <c r="HQ266" s="4550"/>
      <c r="HR266" s="4550"/>
      <c r="HS266" s="4550"/>
      <c r="HT266" s="4550"/>
      <c r="HU266" s="4550"/>
      <c r="HV266" s="4550"/>
      <c r="HW266" s="4550"/>
      <c r="HX266" s="4550"/>
      <c r="HY266" s="4550"/>
      <c r="HZ266" s="4550"/>
      <c r="IA266" s="4550"/>
      <c r="IB266" s="4550"/>
      <c r="IC266" s="4550"/>
      <c r="ID266" s="4550"/>
      <c r="IE266" s="4550"/>
    </row>
    <row r="267" spans="1:239" s="4549" customFormat="1" ht="15">
      <c r="A267" s="4167"/>
      <c r="B267" s="4734"/>
      <c r="C267" s="4677"/>
      <c r="D267" s="4593"/>
      <c r="E267" s="4318"/>
      <c r="F267" s="5000"/>
      <c r="G267" s="4537"/>
      <c r="H267" s="4537"/>
      <c r="I267" s="4537"/>
      <c r="J267" s="4537"/>
      <c r="K267" s="4537"/>
      <c r="L267" s="4537"/>
      <c r="M267" s="4537"/>
      <c r="N267" s="4537"/>
      <c r="O267" s="4537"/>
      <c r="P267" s="4537"/>
      <c r="Q267" s="4537"/>
      <c r="R267" s="4537"/>
      <c r="S267" s="4537"/>
      <c r="T267" s="4537"/>
      <c r="U267" s="4537"/>
      <c r="V267" s="4537"/>
      <c r="W267" s="4537"/>
      <c r="X267" s="4537"/>
      <c r="Y267" s="4537"/>
      <c r="Z267" s="4537"/>
      <c r="AA267" s="4537"/>
      <c r="AB267" s="4537"/>
      <c r="AC267" s="4537"/>
      <c r="AD267" s="4537"/>
      <c r="AE267" s="4537"/>
      <c r="AF267" s="4537"/>
      <c r="AG267" s="4537"/>
      <c r="AH267" s="4537"/>
      <c r="AI267" s="4537"/>
      <c r="AJ267" s="4537"/>
      <c r="AK267" s="4537"/>
      <c r="AL267" s="4537"/>
      <c r="AM267" s="4537"/>
      <c r="AN267" s="4537"/>
      <c r="AO267" s="4537"/>
      <c r="AP267" s="4537"/>
      <c r="AQ267" s="4537"/>
      <c r="AR267" s="4537"/>
      <c r="AS267" s="4550"/>
      <c r="AT267" s="4550"/>
      <c r="AU267" s="4550"/>
      <c r="AV267" s="4550"/>
      <c r="AW267" s="4550"/>
      <c r="AX267" s="4550"/>
      <c r="AY267" s="4550"/>
      <c r="AZ267" s="4550"/>
      <c r="BA267" s="4550"/>
      <c r="BB267" s="4550"/>
      <c r="BC267" s="4550"/>
      <c r="BD267" s="4550"/>
      <c r="BE267" s="4550"/>
      <c r="BF267" s="4550"/>
      <c r="BG267" s="4550"/>
      <c r="BH267" s="4550"/>
      <c r="BI267" s="4550"/>
      <c r="BJ267" s="4550"/>
      <c r="BK267" s="4550"/>
      <c r="BL267" s="4550"/>
      <c r="BM267" s="4550"/>
      <c r="BN267" s="4550"/>
      <c r="BO267" s="4550"/>
      <c r="BP267" s="4550"/>
      <c r="BQ267" s="4550"/>
      <c r="BR267" s="4550"/>
      <c r="BS267" s="4550"/>
      <c r="BT267" s="4550"/>
      <c r="BU267" s="4550"/>
      <c r="BV267" s="4550"/>
      <c r="BW267" s="4550"/>
      <c r="BX267" s="4550"/>
      <c r="BY267" s="4550"/>
      <c r="BZ267" s="4550"/>
      <c r="CA267" s="4550"/>
      <c r="CB267" s="4550"/>
      <c r="CC267" s="4550"/>
      <c r="CD267" s="4550"/>
      <c r="CE267" s="4550"/>
      <c r="CF267" s="4550"/>
      <c r="CG267" s="4550"/>
      <c r="CH267" s="4550"/>
      <c r="CI267" s="4550"/>
      <c r="CJ267" s="4550"/>
      <c r="CK267" s="4550"/>
      <c r="CL267" s="4550"/>
      <c r="CM267" s="4550"/>
      <c r="CN267" s="4550"/>
      <c r="CO267" s="4550"/>
      <c r="CP267" s="4550"/>
      <c r="CQ267" s="4550"/>
      <c r="CR267" s="4550"/>
      <c r="CS267" s="4550"/>
      <c r="CT267" s="4550"/>
      <c r="CU267" s="4550"/>
      <c r="CV267" s="4550"/>
      <c r="CW267" s="4550"/>
      <c r="CX267" s="4550"/>
      <c r="CY267" s="4550"/>
      <c r="CZ267" s="4550"/>
      <c r="DA267" s="4550"/>
      <c r="DB267" s="4550"/>
      <c r="DC267" s="4550"/>
      <c r="DD267" s="4550"/>
      <c r="DE267" s="4550"/>
      <c r="DF267" s="4550"/>
      <c r="DG267" s="4550"/>
      <c r="DH267" s="4550"/>
      <c r="DI267" s="4550"/>
      <c r="DJ267" s="4550"/>
      <c r="DK267" s="4550"/>
      <c r="DL267" s="4550"/>
      <c r="DM267" s="4550"/>
      <c r="DN267" s="4550"/>
      <c r="DO267" s="4550"/>
      <c r="DP267" s="4550"/>
      <c r="DQ267" s="4550"/>
      <c r="DR267" s="4550"/>
      <c r="DS267" s="4550"/>
      <c r="DT267" s="4550"/>
      <c r="DU267" s="4550"/>
      <c r="DV267" s="4550"/>
      <c r="DW267" s="4550"/>
      <c r="DX267" s="4550"/>
      <c r="DY267" s="4550"/>
      <c r="DZ267" s="4550"/>
      <c r="EA267" s="4550"/>
      <c r="EB267" s="4550"/>
      <c r="EC267" s="4550"/>
      <c r="ED267" s="4550"/>
      <c r="EE267" s="4550"/>
      <c r="EF267" s="4550"/>
      <c r="EG267" s="4550"/>
      <c r="EH267" s="4550"/>
      <c r="EI267" s="4550"/>
      <c r="EJ267" s="4550"/>
      <c r="EK267" s="4550"/>
      <c r="EL267" s="4550"/>
      <c r="EM267" s="4550"/>
      <c r="EN267" s="4550"/>
      <c r="EO267" s="4550"/>
      <c r="EP267" s="4550"/>
      <c r="EQ267" s="4550"/>
      <c r="ER267" s="4550"/>
      <c r="ES267" s="4550"/>
      <c r="ET267" s="4550"/>
      <c r="EU267" s="4550"/>
      <c r="EV267" s="4550"/>
      <c r="EW267" s="4550"/>
      <c r="EX267" s="4550"/>
      <c r="EY267" s="4550"/>
      <c r="EZ267" s="4550"/>
      <c r="FA267" s="4550"/>
      <c r="FB267" s="4550"/>
      <c r="FC267" s="4550"/>
      <c r="FD267" s="4550"/>
      <c r="FE267" s="4550"/>
      <c r="FF267" s="4550"/>
      <c r="FG267" s="4550"/>
      <c r="FH267" s="4550"/>
      <c r="FI267" s="4550"/>
      <c r="FJ267" s="4550"/>
      <c r="FK267" s="4550"/>
      <c r="FL267" s="4550"/>
      <c r="FM267" s="4550"/>
      <c r="FN267" s="4550"/>
      <c r="FO267" s="4550"/>
      <c r="FP267" s="4550"/>
      <c r="FQ267" s="4550"/>
      <c r="FR267" s="4550"/>
      <c r="FS267" s="4550"/>
      <c r="FT267" s="4550"/>
      <c r="FU267" s="4550"/>
      <c r="FV267" s="4550"/>
      <c r="FW267" s="4550"/>
      <c r="FX267" s="4550"/>
      <c r="FY267" s="4550"/>
      <c r="FZ267" s="4550"/>
      <c r="GA267" s="4550"/>
      <c r="GB267" s="4550"/>
      <c r="GC267" s="4550"/>
      <c r="GD267" s="4550"/>
      <c r="GE267" s="4550"/>
      <c r="GF267" s="4550"/>
      <c r="GG267" s="4550"/>
      <c r="GH267" s="4550"/>
      <c r="GI267" s="4550"/>
      <c r="GJ267" s="4550"/>
      <c r="GK267" s="4550"/>
      <c r="GL267" s="4550"/>
      <c r="GM267" s="4550"/>
      <c r="GN267" s="4550"/>
      <c r="GO267" s="4550"/>
      <c r="GP267" s="4550"/>
      <c r="GQ267" s="4550"/>
      <c r="GR267" s="4550"/>
      <c r="GS267" s="4550"/>
      <c r="GT267" s="4550"/>
      <c r="GU267" s="4550"/>
      <c r="GV267" s="4550"/>
      <c r="GW267" s="4550"/>
      <c r="GX267" s="4550"/>
      <c r="GY267" s="4550"/>
      <c r="GZ267" s="4550"/>
      <c r="HA267" s="4550"/>
      <c r="HB267" s="4550"/>
      <c r="HC267" s="4550"/>
      <c r="HD267" s="4550"/>
      <c r="HE267" s="4550"/>
      <c r="HF267" s="4550"/>
      <c r="HG267" s="4550"/>
      <c r="HH267" s="4550"/>
      <c r="HI267" s="4550"/>
      <c r="HJ267" s="4550"/>
      <c r="HK267" s="4550"/>
      <c r="HL267" s="4550"/>
      <c r="HM267" s="4550"/>
      <c r="HN267" s="4550"/>
      <c r="HO267" s="4550"/>
      <c r="HP267" s="4550"/>
      <c r="HQ267" s="4550"/>
      <c r="HR267" s="4550"/>
      <c r="HS267" s="4550"/>
      <c r="HT267" s="4550"/>
      <c r="HU267" s="4550"/>
      <c r="HV267" s="4550"/>
      <c r="HW267" s="4550"/>
      <c r="HX267" s="4550"/>
      <c r="HY267" s="4550"/>
      <c r="HZ267" s="4550"/>
      <c r="IA267" s="4550"/>
      <c r="IB267" s="4550"/>
      <c r="IC267" s="4550"/>
      <c r="ID267" s="4550"/>
      <c r="IE267" s="4550"/>
    </row>
    <row r="268" spans="1:239" s="4549" customFormat="1" ht="15">
      <c r="A268" s="4168">
        <v>9</v>
      </c>
      <c r="B268" s="4637" t="s">
        <v>4179</v>
      </c>
      <c r="C268" s="4677"/>
      <c r="D268" s="4593"/>
      <c r="E268" s="4318"/>
      <c r="F268" s="5000"/>
      <c r="G268" s="4537"/>
      <c r="H268" s="4537"/>
      <c r="I268" s="4537"/>
      <c r="J268" s="4537"/>
      <c r="K268" s="4537"/>
      <c r="L268" s="4537"/>
      <c r="M268" s="4537"/>
      <c r="N268" s="4537"/>
      <c r="O268" s="4537"/>
      <c r="P268" s="4537"/>
      <c r="Q268" s="4537"/>
      <c r="R268" s="4537"/>
      <c r="S268" s="4537"/>
      <c r="T268" s="4537"/>
      <c r="U268" s="4537"/>
      <c r="V268" s="4537"/>
      <c r="W268" s="4537"/>
      <c r="X268" s="4537"/>
      <c r="Y268" s="4537"/>
      <c r="Z268" s="4537"/>
      <c r="AA268" s="4537"/>
      <c r="AB268" s="4537"/>
      <c r="AC268" s="4537"/>
      <c r="AD268" s="4537"/>
      <c r="AE268" s="4537"/>
      <c r="AF268" s="4537"/>
      <c r="AG268" s="4537"/>
      <c r="AH268" s="4537"/>
      <c r="AI268" s="4537"/>
      <c r="AJ268" s="4537"/>
      <c r="AK268" s="4537"/>
      <c r="AL268" s="4537"/>
      <c r="AM268" s="4537"/>
      <c r="AN268" s="4537"/>
      <c r="AO268" s="4537"/>
      <c r="AP268" s="4537"/>
      <c r="AQ268" s="4537"/>
      <c r="AR268" s="4537"/>
      <c r="AS268" s="4550"/>
      <c r="AT268" s="4550"/>
      <c r="AU268" s="4550"/>
      <c r="AV268" s="4550"/>
      <c r="AW268" s="4550"/>
      <c r="AX268" s="4550"/>
      <c r="AY268" s="4550"/>
      <c r="AZ268" s="4550"/>
      <c r="BA268" s="4550"/>
      <c r="BB268" s="4550"/>
      <c r="BC268" s="4550"/>
      <c r="BD268" s="4550"/>
      <c r="BE268" s="4550"/>
      <c r="BF268" s="4550"/>
      <c r="BG268" s="4550"/>
      <c r="BH268" s="4550"/>
      <c r="BI268" s="4550"/>
      <c r="BJ268" s="4550"/>
      <c r="BK268" s="4550"/>
      <c r="BL268" s="4550"/>
      <c r="BM268" s="4550"/>
      <c r="BN268" s="4550"/>
      <c r="BO268" s="4550"/>
      <c r="BP268" s="4550"/>
      <c r="BQ268" s="4550"/>
      <c r="BR268" s="4550"/>
      <c r="BS268" s="4550"/>
      <c r="BT268" s="4550"/>
      <c r="BU268" s="4550"/>
      <c r="BV268" s="4550"/>
      <c r="BW268" s="4550"/>
      <c r="BX268" s="4550"/>
      <c r="BY268" s="4550"/>
      <c r="BZ268" s="4550"/>
      <c r="CA268" s="4550"/>
      <c r="CB268" s="4550"/>
      <c r="CC268" s="4550"/>
      <c r="CD268" s="4550"/>
      <c r="CE268" s="4550"/>
      <c r="CF268" s="4550"/>
      <c r="CG268" s="4550"/>
      <c r="CH268" s="4550"/>
      <c r="CI268" s="4550"/>
      <c r="CJ268" s="4550"/>
      <c r="CK268" s="4550"/>
      <c r="CL268" s="4550"/>
      <c r="CM268" s="4550"/>
      <c r="CN268" s="4550"/>
      <c r="CO268" s="4550"/>
      <c r="CP268" s="4550"/>
      <c r="CQ268" s="4550"/>
      <c r="CR268" s="4550"/>
      <c r="CS268" s="4550"/>
      <c r="CT268" s="4550"/>
      <c r="CU268" s="4550"/>
      <c r="CV268" s="4550"/>
      <c r="CW268" s="4550"/>
      <c r="CX268" s="4550"/>
      <c r="CY268" s="4550"/>
      <c r="CZ268" s="4550"/>
      <c r="DA268" s="4550"/>
      <c r="DB268" s="4550"/>
      <c r="DC268" s="4550"/>
      <c r="DD268" s="4550"/>
      <c r="DE268" s="4550"/>
      <c r="DF268" s="4550"/>
      <c r="DG268" s="4550"/>
      <c r="DH268" s="4550"/>
      <c r="DI268" s="4550"/>
      <c r="DJ268" s="4550"/>
      <c r="DK268" s="4550"/>
      <c r="DL268" s="4550"/>
      <c r="DM268" s="4550"/>
      <c r="DN268" s="4550"/>
      <c r="DO268" s="4550"/>
      <c r="DP268" s="4550"/>
      <c r="DQ268" s="4550"/>
      <c r="DR268" s="4550"/>
      <c r="DS268" s="4550"/>
      <c r="DT268" s="4550"/>
      <c r="DU268" s="4550"/>
      <c r="DV268" s="4550"/>
      <c r="DW268" s="4550"/>
      <c r="DX268" s="4550"/>
      <c r="DY268" s="4550"/>
      <c r="DZ268" s="4550"/>
      <c r="EA268" s="4550"/>
      <c r="EB268" s="4550"/>
      <c r="EC268" s="4550"/>
      <c r="ED268" s="4550"/>
      <c r="EE268" s="4550"/>
      <c r="EF268" s="4550"/>
      <c r="EG268" s="4550"/>
      <c r="EH268" s="4550"/>
      <c r="EI268" s="4550"/>
      <c r="EJ268" s="4550"/>
      <c r="EK268" s="4550"/>
      <c r="EL268" s="4550"/>
      <c r="EM268" s="4550"/>
      <c r="EN268" s="4550"/>
      <c r="EO268" s="4550"/>
      <c r="EP268" s="4550"/>
      <c r="EQ268" s="4550"/>
      <c r="ER268" s="4550"/>
      <c r="ES268" s="4550"/>
      <c r="ET268" s="4550"/>
      <c r="EU268" s="4550"/>
      <c r="EV268" s="4550"/>
      <c r="EW268" s="4550"/>
      <c r="EX268" s="4550"/>
      <c r="EY268" s="4550"/>
      <c r="EZ268" s="4550"/>
      <c r="FA268" s="4550"/>
      <c r="FB268" s="4550"/>
      <c r="FC268" s="4550"/>
      <c r="FD268" s="4550"/>
      <c r="FE268" s="4550"/>
      <c r="FF268" s="4550"/>
      <c r="FG268" s="4550"/>
      <c r="FH268" s="4550"/>
      <c r="FI268" s="4550"/>
      <c r="FJ268" s="4550"/>
      <c r="FK268" s="4550"/>
      <c r="FL268" s="4550"/>
      <c r="FM268" s="4550"/>
      <c r="FN268" s="4550"/>
      <c r="FO268" s="4550"/>
      <c r="FP268" s="4550"/>
      <c r="FQ268" s="4550"/>
      <c r="FR268" s="4550"/>
      <c r="FS268" s="4550"/>
      <c r="FT268" s="4550"/>
      <c r="FU268" s="4550"/>
      <c r="FV268" s="4550"/>
      <c r="FW268" s="4550"/>
      <c r="FX268" s="4550"/>
      <c r="FY268" s="4550"/>
      <c r="FZ268" s="4550"/>
      <c r="GA268" s="4550"/>
      <c r="GB268" s="4550"/>
      <c r="GC268" s="4550"/>
      <c r="GD268" s="4550"/>
      <c r="GE268" s="4550"/>
      <c r="GF268" s="4550"/>
      <c r="GG268" s="4550"/>
      <c r="GH268" s="4550"/>
      <c r="GI268" s="4550"/>
      <c r="GJ268" s="4550"/>
      <c r="GK268" s="4550"/>
      <c r="GL268" s="4550"/>
      <c r="GM268" s="4550"/>
      <c r="GN268" s="4550"/>
      <c r="GO268" s="4550"/>
      <c r="GP268" s="4550"/>
      <c r="GQ268" s="4550"/>
      <c r="GR268" s="4550"/>
      <c r="GS268" s="4550"/>
      <c r="GT268" s="4550"/>
      <c r="GU268" s="4550"/>
      <c r="GV268" s="4550"/>
      <c r="GW268" s="4550"/>
      <c r="GX268" s="4550"/>
      <c r="GY268" s="4550"/>
      <c r="GZ268" s="4550"/>
      <c r="HA268" s="4550"/>
      <c r="HB268" s="4550"/>
      <c r="HC268" s="4550"/>
      <c r="HD268" s="4550"/>
      <c r="HE268" s="4550"/>
      <c r="HF268" s="4550"/>
      <c r="HG268" s="4550"/>
      <c r="HH268" s="4550"/>
      <c r="HI268" s="4550"/>
      <c r="HJ268" s="4550"/>
      <c r="HK268" s="4550"/>
      <c r="HL268" s="4550"/>
      <c r="HM268" s="4550"/>
      <c r="HN268" s="4550"/>
      <c r="HO268" s="4550"/>
      <c r="HP268" s="4550"/>
      <c r="HQ268" s="4550"/>
      <c r="HR268" s="4550"/>
      <c r="HS268" s="4550"/>
      <c r="HT268" s="4550"/>
      <c r="HU268" s="4550"/>
      <c r="HV268" s="4550"/>
      <c r="HW268" s="4550"/>
      <c r="HX268" s="4550"/>
      <c r="HY268" s="4550"/>
      <c r="HZ268" s="4550"/>
      <c r="IA268" s="4550"/>
      <c r="IB268" s="4550"/>
      <c r="IC268" s="4550"/>
      <c r="ID268" s="4550"/>
      <c r="IE268" s="4550"/>
    </row>
    <row r="269" spans="1:239" s="4549" customFormat="1" ht="15">
      <c r="A269" s="4167">
        <v>9.1</v>
      </c>
      <c r="B269" s="4635" t="s">
        <v>2353</v>
      </c>
      <c r="C269" s="4677">
        <v>25</v>
      </c>
      <c r="D269" s="4593" t="s">
        <v>1</v>
      </c>
      <c r="E269" s="4318"/>
      <c r="F269" s="5000">
        <f t="shared" ref="F269:F274" si="11">ROUND((C269*E269),2)</f>
        <v>0</v>
      </c>
      <c r="G269" s="4537"/>
      <c r="H269" s="4537"/>
      <c r="I269" s="4537"/>
      <c r="J269" s="4537"/>
      <c r="K269" s="4537"/>
      <c r="L269" s="4537"/>
      <c r="M269" s="4537"/>
      <c r="N269" s="4537"/>
      <c r="O269" s="4537"/>
      <c r="P269" s="4537"/>
      <c r="Q269" s="4537"/>
      <c r="R269" s="4537"/>
      <c r="S269" s="4537"/>
      <c r="T269" s="4537"/>
      <c r="U269" s="4537"/>
      <c r="V269" s="4537"/>
      <c r="W269" s="4537"/>
      <c r="X269" s="4537"/>
      <c r="Y269" s="4537"/>
      <c r="Z269" s="4537"/>
      <c r="AA269" s="4537"/>
      <c r="AB269" s="4537"/>
      <c r="AC269" s="4537"/>
      <c r="AD269" s="4537"/>
      <c r="AE269" s="4537"/>
      <c r="AF269" s="4537"/>
      <c r="AG269" s="4537"/>
      <c r="AH269" s="4537"/>
      <c r="AI269" s="4537"/>
      <c r="AJ269" s="4537"/>
      <c r="AK269" s="4537"/>
      <c r="AL269" s="4537"/>
      <c r="AM269" s="4537"/>
      <c r="AN269" s="4537"/>
      <c r="AO269" s="4537"/>
      <c r="AP269" s="4537"/>
      <c r="AQ269" s="4537"/>
      <c r="AR269" s="4537"/>
      <c r="AS269" s="4550"/>
      <c r="AT269" s="4550"/>
      <c r="AU269" s="4550"/>
      <c r="AV269" s="4550"/>
      <c r="AW269" s="4550"/>
      <c r="AX269" s="4550"/>
      <c r="AY269" s="4550"/>
      <c r="AZ269" s="4550"/>
      <c r="BA269" s="4550"/>
      <c r="BB269" s="4550"/>
      <c r="BC269" s="4550"/>
      <c r="BD269" s="4550"/>
      <c r="BE269" s="4550"/>
      <c r="BF269" s="4550"/>
      <c r="BG269" s="4550"/>
      <c r="BH269" s="4550"/>
      <c r="BI269" s="4550"/>
      <c r="BJ269" s="4550"/>
      <c r="BK269" s="4550"/>
      <c r="BL269" s="4550"/>
      <c r="BM269" s="4550"/>
      <c r="BN269" s="4550"/>
      <c r="BO269" s="4550"/>
      <c r="BP269" s="4550"/>
      <c r="BQ269" s="4550"/>
      <c r="BR269" s="4550"/>
      <c r="BS269" s="4550"/>
      <c r="BT269" s="4550"/>
      <c r="BU269" s="4550"/>
      <c r="BV269" s="4550"/>
      <c r="BW269" s="4550"/>
      <c r="BX269" s="4550"/>
      <c r="BY269" s="4550"/>
      <c r="BZ269" s="4550"/>
      <c r="CA269" s="4550"/>
      <c r="CB269" s="4550"/>
      <c r="CC269" s="4550"/>
      <c r="CD269" s="4550"/>
      <c r="CE269" s="4550"/>
      <c r="CF269" s="4550"/>
      <c r="CG269" s="4550"/>
      <c r="CH269" s="4550"/>
      <c r="CI269" s="4550"/>
      <c r="CJ269" s="4550"/>
      <c r="CK269" s="4550"/>
      <c r="CL269" s="4550"/>
      <c r="CM269" s="4550"/>
      <c r="CN269" s="4550"/>
      <c r="CO269" s="4550"/>
      <c r="CP269" s="4550"/>
      <c r="CQ269" s="4550"/>
      <c r="CR269" s="4550"/>
      <c r="CS269" s="4550"/>
      <c r="CT269" s="4550"/>
      <c r="CU269" s="4550"/>
      <c r="CV269" s="4550"/>
      <c r="CW269" s="4550"/>
      <c r="CX269" s="4550"/>
      <c r="CY269" s="4550"/>
      <c r="CZ269" s="4550"/>
      <c r="DA269" s="4550"/>
      <c r="DB269" s="4550"/>
      <c r="DC269" s="4550"/>
      <c r="DD269" s="4550"/>
      <c r="DE269" s="4550"/>
      <c r="DF269" s="4550"/>
      <c r="DG269" s="4550"/>
      <c r="DH269" s="4550"/>
      <c r="DI269" s="4550"/>
      <c r="DJ269" s="4550"/>
      <c r="DK269" s="4550"/>
      <c r="DL269" s="4550"/>
      <c r="DM269" s="4550"/>
      <c r="DN269" s="4550"/>
      <c r="DO269" s="4550"/>
      <c r="DP269" s="4550"/>
      <c r="DQ269" s="4550"/>
      <c r="DR269" s="4550"/>
      <c r="DS269" s="4550"/>
      <c r="DT269" s="4550"/>
      <c r="DU269" s="4550"/>
      <c r="DV269" s="4550"/>
      <c r="DW269" s="4550"/>
      <c r="DX269" s="4550"/>
      <c r="DY269" s="4550"/>
      <c r="DZ269" s="4550"/>
      <c r="EA269" s="4550"/>
      <c r="EB269" s="4550"/>
      <c r="EC269" s="4550"/>
      <c r="ED269" s="4550"/>
      <c r="EE269" s="4550"/>
      <c r="EF269" s="4550"/>
      <c r="EG269" s="4550"/>
      <c r="EH269" s="4550"/>
      <c r="EI269" s="4550"/>
      <c r="EJ269" s="4550"/>
      <c r="EK269" s="4550"/>
      <c r="EL269" s="4550"/>
      <c r="EM269" s="4550"/>
      <c r="EN269" s="4550"/>
      <c r="EO269" s="4550"/>
      <c r="EP269" s="4550"/>
      <c r="EQ269" s="4550"/>
      <c r="ER269" s="4550"/>
      <c r="ES269" s="4550"/>
      <c r="ET269" s="4550"/>
      <c r="EU269" s="4550"/>
      <c r="EV269" s="4550"/>
      <c r="EW269" s="4550"/>
      <c r="EX269" s="4550"/>
      <c r="EY269" s="4550"/>
      <c r="EZ269" s="4550"/>
      <c r="FA269" s="4550"/>
      <c r="FB269" s="4550"/>
      <c r="FC269" s="4550"/>
      <c r="FD269" s="4550"/>
      <c r="FE269" s="4550"/>
      <c r="FF269" s="4550"/>
      <c r="FG269" s="4550"/>
      <c r="FH269" s="4550"/>
      <c r="FI269" s="4550"/>
      <c r="FJ269" s="4550"/>
      <c r="FK269" s="4550"/>
      <c r="FL269" s="4550"/>
      <c r="FM269" s="4550"/>
      <c r="FN269" s="4550"/>
      <c r="FO269" s="4550"/>
      <c r="FP269" s="4550"/>
      <c r="FQ269" s="4550"/>
      <c r="FR269" s="4550"/>
      <c r="FS269" s="4550"/>
      <c r="FT269" s="4550"/>
      <c r="FU269" s="4550"/>
      <c r="FV269" s="4550"/>
      <c r="FW269" s="4550"/>
      <c r="FX269" s="4550"/>
      <c r="FY269" s="4550"/>
      <c r="FZ269" s="4550"/>
      <c r="GA269" s="4550"/>
      <c r="GB269" s="4550"/>
      <c r="GC269" s="4550"/>
      <c r="GD269" s="4550"/>
      <c r="GE269" s="4550"/>
      <c r="GF269" s="4550"/>
      <c r="GG269" s="4550"/>
      <c r="GH269" s="4550"/>
      <c r="GI269" s="4550"/>
      <c r="GJ269" s="4550"/>
      <c r="GK269" s="4550"/>
      <c r="GL269" s="4550"/>
      <c r="GM269" s="4550"/>
      <c r="GN269" s="4550"/>
      <c r="GO269" s="4550"/>
      <c r="GP269" s="4550"/>
      <c r="GQ269" s="4550"/>
      <c r="GR269" s="4550"/>
      <c r="GS269" s="4550"/>
      <c r="GT269" s="4550"/>
      <c r="GU269" s="4550"/>
      <c r="GV269" s="4550"/>
      <c r="GW269" s="4550"/>
      <c r="GX269" s="4550"/>
      <c r="GY269" s="4550"/>
      <c r="GZ269" s="4550"/>
      <c r="HA269" s="4550"/>
      <c r="HB269" s="4550"/>
      <c r="HC269" s="4550"/>
      <c r="HD269" s="4550"/>
      <c r="HE269" s="4550"/>
      <c r="HF269" s="4550"/>
      <c r="HG269" s="4550"/>
      <c r="HH269" s="4550"/>
      <c r="HI269" s="4550"/>
      <c r="HJ269" s="4550"/>
      <c r="HK269" s="4550"/>
      <c r="HL269" s="4550"/>
      <c r="HM269" s="4550"/>
      <c r="HN269" s="4550"/>
      <c r="HO269" s="4550"/>
      <c r="HP269" s="4550"/>
      <c r="HQ269" s="4550"/>
      <c r="HR269" s="4550"/>
      <c r="HS269" s="4550"/>
      <c r="HT269" s="4550"/>
      <c r="HU269" s="4550"/>
      <c r="HV269" s="4550"/>
      <c r="HW269" s="4550"/>
      <c r="HX269" s="4550"/>
      <c r="HY269" s="4550"/>
      <c r="HZ269" s="4550"/>
      <c r="IA269" s="4550"/>
      <c r="IB269" s="4550"/>
      <c r="IC269" s="4550"/>
      <c r="ID269" s="4550"/>
      <c r="IE269" s="4550"/>
    </row>
    <row r="270" spans="1:239" s="4549" customFormat="1" ht="15">
      <c r="A270" s="4167">
        <v>9.1999999999999993</v>
      </c>
      <c r="B270" s="4635" t="s">
        <v>4172</v>
      </c>
      <c r="C270" s="4677">
        <v>27</v>
      </c>
      <c r="D270" s="4755" t="s">
        <v>2430</v>
      </c>
      <c r="E270" s="4318"/>
      <c r="F270" s="5000">
        <f t="shared" si="11"/>
        <v>0</v>
      </c>
      <c r="G270" s="4537"/>
      <c r="H270" s="4537"/>
      <c r="I270" s="4537"/>
      <c r="J270" s="4537"/>
      <c r="K270" s="4537"/>
      <c r="L270" s="4537"/>
      <c r="M270" s="4537"/>
      <c r="N270" s="4537"/>
      <c r="O270" s="4537"/>
      <c r="P270" s="4537"/>
      <c r="Q270" s="4537"/>
      <c r="R270" s="4537"/>
      <c r="S270" s="4537"/>
      <c r="T270" s="4537"/>
      <c r="U270" s="4537"/>
      <c r="V270" s="4537"/>
      <c r="W270" s="4537"/>
      <c r="X270" s="4537"/>
      <c r="Y270" s="4537"/>
      <c r="Z270" s="4537"/>
      <c r="AA270" s="4537"/>
      <c r="AB270" s="4537"/>
      <c r="AC270" s="4537"/>
      <c r="AD270" s="4537"/>
      <c r="AE270" s="4537"/>
      <c r="AF270" s="4537"/>
      <c r="AG270" s="4537"/>
      <c r="AH270" s="4537"/>
      <c r="AI270" s="4537"/>
      <c r="AJ270" s="4537"/>
      <c r="AK270" s="4537"/>
      <c r="AL270" s="4537"/>
      <c r="AM270" s="4537"/>
      <c r="AN270" s="4537"/>
      <c r="AO270" s="4537"/>
      <c r="AP270" s="4537"/>
      <c r="AQ270" s="4537"/>
      <c r="AR270" s="4537"/>
      <c r="AS270" s="4550"/>
      <c r="AT270" s="4550"/>
      <c r="AU270" s="4550"/>
      <c r="AV270" s="4550"/>
      <c r="AW270" s="4550"/>
      <c r="AX270" s="4550"/>
      <c r="AY270" s="4550"/>
      <c r="AZ270" s="4550"/>
      <c r="BA270" s="4550"/>
      <c r="BB270" s="4550"/>
      <c r="BC270" s="4550"/>
      <c r="BD270" s="4550"/>
      <c r="BE270" s="4550"/>
      <c r="BF270" s="4550"/>
      <c r="BG270" s="4550"/>
      <c r="BH270" s="4550"/>
      <c r="BI270" s="4550"/>
      <c r="BJ270" s="4550"/>
      <c r="BK270" s="4550"/>
      <c r="BL270" s="4550"/>
      <c r="BM270" s="4550"/>
      <c r="BN270" s="4550"/>
      <c r="BO270" s="4550"/>
      <c r="BP270" s="4550"/>
      <c r="BQ270" s="4550"/>
      <c r="BR270" s="4550"/>
      <c r="BS270" s="4550"/>
      <c r="BT270" s="4550"/>
      <c r="BU270" s="4550"/>
      <c r="BV270" s="4550"/>
      <c r="BW270" s="4550"/>
      <c r="BX270" s="4550"/>
      <c r="BY270" s="4550"/>
      <c r="BZ270" s="4550"/>
      <c r="CA270" s="4550"/>
      <c r="CB270" s="4550"/>
      <c r="CC270" s="4550"/>
      <c r="CD270" s="4550"/>
      <c r="CE270" s="4550"/>
      <c r="CF270" s="4550"/>
      <c r="CG270" s="4550"/>
      <c r="CH270" s="4550"/>
      <c r="CI270" s="4550"/>
      <c r="CJ270" s="4550"/>
      <c r="CK270" s="4550"/>
      <c r="CL270" s="4550"/>
      <c r="CM270" s="4550"/>
      <c r="CN270" s="4550"/>
      <c r="CO270" s="4550"/>
      <c r="CP270" s="4550"/>
      <c r="CQ270" s="4550"/>
      <c r="CR270" s="4550"/>
      <c r="CS270" s="4550"/>
      <c r="CT270" s="4550"/>
      <c r="CU270" s="4550"/>
      <c r="CV270" s="4550"/>
      <c r="CW270" s="4550"/>
      <c r="CX270" s="4550"/>
      <c r="CY270" s="4550"/>
      <c r="CZ270" s="4550"/>
      <c r="DA270" s="4550"/>
      <c r="DB270" s="4550"/>
      <c r="DC270" s="4550"/>
      <c r="DD270" s="4550"/>
      <c r="DE270" s="4550"/>
      <c r="DF270" s="4550"/>
      <c r="DG270" s="4550"/>
      <c r="DH270" s="4550"/>
      <c r="DI270" s="4550"/>
      <c r="DJ270" s="4550"/>
      <c r="DK270" s="4550"/>
      <c r="DL270" s="4550"/>
      <c r="DM270" s="4550"/>
      <c r="DN270" s="4550"/>
      <c r="DO270" s="4550"/>
      <c r="DP270" s="4550"/>
      <c r="DQ270" s="4550"/>
      <c r="DR270" s="4550"/>
      <c r="DS270" s="4550"/>
      <c r="DT270" s="4550"/>
      <c r="DU270" s="4550"/>
      <c r="DV270" s="4550"/>
      <c r="DW270" s="4550"/>
      <c r="DX270" s="4550"/>
      <c r="DY270" s="4550"/>
      <c r="DZ270" s="4550"/>
      <c r="EA270" s="4550"/>
      <c r="EB270" s="4550"/>
      <c r="EC270" s="4550"/>
      <c r="ED270" s="4550"/>
      <c r="EE270" s="4550"/>
      <c r="EF270" s="4550"/>
      <c r="EG270" s="4550"/>
      <c r="EH270" s="4550"/>
      <c r="EI270" s="4550"/>
      <c r="EJ270" s="4550"/>
      <c r="EK270" s="4550"/>
      <c r="EL270" s="4550"/>
      <c r="EM270" s="4550"/>
      <c r="EN270" s="4550"/>
      <c r="EO270" s="4550"/>
      <c r="EP270" s="4550"/>
      <c r="EQ270" s="4550"/>
      <c r="ER270" s="4550"/>
      <c r="ES270" s="4550"/>
      <c r="ET270" s="4550"/>
      <c r="EU270" s="4550"/>
      <c r="EV270" s="4550"/>
      <c r="EW270" s="4550"/>
      <c r="EX270" s="4550"/>
      <c r="EY270" s="4550"/>
      <c r="EZ270" s="4550"/>
      <c r="FA270" s="4550"/>
      <c r="FB270" s="4550"/>
      <c r="FC270" s="4550"/>
      <c r="FD270" s="4550"/>
      <c r="FE270" s="4550"/>
      <c r="FF270" s="4550"/>
      <c r="FG270" s="4550"/>
      <c r="FH270" s="4550"/>
      <c r="FI270" s="4550"/>
      <c r="FJ270" s="4550"/>
      <c r="FK270" s="4550"/>
      <c r="FL270" s="4550"/>
      <c r="FM270" s="4550"/>
      <c r="FN270" s="4550"/>
      <c r="FO270" s="4550"/>
      <c r="FP270" s="4550"/>
      <c r="FQ270" s="4550"/>
      <c r="FR270" s="4550"/>
      <c r="FS270" s="4550"/>
      <c r="FT270" s="4550"/>
      <c r="FU270" s="4550"/>
      <c r="FV270" s="4550"/>
      <c r="FW270" s="4550"/>
      <c r="FX270" s="4550"/>
      <c r="FY270" s="4550"/>
      <c r="FZ270" s="4550"/>
      <c r="GA270" s="4550"/>
      <c r="GB270" s="4550"/>
      <c r="GC270" s="4550"/>
      <c r="GD270" s="4550"/>
      <c r="GE270" s="4550"/>
      <c r="GF270" s="4550"/>
      <c r="GG270" s="4550"/>
      <c r="GH270" s="4550"/>
      <c r="GI270" s="4550"/>
      <c r="GJ270" s="4550"/>
      <c r="GK270" s="4550"/>
      <c r="GL270" s="4550"/>
      <c r="GM270" s="4550"/>
      <c r="GN270" s="4550"/>
      <c r="GO270" s="4550"/>
      <c r="GP270" s="4550"/>
      <c r="GQ270" s="4550"/>
      <c r="GR270" s="4550"/>
      <c r="GS270" s="4550"/>
      <c r="GT270" s="4550"/>
      <c r="GU270" s="4550"/>
      <c r="GV270" s="4550"/>
      <c r="GW270" s="4550"/>
      <c r="GX270" s="4550"/>
      <c r="GY270" s="4550"/>
      <c r="GZ270" s="4550"/>
      <c r="HA270" s="4550"/>
      <c r="HB270" s="4550"/>
      <c r="HC270" s="4550"/>
      <c r="HD270" s="4550"/>
      <c r="HE270" s="4550"/>
      <c r="HF270" s="4550"/>
      <c r="HG270" s="4550"/>
      <c r="HH270" s="4550"/>
      <c r="HI270" s="4550"/>
      <c r="HJ270" s="4550"/>
      <c r="HK270" s="4550"/>
      <c r="HL270" s="4550"/>
      <c r="HM270" s="4550"/>
      <c r="HN270" s="4550"/>
      <c r="HO270" s="4550"/>
      <c r="HP270" s="4550"/>
      <c r="HQ270" s="4550"/>
      <c r="HR270" s="4550"/>
      <c r="HS270" s="4550"/>
      <c r="HT270" s="4550"/>
      <c r="HU270" s="4550"/>
      <c r="HV270" s="4550"/>
      <c r="HW270" s="4550"/>
      <c r="HX270" s="4550"/>
      <c r="HY270" s="4550"/>
      <c r="HZ270" s="4550"/>
      <c r="IA270" s="4550"/>
      <c r="IB270" s="4550"/>
      <c r="IC270" s="4550"/>
      <c r="ID270" s="4550"/>
      <c r="IE270" s="4550"/>
    </row>
    <row r="271" spans="1:239" s="4549" customFormat="1" ht="15.75" customHeight="1">
      <c r="A271" s="4167">
        <v>9.3000000000000007</v>
      </c>
      <c r="B271" s="4635" t="s">
        <v>4055</v>
      </c>
      <c r="C271" s="4677">
        <v>24.45</v>
      </c>
      <c r="D271" s="4755" t="s">
        <v>2430</v>
      </c>
      <c r="E271" s="4318"/>
      <c r="F271" s="5000">
        <f t="shared" si="11"/>
        <v>0</v>
      </c>
      <c r="G271" s="4537"/>
      <c r="H271" s="4537"/>
      <c r="I271" s="4537"/>
      <c r="J271" s="4537"/>
      <c r="K271" s="4537"/>
      <c r="L271" s="4537"/>
      <c r="M271" s="4537"/>
      <c r="N271" s="4537"/>
      <c r="O271" s="4537"/>
      <c r="P271" s="4537"/>
      <c r="Q271" s="4537"/>
      <c r="R271" s="4537"/>
      <c r="S271" s="4537"/>
      <c r="T271" s="4537"/>
      <c r="U271" s="4537"/>
      <c r="V271" s="4537"/>
      <c r="W271" s="4537"/>
      <c r="X271" s="4537"/>
      <c r="Y271" s="4537"/>
      <c r="Z271" s="4537"/>
      <c r="AA271" s="4537"/>
      <c r="AB271" s="4537"/>
      <c r="AC271" s="4537"/>
      <c r="AD271" s="4537"/>
      <c r="AE271" s="4537"/>
      <c r="AF271" s="4537"/>
      <c r="AG271" s="4537"/>
      <c r="AH271" s="4537"/>
      <c r="AI271" s="4537"/>
      <c r="AJ271" s="4537"/>
      <c r="AK271" s="4537"/>
      <c r="AL271" s="4537"/>
      <c r="AM271" s="4537"/>
      <c r="AN271" s="4537"/>
      <c r="AO271" s="4537"/>
      <c r="AP271" s="4537"/>
      <c r="AQ271" s="4537"/>
      <c r="AR271" s="4537"/>
      <c r="AS271" s="4550"/>
      <c r="AT271" s="4550"/>
      <c r="AU271" s="4550"/>
      <c r="AV271" s="4550"/>
      <c r="AW271" s="4550"/>
      <c r="AX271" s="4550"/>
      <c r="AY271" s="4550"/>
      <c r="AZ271" s="4550"/>
      <c r="BA271" s="4550"/>
      <c r="BB271" s="4550"/>
      <c r="BC271" s="4550"/>
      <c r="BD271" s="4550"/>
      <c r="BE271" s="4550"/>
      <c r="BF271" s="4550"/>
      <c r="BG271" s="4550"/>
      <c r="BH271" s="4550"/>
      <c r="BI271" s="4550"/>
      <c r="BJ271" s="4550"/>
      <c r="BK271" s="4550"/>
      <c r="BL271" s="4550"/>
      <c r="BM271" s="4550"/>
      <c r="BN271" s="4550"/>
      <c r="BO271" s="4550"/>
      <c r="BP271" s="4550"/>
      <c r="BQ271" s="4550"/>
      <c r="BR271" s="4550"/>
      <c r="BS271" s="4550"/>
      <c r="BT271" s="4550"/>
      <c r="BU271" s="4550"/>
      <c r="BV271" s="4550"/>
      <c r="BW271" s="4550"/>
      <c r="BX271" s="4550"/>
      <c r="BY271" s="4550"/>
      <c r="BZ271" s="4550"/>
      <c r="CA271" s="4550"/>
      <c r="CB271" s="4550"/>
      <c r="CC271" s="4550"/>
      <c r="CD271" s="4550"/>
      <c r="CE271" s="4550"/>
      <c r="CF271" s="4550"/>
      <c r="CG271" s="4550"/>
      <c r="CH271" s="4550"/>
      <c r="CI271" s="4550"/>
      <c r="CJ271" s="4550"/>
      <c r="CK271" s="4550"/>
      <c r="CL271" s="4550"/>
      <c r="CM271" s="4550"/>
      <c r="CN271" s="4550"/>
      <c r="CO271" s="4550"/>
      <c r="CP271" s="4550"/>
      <c r="CQ271" s="4550"/>
      <c r="CR271" s="4550"/>
      <c r="CS271" s="4550"/>
      <c r="CT271" s="4550"/>
      <c r="CU271" s="4550"/>
      <c r="CV271" s="4550"/>
      <c r="CW271" s="4550"/>
      <c r="CX271" s="4550"/>
      <c r="CY271" s="4550"/>
      <c r="CZ271" s="4550"/>
      <c r="DA271" s="4550"/>
      <c r="DB271" s="4550"/>
      <c r="DC271" s="4550"/>
      <c r="DD271" s="4550"/>
      <c r="DE271" s="4550"/>
      <c r="DF271" s="4550"/>
      <c r="DG271" s="4550"/>
      <c r="DH271" s="4550"/>
      <c r="DI271" s="4550"/>
      <c r="DJ271" s="4550"/>
      <c r="DK271" s="4550"/>
      <c r="DL271" s="4550"/>
      <c r="DM271" s="4550"/>
      <c r="DN271" s="4550"/>
      <c r="DO271" s="4550"/>
      <c r="DP271" s="4550"/>
      <c r="DQ271" s="4550"/>
      <c r="DR271" s="4550"/>
      <c r="DS271" s="4550"/>
      <c r="DT271" s="4550"/>
      <c r="DU271" s="4550"/>
      <c r="DV271" s="4550"/>
      <c r="DW271" s="4550"/>
      <c r="DX271" s="4550"/>
      <c r="DY271" s="4550"/>
      <c r="DZ271" s="4550"/>
      <c r="EA271" s="4550"/>
      <c r="EB271" s="4550"/>
      <c r="EC271" s="4550"/>
      <c r="ED271" s="4550"/>
      <c r="EE271" s="4550"/>
      <c r="EF271" s="4550"/>
      <c r="EG271" s="4550"/>
      <c r="EH271" s="4550"/>
      <c r="EI271" s="4550"/>
      <c r="EJ271" s="4550"/>
      <c r="EK271" s="4550"/>
      <c r="EL271" s="4550"/>
      <c r="EM271" s="4550"/>
      <c r="EN271" s="4550"/>
      <c r="EO271" s="4550"/>
      <c r="EP271" s="4550"/>
      <c r="EQ271" s="4550"/>
      <c r="ER271" s="4550"/>
      <c r="ES271" s="4550"/>
      <c r="ET271" s="4550"/>
      <c r="EU271" s="4550"/>
      <c r="EV271" s="4550"/>
      <c r="EW271" s="4550"/>
      <c r="EX271" s="4550"/>
      <c r="EY271" s="4550"/>
      <c r="EZ271" s="4550"/>
      <c r="FA271" s="4550"/>
      <c r="FB271" s="4550"/>
      <c r="FC271" s="4550"/>
      <c r="FD271" s="4550"/>
      <c r="FE271" s="4550"/>
      <c r="FF271" s="4550"/>
      <c r="FG271" s="4550"/>
      <c r="FH271" s="4550"/>
      <c r="FI271" s="4550"/>
      <c r="FJ271" s="4550"/>
      <c r="FK271" s="4550"/>
      <c r="FL271" s="4550"/>
      <c r="FM271" s="4550"/>
      <c r="FN271" s="4550"/>
      <c r="FO271" s="4550"/>
      <c r="FP271" s="4550"/>
      <c r="FQ271" s="4550"/>
      <c r="FR271" s="4550"/>
      <c r="FS271" s="4550"/>
      <c r="FT271" s="4550"/>
      <c r="FU271" s="4550"/>
      <c r="FV271" s="4550"/>
      <c r="FW271" s="4550"/>
      <c r="FX271" s="4550"/>
      <c r="FY271" s="4550"/>
      <c r="FZ271" s="4550"/>
      <c r="GA271" s="4550"/>
      <c r="GB271" s="4550"/>
      <c r="GC271" s="4550"/>
      <c r="GD271" s="4550"/>
      <c r="GE271" s="4550"/>
      <c r="GF271" s="4550"/>
      <c r="GG271" s="4550"/>
      <c r="GH271" s="4550"/>
      <c r="GI271" s="4550"/>
      <c r="GJ271" s="4550"/>
      <c r="GK271" s="4550"/>
      <c r="GL271" s="4550"/>
      <c r="GM271" s="4550"/>
      <c r="GN271" s="4550"/>
      <c r="GO271" s="4550"/>
      <c r="GP271" s="4550"/>
      <c r="GQ271" s="4550"/>
      <c r="GR271" s="4550"/>
      <c r="GS271" s="4550"/>
      <c r="GT271" s="4550"/>
      <c r="GU271" s="4550"/>
      <c r="GV271" s="4550"/>
      <c r="GW271" s="4550"/>
      <c r="GX271" s="4550"/>
      <c r="GY271" s="4550"/>
      <c r="GZ271" s="4550"/>
      <c r="HA271" s="4550"/>
      <c r="HB271" s="4550"/>
      <c r="HC271" s="4550"/>
      <c r="HD271" s="4550"/>
      <c r="HE271" s="4550"/>
      <c r="HF271" s="4550"/>
      <c r="HG271" s="4550"/>
      <c r="HH271" s="4550"/>
      <c r="HI271" s="4550"/>
      <c r="HJ271" s="4550"/>
      <c r="HK271" s="4550"/>
      <c r="HL271" s="4550"/>
      <c r="HM271" s="4550"/>
      <c r="HN271" s="4550"/>
      <c r="HO271" s="4550"/>
      <c r="HP271" s="4550"/>
      <c r="HQ271" s="4550"/>
      <c r="HR271" s="4550"/>
      <c r="HS271" s="4550"/>
      <c r="HT271" s="4550"/>
      <c r="HU271" s="4550"/>
      <c r="HV271" s="4550"/>
      <c r="HW271" s="4550"/>
      <c r="HX271" s="4550"/>
      <c r="HY271" s="4550"/>
      <c r="HZ271" s="4550"/>
      <c r="IA271" s="4550"/>
      <c r="IB271" s="4550"/>
      <c r="IC271" s="4550"/>
      <c r="ID271" s="4550"/>
      <c r="IE271" s="4550"/>
    </row>
    <row r="272" spans="1:239" s="4549" customFormat="1" ht="18" customHeight="1">
      <c r="A272" s="4167">
        <v>9.4</v>
      </c>
      <c r="B272" s="4635" t="s">
        <v>4180</v>
      </c>
      <c r="C272" s="4677">
        <v>3.06</v>
      </c>
      <c r="D272" s="4755" t="s">
        <v>2430</v>
      </c>
      <c r="E272" s="4318"/>
      <c r="F272" s="5000">
        <f t="shared" si="11"/>
        <v>0</v>
      </c>
      <c r="G272" s="4537"/>
      <c r="H272" s="4537"/>
      <c r="I272" s="4537"/>
      <c r="J272" s="4537"/>
      <c r="K272" s="4537"/>
      <c r="L272" s="4537"/>
      <c r="M272" s="4537"/>
      <c r="N272" s="4537"/>
      <c r="O272" s="4537"/>
      <c r="P272" s="4537"/>
      <c r="Q272" s="4537"/>
      <c r="R272" s="4537"/>
      <c r="S272" s="4537"/>
      <c r="T272" s="4537"/>
      <c r="U272" s="4537"/>
      <c r="V272" s="4537"/>
      <c r="W272" s="4537"/>
      <c r="X272" s="4537"/>
      <c r="Y272" s="4537"/>
      <c r="Z272" s="4537"/>
      <c r="AA272" s="4537"/>
      <c r="AB272" s="4537"/>
      <c r="AC272" s="4537"/>
      <c r="AD272" s="4537"/>
      <c r="AE272" s="4537"/>
      <c r="AF272" s="4537"/>
      <c r="AG272" s="4537"/>
      <c r="AH272" s="4537"/>
      <c r="AI272" s="4537"/>
      <c r="AJ272" s="4537"/>
      <c r="AK272" s="4537"/>
      <c r="AL272" s="4537"/>
      <c r="AM272" s="4537"/>
      <c r="AN272" s="4537"/>
      <c r="AO272" s="4537"/>
      <c r="AP272" s="4537"/>
      <c r="AQ272" s="4537"/>
      <c r="AR272" s="4537"/>
      <c r="AS272" s="4550"/>
      <c r="AT272" s="4550"/>
      <c r="AU272" s="4550"/>
      <c r="AV272" s="4550"/>
      <c r="AW272" s="4550"/>
      <c r="AX272" s="4550"/>
      <c r="AY272" s="4550"/>
      <c r="AZ272" s="4550"/>
      <c r="BA272" s="4550"/>
      <c r="BB272" s="4550"/>
      <c r="BC272" s="4550"/>
      <c r="BD272" s="4550"/>
      <c r="BE272" s="4550"/>
      <c r="BF272" s="4550"/>
      <c r="BG272" s="4550"/>
      <c r="BH272" s="4550"/>
      <c r="BI272" s="4550"/>
      <c r="BJ272" s="4550"/>
      <c r="BK272" s="4550"/>
      <c r="BL272" s="4550"/>
      <c r="BM272" s="4550"/>
      <c r="BN272" s="4550"/>
      <c r="BO272" s="4550"/>
      <c r="BP272" s="4550"/>
      <c r="BQ272" s="4550"/>
      <c r="BR272" s="4550"/>
      <c r="BS272" s="4550"/>
      <c r="BT272" s="4550"/>
      <c r="BU272" s="4550"/>
      <c r="BV272" s="4550"/>
      <c r="BW272" s="4550"/>
      <c r="BX272" s="4550"/>
      <c r="BY272" s="4550"/>
      <c r="BZ272" s="4550"/>
      <c r="CA272" s="4550"/>
      <c r="CB272" s="4550"/>
      <c r="CC272" s="4550"/>
      <c r="CD272" s="4550"/>
      <c r="CE272" s="4550"/>
      <c r="CF272" s="4550"/>
      <c r="CG272" s="4550"/>
      <c r="CH272" s="4550"/>
      <c r="CI272" s="4550"/>
      <c r="CJ272" s="4550"/>
      <c r="CK272" s="4550"/>
      <c r="CL272" s="4550"/>
      <c r="CM272" s="4550"/>
      <c r="CN272" s="4550"/>
      <c r="CO272" s="4550"/>
      <c r="CP272" s="4550"/>
      <c r="CQ272" s="4550"/>
      <c r="CR272" s="4550"/>
      <c r="CS272" s="4550"/>
      <c r="CT272" s="4550"/>
      <c r="CU272" s="4550"/>
      <c r="CV272" s="4550"/>
      <c r="CW272" s="4550"/>
      <c r="CX272" s="4550"/>
      <c r="CY272" s="4550"/>
      <c r="CZ272" s="4550"/>
      <c r="DA272" s="4550"/>
      <c r="DB272" s="4550"/>
      <c r="DC272" s="4550"/>
      <c r="DD272" s="4550"/>
      <c r="DE272" s="4550"/>
      <c r="DF272" s="4550"/>
      <c r="DG272" s="4550"/>
      <c r="DH272" s="4550"/>
      <c r="DI272" s="4550"/>
      <c r="DJ272" s="4550"/>
      <c r="DK272" s="4550"/>
      <c r="DL272" s="4550"/>
      <c r="DM272" s="4550"/>
      <c r="DN272" s="4550"/>
      <c r="DO272" s="4550"/>
      <c r="DP272" s="4550"/>
      <c r="DQ272" s="4550"/>
      <c r="DR272" s="4550"/>
      <c r="DS272" s="4550"/>
      <c r="DT272" s="4550"/>
      <c r="DU272" s="4550"/>
      <c r="DV272" s="4550"/>
      <c r="DW272" s="4550"/>
      <c r="DX272" s="4550"/>
      <c r="DY272" s="4550"/>
      <c r="DZ272" s="4550"/>
      <c r="EA272" s="4550"/>
      <c r="EB272" s="4550"/>
      <c r="EC272" s="4550"/>
      <c r="ED272" s="4550"/>
      <c r="EE272" s="4550"/>
      <c r="EF272" s="4550"/>
      <c r="EG272" s="4550"/>
      <c r="EH272" s="4550"/>
      <c r="EI272" s="4550"/>
      <c r="EJ272" s="4550"/>
      <c r="EK272" s="4550"/>
      <c r="EL272" s="4550"/>
      <c r="EM272" s="4550"/>
      <c r="EN272" s="4550"/>
      <c r="EO272" s="4550"/>
      <c r="EP272" s="4550"/>
      <c r="EQ272" s="4550"/>
      <c r="ER272" s="4550"/>
      <c r="ES272" s="4550"/>
      <c r="ET272" s="4550"/>
      <c r="EU272" s="4550"/>
      <c r="EV272" s="4550"/>
      <c r="EW272" s="4550"/>
      <c r="EX272" s="4550"/>
      <c r="EY272" s="4550"/>
      <c r="EZ272" s="4550"/>
      <c r="FA272" s="4550"/>
      <c r="FB272" s="4550"/>
      <c r="FC272" s="4550"/>
      <c r="FD272" s="4550"/>
      <c r="FE272" s="4550"/>
      <c r="FF272" s="4550"/>
      <c r="FG272" s="4550"/>
      <c r="FH272" s="4550"/>
      <c r="FI272" s="4550"/>
      <c r="FJ272" s="4550"/>
      <c r="FK272" s="4550"/>
      <c r="FL272" s="4550"/>
      <c r="FM272" s="4550"/>
      <c r="FN272" s="4550"/>
      <c r="FO272" s="4550"/>
      <c r="FP272" s="4550"/>
      <c r="FQ272" s="4550"/>
      <c r="FR272" s="4550"/>
      <c r="FS272" s="4550"/>
      <c r="FT272" s="4550"/>
      <c r="FU272" s="4550"/>
      <c r="FV272" s="4550"/>
      <c r="FW272" s="4550"/>
      <c r="FX272" s="4550"/>
      <c r="FY272" s="4550"/>
      <c r="FZ272" s="4550"/>
      <c r="GA272" s="4550"/>
      <c r="GB272" s="4550"/>
      <c r="GC272" s="4550"/>
      <c r="GD272" s="4550"/>
      <c r="GE272" s="4550"/>
      <c r="GF272" s="4550"/>
      <c r="GG272" s="4550"/>
      <c r="GH272" s="4550"/>
      <c r="GI272" s="4550"/>
      <c r="GJ272" s="4550"/>
      <c r="GK272" s="4550"/>
      <c r="GL272" s="4550"/>
      <c r="GM272" s="4550"/>
      <c r="GN272" s="4550"/>
      <c r="GO272" s="4550"/>
      <c r="GP272" s="4550"/>
      <c r="GQ272" s="4550"/>
      <c r="GR272" s="4550"/>
      <c r="GS272" s="4550"/>
      <c r="GT272" s="4550"/>
      <c r="GU272" s="4550"/>
      <c r="GV272" s="4550"/>
      <c r="GW272" s="4550"/>
      <c r="GX272" s="4550"/>
      <c r="GY272" s="4550"/>
      <c r="GZ272" s="4550"/>
      <c r="HA272" s="4550"/>
      <c r="HB272" s="4550"/>
      <c r="HC272" s="4550"/>
      <c r="HD272" s="4550"/>
      <c r="HE272" s="4550"/>
      <c r="HF272" s="4550"/>
      <c r="HG272" s="4550"/>
      <c r="HH272" s="4550"/>
      <c r="HI272" s="4550"/>
      <c r="HJ272" s="4550"/>
      <c r="HK272" s="4550"/>
      <c r="HL272" s="4550"/>
      <c r="HM272" s="4550"/>
      <c r="HN272" s="4550"/>
      <c r="HO272" s="4550"/>
      <c r="HP272" s="4550"/>
      <c r="HQ272" s="4550"/>
      <c r="HR272" s="4550"/>
      <c r="HS272" s="4550"/>
      <c r="HT272" s="4550"/>
      <c r="HU272" s="4550"/>
      <c r="HV272" s="4550"/>
      <c r="HW272" s="4550"/>
      <c r="HX272" s="4550"/>
      <c r="HY272" s="4550"/>
      <c r="HZ272" s="4550"/>
      <c r="IA272" s="4550"/>
      <c r="IB272" s="4550"/>
      <c r="IC272" s="4550"/>
      <c r="ID272" s="4550"/>
      <c r="IE272" s="4550"/>
    </row>
    <row r="273" spans="1:239" s="4549" customFormat="1" ht="28.5">
      <c r="A273" s="4167">
        <v>9.5</v>
      </c>
      <c r="B273" s="4635" t="s">
        <v>4181</v>
      </c>
      <c r="C273" s="4677">
        <v>25</v>
      </c>
      <c r="D273" s="4755" t="s">
        <v>1</v>
      </c>
      <c r="E273" s="4318"/>
      <c r="F273" s="5000">
        <f t="shared" si="11"/>
        <v>0</v>
      </c>
      <c r="G273" s="4537"/>
      <c r="H273" s="4537"/>
      <c r="I273" s="4537"/>
      <c r="J273" s="4537"/>
      <c r="K273" s="4537"/>
      <c r="L273" s="4537"/>
      <c r="M273" s="4537"/>
      <c r="N273" s="4537"/>
      <c r="O273" s="4537"/>
      <c r="P273" s="4537"/>
      <c r="Q273" s="4537"/>
      <c r="R273" s="4537"/>
      <c r="S273" s="4537"/>
      <c r="T273" s="4537"/>
      <c r="U273" s="4537"/>
      <c r="V273" s="4537"/>
      <c r="W273" s="4537"/>
      <c r="X273" s="4537"/>
      <c r="Y273" s="4537"/>
      <c r="Z273" s="4537"/>
      <c r="AA273" s="4537"/>
      <c r="AB273" s="4537"/>
      <c r="AC273" s="4537"/>
      <c r="AD273" s="4537"/>
      <c r="AE273" s="4537"/>
      <c r="AF273" s="4537"/>
      <c r="AG273" s="4537"/>
      <c r="AH273" s="4537"/>
      <c r="AI273" s="4537"/>
      <c r="AJ273" s="4537"/>
      <c r="AK273" s="4537"/>
      <c r="AL273" s="4537"/>
      <c r="AM273" s="4537"/>
      <c r="AN273" s="4537"/>
      <c r="AO273" s="4537"/>
      <c r="AP273" s="4537"/>
      <c r="AQ273" s="4537"/>
      <c r="AR273" s="4537"/>
      <c r="AS273" s="4550"/>
      <c r="AT273" s="4550"/>
      <c r="AU273" s="4550"/>
      <c r="AV273" s="4550"/>
      <c r="AW273" s="4550"/>
      <c r="AX273" s="4550"/>
      <c r="AY273" s="4550"/>
      <c r="AZ273" s="4550"/>
      <c r="BA273" s="4550"/>
      <c r="BB273" s="4550"/>
      <c r="BC273" s="4550"/>
      <c r="BD273" s="4550"/>
      <c r="BE273" s="4550"/>
      <c r="BF273" s="4550"/>
      <c r="BG273" s="4550"/>
      <c r="BH273" s="4550"/>
      <c r="BI273" s="4550"/>
      <c r="BJ273" s="4550"/>
      <c r="BK273" s="4550"/>
      <c r="BL273" s="4550"/>
      <c r="BM273" s="4550"/>
      <c r="BN273" s="4550"/>
      <c r="BO273" s="4550"/>
      <c r="BP273" s="4550"/>
      <c r="BQ273" s="4550"/>
      <c r="BR273" s="4550"/>
      <c r="BS273" s="4550"/>
      <c r="BT273" s="4550"/>
      <c r="BU273" s="4550"/>
      <c r="BV273" s="4550"/>
      <c r="BW273" s="4550"/>
      <c r="BX273" s="4550"/>
      <c r="BY273" s="4550"/>
      <c r="BZ273" s="4550"/>
      <c r="CA273" s="4550"/>
      <c r="CB273" s="4550"/>
      <c r="CC273" s="4550"/>
      <c r="CD273" s="4550"/>
      <c r="CE273" s="4550"/>
      <c r="CF273" s="4550"/>
      <c r="CG273" s="4550"/>
      <c r="CH273" s="4550"/>
      <c r="CI273" s="4550"/>
      <c r="CJ273" s="4550"/>
      <c r="CK273" s="4550"/>
      <c r="CL273" s="4550"/>
      <c r="CM273" s="4550"/>
      <c r="CN273" s="4550"/>
      <c r="CO273" s="4550"/>
      <c r="CP273" s="4550"/>
      <c r="CQ273" s="4550"/>
      <c r="CR273" s="4550"/>
      <c r="CS273" s="4550"/>
      <c r="CT273" s="4550"/>
      <c r="CU273" s="4550"/>
      <c r="CV273" s="4550"/>
      <c r="CW273" s="4550"/>
      <c r="CX273" s="4550"/>
      <c r="CY273" s="4550"/>
      <c r="CZ273" s="4550"/>
      <c r="DA273" s="4550"/>
      <c r="DB273" s="4550"/>
      <c r="DC273" s="4550"/>
      <c r="DD273" s="4550"/>
      <c r="DE273" s="4550"/>
      <c r="DF273" s="4550"/>
      <c r="DG273" s="4550"/>
      <c r="DH273" s="4550"/>
      <c r="DI273" s="4550"/>
      <c r="DJ273" s="4550"/>
      <c r="DK273" s="4550"/>
      <c r="DL273" s="4550"/>
      <c r="DM273" s="4550"/>
      <c r="DN273" s="4550"/>
      <c r="DO273" s="4550"/>
      <c r="DP273" s="4550"/>
      <c r="DQ273" s="4550"/>
      <c r="DR273" s="4550"/>
      <c r="DS273" s="4550"/>
      <c r="DT273" s="4550"/>
      <c r="DU273" s="4550"/>
      <c r="DV273" s="4550"/>
      <c r="DW273" s="4550"/>
      <c r="DX273" s="4550"/>
      <c r="DY273" s="4550"/>
      <c r="DZ273" s="4550"/>
      <c r="EA273" s="4550"/>
      <c r="EB273" s="4550"/>
      <c r="EC273" s="4550"/>
      <c r="ED273" s="4550"/>
      <c r="EE273" s="4550"/>
      <c r="EF273" s="4550"/>
      <c r="EG273" s="4550"/>
      <c r="EH273" s="4550"/>
      <c r="EI273" s="4550"/>
      <c r="EJ273" s="4550"/>
      <c r="EK273" s="4550"/>
      <c r="EL273" s="4550"/>
      <c r="EM273" s="4550"/>
      <c r="EN273" s="4550"/>
      <c r="EO273" s="4550"/>
      <c r="EP273" s="4550"/>
      <c r="EQ273" s="4550"/>
      <c r="ER273" s="4550"/>
      <c r="ES273" s="4550"/>
      <c r="ET273" s="4550"/>
      <c r="EU273" s="4550"/>
      <c r="EV273" s="4550"/>
      <c r="EW273" s="4550"/>
      <c r="EX273" s="4550"/>
      <c r="EY273" s="4550"/>
      <c r="EZ273" s="4550"/>
      <c r="FA273" s="4550"/>
      <c r="FB273" s="4550"/>
      <c r="FC273" s="4550"/>
      <c r="FD273" s="4550"/>
      <c r="FE273" s="4550"/>
      <c r="FF273" s="4550"/>
      <c r="FG273" s="4550"/>
      <c r="FH273" s="4550"/>
      <c r="FI273" s="4550"/>
      <c r="FJ273" s="4550"/>
      <c r="FK273" s="4550"/>
      <c r="FL273" s="4550"/>
      <c r="FM273" s="4550"/>
      <c r="FN273" s="4550"/>
      <c r="FO273" s="4550"/>
      <c r="FP273" s="4550"/>
      <c r="FQ273" s="4550"/>
      <c r="FR273" s="4550"/>
      <c r="FS273" s="4550"/>
      <c r="FT273" s="4550"/>
      <c r="FU273" s="4550"/>
      <c r="FV273" s="4550"/>
      <c r="FW273" s="4550"/>
      <c r="FX273" s="4550"/>
      <c r="FY273" s="4550"/>
      <c r="FZ273" s="4550"/>
      <c r="GA273" s="4550"/>
      <c r="GB273" s="4550"/>
      <c r="GC273" s="4550"/>
      <c r="GD273" s="4550"/>
      <c r="GE273" s="4550"/>
      <c r="GF273" s="4550"/>
      <c r="GG273" s="4550"/>
      <c r="GH273" s="4550"/>
      <c r="GI273" s="4550"/>
      <c r="GJ273" s="4550"/>
      <c r="GK273" s="4550"/>
      <c r="GL273" s="4550"/>
      <c r="GM273" s="4550"/>
      <c r="GN273" s="4550"/>
      <c r="GO273" s="4550"/>
      <c r="GP273" s="4550"/>
      <c r="GQ273" s="4550"/>
      <c r="GR273" s="4550"/>
      <c r="GS273" s="4550"/>
      <c r="GT273" s="4550"/>
      <c r="GU273" s="4550"/>
      <c r="GV273" s="4550"/>
      <c r="GW273" s="4550"/>
      <c r="GX273" s="4550"/>
      <c r="GY273" s="4550"/>
      <c r="GZ273" s="4550"/>
      <c r="HA273" s="4550"/>
      <c r="HB273" s="4550"/>
      <c r="HC273" s="4550"/>
      <c r="HD273" s="4550"/>
      <c r="HE273" s="4550"/>
      <c r="HF273" s="4550"/>
      <c r="HG273" s="4550"/>
      <c r="HH273" s="4550"/>
      <c r="HI273" s="4550"/>
      <c r="HJ273" s="4550"/>
      <c r="HK273" s="4550"/>
      <c r="HL273" s="4550"/>
      <c r="HM273" s="4550"/>
      <c r="HN273" s="4550"/>
      <c r="HO273" s="4550"/>
      <c r="HP273" s="4550"/>
      <c r="HQ273" s="4550"/>
      <c r="HR273" s="4550"/>
      <c r="HS273" s="4550"/>
      <c r="HT273" s="4550"/>
      <c r="HU273" s="4550"/>
      <c r="HV273" s="4550"/>
      <c r="HW273" s="4550"/>
      <c r="HX273" s="4550"/>
      <c r="HY273" s="4550"/>
      <c r="HZ273" s="4550"/>
      <c r="IA273" s="4550"/>
      <c r="IB273" s="4550"/>
      <c r="IC273" s="4550"/>
      <c r="ID273" s="4550"/>
      <c r="IE273" s="4550"/>
    </row>
    <row r="274" spans="1:239" s="4549" customFormat="1" ht="28.5">
      <c r="A274" s="4167">
        <v>9.6</v>
      </c>
      <c r="B274" s="4635" t="s">
        <v>4182</v>
      </c>
      <c r="C274" s="4677">
        <v>1</v>
      </c>
      <c r="D274" s="4593" t="s">
        <v>2433</v>
      </c>
      <c r="E274" s="4318"/>
      <c r="F274" s="5000">
        <f t="shared" si="11"/>
        <v>0</v>
      </c>
      <c r="G274" s="4537"/>
      <c r="H274" s="4537"/>
      <c r="I274" s="4537"/>
      <c r="J274" s="4537"/>
      <c r="K274" s="4537"/>
      <c r="L274" s="4537"/>
      <c r="M274" s="4537"/>
      <c r="N274" s="4537"/>
      <c r="O274" s="4537"/>
      <c r="P274" s="4537"/>
      <c r="Q274" s="4537"/>
      <c r="R274" s="4537"/>
      <c r="S274" s="4537"/>
      <c r="T274" s="4537"/>
      <c r="U274" s="4537"/>
      <c r="V274" s="4537"/>
      <c r="W274" s="4537"/>
      <c r="X274" s="4537"/>
      <c r="Y274" s="4537"/>
      <c r="Z274" s="4537"/>
      <c r="AA274" s="4537"/>
      <c r="AB274" s="4537"/>
      <c r="AC274" s="4537"/>
      <c r="AD274" s="4537"/>
      <c r="AE274" s="4537"/>
      <c r="AF274" s="4537"/>
      <c r="AG274" s="4537"/>
      <c r="AH274" s="4537"/>
      <c r="AI274" s="4537"/>
      <c r="AJ274" s="4537"/>
      <c r="AK274" s="4537"/>
      <c r="AL274" s="4537"/>
      <c r="AM274" s="4537"/>
      <c r="AN274" s="4537"/>
      <c r="AO274" s="4537"/>
      <c r="AP274" s="4537"/>
      <c r="AQ274" s="4537"/>
      <c r="AR274" s="4537"/>
      <c r="AS274" s="4550"/>
      <c r="AT274" s="4550"/>
      <c r="AU274" s="4550"/>
      <c r="AV274" s="4550"/>
      <c r="AW274" s="4550"/>
      <c r="AX274" s="4550"/>
      <c r="AY274" s="4550"/>
      <c r="AZ274" s="4550"/>
      <c r="BA274" s="4550"/>
      <c r="BB274" s="4550"/>
      <c r="BC274" s="4550"/>
      <c r="BD274" s="4550"/>
      <c r="BE274" s="4550"/>
      <c r="BF274" s="4550"/>
      <c r="BG274" s="4550"/>
      <c r="BH274" s="4550"/>
      <c r="BI274" s="4550"/>
      <c r="BJ274" s="4550"/>
      <c r="BK274" s="4550"/>
      <c r="BL274" s="4550"/>
      <c r="BM274" s="4550"/>
      <c r="BN274" s="4550"/>
      <c r="BO274" s="4550"/>
      <c r="BP274" s="4550"/>
      <c r="BQ274" s="4550"/>
      <c r="BR274" s="4550"/>
      <c r="BS274" s="4550"/>
      <c r="BT274" s="4550"/>
      <c r="BU274" s="4550"/>
      <c r="BV274" s="4550"/>
      <c r="BW274" s="4550"/>
      <c r="BX274" s="4550"/>
      <c r="BY274" s="4550"/>
      <c r="BZ274" s="4550"/>
      <c r="CA274" s="4550"/>
      <c r="CB274" s="4550"/>
      <c r="CC274" s="4550"/>
      <c r="CD274" s="4550"/>
      <c r="CE274" s="4550"/>
      <c r="CF274" s="4550"/>
      <c r="CG274" s="4550"/>
      <c r="CH274" s="4550"/>
      <c r="CI274" s="4550"/>
      <c r="CJ274" s="4550"/>
      <c r="CK274" s="4550"/>
      <c r="CL274" s="4550"/>
      <c r="CM274" s="4550"/>
      <c r="CN274" s="4550"/>
      <c r="CO274" s="4550"/>
      <c r="CP274" s="4550"/>
      <c r="CQ274" s="4550"/>
      <c r="CR274" s="4550"/>
      <c r="CS274" s="4550"/>
      <c r="CT274" s="4550"/>
      <c r="CU274" s="4550"/>
      <c r="CV274" s="4550"/>
      <c r="CW274" s="4550"/>
      <c r="CX274" s="4550"/>
      <c r="CY274" s="4550"/>
      <c r="CZ274" s="4550"/>
      <c r="DA274" s="4550"/>
      <c r="DB274" s="4550"/>
      <c r="DC274" s="4550"/>
      <c r="DD274" s="4550"/>
      <c r="DE274" s="4550"/>
      <c r="DF274" s="4550"/>
      <c r="DG274" s="4550"/>
      <c r="DH274" s="4550"/>
      <c r="DI274" s="4550"/>
      <c r="DJ274" s="4550"/>
      <c r="DK274" s="4550"/>
      <c r="DL274" s="4550"/>
      <c r="DM274" s="4550"/>
      <c r="DN274" s="4550"/>
      <c r="DO274" s="4550"/>
      <c r="DP274" s="4550"/>
      <c r="DQ274" s="4550"/>
      <c r="DR274" s="4550"/>
      <c r="DS274" s="4550"/>
      <c r="DT274" s="4550"/>
      <c r="DU274" s="4550"/>
      <c r="DV274" s="4550"/>
      <c r="DW274" s="4550"/>
      <c r="DX274" s="4550"/>
      <c r="DY274" s="4550"/>
      <c r="DZ274" s="4550"/>
      <c r="EA274" s="4550"/>
      <c r="EB274" s="4550"/>
      <c r="EC274" s="4550"/>
      <c r="ED274" s="4550"/>
      <c r="EE274" s="4550"/>
      <c r="EF274" s="4550"/>
      <c r="EG274" s="4550"/>
      <c r="EH274" s="4550"/>
      <c r="EI274" s="4550"/>
      <c r="EJ274" s="4550"/>
      <c r="EK274" s="4550"/>
      <c r="EL274" s="4550"/>
      <c r="EM274" s="4550"/>
      <c r="EN274" s="4550"/>
      <c r="EO274" s="4550"/>
      <c r="EP274" s="4550"/>
      <c r="EQ274" s="4550"/>
      <c r="ER274" s="4550"/>
      <c r="ES274" s="4550"/>
      <c r="ET274" s="4550"/>
      <c r="EU274" s="4550"/>
      <c r="EV274" s="4550"/>
      <c r="EW274" s="4550"/>
      <c r="EX274" s="4550"/>
      <c r="EY274" s="4550"/>
      <c r="EZ274" s="4550"/>
      <c r="FA274" s="4550"/>
      <c r="FB274" s="4550"/>
      <c r="FC274" s="4550"/>
      <c r="FD274" s="4550"/>
      <c r="FE274" s="4550"/>
      <c r="FF274" s="4550"/>
      <c r="FG274" s="4550"/>
      <c r="FH274" s="4550"/>
      <c r="FI274" s="4550"/>
      <c r="FJ274" s="4550"/>
      <c r="FK274" s="4550"/>
      <c r="FL274" s="4550"/>
      <c r="FM274" s="4550"/>
      <c r="FN274" s="4550"/>
      <c r="FO274" s="4550"/>
      <c r="FP274" s="4550"/>
      <c r="FQ274" s="4550"/>
      <c r="FR274" s="4550"/>
      <c r="FS274" s="4550"/>
      <c r="FT274" s="4550"/>
      <c r="FU274" s="4550"/>
      <c r="FV274" s="4550"/>
      <c r="FW274" s="4550"/>
      <c r="FX274" s="4550"/>
      <c r="FY274" s="4550"/>
      <c r="FZ274" s="4550"/>
      <c r="GA274" s="4550"/>
      <c r="GB274" s="4550"/>
      <c r="GC274" s="4550"/>
      <c r="GD274" s="4550"/>
      <c r="GE274" s="4550"/>
      <c r="GF274" s="4550"/>
      <c r="GG274" s="4550"/>
      <c r="GH274" s="4550"/>
      <c r="GI274" s="4550"/>
      <c r="GJ274" s="4550"/>
      <c r="GK274" s="4550"/>
      <c r="GL274" s="4550"/>
      <c r="GM274" s="4550"/>
      <c r="GN274" s="4550"/>
      <c r="GO274" s="4550"/>
      <c r="GP274" s="4550"/>
      <c r="GQ274" s="4550"/>
      <c r="GR274" s="4550"/>
      <c r="GS274" s="4550"/>
      <c r="GT274" s="4550"/>
      <c r="GU274" s="4550"/>
      <c r="GV274" s="4550"/>
      <c r="GW274" s="4550"/>
      <c r="GX274" s="4550"/>
      <c r="GY274" s="4550"/>
      <c r="GZ274" s="4550"/>
      <c r="HA274" s="4550"/>
      <c r="HB274" s="4550"/>
      <c r="HC274" s="4550"/>
      <c r="HD274" s="4550"/>
      <c r="HE274" s="4550"/>
      <c r="HF274" s="4550"/>
      <c r="HG274" s="4550"/>
      <c r="HH274" s="4550"/>
      <c r="HI274" s="4550"/>
      <c r="HJ274" s="4550"/>
      <c r="HK274" s="4550"/>
      <c r="HL274" s="4550"/>
      <c r="HM274" s="4550"/>
      <c r="HN274" s="4550"/>
      <c r="HO274" s="4550"/>
      <c r="HP274" s="4550"/>
      <c r="HQ274" s="4550"/>
      <c r="HR274" s="4550"/>
      <c r="HS274" s="4550"/>
      <c r="HT274" s="4550"/>
      <c r="HU274" s="4550"/>
      <c r="HV274" s="4550"/>
      <c r="HW274" s="4550"/>
      <c r="HX274" s="4550"/>
      <c r="HY274" s="4550"/>
      <c r="HZ274" s="4550"/>
      <c r="IA274" s="4550"/>
      <c r="IB274" s="4550"/>
      <c r="IC274" s="4550"/>
      <c r="ID274" s="4550"/>
      <c r="IE274" s="4550"/>
    </row>
    <row r="275" spans="1:239" s="4549" customFormat="1" ht="15">
      <c r="A275" s="4167"/>
      <c r="B275" s="4734"/>
      <c r="C275" s="4677"/>
      <c r="D275" s="4593"/>
      <c r="E275" s="4318"/>
      <c r="F275" s="5000"/>
      <c r="G275" s="4537"/>
      <c r="H275" s="4537"/>
      <c r="I275" s="4537"/>
      <c r="J275" s="4537"/>
      <c r="K275" s="4537"/>
      <c r="L275" s="4537"/>
      <c r="M275" s="4537"/>
      <c r="N275" s="4537"/>
      <c r="O275" s="4537"/>
      <c r="P275" s="4537"/>
      <c r="Q275" s="4537"/>
      <c r="R275" s="4537"/>
      <c r="S275" s="4537"/>
      <c r="T275" s="4537"/>
      <c r="U275" s="4537"/>
      <c r="V275" s="4537"/>
      <c r="W275" s="4537"/>
      <c r="X275" s="4537"/>
      <c r="Y275" s="4537"/>
      <c r="Z275" s="4537"/>
      <c r="AA275" s="4537"/>
      <c r="AB275" s="4537"/>
      <c r="AC275" s="4537"/>
      <c r="AD275" s="4537"/>
      <c r="AE275" s="4537"/>
      <c r="AF275" s="4537"/>
      <c r="AG275" s="4537"/>
      <c r="AH275" s="4537"/>
      <c r="AI275" s="4537"/>
      <c r="AJ275" s="4537"/>
      <c r="AK275" s="4537"/>
      <c r="AL275" s="4537"/>
      <c r="AM275" s="4537"/>
      <c r="AN275" s="4537"/>
      <c r="AO275" s="4537"/>
      <c r="AP275" s="4537"/>
      <c r="AQ275" s="4537"/>
      <c r="AR275" s="4537"/>
      <c r="AS275" s="4550"/>
      <c r="AT275" s="4550"/>
      <c r="AU275" s="4550"/>
      <c r="AV275" s="4550"/>
      <c r="AW275" s="4550"/>
      <c r="AX275" s="4550"/>
      <c r="AY275" s="4550"/>
      <c r="AZ275" s="4550"/>
      <c r="BA275" s="4550"/>
      <c r="BB275" s="4550"/>
      <c r="BC275" s="4550"/>
      <c r="BD275" s="4550"/>
      <c r="BE275" s="4550"/>
      <c r="BF275" s="4550"/>
      <c r="BG275" s="4550"/>
      <c r="BH275" s="4550"/>
      <c r="BI275" s="4550"/>
      <c r="BJ275" s="4550"/>
      <c r="BK275" s="4550"/>
      <c r="BL275" s="4550"/>
      <c r="BM275" s="4550"/>
      <c r="BN275" s="4550"/>
      <c r="BO275" s="4550"/>
      <c r="BP275" s="4550"/>
      <c r="BQ275" s="4550"/>
      <c r="BR275" s="4550"/>
      <c r="BS275" s="4550"/>
      <c r="BT275" s="4550"/>
      <c r="BU275" s="4550"/>
      <c r="BV275" s="4550"/>
      <c r="BW275" s="4550"/>
      <c r="BX275" s="4550"/>
      <c r="BY275" s="4550"/>
      <c r="BZ275" s="4550"/>
      <c r="CA275" s="4550"/>
      <c r="CB275" s="4550"/>
      <c r="CC275" s="4550"/>
      <c r="CD275" s="4550"/>
      <c r="CE275" s="4550"/>
      <c r="CF275" s="4550"/>
      <c r="CG275" s="4550"/>
      <c r="CH275" s="4550"/>
      <c r="CI275" s="4550"/>
      <c r="CJ275" s="4550"/>
      <c r="CK275" s="4550"/>
      <c r="CL275" s="4550"/>
      <c r="CM275" s="4550"/>
      <c r="CN275" s="4550"/>
      <c r="CO275" s="4550"/>
      <c r="CP275" s="4550"/>
      <c r="CQ275" s="4550"/>
      <c r="CR275" s="4550"/>
      <c r="CS275" s="4550"/>
      <c r="CT275" s="4550"/>
      <c r="CU275" s="4550"/>
      <c r="CV275" s="4550"/>
      <c r="CW275" s="4550"/>
      <c r="CX275" s="4550"/>
      <c r="CY275" s="4550"/>
      <c r="CZ275" s="4550"/>
      <c r="DA275" s="4550"/>
      <c r="DB275" s="4550"/>
      <c r="DC275" s="4550"/>
      <c r="DD275" s="4550"/>
      <c r="DE275" s="4550"/>
      <c r="DF275" s="4550"/>
      <c r="DG275" s="4550"/>
      <c r="DH275" s="4550"/>
      <c r="DI275" s="4550"/>
      <c r="DJ275" s="4550"/>
      <c r="DK275" s="4550"/>
      <c r="DL275" s="4550"/>
      <c r="DM275" s="4550"/>
      <c r="DN275" s="4550"/>
      <c r="DO275" s="4550"/>
      <c r="DP275" s="4550"/>
      <c r="DQ275" s="4550"/>
      <c r="DR275" s="4550"/>
      <c r="DS275" s="4550"/>
      <c r="DT275" s="4550"/>
      <c r="DU275" s="4550"/>
      <c r="DV275" s="4550"/>
      <c r="DW275" s="4550"/>
      <c r="DX275" s="4550"/>
      <c r="DY275" s="4550"/>
      <c r="DZ275" s="4550"/>
      <c r="EA275" s="4550"/>
      <c r="EB275" s="4550"/>
      <c r="EC275" s="4550"/>
      <c r="ED275" s="4550"/>
      <c r="EE275" s="4550"/>
      <c r="EF275" s="4550"/>
      <c r="EG275" s="4550"/>
      <c r="EH275" s="4550"/>
      <c r="EI275" s="4550"/>
      <c r="EJ275" s="4550"/>
      <c r="EK275" s="4550"/>
      <c r="EL275" s="4550"/>
      <c r="EM275" s="4550"/>
      <c r="EN275" s="4550"/>
      <c r="EO275" s="4550"/>
      <c r="EP275" s="4550"/>
      <c r="EQ275" s="4550"/>
      <c r="ER275" s="4550"/>
      <c r="ES275" s="4550"/>
      <c r="ET275" s="4550"/>
      <c r="EU275" s="4550"/>
      <c r="EV275" s="4550"/>
      <c r="EW275" s="4550"/>
      <c r="EX275" s="4550"/>
      <c r="EY275" s="4550"/>
      <c r="EZ275" s="4550"/>
      <c r="FA275" s="4550"/>
      <c r="FB275" s="4550"/>
      <c r="FC275" s="4550"/>
      <c r="FD275" s="4550"/>
      <c r="FE275" s="4550"/>
      <c r="FF275" s="4550"/>
      <c r="FG275" s="4550"/>
      <c r="FH275" s="4550"/>
      <c r="FI275" s="4550"/>
      <c r="FJ275" s="4550"/>
      <c r="FK275" s="4550"/>
      <c r="FL275" s="4550"/>
      <c r="FM275" s="4550"/>
      <c r="FN275" s="4550"/>
      <c r="FO275" s="4550"/>
      <c r="FP275" s="4550"/>
      <c r="FQ275" s="4550"/>
      <c r="FR275" s="4550"/>
      <c r="FS275" s="4550"/>
      <c r="FT275" s="4550"/>
      <c r="FU275" s="4550"/>
      <c r="FV275" s="4550"/>
      <c r="FW275" s="4550"/>
      <c r="FX275" s="4550"/>
      <c r="FY275" s="4550"/>
      <c r="FZ275" s="4550"/>
      <c r="GA275" s="4550"/>
      <c r="GB275" s="4550"/>
      <c r="GC275" s="4550"/>
      <c r="GD275" s="4550"/>
      <c r="GE275" s="4550"/>
      <c r="GF275" s="4550"/>
      <c r="GG275" s="4550"/>
      <c r="GH275" s="4550"/>
      <c r="GI275" s="4550"/>
      <c r="GJ275" s="4550"/>
      <c r="GK275" s="4550"/>
      <c r="GL275" s="4550"/>
      <c r="GM275" s="4550"/>
      <c r="GN275" s="4550"/>
      <c r="GO275" s="4550"/>
      <c r="GP275" s="4550"/>
      <c r="GQ275" s="4550"/>
      <c r="GR275" s="4550"/>
      <c r="GS275" s="4550"/>
      <c r="GT275" s="4550"/>
      <c r="GU275" s="4550"/>
      <c r="GV275" s="4550"/>
      <c r="GW275" s="4550"/>
      <c r="GX275" s="4550"/>
      <c r="GY275" s="4550"/>
      <c r="GZ275" s="4550"/>
      <c r="HA275" s="4550"/>
      <c r="HB275" s="4550"/>
      <c r="HC275" s="4550"/>
      <c r="HD275" s="4550"/>
      <c r="HE275" s="4550"/>
      <c r="HF275" s="4550"/>
      <c r="HG275" s="4550"/>
      <c r="HH275" s="4550"/>
      <c r="HI275" s="4550"/>
      <c r="HJ275" s="4550"/>
      <c r="HK275" s="4550"/>
      <c r="HL275" s="4550"/>
      <c r="HM275" s="4550"/>
      <c r="HN275" s="4550"/>
      <c r="HO275" s="4550"/>
      <c r="HP275" s="4550"/>
      <c r="HQ275" s="4550"/>
      <c r="HR275" s="4550"/>
      <c r="HS275" s="4550"/>
      <c r="HT275" s="4550"/>
      <c r="HU275" s="4550"/>
      <c r="HV275" s="4550"/>
      <c r="HW275" s="4550"/>
      <c r="HX275" s="4550"/>
      <c r="HY275" s="4550"/>
      <c r="HZ275" s="4550"/>
      <c r="IA275" s="4550"/>
      <c r="IB275" s="4550"/>
      <c r="IC275" s="4550"/>
      <c r="ID275" s="4550"/>
      <c r="IE275" s="4550"/>
    </row>
    <row r="276" spans="1:239" s="4549" customFormat="1" ht="15">
      <c r="A276" s="4168">
        <v>10</v>
      </c>
      <c r="B276" s="4637" t="s">
        <v>4183</v>
      </c>
      <c r="C276" s="4677"/>
      <c r="D276" s="4593"/>
      <c r="E276" s="4318"/>
      <c r="F276" s="5000"/>
      <c r="G276" s="4537"/>
      <c r="H276" s="4537"/>
      <c r="I276" s="4537"/>
      <c r="J276" s="4537"/>
      <c r="K276" s="4537"/>
      <c r="L276" s="4537"/>
      <c r="M276" s="4537"/>
      <c r="N276" s="4537"/>
      <c r="O276" s="4537"/>
      <c r="P276" s="4537"/>
      <c r="Q276" s="4537"/>
      <c r="R276" s="4537"/>
      <c r="S276" s="4537"/>
      <c r="T276" s="4537"/>
      <c r="U276" s="4537"/>
      <c r="V276" s="4537"/>
      <c r="W276" s="4537"/>
      <c r="X276" s="4537"/>
      <c r="Y276" s="4537"/>
      <c r="Z276" s="4537"/>
      <c r="AA276" s="4537"/>
      <c r="AB276" s="4537"/>
      <c r="AC276" s="4537"/>
      <c r="AD276" s="4537"/>
      <c r="AE276" s="4537"/>
      <c r="AF276" s="4537"/>
      <c r="AG276" s="4537"/>
      <c r="AH276" s="4537"/>
      <c r="AI276" s="4537"/>
      <c r="AJ276" s="4537"/>
      <c r="AK276" s="4537"/>
      <c r="AL276" s="4537"/>
      <c r="AM276" s="4537"/>
      <c r="AN276" s="4537"/>
      <c r="AO276" s="4537"/>
      <c r="AP276" s="4537"/>
      <c r="AQ276" s="4537"/>
      <c r="AR276" s="4537"/>
      <c r="AS276" s="4550"/>
      <c r="AT276" s="4550"/>
      <c r="AU276" s="4550"/>
      <c r="AV276" s="4550"/>
      <c r="AW276" s="4550"/>
      <c r="AX276" s="4550"/>
      <c r="AY276" s="4550"/>
      <c r="AZ276" s="4550"/>
      <c r="BA276" s="4550"/>
      <c r="BB276" s="4550"/>
      <c r="BC276" s="4550"/>
      <c r="BD276" s="4550"/>
      <c r="BE276" s="4550"/>
      <c r="BF276" s="4550"/>
      <c r="BG276" s="4550"/>
      <c r="BH276" s="4550"/>
      <c r="BI276" s="4550"/>
      <c r="BJ276" s="4550"/>
      <c r="BK276" s="4550"/>
      <c r="BL276" s="4550"/>
      <c r="BM276" s="4550"/>
      <c r="BN276" s="4550"/>
      <c r="BO276" s="4550"/>
      <c r="BP276" s="4550"/>
      <c r="BQ276" s="4550"/>
      <c r="BR276" s="4550"/>
      <c r="BS276" s="4550"/>
      <c r="BT276" s="4550"/>
      <c r="BU276" s="4550"/>
      <c r="BV276" s="4550"/>
      <c r="BW276" s="4550"/>
      <c r="BX276" s="4550"/>
      <c r="BY276" s="4550"/>
      <c r="BZ276" s="4550"/>
      <c r="CA276" s="4550"/>
      <c r="CB276" s="4550"/>
      <c r="CC276" s="4550"/>
      <c r="CD276" s="4550"/>
      <c r="CE276" s="4550"/>
      <c r="CF276" s="4550"/>
      <c r="CG276" s="4550"/>
      <c r="CH276" s="4550"/>
      <c r="CI276" s="4550"/>
      <c r="CJ276" s="4550"/>
      <c r="CK276" s="4550"/>
      <c r="CL276" s="4550"/>
      <c r="CM276" s="4550"/>
      <c r="CN276" s="4550"/>
      <c r="CO276" s="4550"/>
      <c r="CP276" s="4550"/>
      <c r="CQ276" s="4550"/>
      <c r="CR276" s="4550"/>
      <c r="CS276" s="4550"/>
      <c r="CT276" s="4550"/>
      <c r="CU276" s="4550"/>
      <c r="CV276" s="4550"/>
      <c r="CW276" s="4550"/>
      <c r="CX276" s="4550"/>
      <c r="CY276" s="4550"/>
      <c r="CZ276" s="4550"/>
      <c r="DA276" s="4550"/>
      <c r="DB276" s="4550"/>
      <c r="DC276" s="4550"/>
      <c r="DD276" s="4550"/>
      <c r="DE276" s="4550"/>
      <c r="DF276" s="4550"/>
      <c r="DG276" s="4550"/>
      <c r="DH276" s="4550"/>
      <c r="DI276" s="4550"/>
      <c r="DJ276" s="4550"/>
      <c r="DK276" s="4550"/>
      <c r="DL276" s="4550"/>
      <c r="DM276" s="4550"/>
      <c r="DN276" s="4550"/>
      <c r="DO276" s="4550"/>
      <c r="DP276" s="4550"/>
      <c r="DQ276" s="4550"/>
      <c r="DR276" s="4550"/>
      <c r="DS276" s="4550"/>
      <c r="DT276" s="4550"/>
      <c r="DU276" s="4550"/>
      <c r="DV276" s="4550"/>
      <c r="DW276" s="4550"/>
      <c r="DX276" s="4550"/>
      <c r="DY276" s="4550"/>
      <c r="DZ276" s="4550"/>
      <c r="EA276" s="4550"/>
      <c r="EB276" s="4550"/>
      <c r="EC276" s="4550"/>
      <c r="ED276" s="4550"/>
      <c r="EE276" s="4550"/>
      <c r="EF276" s="4550"/>
      <c r="EG276" s="4550"/>
      <c r="EH276" s="4550"/>
      <c r="EI276" s="4550"/>
      <c r="EJ276" s="4550"/>
      <c r="EK276" s="4550"/>
      <c r="EL276" s="4550"/>
      <c r="EM276" s="4550"/>
      <c r="EN276" s="4550"/>
      <c r="EO276" s="4550"/>
      <c r="EP276" s="4550"/>
      <c r="EQ276" s="4550"/>
      <c r="ER276" s="4550"/>
      <c r="ES276" s="4550"/>
      <c r="ET276" s="4550"/>
      <c r="EU276" s="4550"/>
      <c r="EV276" s="4550"/>
      <c r="EW276" s="4550"/>
      <c r="EX276" s="4550"/>
      <c r="EY276" s="4550"/>
      <c r="EZ276" s="4550"/>
      <c r="FA276" s="4550"/>
      <c r="FB276" s="4550"/>
      <c r="FC276" s="4550"/>
      <c r="FD276" s="4550"/>
      <c r="FE276" s="4550"/>
      <c r="FF276" s="4550"/>
      <c r="FG276" s="4550"/>
      <c r="FH276" s="4550"/>
      <c r="FI276" s="4550"/>
      <c r="FJ276" s="4550"/>
      <c r="FK276" s="4550"/>
      <c r="FL276" s="4550"/>
      <c r="FM276" s="4550"/>
      <c r="FN276" s="4550"/>
      <c r="FO276" s="4550"/>
      <c r="FP276" s="4550"/>
      <c r="FQ276" s="4550"/>
      <c r="FR276" s="4550"/>
      <c r="FS276" s="4550"/>
      <c r="FT276" s="4550"/>
      <c r="FU276" s="4550"/>
      <c r="FV276" s="4550"/>
      <c r="FW276" s="4550"/>
      <c r="FX276" s="4550"/>
      <c r="FY276" s="4550"/>
      <c r="FZ276" s="4550"/>
      <c r="GA276" s="4550"/>
      <c r="GB276" s="4550"/>
      <c r="GC276" s="4550"/>
      <c r="GD276" s="4550"/>
      <c r="GE276" s="4550"/>
      <c r="GF276" s="4550"/>
      <c r="GG276" s="4550"/>
      <c r="GH276" s="4550"/>
      <c r="GI276" s="4550"/>
      <c r="GJ276" s="4550"/>
      <c r="GK276" s="4550"/>
      <c r="GL276" s="4550"/>
      <c r="GM276" s="4550"/>
      <c r="GN276" s="4550"/>
      <c r="GO276" s="4550"/>
      <c r="GP276" s="4550"/>
      <c r="GQ276" s="4550"/>
      <c r="GR276" s="4550"/>
      <c r="GS276" s="4550"/>
      <c r="GT276" s="4550"/>
      <c r="GU276" s="4550"/>
      <c r="GV276" s="4550"/>
      <c r="GW276" s="4550"/>
      <c r="GX276" s="4550"/>
      <c r="GY276" s="4550"/>
      <c r="GZ276" s="4550"/>
      <c r="HA276" s="4550"/>
      <c r="HB276" s="4550"/>
      <c r="HC276" s="4550"/>
      <c r="HD276" s="4550"/>
      <c r="HE276" s="4550"/>
      <c r="HF276" s="4550"/>
      <c r="HG276" s="4550"/>
      <c r="HH276" s="4550"/>
      <c r="HI276" s="4550"/>
      <c r="HJ276" s="4550"/>
      <c r="HK276" s="4550"/>
      <c r="HL276" s="4550"/>
      <c r="HM276" s="4550"/>
      <c r="HN276" s="4550"/>
      <c r="HO276" s="4550"/>
      <c r="HP276" s="4550"/>
      <c r="HQ276" s="4550"/>
      <c r="HR276" s="4550"/>
      <c r="HS276" s="4550"/>
      <c r="HT276" s="4550"/>
      <c r="HU276" s="4550"/>
      <c r="HV276" s="4550"/>
      <c r="HW276" s="4550"/>
      <c r="HX276" s="4550"/>
      <c r="HY276" s="4550"/>
      <c r="HZ276" s="4550"/>
      <c r="IA276" s="4550"/>
      <c r="IB276" s="4550"/>
      <c r="IC276" s="4550"/>
      <c r="ID276" s="4550"/>
      <c r="IE276" s="4550"/>
    </row>
    <row r="277" spans="1:239" s="4549" customFormat="1" ht="15">
      <c r="A277" s="4167">
        <v>10.1</v>
      </c>
      <c r="B277" s="4761" t="s">
        <v>2353</v>
      </c>
      <c r="C277" s="4677">
        <v>6</v>
      </c>
      <c r="D277" s="4593" t="s">
        <v>1</v>
      </c>
      <c r="E277" s="4318"/>
      <c r="F277" s="5000">
        <f t="shared" ref="F277:F282" si="12">ROUND((C277*E277),2)</f>
        <v>0</v>
      </c>
      <c r="G277" s="4537"/>
      <c r="H277" s="4537"/>
      <c r="I277" s="4537"/>
      <c r="J277" s="4537"/>
      <c r="K277" s="4537"/>
      <c r="L277" s="4537"/>
      <c r="M277" s="4537"/>
      <c r="N277" s="4537"/>
      <c r="O277" s="4537"/>
      <c r="P277" s="4537"/>
      <c r="Q277" s="4537"/>
      <c r="R277" s="4537"/>
      <c r="S277" s="4537"/>
      <c r="T277" s="4537"/>
      <c r="U277" s="4537"/>
      <c r="V277" s="4537"/>
      <c r="W277" s="4537"/>
      <c r="X277" s="4537"/>
      <c r="Y277" s="4537"/>
      <c r="Z277" s="4537"/>
      <c r="AA277" s="4537"/>
      <c r="AB277" s="4537"/>
      <c r="AC277" s="4537"/>
      <c r="AD277" s="4537"/>
      <c r="AE277" s="4537"/>
      <c r="AF277" s="4537"/>
      <c r="AG277" s="4537"/>
      <c r="AH277" s="4537"/>
      <c r="AI277" s="4537"/>
      <c r="AJ277" s="4537"/>
      <c r="AK277" s="4537"/>
      <c r="AL277" s="4537"/>
      <c r="AM277" s="4537"/>
      <c r="AN277" s="4537"/>
      <c r="AO277" s="4537"/>
      <c r="AP277" s="4537"/>
      <c r="AQ277" s="4537"/>
      <c r="AR277" s="4537"/>
      <c r="AS277" s="4550"/>
      <c r="AT277" s="4550"/>
      <c r="AU277" s="4550"/>
      <c r="AV277" s="4550"/>
      <c r="AW277" s="4550"/>
      <c r="AX277" s="4550"/>
      <c r="AY277" s="4550"/>
      <c r="AZ277" s="4550"/>
      <c r="BA277" s="4550"/>
      <c r="BB277" s="4550"/>
      <c r="BC277" s="4550"/>
      <c r="BD277" s="4550"/>
      <c r="BE277" s="4550"/>
      <c r="BF277" s="4550"/>
      <c r="BG277" s="4550"/>
      <c r="BH277" s="4550"/>
      <c r="BI277" s="4550"/>
      <c r="BJ277" s="4550"/>
      <c r="BK277" s="4550"/>
      <c r="BL277" s="4550"/>
      <c r="BM277" s="4550"/>
      <c r="BN277" s="4550"/>
      <c r="BO277" s="4550"/>
      <c r="BP277" s="4550"/>
      <c r="BQ277" s="4550"/>
      <c r="BR277" s="4550"/>
      <c r="BS277" s="4550"/>
      <c r="BT277" s="4550"/>
      <c r="BU277" s="4550"/>
      <c r="BV277" s="4550"/>
      <c r="BW277" s="4550"/>
      <c r="BX277" s="4550"/>
      <c r="BY277" s="4550"/>
      <c r="BZ277" s="4550"/>
      <c r="CA277" s="4550"/>
      <c r="CB277" s="4550"/>
      <c r="CC277" s="4550"/>
      <c r="CD277" s="4550"/>
      <c r="CE277" s="4550"/>
      <c r="CF277" s="4550"/>
      <c r="CG277" s="4550"/>
      <c r="CH277" s="4550"/>
      <c r="CI277" s="4550"/>
      <c r="CJ277" s="4550"/>
      <c r="CK277" s="4550"/>
      <c r="CL277" s="4550"/>
      <c r="CM277" s="4550"/>
      <c r="CN277" s="4550"/>
      <c r="CO277" s="4550"/>
      <c r="CP277" s="4550"/>
      <c r="CQ277" s="4550"/>
      <c r="CR277" s="4550"/>
      <c r="CS277" s="4550"/>
      <c r="CT277" s="4550"/>
      <c r="CU277" s="4550"/>
      <c r="CV277" s="4550"/>
      <c r="CW277" s="4550"/>
      <c r="CX277" s="4550"/>
      <c r="CY277" s="4550"/>
      <c r="CZ277" s="4550"/>
      <c r="DA277" s="4550"/>
      <c r="DB277" s="4550"/>
      <c r="DC277" s="4550"/>
      <c r="DD277" s="4550"/>
      <c r="DE277" s="4550"/>
      <c r="DF277" s="4550"/>
      <c r="DG277" s="4550"/>
      <c r="DH277" s="4550"/>
      <c r="DI277" s="4550"/>
      <c r="DJ277" s="4550"/>
      <c r="DK277" s="4550"/>
      <c r="DL277" s="4550"/>
      <c r="DM277" s="4550"/>
      <c r="DN277" s="4550"/>
      <c r="DO277" s="4550"/>
      <c r="DP277" s="4550"/>
      <c r="DQ277" s="4550"/>
      <c r="DR277" s="4550"/>
      <c r="DS277" s="4550"/>
      <c r="DT277" s="4550"/>
      <c r="DU277" s="4550"/>
      <c r="DV277" s="4550"/>
      <c r="DW277" s="4550"/>
      <c r="DX277" s="4550"/>
      <c r="DY277" s="4550"/>
      <c r="DZ277" s="4550"/>
      <c r="EA277" s="4550"/>
      <c r="EB277" s="4550"/>
      <c r="EC277" s="4550"/>
      <c r="ED277" s="4550"/>
      <c r="EE277" s="4550"/>
      <c r="EF277" s="4550"/>
      <c r="EG277" s="4550"/>
      <c r="EH277" s="4550"/>
      <c r="EI277" s="4550"/>
      <c r="EJ277" s="4550"/>
      <c r="EK277" s="4550"/>
      <c r="EL277" s="4550"/>
      <c r="EM277" s="4550"/>
      <c r="EN277" s="4550"/>
      <c r="EO277" s="4550"/>
      <c r="EP277" s="4550"/>
      <c r="EQ277" s="4550"/>
      <c r="ER277" s="4550"/>
      <c r="ES277" s="4550"/>
      <c r="ET277" s="4550"/>
      <c r="EU277" s="4550"/>
      <c r="EV277" s="4550"/>
      <c r="EW277" s="4550"/>
      <c r="EX277" s="4550"/>
      <c r="EY277" s="4550"/>
      <c r="EZ277" s="4550"/>
      <c r="FA277" s="4550"/>
      <c r="FB277" s="4550"/>
      <c r="FC277" s="4550"/>
      <c r="FD277" s="4550"/>
      <c r="FE277" s="4550"/>
      <c r="FF277" s="4550"/>
      <c r="FG277" s="4550"/>
      <c r="FH277" s="4550"/>
      <c r="FI277" s="4550"/>
      <c r="FJ277" s="4550"/>
      <c r="FK277" s="4550"/>
      <c r="FL277" s="4550"/>
      <c r="FM277" s="4550"/>
      <c r="FN277" s="4550"/>
      <c r="FO277" s="4550"/>
      <c r="FP277" s="4550"/>
      <c r="FQ277" s="4550"/>
      <c r="FR277" s="4550"/>
      <c r="FS277" s="4550"/>
      <c r="FT277" s="4550"/>
      <c r="FU277" s="4550"/>
      <c r="FV277" s="4550"/>
      <c r="FW277" s="4550"/>
      <c r="FX277" s="4550"/>
      <c r="FY277" s="4550"/>
      <c r="FZ277" s="4550"/>
      <c r="GA277" s="4550"/>
      <c r="GB277" s="4550"/>
      <c r="GC277" s="4550"/>
      <c r="GD277" s="4550"/>
      <c r="GE277" s="4550"/>
      <c r="GF277" s="4550"/>
      <c r="GG277" s="4550"/>
      <c r="GH277" s="4550"/>
      <c r="GI277" s="4550"/>
      <c r="GJ277" s="4550"/>
      <c r="GK277" s="4550"/>
      <c r="GL277" s="4550"/>
      <c r="GM277" s="4550"/>
      <c r="GN277" s="4550"/>
      <c r="GO277" s="4550"/>
      <c r="GP277" s="4550"/>
      <c r="GQ277" s="4550"/>
      <c r="GR277" s="4550"/>
      <c r="GS277" s="4550"/>
      <c r="GT277" s="4550"/>
      <c r="GU277" s="4550"/>
      <c r="GV277" s="4550"/>
      <c r="GW277" s="4550"/>
      <c r="GX277" s="4550"/>
      <c r="GY277" s="4550"/>
      <c r="GZ277" s="4550"/>
      <c r="HA277" s="4550"/>
      <c r="HB277" s="4550"/>
      <c r="HC277" s="4550"/>
      <c r="HD277" s="4550"/>
      <c r="HE277" s="4550"/>
      <c r="HF277" s="4550"/>
      <c r="HG277" s="4550"/>
      <c r="HH277" s="4550"/>
      <c r="HI277" s="4550"/>
      <c r="HJ277" s="4550"/>
      <c r="HK277" s="4550"/>
      <c r="HL277" s="4550"/>
      <c r="HM277" s="4550"/>
      <c r="HN277" s="4550"/>
      <c r="HO277" s="4550"/>
      <c r="HP277" s="4550"/>
      <c r="HQ277" s="4550"/>
      <c r="HR277" s="4550"/>
      <c r="HS277" s="4550"/>
      <c r="HT277" s="4550"/>
      <c r="HU277" s="4550"/>
      <c r="HV277" s="4550"/>
      <c r="HW277" s="4550"/>
      <c r="HX277" s="4550"/>
      <c r="HY277" s="4550"/>
      <c r="HZ277" s="4550"/>
      <c r="IA277" s="4550"/>
      <c r="IB277" s="4550"/>
      <c r="IC277" s="4550"/>
      <c r="ID277" s="4550"/>
      <c r="IE277" s="4550"/>
    </row>
    <row r="278" spans="1:239" s="4549" customFormat="1" ht="15">
      <c r="A278" s="4167">
        <v>10.199999999999999</v>
      </c>
      <c r="B278" s="4761" t="s">
        <v>4172</v>
      </c>
      <c r="C278" s="4677">
        <v>3.24</v>
      </c>
      <c r="D278" s="4755" t="s">
        <v>2430</v>
      </c>
      <c r="E278" s="4318"/>
      <c r="F278" s="5000">
        <f t="shared" si="12"/>
        <v>0</v>
      </c>
      <c r="G278" s="4537"/>
      <c r="H278" s="4537"/>
      <c r="I278" s="4537"/>
      <c r="J278" s="4537"/>
      <c r="K278" s="4537"/>
      <c r="L278" s="4537"/>
      <c r="M278" s="4537"/>
      <c r="N278" s="4537"/>
      <c r="O278" s="4537"/>
      <c r="P278" s="4537"/>
      <c r="Q278" s="4537"/>
      <c r="R278" s="4537"/>
      <c r="S278" s="4537"/>
      <c r="T278" s="4537"/>
      <c r="U278" s="4537"/>
      <c r="V278" s="4537"/>
      <c r="W278" s="4537"/>
      <c r="X278" s="4537"/>
      <c r="Y278" s="4537"/>
      <c r="Z278" s="4537"/>
      <c r="AA278" s="4537"/>
      <c r="AB278" s="4537"/>
      <c r="AC278" s="4537"/>
      <c r="AD278" s="4537"/>
      <c r="AE278" s="4537"/>
      <c r="AF278" s="4537"/>
      <c r="AG278" s="4537"/>
      <c r="AH278" s="4537"/>
      <c r="AI278" s="4537"/>
      <c r="AJ278" s="4537"/>
      <c r="AK278" s="4537"/>
      <c r="AL278" s="4537"/>
      <c r="AM278" s="4537"/>
      <c r="AN278" s="4537"/>
      <c r="AO278" s="4537"/>
      <c r="AP278" s="4537"/>
      <c r="AQ278" s="4537"/>
      <c r="AR278" s="4537"/>
      <c r="AS278" s="4550"/>
      <c r="AT278" s="4550"/>
      <c r="AU278" s="4550"/>
      <c r="AV278" s="4550"/>
      <c r="AW278" s="4550"/>
      <c r="AX278" s="4550"/>
      <c r="AY278" s="4550"/>
      <c r="AZ278" s="4550"/>
      <c r="BA278" s="4550"/>
      <c r="BB278" s="4550"/>
      <c r="BC278" s="4550"/>
      <c r="BD278" s="4550"/>
      <c r="BE278" s="4550"/>
      <c r="BF278" s="4550"/>
      <c r="BG278" s="4550"/>
      <c r="BH278" s="4550"/>
      <c r="BI278" s="4550"/>
      <c r="BJ278" s="4550"/>
      <c r="BK278" s="4550"/>
      <c r="BL278" s="4550"/>
      <c r="BM278" s="4550"/>
      <c r="BN278" s="4550"/>
      <c r="BO278" s="4550"/>
      <c r="BP278" s="4550"/>
      <c r="BQ278" s="4550"/>
      <c r="BR278" s="4550"/>
      <c r="BS278" s="4550"/>
      <c r="BT278" s="4550"/>
      <c r="BU278" s="4550"/>
      <c r="BV278" s="4550"/>
      <c r="BW278" s="4550"/>
      <c r="BX278" s="4550"/>
      <c r="BY278" s="4550"/>
      <c r="BZ278" s="4550"/>
      <c r="CA278" s="4550"/>
      <c r="CB278" s="4550"/>
      <c r="CC278" s="4550"/>
      <c r="CD278" s="4550"/>
      <c r="CE278" s="4550"/>
      <c r="CF278" s="4550"/>
      <c r="CG278" s="4550"/>
      <c r="CH278" s="4550"/>
      <c r="CI278" s="4550"/>
      <c r="CJ278" s="4550"/>
      <c r="CK278" s="4550"/>
      <c r="CL278" s="4550"/>
      <c r="CM278" s="4550"/>
      <c r="CN278" s="4550"/>
      <c r="CO278" s="4550"/>
      <c r="CP278" s="4550"/>
      <c r="CQ278" s="4550"/>
      <c r="CR278" s="4550"/>
      <c r="CS278" s="4550"/>
      <c r="CT278" s="4550"/>
      <c r="CU278" s="4550"/>
      <c r="CV278" s="4550"/>
      <c r="CW278" s="4550"/>
      <c r="CX278" s="4550"/>
      <c r="CY278" s="4550"/>
      <c r="CZ278" s="4550"/>
      <c r="DA278" s="4550"/>
      <c r="DB278" s="4550"/>
      <c r="DC278" s="4550"/>
      <c r="DD278" s="4550"/>
      <c r="DE278" s="4550"/>
      <c r="DF278" s="4550"/>
      <c r="DG278" s="4550"/>
      <c r="DH278" s="4550"/>
      <c r="DI278" s="4550"/>
      <c r="DJ278" s="4550"/>
      <c r="DK278" s="4550"/>
      <c r="DL278" s="4550"/>
      <c r="DM278" s="4550"/>
      <c r="DN278" s="4550"/>
      <c r="DO278" s="4550"/>
      <c r="DP278" s="4550"/>
      <c r="DQ278" s="4550"/>
      <c r="DR278" s="4550"/>
      <c r="DS278" s="4550"/>
      <c r="DT278" s="4550"/>
      <c r="DU278" s="4550"/>
      <c r="DV278" s="4550"/>
      <c r="DW278" s="4550"/>
      <c r="DX278" s="4550"/>
      <c r="DY278" s="4550"/>
      <c r="DZ278" s="4550"/>
      <c r="EA278" s="4550"/>
      <c r="EB278" s="4550"/>
      <c r="EC278" s="4550"/>
      <c r="ED278" s="4550"/>
      <c r="EE278" s="4550"/>
      <c r="EF278" s="4550"/>
      <c r="EG278" s="4550"/>
      <c r="EH278" s="4550"/>
      <c r="EI278" s="4550"/>
      <c r="EJ278" s="4550"/>
      <c r="EK278" s="4550"/>
      <c r="EL278" s="4550"/>
      <c r="EM278" s="4550"/>
      <c r="EN278" s="4550"/>
      <c r="EO278" s="4550"/>
      <c r="EP278" s="4550"/>
      <c r="EQ278" s="4550"/>
      <c r="ER278" s="4550"/>
      <c r="ES278" s="4550"/>
      <c r="ET278" s="4550"/>
      <c r="EU278" s="4550"/>
      <c r="EV278" s="4550"/>
      <c r="EW278" s="4550"/>
      <c r="EX278" s="4550"/>
      <c r="EY278" s="4550"/>
      <c r="EZ278" s="4550"/>
      <c r="FA278" s="4550"/>
      <c r="FB278" s="4550"/>
      <c r="FC278" s="4550"/>
      <c r="FD278" s="4550"/>
      <c r="FE278" s="4550"/>
      <c r="FF278" s="4550"/>
      <c r="FG278" s="4550"/>
      <c r="FH278" s="4550"/>
      <c r="FI278" s="4550"/>
      <c r="FJ278" s="4550"/>
      <c r="FK278" s="4550"/>
      <c r="FL278" s="4550"/>
      <c r="FM278" s="4550"/>
      <c r="FN278" s="4550"/>
      <c r="FO278" s="4550"/>
      <c r="FP278" s="4550"/>
      <c r="FQ278" s="4550"/>
      <c r="FR278" s="4550"/>
      <c r="FS278" s="4550"/>
      <c r="FT278" s="4550"/>
      <c r="FU278" s="4550"/>
      <c r="FV278" s="4550"/>
      <c r="FW278" s="4550"/>
      <c r="FX278" s="4550"/>
      <c r="FY278" s="4550"/>
      <c r="FZ278" s="4550"/>
      <c r="GA278" s="4550"/>
      <c r="GB278" s="4550"/>
      <c r="GC278" s="4550"/>
      <c r="GD278" s="4550"/>
      <c r="GE278" s="4550"/>
      <c r="GF278" s="4550"/>
      <c r="GG278" s="4550"/>
      <c r="GH278" s="4550"/>
      <c r="GI278" s="4550"/>
      <c r="GJ278" s="4550"/>
      <c r="GK278" s="4550"/>
      <c r="GL278" s="4550"/>
      <c r="GM278" s="4550"/>
      <c r="GN278" s="4550"/>
      <c r="GO278" s="4550"/>
      <c r="GP278" s="4550"/>
      <c r="GQ278" s="4550"/>
      <c r="GR278" s="4550"/>
      <c r="GS278" s="4550"/>
      <c r="GT278" s="4550"/>
      <c r="GU278" s="4550"/>
      <c r="GV278" s="4550"/>
      <c r="GW278" s="4550"/>
      <c r="GX278" s="4550"/>
      <c r="GY278" s="4550"/>
      <c r="GZ278" s="4550"/>
      <c r="HA278" s="4550"/>
      <c r="HB278" s="4550"/>
      <c r="HC278" s="4550"/>
      <c r="HD278" s="4550"/>
      <c r="HE278" s="4550"/>
      <c r="HF278" s="4550"/>
      <c r="HG278" s="4550"/>
      <c r="HH278" s="4550"/>
      <c r="HI278" s="4550"/>
      <c r="HJ278" s="4550"/>
      <c r="HK278" s="4550"/>
      <c r="HL278" s="4550"/>
      <c r="HM278" s="4550"/>
      <c r="HN278" s="4550"/>
      <c r="HO278" s="4550"/>
      <c r="HP278" s="4550"/>
      <c r="HQ278" s="4550"/>
      <c r="HR278" s="4550"/>
      <c r="HS278" s="4550"/>
      <c r="HT278" s="4550"/>
      <c r="HU278" s="4550"/>
      <c r="HV278" s="4550"/>
      <c r="HW278" s="4550"/>
      <c r="HX278" s="4550"/>
      <c r="HY278" s="4550"/>
      <c r="HZ278" s="4550"/>
      <c r="IA278" s="4550"/>
      <c r="IB278" s="4550"/>
      <c r="IC278" s="4550"/>
      <c r="ID278" s="4550"/>
      <c r="IE278" s="4550"/>
    </row>
    <row r="279" spans="1:239" s="4549" customFormat="1" ht="15">
      <c r="A279" s="4167">
        <v>10.3</v>
      </c>
      <c r="B279" s="4761" t="s">
        <v>4065</v>
      </c>
      <c r="C279" s="4677">
        <v>2.93</v>
      </c>
      <c r="D279" s="4755" t="s">
        <v>2430</v>
      </c>
      <c r="E279" s="4318"/>
      <c r="F279" s="5000">
        <f t="shared" si="12"/>
        <v>0</v>
      </c>
      <c r="G279" s="4537"/>
      <c r="H279" s="4537"/>
      <c r="I279" s="4537"/>
      <c r="J279" s="4537"/>
      <c r="K279" s="4537"/>
      <c r="L279" s="4537"/>
      <c r="M279" s="4537"/>
      <c r="N279" s="4537"/>
      <c r="O279" s="4537"/>
      <c r="P279" s="4537"/>
      <c r="Q279" s="4537"/>
      <c r="R279" s="4537"/>
      <c r="S279" s="4537"/>
      <c r="T279" s="4537"/>
      <c r="U279" s="4537"/>
      <c r="V279" s="4537"/>
      <c r="W279" s="4537"/>
      <c r="X279" s="4537"/>
      <c r="Y279" s="4537"/>
      <c r="Z279" s="4537"/>
      <c r="AA279" s="4537"/>
      <c r="AB279" s="4537"/>
      <c r="AC279" s="4537"/>
      <c r="AD279" s="4537"/>
      <c r="AE279" s="4537"/>
      <c r="AF279" s="4537"/>
      <c r="AG279" s="4537"/>
      <c r="AH279" s="4537"/>
      <c r="AI279" s="4537"/>
      <c r="AJ279" s="4537"/>
      <c r="AK279" s="4537"/>
      <c r="AL279" s="4537"/>
      <c r="AM279" s="4537"/>
      <c r="AN279" s="4537"/>
      <c r="AO279" s="4537"/>
      <c r="AP279" s="4537"/>
      <c r="AQ279" s="4537"/>
      <c r="AR279" s="4537"/>
      <c r="AS279" s="4550"/>
      <c r="AT279" s="4550"/>
      <c r="AU279" s="4550"/>
      <c r="AV279" s="4550"/>
      <c r="AW279" s="4550"/>
      <c r="AX279" s="4550"/>
      <c r="AY279" s="4550"/>
      <c r="AZ279" s="4550"/>
      <c r="BA279" s="4550"/>
      <c r="BB279" s="4550"/>
      <c r="BC279" s="4550"/>
      <c r="BD279" s="4550"/>
      <c r="BE279" s="4550"/>
      <c r="BF279" s="4550"/>
      <c r="BG279" s="4550"/>
      <c r="BH279" s="4550"/>
      <c r="BI279" s="4550"/>
      <c r="BJ279" s="4550"/>
      <c r="BK279" s="4550"/>
      <c r="BL279" s="4550"/>
      <c r="BM279" s="4550"/>
      <c r="BN279" s="4550"/>
      <c r="BO279" s="4550"/>
      <c r="BP279" s="4550"/>
      <c r="BQ279" s="4550"/>
      <c r="BR279" s="4550"/>
      <c r="BS279" s="4550"/>
      <c r="BT279" s="4550"/>
      <c r="BU279" s="4550"/>
      <c r="BV279" s="4550"/>
      <c r="BW279" s="4550"/>
      <c r="BX279" s="4550"/>
      <c r="BY279" s="4550"/>
      <c r="BZ279" s="4550"/>
      <c r="CA279" s="4550"/>
      <c r="CB279" s="4550"/>
      <c r="CC279" s="4550"/>
      <c r="CD279" s="4550"/>
      <c r="CE279" s="4550"/>
      <c r="CF279" s="4550"/>
      <c r="CG279" s="4550"/>
      <c r="CH279" s="4550"/>
      <c r="CI279" s="4550"/>
      <c r="CJ279" s="4550"/>
      <c r="CK279" s="4550"/>
      <c r="CL279" s="4550"/>
      <c r="CM279" s="4550"/>
      <c r="CN279" s="4550"/>
      <c r="CO279" s="4550"/>
      <c r="CP279" s="4550"/>
      <c r="CQ279" s="4550"/>
      <c r="CR279" s="4550"/>
      <c r="CS279" s="4550"/>
      <c r="CT279" s="4550"/>
      <c r="CU279" s="4550"/>
      <c r="CV279" s="4550"/>
      <c r="CW279" s="4550"/>
      <c r="CX279" s="4550"/>
      <c r="CY279" s="4550"/>
      <c r="CZ279" s="4550"/>
      <c r="DA279" s="4550"/>
      <c r="DB279" s="4550"/>
      <c r="DC279" s="4550"/>
      <c r="DD279" s="4550"/>
      <c r="DE279" s="4550"/>
      <c r="DF279" s="4550"/>
      <c r="DG279" s="4550"/>
      <c r="DH279" s="4550"/>
      <c r="DI279" s="4550"/>
      <c r="DJ279" s="4550"/>
      <c r="DK279" s="4550"/>
      <c r="DL279" s="4550"/>
      <c r="DM279" s="4550"/>
      <c r="DN279" s="4550"/>
      <c r="DO279" s="4550"/>
      <c r="DP279" s="4550"/>
      <c r="DQ279" s="4550"/>
      <c r="DR279" s="4550"/>
      <c r="DS279" s="4550"/>
      <c r="DT279" s="4550"/>
      <c r="DU279" s="4550"/>
      <c r="DV279" s="4550"/>
      <c r="DW279" s="4550"/>
      <c r="DX279" s="4550"/>
      <c r="DY279" s="4550"/>
      <c r="DZ279" s="4550"/>
      <c r="EA279" s="4550"/>
      <c r="EB279" s="4550"/>
      <c r="EC279" s="4550"/>
      <c r="ED279" s="4550"/>
      <c r="EE279" s="4550"/>
      <c r="EF279" s="4550"/>
      <c r="EG279" s="4550"/>
      <c r="EH279" s="4550"/>
      <c r="EI279" s="4550"/>
      <c r="EJ279" s="4550"/>
      <c r="EK279" s="4550"/>
      <c r="EL279" s="4550"/>
      <c r="EM279" s="4550"/>
      <c r="EN279" s="4550"/>
      <c r="EO279" s="4550"/>
      <c r="EP279" s="4550"/>
      <c r="EQ279" s="4550"/>
      <c r="ER279" s="4550"/>
      <c r="ES279" s="4550"/>
      <c r="ET279" s="4550"/>
      <c r="EU279" s="4550"/>
      <c r="EV279" s="4550"/>
      <c r="EW279" s="4550"/>
      <c r="EX279" s="4550"/>
      <c r="EY279" s="4550"/>
      <c r="EZ279" s="4550"/>
      <c r="FA279" s="4550"/>
      <c r="FB279" s="4550"/>
      <c r="FC279" s="4550"/>
      <c r="FD279" s="4550"/>
      <c r="FE279" s="4550"/>
      <c r="FF279" s="4550"/>
      <c r="FG279" s="4550"/>
      <c r="FH279" s="4550"/>
      <c r="FI279" s="4550"/>
      <c r="FJ279" s="4550"/>
      <c r="FK279" s="4550"/>
      <c r="FL279" s="4550"/>
      <c r="FM279" s="4550"/>
      <c r="FN279" s="4550"/>
      <c r="FO279" s="4550"/>
      <c r="FP279" s="4550"/>
      <c r="FQ279" s="4550"/>
      <c r="FR279" s="4550"/>
      <c r="FS279" s="4550"/>
      <c r="FT279" s="4550"/>
      <c r="FU279" s="4550"/>
      <c r="FV279" s="4550"/>
      <c r="FW279" s="4550"/>
      <c r="FX279" s="4550"/>
      <c r="FY279" s="4550"/>
      <c r="FZ279" s="4550"/>
      <c r="GA279" s="4550"/>
      <c r="GB279" s="4550"/>
      <c r="GC279" s="4550"/>
      <c r="GD279" s="4550"/>
      <c r="GE279" s="4550"/>
      <c r="GF279" s="4550"/>
      <c r="GG279" s="4550"/>
      <c r="GH279" s="4550"/>
      <c r="GI279" s="4550"/>
      <c r="GJ279" s="4550"/>
      <c r="GK279" s="4550"/>
      <c r="GL279" s="4550"/>
      <c r="GM279" s="4550"/>
      <c r="GN279" s="4550"/>
      <c r="GO279" s="4550"/>
      <c r="GP279" s="4550"/>
      <c r="GQ279" s="4550"/>
      <c r="GR279" s="4550"/>
      <c r="GS279" s="4550"/>
      <c r="GT279" s="4550"/>
      <c r="GU279" s="4550"/>
      <c r="GV279" s="4550"/>
      <c r="GW279" s="4550"/>
      <c r="GX279" s="4550"/>
      <c r="GY279" s="4550"/>
      <c r="GZ279" s="4550"/>
      <c r="HA279" s="4550"/>
      <c r="HB279" s="4550"/>
      <c r="HC279" s="4550"/>
      <c r="HD279" s="4550"/>
      <c r="HE279" s="4550"/>
      <c r="HF279" s="4550"/>
      <c r="HG279" s="4550"/>
      <c r="HH279" s="4550"/>
      <c r="HI279" s="4550"/>
      <c r="HJ279" s="4550"/>
      <c r="HK279" s="4550"/>
      <c r="HL279" s="4550"/>
      <c r="HM279" s="4550"/>
      <c r="HN279" s="4550"/>
      <c r="HO279" s="4550"/>
      <c r="HP279" s="4550"/>
      <c r="HQ279" s="4550"/>
      <c r="HR279" s="4550"/>
      <c r="HS279" s="4550"/>
      <c r="HT279" s="4550"/>
      <c r="HU279" s="4550"/>
      <c r="HV279" s="4550"/>
      <c r="HW279" s="4550"/>
      <c r="HX279" s="4550"/>
      <c r="HY279" s="4550"/>
      <c r="HZ279" s="4550"/>
      <c r="IA279" s="4550"/>
      <c r="IB279" s="4550"/>
      <c r="IC279" s="4550"/>
      <c r="ID279" s="4550"/>
      <c r="IE279" s="4550"/>
    </row>
    <row r="280" spans="1:239" s="4549" customFormat="1" ht="15">
      <c r="A280" s="4167">
        <v>10.4</v>
      </c>
      <c r="B280" s="4761" t="s">
        <v>4056</v>
      </c>
      <c r="C280" s="4677">
        <v>1</v>
      </c>
      <c r="D280" s="4755" t="s">
        <v>61</v>
      </c>
      <c r="E280" s="4318"/>
      <c r="F280" s="5000">
        <f t="shared" si="12"/>
        <v>0</v>
      </c>
      <c r="G280" s="4537"/>
      <c r="H280" s="4537"/>
      <c r="I280" s="4537"/>
      <c r="J280" s="4537"/>
      <c r="K280" s="4537"/>
      <c r="L280" s="4537"/>
      <c r="M280" s="4537"/>
      <c r="N280" s="4537"/>
      <c r="O280" s="4537"/>
      <c r="P280" s="4537"/>
      <c r="Q280" s="4537"/>
      <c r="R280" s="4537"/>
      <c r="S280" s="4537"/>
      <c r="T280" s="4537"/>
      <c r="U280" s="4537"/>
      <c r="V280" s="4537"/>
      <c r="W280" s="4537"/>
      <c r="X280" s="4537"/>
      <c r="Y280" s="4537"/>
      <c r="Z280" s="4537"/>
      <c r="AA280" s="4537"/>
      <c r="AB280" s="4537"/>
      <c r="AC280" s="4537"/>
      <c r="AD280" s="4537"/>
      <c r="AE280" s="4537"/>
      <c r="AF280" s="4537"/>
      <c r="AG280" s="4537"/>
      <c r="AH280" s="4537"/>
      <c r="AI280" s="4537"/>
      <c r="AJ280" s="4537"/>
      <c r="AK280" s="4537"/>
      <c r="AL280" s="4537"/>
      <c r="AM280" s="4537"/>
      <c r="AN280" s="4537"/>
      <c r="AO280" s="4537"/>
      <c r="AP280" s="4537"/>
      <c r="AQ280" s="4537"/>
      <c r="AR280" s="4537"/>
      <c r="AS280" s="4550"/>
      <c r="AT280" s="4550"/>
      <c r="AU280" s="4550"/>
      <c r="AV280" s="4550"/>
      <c r="AW280" s="4550"/>
      <c r="AX280" s="4550"/>
      <c r="AY280" s="4550"/>
      <c r="AZ280" s="4550"/>
      <c r="BA280" s="4550"/>
      <c r="BB280" s="4550"/>
      <c r="BC280" s="4550"/>
      <c r="BD280" s="4550"/>
      <c r="BE280" s="4550"/>
      <c r="BF280" s="4550"/>
      <c r="BG280" s="4550"/>
      <c r="BH280" s="4550"/>
      <c r="BI280" s="4550"/>
      <c r="BJ280" s="4550"/>
      <c r="BK280" s="4550"/>
      <c r="BL280" s="4550"/>
      <c r="BM280" s="4550"/>
      <c r="BN280" s="4550"/>
      <c r="BO280" s="4550"/>
      <c r="BP280" s="4550"/>
      <c r="BQ280" s="4550"/>
      <c r="BR280" s="4550"/>
      <c r="BS280" s="4550"/>
      <c r="BT280" s="4550"/>
      <c r="BU280" s="4550"/>
      <c r="BV280" s="4550"/>
      <c r="BW280" s="4550"/>
      <c r="BX280" s="4550"/>
      <c r="BY280" s="4550"/>
      <c r="BZ280" s="4550"/>
      <c r="CA280" s="4550"/>
      <c r="CB280" s="4550"/>
      <c r="CC280" s="4550"/>
      <c r="CD280" s="4550"/>
      <c r="CE280" s="4550"/>
      <c r="CF280" s="4550"/>
      <c r="CG280" s="4550"/>
      <c r="CH280" s="4550"/>
      <c r="CI280" s="4550"/>
      <c r="CJ280" s="4550"/>
      <c r="CK280" s="4550"/>
      <c r="CL280" s="4550"/>
      <c r="CM280" s="4550"/>
      <c r="CN280" s="4550"/>
      <c r="CO280" s="4550"/>
      <c r="CP280" s="4550"/>
      <c r="CQ280" s="4550"/>
      <c r="CR280" s="4550"/>
      <c r="CS280" s="4550"/>
      <c r="CT280" s="4550"/>
      <c r="CU280" s="4550"/>
      <c r="CV280" s="4550"/>
      <c r="CW280" s="4550"/>
      <c r="CX280" s="4550"/>
      <c r="CY280" s="4550"/>
      <c r="CZ280" s="4550"/>
      <c r="DA280" s="4550"/>
      <c r="DB280" s="4550"/>
      <c r="DC280" s="4550"/>
      <c r="DD280" s="4550"/>
      <c r="DE280" s="4550"/>
      <c r="DF280" s="4550"/>
      <c r="DG280" s="4550"/>
      <c r="DH280" s="4550"/>
      <c r="DI280" s="4550"/>
      <c r="DJ280" s="4550"/>
      <c r="DK280" s="4550"/>
      <c r="DL280" s="4550"/>
      <c r="DM280" s="4550"/>
      <c r="DN280" s="4550"/>
      <c r="DO280" s="4550"/>
      <c r="DP280" s="4550"/>
      <c r="DQ280" s="4550"/>
      <c r="DR280" s="4550"/>
      <c r="DS280" s="4550"/>
      <c r="DT280" s="4550"/>
      <c r="DU280" s="4550"/>
      <c r="DV280" s="4550"/>
      <c r="DW280" s="4550"/>
      <c r="DX280" s="4550"/>
      <c r="DY280" s="4550"/>
      <c r="DZ280" s="4550"/>
      <c r="EA280" s="4550"/>
      <c r="EB280" s="4550"/>
      <c r="EC280" s="4550"/>
      <c r="ED280" s="4550"/>
      <c r="EE280" s="4550"/>
      <c r="EF280" s="4550"/>
      <c r="EG280" s="4550"/>
      <c r="EH280" s="4550"/>
      <c r="EI280" s="4550"/>
      <c r="EJ280" s="4550"/>
      <c r="EK280" s="4550"/>
      <c r="EL280" s="4550"/>
      <c r="EM280" s="4550"/>
      <c r="EN280" s="4550"/>
      <c r="EO280" s="4550"/>
      <c r="EP280" s="4550"/>
      <c r="EQ280" s="4550"/>
      <c r="ER280" s="4550"/>
      <c r="ES280" s="4550"/>
      <c r="ET280" s="4550"/>
      <c r="EU280" s="4550"/>
      <c r="EV280" s="4550"/>
      <c r="EW280" s="4550"/>
      <c r="EX280" s="4550"/>
      <c r="EY280" s="4550"/>
      <c r="EZ280" s="4550"/>
      <c r="FA280" s="4550"/>
      <c r="FB280" s="4550"/>
      <c r="FC280" s="4550"/>
      <c r="FD280" s="4550"/>
      <c r="FE280" s="4550"/>
      <c r="FF280" s="4550"/>
      <c r="FG280" s="4550"/>
      <c r="FH280" s="4550"/>
      <c r="FI280" s="4550"/>
      <c r="FJ280" s="4550"/>
      <c r="FK280" s="4550"/>
      <c r="FL280" s="4550"/>
      <c r="FM280" s="4550"/>
      <c r="FN280" s="4550"/>
      <c r="FO280" s="4550"/>
      <c r="FP280" s="4550"/>
      <c r="FQ280" s="4550"/>
      <c r="FR280" s="4550"/>
      <c r="FS280" s="4550"/>
      <c r="FT280" s="4550"/>
      <c r="FU280" s="4550"/>
      <c r="FV280" s="4550"/>
      <c r="FW280" s="4550"/>
      <c r="FX280" s="4550"/>
      <c r="FY280" s="4550"/>
      <c r="FZ280" s="4550"/>
      <c r="GA280" s="4550"/>
      <c r="GB280" s="4550"/>
      <c r="GC280" s="4550"/>
      <c r="GD280" s="4550"/>
      <c r="GE280" s="4550"/>
      <c r="GF280" s="4550"/>
      <c r="GG280" s="4550"/>
      <c r="GH280" s="4550"/>
      <c r="GI280" s="4550"/>
      <c r="GJ280" s="4550"/>
      <c r="GK280" s="4550"/>
      <c r="GL280" s="4550"/>
      <c r="GM280" s="4550"/>
      <c r="GN280" s="4550"/>
      <c r="GO280" s="4550"/>
      <c r="GP280" s="4550"/>
      <c r="GQ280" s="4550"/>
      <c r="GR280" s="4550"/>
      <c r="GS280" s="4550"/>
      <c r="GT280" s="4550"/>
      <c r="GU280" s="4550"/>
      <c r="GV280" s="4550"/>
      <c r="GW280" s="4550"/>
      <c r="GX280" s="4550"/>
      <c r="GY280" s="4550"/>
      <c r="GZ280" s="4550"/>
      <c r="HA280" s="4550"/>
      <c r="HB280" s="4550"/>
      <c r="HC280" s="4550"/>
      <c r="HD280" s="4550"/>
      <c r="HE280" s="4550"/>
      <c r="HF280" s="4550"/>
      <c r="HG280" s="4550"/>
      <c r="HH280" s="4550"/>
      <c r="HI280" s="4550"/>
      <c r="HJ280" s="4550"/>
      <c r="HK280" s="4550"/>
      <c r="HL280" s="4550"/>
      <c r="HM280" s="4550"/>
      <c r="HN280" s="4550"/>
      <c r="HO280" s="4550"/>
      <c r="HP280" s="4550"/>
      <c r="HQ280" s="4550"/>
      <c r="HR280" s="4550"/>
      <c r="HS280" s="4550"/>
      <c r="HT280" s="4550"/>
      <c r="HU280" s="4550"/>
      <c r="HV280" s="4550"/>
      <c r="HW280" s="4550"/>
      <c r="HX280" s="4550"/>
      <c r="HY280" s="4550"/>
      <c r="HZ280" s="4550"/>
      <c r="IA280" s="4550"/>
      <c r="IB280" s="4550"/>
      <c r="IC280" s="4550"/>
      <c r="ID280" s="4550"/>
      <c r="IE280" s="4550"/>
    </row>
    <row r="281" spans="1:239" s="4549" customFormat="1" ht="15">
      <c r="A281" s="4167">
        <v>10.5</v>
      </c>
      <c r="B281" s="4761" t="s">
        <v>4184</v>
      </c>
      <c r="C281" s="4677">
        <v>6</v>
      </c>
      <c r="D281" s="4755" t="s">
        <v>1</v>
      </c>
      <c r="E281" s="4318"/>
      <c r="F281" s="5000">
        <f t="shared" si="12"/>
        <v>0</v>
      </c>
      <c r="G281" s="4537"/>
      <c r="H281" s="4537"/>
      <c r="I281" s="4537"/>
      <c r="J281" s="4537"/>
      <c r="K281" s="4537"/>
      <c r="L281" s="4537"/>
      <c r="M281" s="4537"/>
      <c r="N281" s="4537"/>
      <c r="O281" s="4537"/>
      <c r="P281" s="4537"/>
      <c r="Q281" s="4537"/>
      <c r="R281" s="4537"/>
      <c r="S281" s="4537"/>
      <c r="T281" s="4537"/>
      <c r="U281" s="4537"/>
      <c r="V281" s="4537"/>
      <c r="W281" s="4537"/>
      <c r="X281" s="4537"/>
      <c r="Y281" s="4537"/>
      <c r="Z281" s="4537"/>
      <c r="AA281" s="4537"/>
      <c r="AB281" s="4537"/>
      <c r="AC281" s="4537"/>
      <c r="AD281" s="4537"/>
      <c r="AE281" s="4537"/>
      <c r="AF281" s="4537"/>
      <c r="AG281" s="4537"/>
      <c r="AH281" s="4537"/>
      <c r="AI281" s="4537"/>
      <c r="AJ281" s="4537"/>
      <c r="AK281" s="4537"/>
      <c r="AL281" s="4537"/>
      <c r="AM281" s="4537"/>
      <c r="AN281" s="4537"/>
      <c r="AO281" s="4537"/>
      <c r="AP281" s="4537"/>
      <c r="AQ281" s="4537"/>
      <c r="AR281" s="4537"/>
      <c r="AS281" s="4550"/>
      <c r="AT281" s="4550"/>
      <c r="AU281" s="4550"/>
      <c r="AV281" s="4550"/>
      <c r="AW281" s="4550"/>
      <c r="AX281" s="4550"/>
      <c r="AY281" s="4550"/>
      <c r="AZ281" s="4550"/>
      <c r="BA281" s="4550"/>
      <c r="BB281" s="4550"/>
      <c r="BC281" s="4550"/>
      <c r="BD281" s="4550"/>
      <c r="BE281" s="4550"/>
      <c r="BF281" s="4550"/>
      <c r="BG281" s="4550"/>
      <c r="BH281" s="4550"/>
      <c r="BI281" s="4550"/>
      <c r="BJ281" s="4550"/>
      <c r="BK281" s="4550"/>
      <c r="BL281" s="4550"/>
      <c r="BM281" s="4550"/>
      <c r="BN281" s="4550"/>
      <c r="BO281" s="4550"/>
      <c r="BP281" s="4550"/>
      <c r="BQ281" s="4550"/>
      <c r="BR281" s="4550"/>
      <c r="BS281" s="4550"/>
      <c r="BT281" s="4550"/>
      <c r="BU281" s="4550"/>
      <c r="BV281" s="4550"/>
      <c r="BW281" s="4550"/>
      <c r="BX281" s="4550"/>
      <c r="BY281" s="4550"/>
      <c r="BZ281" s="4550"/>
      <c r="CA281" s="4550"/>
      <c r="CB281" s="4550"/>
      <c r="CC281" s="4550"/>
      <c r="CD281" s="4550"/>
      <c r="CE281" s="4550"/>
      <c r="CF281" s="4550"/>
      <c r="CG281" s="4550"/>
      <c r="CH281" s="4550"/>
      <c r="CI281" s="4550"/>
      <c r="CJ281" s="4550"/>
      <c r="CK281" s="4550"/>
      <c r="CL281" s="4550"/>
      <c r="CM281" s="4550"/>
      <c r="CN281" s="4550"/>
      <c r="CO281" s="4550"/>
      <c r="CP281" s="4550"/>
      <c r="CQ281" s="4550"/>
      <c r="CR281" s="4550"/>
      <c r="CS281" s="4550"/>
      <c r="CT281" s="4550"/>
      <c r="CU281" s="4550"/>
      <c r="CV281" s="4550"/>
      <c r="CW281" s="4550"/>
      <c r="CX281" s="4550"/>
      <c r="CY281" s="4550"/>
      <c r="CZ281" s="4550"/>
      <c r="DA281" s="4550"/>
      <c r="DB281" s="4550"/>
      <c r="DC281" s="4550"/>
      <c r="DD281" s="4550"/>
      <c r="DE281" s="4550"/>
      <c r="DF281" s="4550"/>
      <c r="DG281" s="4550"/>
      <c r="DH281" s="4550"/>
      <c r="DI281" s="4550"/>
      <c r="DJ281" s="4550"/>
      <c r="DK281" s="4550"/>
      <c r="DL281" s="4550"/>
      <c r="DM281" s="4550"/>
      <c r="DN281" s="4550"/>
      <c r="DO281" s="4550"/>
      <c r="DP281" s="4550"/>
      <c r="DQ281" s="4550"/>
      <c r="DR281" s="4550"/>
      <c r="DS281" s="4550"/>
      <c r="DT281" s="4550"/>
      <c r="DU281" s="4550"/>
      <c r="DV281" s="4550"/>
      <c r="DW281" s="4550"/>
      <c r="DX281" s="4550"/>
      <c r="DY281" s="4550"/>
      <c r="DZ281" s="4550"/>
      <c r="EA281" s="4550"/>
      <c r="EB281" s="4550"/>
      <c r="EC281" s="4550"/>
      <c r="ED281" s="4550"/>
      <c r="EE281" s="4550"/>
      <c r="EF281" s="4550"/>
      <c r="EG281" s="4550"/>
      <c r="EH281" s="4550"/>
      <c r="EI281" s="4550"/>
      <c r="EJ281" s="4550"/>
      <c r="EK281" s="4550"/>
      <c r="EL281" s="4550"/>
      <c r="EM281" s="4550"/>
      <c r="EN281" s="4550"/>
      <c r="EO281" s="4550"/>
      <c r="EP281" s="4550"/>
      <c r="EQ281" s="4550"/>
      <c r="ER281" s="4550"/>
      <c r="ES281" s="4550"/>
      <c r="ET281" s="4550"/>
      <c r="EU281" s="4550"/>
      <c r="EV281" s="4550"/>
      <c r="EW281" s="4550"/>
      <c r="EX281" s="4550"/>
      <c r="EY281" s="4550"/>
      <c r="EZ281" s="4550"/>
      <c r="FA281" s="4550"/>
      <c r="FB281" s="4550"/>
      <c r="FC281" s="4550"/>
      <c r="FD281" s="4550"/>
      <c r="FE281" s="4550"/>
      <c r="FF281" s="4550"/>
      <c r="FG281" s="4550"/>
      <c r="FH281" s="4550"/>
      <c r="FI281" s="4550"/>
      <c r="FJ281" s="4550"/>
      <c r="FK281" s="4550"/>
      <c r="FL281" s="4550"/>
      <c r="FM281" s="4550"/>
      <c r="FN281" s="4550"/>
      <c r="FO281" s="4550"/>
      <c r="FP281" s="4550"/>
      <c r="FQ281" s="4550"/>
      <c r="FR281" s="4550"/>
      <c r="FS281" s="4550"/>
      <c r="FT281" s="4550"/>
      <c r="FU281" s="4550"/>
      <c r="FV281" s="4550"/>
      <c r="FW281" s="4550"/>
      <c r="FX281" s="4550"/>
      <c r="FY281" s="4550"/>
      <c r="FZ281" s="4550"/>
      <c r="GA281" s="4550"/>
      <c r="GB281" s="4550"/>
      <c r="GC281" s="4550"/>
      <c r="GD281" s="4550"/>
      <c r="GE281" s="4550"/>
      <c r="GF281" s="4550"/>
      <c r="GG281" s="4550"/>
      <c r="GH281" s="4550"/>
      <c r="GI281" s="4550"/>
      <c r="GJ281" s="4550"/>
      <c r="GK281" s="4550"/>
      <c r="GL281" s="4550"/>
      <c r="GM281" s="4550"/>
      <c r="GN281" s="4550"/>
      <c r="GO281" s="4550"/>
      <c r="GP281" s="4550"/>
      <c r="GQ281" s="4550"/>
      <c r="GR281" s="4550"/>
      <c r="GS281" s="4550"/>
      <c r="GT281" s="4550"/>
      <c r="GU281" s="4550"/>
      <c r="GV281" s="4550"/>
      <c r="GW281" s="4550"/>
      <c r="GX281" s="4550"/>
      <c r="GY281" s="4550"/>
      <c r="GZ281" s="4550"/>
      <c r="HA281" s="4550"/>
      <c r="HB281" s="4550"/>
      <c r="HC281" s="4550"/>
      <c r="HD281" s="4550"/>
      <c r="HE281" s="4550"/>
      <c r="HF281" s="4550"/>
      <c r="HG281" s="4550"/>
      <c r="HH281" s="4550"/>
      <c r="HI281" s="4550"/>
      <c r="HJ281" s="4550"/>
      <c r="HK281" s="4550"/>
      <c r="HL281" s="4550"/>
      <c r="HM281" s="4550"/>
      <c r="HN281" s="4550"/>
      <c r="HO281" s="4550"/>
      <c r="HP281" s="4550"/>
      <c r="HQ281" s="4550"/>
      <c r="HR281" s="4550"/>
      <c r="HS281" s="4550"/>
      <c r="HT281" s="4550"/>
      <c r="HU281" s="4550"/>
      <c r="HV281" s="4550"/>
      <c r="HW281" s="4550"/>
      <c r="HX281" s="4550"/>
      <c r="HY281" s="4550"/>
      <c r="HZ281" s="4550"/>
      <c r="IA281" s="4550"/>
      <c r="IB281" s="4550"/>
      <c r="IC281" s="4550"/>
      <c r="ID281" s="4550"/>
      <c r="IE281" s="4550"/>
    </row>
    <row r="282" spans="1:239" s="4549" customFormat="1" ht="15">
      <c r="A282" s="4167">
        <v>10.6</v>
      </c>
      <c r="B282" s="4761" t="s">
        <v>4565</v>
      </c>
      <c r="C282" s="4677">
        <v>2</v>
      </c>
      <c r="D282" s="4593" t="s">
        <v>2433</v>
      </c>
      <c r="E282" s="4318"/>
      <c r="F282" s="5000">
        <f t="shared" si="12"/>
        <v>0</v>
      </c>
      <c r="G282" s="4537"/>
      <c r="H282" s="4537"/>
      <c r="I282" s="4537"/>
      <c r="J282" s="4537"/>
      <c r="K282" s="4537"/>
      <c r="L282" s="4537"/>
      <c r="M282" s="4537"/>
      <c r="N282" s="4537"/>
      <c r="O282" s="4537"/>
      <c r="P282" s="4537"/>
      <c r="Q282" s="4537"/>
      <c r="R282" s="4537"/>
      <c r="S282" s="4537"/>
      <c r="T282" s="4537"/>
      <c r="U282" s="4537"/>
      <c r="V282" s="4537"/>
      <c r="W282" s="4537"/>
      <c r="X282" s="4537"/>
      <c r="Y282" s="4537"/>
      <c r="Z282" s="4537"/>
      <c r="AA282" s="4537"/>
      <c r="AB282" s="4537"/>
      <c r="AC282" s="4537"/>
      <c r="AD282" s="4537"/>
      <c r="AE282" s="4537"/>
      <c r="AF282" s="4537"/>
      <c r="AG282" s="4537"/>
      <c r="AH282" s="4537"/>
      <c r="AI282" s="4537"/>
      <c r="AJ282" s="4537"/>
      <c r="AK282" s="4537"/>
      <c r="AL282" s="4537"/>
      <c r="AM282" s="4537"/>
      <c r="AN282" s="4537"/>
      <c r="AO282" s="4537"/>
      <c r="AP282" s="4537"/>
      <c r="AQ282" s="4537"/>
      <c r="AR282" s="4537"/>
      <c r="AS282" s="4550"/>
      <c r="AT282" s="4550"/>
      <c r="AU282" s="4550"/>
      <c r="AV282" s="4550"/>
      <c r="AW282" s="4550"/>
      <c r="AX282" s="4550"/>
      <c r="AY282" s="4550"/>
      <c r="AZ282" s="4550"/>
      <c r="BA282" s="4550"/>
      <c r="BB282" s="4550"/>
      <c r="BC282" s="4550"/>
      <c r="BD282" s="4550"/>
      <c r="BE282" s="4550"/>
      <c r="BF282" s="4550"/>
      <c r="BG282" s="4550"/>
      <c r="BH282" s="4550"/>
      <c r="BI282" s="4550"/>
      <c r="BJ282" s="4550"/>
      <c r="BK282" s="4550"/>
      <c r="BL282" s="4550"/>
      <c r="BM282" s="4550"/>
      <c r="BN282" s="4550"/>
      <c r="BO282" s="4550"/>
      <c r="BP282" s="4550"/>
      <c r="BQ282" s="4550"/>
      <c r="BR282" s="4550"/>
      <c r="BS282" s="4550"/>
      <c r="BT282" s="4550"/>
      <c r="BU282" s="4550"/>
      <c r="BV282" s="4550"/>
      <c r="BW282" s="4550"/>
      <c r="BX282" s="4550"/>
      <c r="BY282" s="4550"/>
      <c r="BZ282" s="4550"/>
      <c r="CA282" s="4550"/>
      <c r="CB282" s="4550"/>
      <c r="CC282" s="4550"/>
      <c r="CD282" s="4550"/>
      <c r="CE282" s="4550"/>
      <c r="CF282" s="4550"/>
      <c r="CG282" s="4550"/>
      <c r="CH282" s="4550"/>
      <c r="CI282" s="4550"/>
      <c r="CJ282" s="4550"/>
      <c r="CK282" s="4550"/>
      <c r="CL282" s="4550"/>
      <c r="CM282" s="4550"/>
      <c r="CN282" s="4550"/>
      <c r="CO282" s="4550"/>
      <c r="CP282" s="4550"/>
      <c r="CQ282" s="4550"/>
      <c r="CR282" s="4550"/>
      <c r="CS282" s="4550"/>
      <c r="CT282" s="4550"/>
      <c r="CU282" s="4550"/>
      <c r="CV282" s="4550"/>
      <c r="CW282" s="4550"/>
      <c r="CX282" s="4550"/>
      <c r="CY282" s="4550"/>
      <c r="CZ282" s="4550"/>
      <c r="DA282" s="4550"/>
      <c r="DB282" s="4550"/>
      <c r="DC282" s="4550"/>
      <c r="DD282" s="4550"/>
      <c r="DE282" s="4550"/>
      <c r="DF282" s="4550"/>
      <c r="DG282" s="4550"/>
      <c r="DH282" s="4550"/>
      <c r="DI282" s="4550"/>
      <c r="DJ282" s="4550"/>
      <c r="DK282" s="4550"/>
      <c r="DL282" s="4550"/>
      <c r="DM282" s="4550"/>
      <c r="DN282" s="4550"/>
      <c r="DO282" s="4550"/>
      <c r="DP282" s="4550"/>
      <c r="DQ282" s="4550"/>
      <c r="DR282" s="4550"/>
      <c r="DS282" s="4550"/>
      <c r="DT282" s="4550"/>
      <c r="DU282" s="4550"/>
      <c r="DV282" s="4550"/>
      <c r="DW282" s="4550"/>
      <c r="DX282" s="4550"/>
      <c r="DY282" s="4550"/>
      <c r="DZ282" s="4550"/>
      <c r="EA282" s="4550"/>
      <c r="EB282" s="4550"/>
      <c r="EC282" s="4550"/>
      <c r="ED282" s="4550"/>
      <c r="EE282" s="4550"/>
      <c r="EF282" s="4550"/>
      <c r="EG282" s="4550"/>
      <c r="EH282" s="4550"/>
      <c r="EI282" s="4550"/>
      <c r="EJ282" s="4550"/>
      <c r="EK282" s="4550"/>
      <c r="EL282" s="4550"/>
      <c r="EM282" s="4550"/>
      <c r="EN282" s="4550"/>
      <c r="EO282" s="4550"/>
      <c r="EP282" s="4550"/>
      <c r="EQ282" s="4550"/>
      <c r="ER282" s="4550"/>
      <c r="ES282" s="4550"/>
      <c r="ET282" s="4550"/>
      <c r="EU282" s="4550"/>
      <c r="EV282" s="4550"/>
      <c r="EW282" s="4550"/>
      <c r="EX282" s="4550"/>
      <c r="EY282" s="4550"/>
      <c r="EZ282" s="4550"/>
      <c r="FA282" s="4550"/>
      <c r="FB282" s="4550"/>
      <c r="FC282" s="4550"/>
      <c r="FD282" s="4550"/>
      <c r="FE282" s="4550"/>
      <c r="FF282" s="4550"/>
      <c r="FG282" s="4550"/>
      <c r="FH282" s="4550"/>
      <c r="FI282" s="4550"/>
      <c r="FJ282" s="4550"/>
      <c r="FK282" s="4550"/>
      <c r="FL282" s="4550"/>
      <c r="FM282" s="4550"/>
      <c r="FN282" s="4550"/>
      <c r="FO282" s="4550"/>
      <c r="FP282" s="4550"/>
      <c r="FQ282" s="4550"/>
      <c r="FR282" s="4550"/>
      <c r="FS282" s="4550"/>
      <c r="FT282" s="4550"/>
      <c r="FU282" s="4550"/>
      <c r="FV282" s="4550"/>
      <c r="FW282" s="4550"/>
      <c r="FX282" s="4550"/>
      <c r="FY282" s="4550"/>
      <c r="FZ282" s="4550"/>
      <c r="GA282" s="4550"/>
      <c r="GB282" s="4550"/>
      <c r="GC282" s="4550"/>
      <c r="GD282" s="4550"/>
      <c r="GE282" s="4550"/>
      <c r="GF282" s="4550"/>
      <c r="GG282" s="4550"/>
      <c r="GH282" s="4550"/>
      <c r="GI282" s="4550"/>
      <c r="GJ282" s="4550"/>
      <c r="GK282" s="4550"/>
      <c r="GL282" s="4550"/>
      <c r="GM282" s="4550"/>
      <c r="GN282" s="4550"/>
      <c r="GO282" s="4550"/>
      <c r="GP282" s="4550"/>
      <c r="GQ282" s="4550"/>
      <c r="GR282" s="4550"/>
      <c r="GS282" s="4550"/>
      <c r="GT282" s="4550"/>
      <c r="GU282" s="4550"/>
      <c r="GV282" s="4550"/>
      <c r="GW282" s="4550"/>
      <c r="GX282" s="4550"/>
      <c r="GY282" s="4550"/>
      <c r="GZ282" s="4550"/>
      <c r="HA282" s="4550"/>
      <c r="HB282" s="4550"/>
      <c r="HC282" s="4550"/>
      <c r="HD282" s="4550"/>
      <c r="HE282" s="4550"/>
      <c r="HF282" s="4550"/>
      <c r="HG282" s="4550"/>
      <c r="HH282" s="4550"/>
      <c r="HI282" s="4550"/>
      <c r="HJ282" s="4550"/>
      <c r="HK282" s="4550"/>
      <c r="HL282" s="4550"/>
      <c r="HM282" s="4550"/>
      <c r="HN282" s="4550"/>
      <c r="HO282" s="4550"/>
      <c r="HP282" s="4550"/>
      <c r="HQ282" s="4550"/>
      <c r="HR282" s="4550"/>
      <c r="HS282" s="4550"/>
      <c r="HT282" s="4550"/>
      <c r="HU282" s="4550"/>
      <c r="HV282" s="4550"/>
      <c r="HW282" s="4550"/>
      <c r="HX282" s="4550"/>
      <c r="HY282" s="4550"/>
      <c r="HZ282" s="4550"/>
      <c r="IA282" s="4550"/>
      <c r="IB282" s="4550"/>
      <c r="IC282" s="4550"/>
      <c r="ID282" s="4550"/>
      <c r="IE282" s="4550"/>
    </row>
    <row r="283" spans="1:239" s="4549" customFormat="1" ht="15">
      <c r="A283" s="4167"/>
      <c r="B283" s="4734"/>
      <c r="C283" s="4677"/>
      <c r="D283" s="4593"/>
      <c r="E283" s="4318"/>
      <c r="F283" s="5000"/>
      <c r="G283" s="4537"/>
      <c r="H283" s="4537"/>
      <c r="I283" s="4537"/>
      <c r="J283" s="4537"/>
      <c r="K283" s="4537"/>
      <c r="L283" s="4537"/>
      <c r="M283" s="4537"/>
      <c r="N283" s="4537"/>
      <c r="O283" s="4537"/>
      <c r="P283" s="4537"/>
      <c r="Q283" s="4537"/>
      <c r="R283" s="4537"/>
      <c r="S283" s="4537"/>
      <c r="T283" s="4537"/>
      <c r="U283" s="4537"/>
      <c r="V283" s="4537"/>
      <c r="W283" s="4537"/>
      <c r="X283" s="4537"/>
      <c r="Y283" s="4537"/>
      <c r="Z283" s="4537"/>
      <c r="AA283" s="4537"/>
      <c r="AB283" s="4537"/>
      <c r="AC283" s="4537"/>
      <c r="AD283" s="4537"/>
      <c r="AE283" s="4537"/>
      <c r="AF283" s="4537"/>
      <c r="AG283" s="4537"/>
      <c r="AH283" s="4537"/>
      <c r="AI283" s="4537"/>
      <c r="AJ283" s="4537"/>
      <c r="AK283" s="4537"/>
      <c r="AL283" s="4537"/>
      <c r="AM283" s="4537"/>
      <c r="AN283" s="4537"/>
      <c r="AO283" s="4537"/>
      <c r="AP283" s="4537"/>
      <c r="AQ283" s="4537"/>
      <c r="AR283" s="4537"/>
      <c r="AS283" s="4550"/>
      <c r="AT283" s="4550"/>
      <c r="AU283" s="4550"/>
      <c r="AV283" s="4550"/>
      <c r="AW283" s="4550"/>
      <c r="AX283" s="4550"/>
      <c r="AY283" s="4550"/>
      <c r="AZ283" s="4550"/>
      <c r="BA283" s="4550"/>
      <c r="BB283" s="4550"/>
      <c r="BC283" s="4550"/>
      <c r="BD283" s="4550"/>
      <c r="BE283" s="4550"/>
      <c r="BF283" s="4550"/>
      <c r="BG283" s="4550"/>
      <c r="BH283" s="4550"/>
      <c r="BI283" s="4550"/>
      <c r="BJ283" s="4550"/>
      <c r="BK283" s="4550"/>
      <c r="BL283" s="4550"/>
      <c r="BM283" s="4550"/>
      <c r="BN283" s="4550"/>
      <c r="BO283" s="4550"/>
      <c r="BP283" s="4550"/>
      <c r="BQ283" s="4550"/>
      <c r="BR283" s="4550"/>
      <c r="BS283" s="4550"/>
      <c r="BT283" s="4550"/>
      <c r="BU283" s="4550"/>
      <c r="BV283" s="4550"/>
      <c r="BW283" s="4550"/>
      <c r="BX283" s="4550"/>
      <c r="BY283" s="4550"/>
      <c r="BZ283" s="4550"/>
      <c r="CA283" s="4550"/>
      <c r="CB283" s="4550"/>
      <c r="CC283" s="4550"/>
      <c r="CD283" s="4550"/>
      <c r="CE283" s="4550"/>
      <c r="CF283" s="4550"/>
      <c r="CG283" s="4550"/>
      <c r="CH283" s="4550"/>
      <c r="CI283" s="4550"/>
      <c r="CJ283" s="4550"/>
      <c r="CK283" s="4550"/>
      <c r="CL283" s="4550"/>
      <c r="CM283" s="4550"/>
      <c r="CN283" s="4550"/>
      <c r="CO283" s="4550"/>
      <c r="CP283" s="4550"/>
      <c r="CQ283" s="4550"/>
      <c r="CR283" s="4550"/>
      <c r="CS283" s="4550"/>
      <c r="CT283" s="4550"/>
      <c r="CU283" s="4550"/>
      <c r="CV283" s="4550"/>
      <c r="CW283" s="4550"/>
      <c r="CX283" s="4550"/>
      <c r="CY283" s="4550"/>
      <c r="CZ283" s="4550"/>
      <c r="DA283" s="4550"/>
      <c r="DB283" s="4550"/>
      <c r="DC283" s="4550"/>
      <c r="DD283" s="4550"/>
      <c r="DE283" s="4550"/>
      <c r="DF283" s="4550"/>
      <c r="DG283" s="4550"/>
      <c r="DH283" s="4550"/>
      <c r="DI283" s="4550"/>
      <c r="DJ283" s="4550"/>
      <c r="DK283" s="4550"/>
      <c r="DL283" s="4550"/>
      <c r="DM283" s="4550"/>
      <c r="DN283" s="4550"/>
      <c r="DO283" s="4550"/>
      <c r="DP283" s="4550"/>
      <c r="DQ283" s="4550"/>
      <c r="DR283" s="4550"/>
      <c r="DS283" s="4550"/>
      <c r="DT283" s="4550"/>
      <c r="DU283" s="4550"/>
      <c r="DV283" s="4550"/>
      <c r="DW283" s="4550"/>
      <c r="DX283" s="4550"/>
      <c r="DY283" s="4550"/>
      <c r="DZ283" s="4550"/>
      <c r="EA283" s="4550"/>
      <c r="EB283" s="4550"/>
      <c r="EC283" s="4550"/>
      <c r="ED283" s="4550"/>
      <c r="EE283" s="4550"/>
      <c r="EF283" s="4550"/>
      <c r="EG283" s="4550"/>
      <c r="EH283" s="4550"/>
      <c r="EI283" s="4550"/>
      <c r="EJ283" s="4550"/>
      <c r="EK283" s="4550"/>
      <c r="EL283" s="4550"/>
      <c r="EM283" s="4550"/>
      <c r="EN283" s="4550"/>
      <c r="EO283" s="4550"/>
      <c r="EP283" s="4550"/>
      <c r="EQ283" s="4550"/>
      <c r="ER283" s="4550"/>
      <c r="ES283" s="4550"/>
      <c r="ET283" s="4550"/>
      <c r="EU283" s="4550"/>
      <c r="EV283" s="4550"/>
      <c r="EW283" s="4550"/>
      <c r="EX283" s="4550"/>
      <c r="EY283" s="4550"/>
      <c r="EZ283" s="4550"/>
      <c r="FA283" s="4550"/>
      <c r="FB283" s="4550"/>
      <c r="FC283" s="4550"/>
      <c r="FD283" s="4550"/>
      <c r="FE283" s="4550"/>
      <c r="FF283" s="4550"/>
      <c r="FG283" s="4550"/>
      <c r="FH283" s="4550"/>
      <c r="FI283" s="4550"/>
      <c r="FJ283" s="4550"/>
      <c r="FK283" s="4550"/>
      <c r="FL283" s="4550"/>
      <c r="FM283" s="4550"/>
      <c r="FN283" s="4550"/>
      <c r="FO283" s="4550"/>
      <c r="FP283" s="4550"/>
      <c r="FQ283" s="4550"/>
      <c r="FR283" s="4550"/>
      <c r="FS283" s="4550"/>
      <c r="FT283" s="4550"/>
      <c r="FU283" s="4550"/>
      <c r="FV283" s="4550"/>
      <c r="FW283" s="4550"/>
      <c r="FX283" s="4550"/>
      <c r="FY283" s="4550"/>
      <c r="FZ283" s="4550"/>
      <c r="GA283" s="4550"/>
      <c r="GB283" s="4550"/>
      <c r="GC283" s="4550"/>
      <c r="GD283" s="4550"/>
      <c r="GE283" s="4550"/>
      <c r="GF283" s="4550"/>
      <c r="GG283" s="4550"/>
      <c r="GH283" s="4550"/>
      <c r="GI283" s="4550"/>
      <c r="GJ283" s="4550"/>
      <c r="GK283" s="4550"/>
      <c r="GL283" s="4550"/>
      <c r="GM283" s="4550"/>
      <c r="GN283" s="4550"/>
      <c r="GO283" s="4550"/>
      <c r="GP283" s="4550"/>
      <c r="GQ283" s="4550"/>
      <c r="GR283" s="4550"/>
      <c r="GS283" s="4550"/>
      <c r="GT283" s="4550"/>
      <c r="GU283" s="4550"/>
      <c r="GV283" s="4550"/>
      <c r="GW283" s="4550"/>
      <c r="GX283" s="4550"/>
      <c r="GY283" s="4550"/>
      <c r="GZ283" s="4550"/>
      <c r="HA283" s="4550"/>
      <c r="HB283" s="4550"/>
      <c r="HC283" s="4550"/>
      <c r="HD283" s="4550"/>
      <c r="HE283" s="4550"/>
      <c r="HF283" s="4550"/>
      <c r="HG283" s="4550"/>
      <c r="HH283" s="4550"/>
      <c r="HI283" s="4550"/>
      <c r="HJ283" s="4550"/>
      <c r="HK283" s="4550"/>
      <c r="HL283" s="4550"/>
      <c r="HM283" s="4550"/>
      <c r="HN283" s="4550"/>
      <c r="HO283" s="4550"/>
      <c r="HP283" s="4550"/>
      <c r="HQ283" s="4550"/>
      <c r="HR283" s="4550"/>
      <c r="HS283" s="4550"/>
      <c r="HT283" s="4550"/>
      <c r="HU283" s="4550"/>
      <c r="HV283" s="4550"/>
      <c r="HW283" s="4550"/>
      <c r="HX283" s="4550"/>
      <c r="HY283" s="4550"/>
      <c r="HZ283" s="4550"/>
      <c r="IA283" s="4550"/>
      <c r="IB283" s="4550"/>
      <c r="IC283" s="4550"/>
      <c r="ID283" s="4550"/>
      <c r="IE283" s="4550"/>
    </row>
    <row r="284" spans="1:239" s="4549" customFormat="1" ht="15">
      <c r="A284" s="4168">
        <v>11</v>
      </c>
      <c r="B284" s="4637" t="s">
        <v>4185</v>
      </c>
      <c r="C284" s="4677"/>
      <c r="D284" s="4593"/>
      <c r="E284" s="4318"/>
      <c r="F284" s="5000"/>
      <c r="G284" s="4537"/>
      <c r="H284" s="4537"/>
      <c r="I284" s="4537"/>
      <c r="J284" s="4537"/>
      <c r="K284" s="4537"/>
      <c r="L284" s="4537"/>
      <c r="M284" s="4537"/>
      <c r="N284" s="4537"/>
      <c r="O284" s="4537"/>
      <c r="P284" s="4537"/>
      <c r="Q284" s="4537"/>
      <c r="R284" s="4537"/>
      <c r="S284" s="4537"/>
      <c r="T284" s="4537"/>
      <c r="U284" s="4537"/>
      <c r="V284" s="4537"/>
      <c r="W284" s="4537"/>
      <c r="X284" s="4537"/>
      <c r="Y284" s="4537"/>
      <c r="Z284" s="4537"/>
      <c r="AA284" s="4537"/>
      <c r="AB284" s="4537"/>
      <c r="AC284" s="4537"/>
      <c r="AD284" s="4537"/>
      <c r="AE284" s="4537"/>
      <c r="AF284" s="4537"/>
      <c r="AG284" s="4537"/>
      <c r="AH284" s="4537"/>
      <c r="AI284" s="4537"/>
      <c r="AJ284" s="4537"/>
      <c r="AK284" s="4537"/>
      <c r="AL284" s="4537"/>
      <c r="AM284" s="4537"/>
      <c r="AN284" s="4537"/>
      <c r="AO284" s="4537"/>
      <c r="AP284" s="4537"/>
      <c r="AQ284" s="4537"/>
      <c r="AR284" s="4537"/>
      <c r="AS284" s="4550"/>
      <c r="AT284" s="4550"/>
      <c r="AU284" s="4550"/>
      <c r="AV284" s="4550"/>
      <c r="AW284" s="4550"/>
      <c r="AX284" s="4550"/>
      <c r="AY284" s="4550"/>
      <c r="AZ284" s="4550"/>
      <c r="BA284" s="4550"/>
      <c r="BB284" s="4550"/>
      <c r="BC284" s="4550"/>
      <c r="BD284" s="4550"/>
      <c r="BE284" s="4550"/>
      <c r="BF284" s="4550"/>
      <c r="BG284" s="4550"/>
      <c r="BH284" s="4550"/>
      <c r="BI284" s="4550"/>
      <c r="BJ284" s="4550"/>
      <c r="BK284" s="4550"/>
      <c r="BL284" s="4550"/>
      <c r="BM284" s="4550"/>
      <c r="BN284" s="4550"/>
      <c r="BO284" s="4550"/>
      <c r="BP284" s="4550"/>
      <c r="BQ284" s="4550"/>
      <c r="BR284" s="4550"/>
      <c r="BS284" s="4550"/>
      <c r="BT284" s="4550"/>
      <c r="BU284" s="4550"/>
      <c r="BV284" s="4550"/>
      <c r="BW284" s="4550"/>
      <c r="BX284" s="4550"/>
      <c r="BY284" s="4550"/>
      <c r="BZ284" s="4550"/>
      <c r="CA284" s="4550"/>
      <c r="CB284" s="4550"/>
      <c r="CC284" s="4550"/>
      <c r="CD284" s="4550"/>
      <c r="CE284" s="4550"/>
      <c r="CF284" s="4550"/>
      <c r="CG284" s="4550"/>
      <c r="CH284" s="4550"/>
      <c r="CI284" s="4550"/>
      <c r="CJ284" s="4550"/>
      <c r="CK284" s="4550"/>
      <c r="CL284" s="4550"/>
      <c r="CM284" s="4550"/>
      <c r="CN284" s="4550"/>
      <c r="CO284" s="4550"/>
      <c r="CP284" s="4550"/>
      <c r="CQ284" s="4550"/>
      <c r="CR284" s="4550"/>
      <c r="CS284" s="4550"/>
      <c r="CT284" s="4550"/>
      <c r="CU284" s="4550"/>
      <c r="CV284" s="4550"/>
      <c r="CW284" s="4550"/>
      <c r="CX284" s="4550"/>
      <c r="CY284" s="4550"/>
      <c r="CZ284" s="4550"/>
      <c r="DA284" s="4550"/>
      <c r="DB284" s="4550"/>
      <c r="DC284" s="4550"/>
      <c r="DD284" s="4550"/>
      <c r="DE284" s="4550"/>
      <c r="DF284" s="4550"/>
      <c r="DG284" s="4550"/>
      <c r="DH284" s="4550"/>
      <c r="DI284" s="4550"/>
      <c r="DJ284" s="4550"/>
      <c r="DK284" s="4550"/>
      <c r="DL284" s="4550"/>
      <c r="DM284" s="4550"/>
      <c r="DN284" s="4550"/>
      <c r="DO284" s="4550"/>
      <c r="DP284" s="4550"/>
      <c r="DQ284" s="4550"/>
      <c r="DR284" s="4550"/>
      <c r="DS284" s="4550"/>
      <c r="DT284" s="4550"/>
      <c r="DU284" s="4550"/>
      <c r="DV284" s="4550"/>
      <c r="DW284" s="4550"/>
      <c r="DX284" s="4550"/>
      <c r="DY284" s="4550"/>
      <c r="DZ284" s="4550"/>
      <c r="EA284" s="4550"/>
      <c r="EB284" s="4550"/>
      <c r="EC284" s="4550"/>
      <c r="ED284" s="4550"/>
      <c r="EE284" s="4550"/>
      <c r="EF284" s="4550"/>
      <c r="EG284" s="4550"/>
      <c r="EH284" s="4550"/>
      <c r="EI284" s="4550"/>
      <c r="EJ284" s="4550"/>
      <c r="EK284" s="4550"/>
      <c r="EL284" s="4550"/>
      <c r="EM284" s="4550"/>
      <c r="EN284" s="4550"/>
      <c r="EO284" s="4550"/>
      <c r="EP284" s="4550"/>
      <c r="EQ284" s="4550"/>
      <c r="ER284" s="4550"/>
      <c r="ES284" s="4550"/>
      <c r="ET284" s="4550"/>
      <c r="EU284" s="4550"/>
      <c r="EV284" s="4550"/>
      <c r="EW284" s="4550"/>
      <c r="EX284" s="4550"/>
      <c r="EY284" s="4550"/>
      <c r="EZ284" s="4550"/>
      <c r="FA284" s="4550"/>
      <c r="FB284" s="4550"/>
      <c r="FC284" s="4550"/>
      <c r="FD284" s="4550"/>
      <c r="FE284" s="4550"/>
      <c r="FF284" s="4550"/>
      <c r="FG284" s="4550"/>
      <c r="FH284" s="4550"/>
      <c r="FI284" s="4550"/>
      <c r="FJ284" s="4550"/>
      <c r="FK284" s="4550"/>
      <c r="FL284" s="4550"/>
      <c r="FM284" s="4550"/>
      <c r="FN284" s="4550"/>
      <c r="FO284" s="4550"/>
      <c r="FP284" s="4550"/>
      <c r="FQ284" s="4550"/>
      <c r="FR284" s="4550"/>
      <c r="FS284" s="4550"/>
      <c r="FT284" s="4550"/>
      <c r="FU284" s="4550"/>
      <c r="FV284" s="4550"/>
      <c r="FW284" s="4550"/>
      <c r="FX284" s="4550"/>
      <c r="FY284" s="4550"/>
      <c r="FZ284" s="4550"/>
      <c r="GA284" s="4550"/>
      <c r="GB284" s="4550"/>
      <c r="GC284" s="4550"/>
      <c r="GD284" s="4550"/>
      <c r="GE284" s="4550"/>
      <c r="GF284" s="4550"/>
      <c r="GG284" s="4550"/>
      <c r="GH284" s="4550"/>
      <c r="GI284" s="4550"/>
      <c r="GJ284" s="4550"/>
      <c r="GK284" s="4550"/>
      <c r="GL284" s="4550"/>
      <c r="GM284" s="4550"/>
      <c r="GN284" s="4550"/>
      <c r="GO284" s="4550"/>
      <c r="GP284" s="4550"/>
      <c r="GQ284" s="4550"/>
      <c r="GR284" s="4550"/>
      <c r="GS284" s="4550"/>
      <c r="GT284" s="4550"/>
      <c r="GU284" s="4550"/>
      <c r="GV284" s="4550"/>
      <c r="GW284" s="4550"/>
      <c r="GX284" s="4550"/>
      <c r="GY284" s="4550"/>
      <c r="GZ284" s="4550"/>
      <c r="HA284" s="4550"/>
      <c r="HB284" s="4550"/>
      <c r="HC284" s="4550"/>
      <c r="HD284" s="4550"/>
      <c r="HE284" s="4550"/>
      <c r="HF284" s="4550"/>
      <c r="HG284" s="4550"/>
      <c r="HH284" s="4550"/>
      <c r="HI284" s="4550"/>
      <c r="HJ284" s="4550"/>
      <c r="HK284" s="4550"/>
      <c r="HL284" s="4550"/>
      <c r="HM284" s="4550"/>
      <c r="HN284" s="4550"/>
      <c r="HO284" s="4550"/>
      <c r="HP284" s="4550"/>
      <c r="HQ284" s="4550"/>
      <c r="HR284" s="4550"/>
      <c r="HS284" s="4550"/>
      <c r="HT284" s="4550"/>
      <c r="HU284" s="4550"/>
      <c r="HV284" s="4550"/>
      <c r="HW284" s="4550"/>
      <c r="HX284" s="4550"/>
      <c r="HY284" s="4550"/>
      <c r="HZ284" s="4550"/>
      <c r="IA284" s="4550"/>
      <c r="IB284" s="4550"/>
      <c r="IC284" s="4550"/>
      <c r="ID284" s="4550"/>
      <c r="IE284" s="4550"/>
    </row>
    <row r="285" spans="1:239" s="4549" customFormat="1" ht="15">
      <c r="A285" s="4167">
        <v>11.1</v>
      </c>
      <c r="B285" s="4635" t="s">
        <v>2353</v>
      </c>
      <c r="C285" s="4677">
        <v>6</v>
      </c>
      <c r="D285" s="4593" t="s">
        <v>1</v>
      </c>
      <c r="E285" s="4318"/>
      <c r="F285" s="5000">
        <f t="shared" ref="F285:F290" si="13">ROUND((C285*E285),2)</f>
        <v>0</v>
      </c>
      <c r="G285" s="4537"/>
      <c r="H285" s="4537"/>
      <c r="I285" s="4537"/>
      <c r="J285" s="4537"/>
      <c r="K285" s="4537"/>
      <c r="L285" s="4537"/>
      <c r="M285" s="4537"/>
      <c r="N285" s="4537"/>
      <c r="O285" s="4537"/>
      <c r="P285" s="4537"/>
      <c r="Q285" s="4537"/>
      <c r="R285" s="4537"/>
      <c r="S285" s="4537"/>
      <c r="T285" s="4537"/>
      <c r="U285" s="4537"/>
      <c r="V285" s="4537"/>
      <c r="W285" s="4537"/>
      <c r="X285" s="4537"/>
      <c r="Y285" s="4537"/>
      <c r="Z285" s="4537"/>
      <c r="AA285" s="4537"/>
      <c r="AB285" s="4537"/>
      <c r="AC285" s="4537"/>
      <c r="AD285" s="4537"/>
      <c r="AE285" s="4537"/>
      <c r="AF285" s="4537"/>
      <c r="AG285" s="4537"/>
      <c r="AH285" s="4537"/>
      <c r="AI285" s="4537"/>
      <c r="AJ285" s="4537"/>
      <c r="AK285" s="4537"/>
      <c r="AL285" s="4537"/>
      <c r="AM285" s="4537"/>
      <c r="AN285" s="4537"/>
      <c r="AO285" s="4537"/>
      <c r="AP285" s="4537"/>
      <c r="AQ285" s="4537"/>
      <c r="AR285" s="4537"/>
      <c r="AS285" s="4550"/>
      <c r="AT285" s="4550"/>
      <c r="AU285" s="4550"/>
      <c r="AV285" s="4550"/>
      <c r="AW285" s="4550"/>
      <c r="AX285" s="4550"/>
      <c r="AY285" s="4550"/>
      <c r="AZ285" s="4550"/>
      <c r="BA285" s="4550"/>
      <c r="BB285" s="4550"/>
      <c r="BC285" s="4550"/>
      <c r="BD285" s="4550"/>
      <c r="BE285" s="4550"/>
      <c r="BF285" s="4550"/>
      <c r="BG285" s="4550"/>
      <c r="BH285" s="4550"/>
      <c r="BI285" s="4550"/>
      <c r="BJ285" s="4550"/>
      <c r="BK285" s="4550"/>
      <c r="BL285" s="4550"/>
      <c r="BM285" s="4550"/>
      <c r="BN285" s="4550"/>
      <c r="BO285" s="4550"/>
      <c r="BP285" s="4550"/>
      <c r="BQ285" s="4550"/>
      <c r="BR285" s="4550"/>
      <c r="BS285" s="4550"/>
      <c r="BT285" s="4550"/>
      <c r="BU285" s="4550"/>
      <c r="BV285" s="4550"/>
      <c r="BW285" s="4550"/>
      <c r="BX285" s="4550"/>
      <c r="BY285" s="4550"/>
      <c r="BZ285" s="4550"/>
      <c r="CA285" s="4550"/>
      <c r="CB285" s="4550"/>
      <c r="CC285" s="4550"/>
      <c r="CD285" s="4550"/>
      <c r="CE285" s="4550"/>
      <c r="CF285" s="4550"/>
      <c r="CG285" s="4550"/>
      <c r="CH285" s="4550"/>
      <c r="CI285" s="4550"/>
      <c r="CJ285" s="4550"/>
      <c r="CK285" s="4550"/>
      <c r="CL285" s="4550"/>
      <c r="CM285" s="4550"/>
      <c r="CN285" s="4550"/>
      <c r="CO285" s="4550"/>
      <c r="CP285" s="4550"/>
      <c r="CQ285" s="4550"/>
      <c r="CR285" s="4550"/>
      <c r="CS285" s="4550"/>
      <c r="CT285" s="4550"/>
      <c r="CU285" s="4550"/>
      <c r="CV285" s="4550"/>
      <c r="CW285" s="4550"/>
      <c r="CX285" s="4550"/>
      <c r="CY285" s="4550"/>
      <c r="CZ285" s="4550"/>
      <c r="DA285" s="4550"/>
      <c r="DB285" s="4550"/>
      <c r="DC285" s="4550"/>
      <c r="DD285" s="4550"/>
      <c r="DE285" s="4550"/>
      <c r="DF285" s="4550"/>
      <c r="DG285" s="4550"/>
      <c r="DH285" s="4550"/>
      <c r="DI285" s="4550"/>
      <c r="DJ285" s="4550"/>
      <c r="DK285" s="4550"/>
      <c r="DL285" s="4550"/>
      <c r="DM285" s="4550"/>
      <c r="DN285" s="4550"/>
      <c r="DO285" s="4550"/>
      <c r="DP285" s="4550"/>
      <c r="DQ285" s="4550"/>
      <c r="DR285" s="4550"/>
      <c r="DS285" s="4550"/>
      <c r="DT285" s="4550"/>
      <c r="DU285" s="4550"/>
      <c r="DV285" s="4550"/>
      <c r="DW285" s="4550"/>
      <c r="DX285" s="4550"/>
      <c r="DY285" s="4550"/>
      <c r="DZ285" s="4550"/>
      <c r="EA285" s="4550"/>
      <c r="EB285" s="4550"/>
      <c r="EC285" s="4550"/>
      <c r="ED285" s="4550"/>
      <c r="EE285" s="4550"/>
      <c r="EF285" s="4550"/>
      <c r="EG285" s="4550"/>
      <c r="EH285" s="4550"/>
      <c r="EI285" s="4550"/>
      <c r="EJ285" s="4550"/>
      <c r="EK285" s="4550"/>
      <c r="EL285" s="4550"/>
      <c r="EM285" s="4550"/>
      <c r="EN285" s="4550"/>
      <c r="EO285" s="4550"/>
      <c r="EP285" s="4550"/>
      <c r="EQ285" s="4550"/>
      <c r="ER285" s="4550"/>
      <c r="ES285" s="4550"/>
      <c r="ET285" s="4550"/>
      <c r="EU285" s="4550"/>
      <c r="EV285" s="4550"/>
      <c r="EW285" s="4550"/>
      <c r="EX285" s="4550"/>
      <c r="EY285" s="4550"/>
      <c r="EZ285" s="4550"/>
      <c r="FA285" s="4550"/>
      <c r="FB285" s="4550"/>
      <c r="FC285" s="4550"/>
      <c r="FD285" s="4550"/>
      <c r="FE285" s="4550"/>
      <c r="FF285" s="4550"/>
      <c r="FG285" s="4550"/>
      <c r="FH285" s="4550"/>
      <c r="FI285" s="4550"/>
      <c r="FJ285" s="4550"/>
      <c r="FK285" s="4550"/>
      <c r="FL285" s="4550"/>
      <c r="FM285" s="4550"/>
      <c r="FN285" s="4550"/>
      <c r="FO285" s="4550"/>
      <c r="FP285" s="4550"/>
      <c r="FQ285" s="4550"/>
      <c r="FR285" s="4550"/>
      <c r="FS285" s="4550"/>
      <c r="FT285" s="4550"/>
      <c r="FU285" s="4550"/>
      <c r="FV285" s="4550"/>
      <c r="FW285" s="4550"/>
      <c r="FX285" s="4550"/>
      <c r="FY285" s="4550"/>
      <c r="FZ285" s="4550"/>
      <c r="GA285" s="4550"/>
      <c r="GB285" s="4550"/>
      <c r="GC285" s="4550"/>
      <c r="GD285" s="4550"/>
      <c r="GE285" s="4550"/>
      <c r="GF285" s="4550"/>
      <c r="GG285" s="4550"/>
      <c r="GH285" s="4550"/>
      <c r="GI285" s="4550"/>
      <c r="GJ285" s="4550"/>
      <c r="GK285" s="4550"/>
      <c r="GL285" s="4550"/>
      <c r="GM285" s="4550"/>
      <c r="GN285" s="4550"/>
      <c r="GO285" s="4550"/>
      <c r="GP285" s="4550"/>
      <c r="GQ285" s="4550"/>
      <c r="GR285" s="4550"/>
      <c r="GS285" s="4550"/>
      <c r="GT285" s="4550"/>
      <c r="GU285" s="4550"/>
      <c r="GV285" s="4550"/>
      <c r="GW285" s="4550"/>
      <c r="GX285" s="4550"/>
      <c r="GY285" s="4550"/>
      <c r="GZ285" s="4550"/>
      <c r="HA285" s="4550"/>
      <c r="HB285" s="4550"/>
      <c r="HC285" s="4550"/>
      <c r="HD285" s="4550"/>
      <c r="HE285" s="4550"/>
      <c r="HF285" s="4550"/>
      <c r="HG285" s="4550"/>
      <c r="HH285" s="4550"/>
      <c r="HI285" s="4550"/>
      <c r="HJ285" s="4550"/>
      <c r="HK285" s="4550"/>
      <c r="HL285" s="4550"/>
      <c r="HM285" s="4550"/>
      <c r="HN285" s="4550"/>
      <c r="HO285" s="4550"/>
      <c r="HP285" s="4550"/>
      <c r="HQ285" s="4550"/>
      <c r="HR285" s="4550"/>
      <c r="HS285" s="4550"/>
      <c r="HT285" s="4550"/>
      <c r="HU285" s="4550"/>
      <c r="HV285" s="4550"/>
      <c r="HW285" s="4550"/>
      <c r="HX285" s="4550"/>
      <c r="HY285" s="4550"/>
      <c r="HZ285" s="4550"/>
      <c r="IA285" s="4550"/>
      <c r="IB285" s="4550"/>
      <c r="IC285" s="4550"/>
      <c r="ID285" s="4550"/>
      <c r="IE285" s="4550"/>
    </row>
    <row r="286" spans="1:239" s="4549" customFormat="1" ht="15">
      <c r="A286" s="4167">
        <v>11.2</v>
      </c>
      <c r="B286" s="4635" t="s">
        <v>4172</v>
      </c>
      <c r="C286" s="4677">
        <v>6.48</v>
      </c>
      <c r="D286" s="4755" t="s">
        <v>2430</v>
      </c>
      <c r="E286" s="4318"/>
      <c r="F286" s="5000">
        <f t="shared" si="13"/>
        <v>0</v>
      </c>
      <c r="G286" s="4537"/>
      <c r="H286" s="4537"/>
      <c r="I286" s="4537"/>
      <c r="J286" s="4537"/>
      <c r="K286" s="4537"/>
      <c r="L286" s="4537"/>
      <c r="M286" s="4537"/>
      <c r="N286" s="4537"/>
      <c r="O286" s="4537"/>
      <c r="P286" s="4537"/>
      <c r="Q286" s="4537"/>
      <c r="R286" s="4537"/>
      <c r="S286" s="4537"/>
      <c r="T286" s="4537"/>
      <c r="U286" s="4537"/>
      <c r="V286" s="4537"/>
      <c r="W286" s="4537"/>
      <c r="X286" s="4537"/>
      <c r="Y286" s="4537"/>
      <c r="Z286" s="4537"/>
      <c r="AA286" s="4537"/>
      <c r="AB286" s="4537"/>
      <c r="AC286" s="4537"/>
      <c r="AD286" s="4537"/>
      <c r="AE286" s="4537"/>
      <c r="AF286" s="4537"/>
      <c r="AG286" s="4537"/>
      <c r="AH286" s="4537"/>
      <c r="AI286" s="4537"/>
      <c r="AJ286" s="4537"/>
      <c r="AK286" s="4537"/>
      <c r="AL286" s="4537"/>
      <c r="AM286" s="4537"/>
      <c r="AN286" s="4537"/>
      <c r="AO286" s="4537"/>
      <c r="AP286" s="4537"/>
      <c r="AQ286" s="4537"/>
      <c r="AR286" s="4537"/>
      <c r="AS286" s="4550"/>
      <c r="AT286" s="4550"/>
      <c r="AU286" s="4550"/>
      <c r="AV286" s="4550"/>
      <c r="AW286" s="4550"/>
      <c r="AX286" s="4550"/>
      <c r="AY286" s="4550"/>
      <c r="AZ286" s="4550"/>
      <c r="BA286" s="4550"/>
      <c r="BB286" s="4550"/>
      <c r="BC286" s="4550"/>
      <c r="BD286" s="4550"/>
      <c r="BE286" s="4550"/>
      <c r="BF286" s="4550"/>
      <c r="BG286" s="4550"/>
      <c r="BH286" s="4550"/>
      <c r="BI286" s="4550"/>
      <c r="BJ286" s="4550"/>
      <c r="BK286" s="4550"/>
      <c r="BL286" s="4550"/>
      <c r="BM286" s="4550"/>
      <c r="BN286" s="4550"/>
      <c r="BO286" s="4550"/>
      <c r="BP286" s="4550"/>
      <c r="BQ286" s="4550"/>
      <c r="BR286" s="4550"/>
      <c r="BS286" s="4550"/>
      <c r="BT286" s="4550"/>
      <c r="BU286" s="4550"/>
      <c r="BV286" s="4550"/>
      <c r="BW286" s="4550"/>
      <c r="BX286" s="4550"/>
      <c r="BY286" s="4550"/>
      <c r="BZ286" s="4550"/>
      <c r="CA286" s="4550"/>
      <c r="CB286" s="4550"/>
      <c r="CC286" s="4550"/>
      <c r="CD286" s="4550"/>
      <c r="CE286" s="4550"/>
      <c r="CF286" s="4550"/>
      <c r="CG286" s="4550"/>
      <c r="CH286" s="4550"/>
      <c r="CI286" s="4550"/>
      <c r="CJ286" s="4550"/>
      <c r="CK286" s="4550"/>
      <c r="CL286" s="4550"/>
      <c r="CM286" s="4550"/>
      <c r="CN286" s="4550"/>
      <c r="CO286" s="4550"/>
      <c r="CP286" s="4550"/>
      <c r="CQ286" s="4550"/>
      <c r="CR286" s="4550"/>
      <c r="CS286" s="4550"/>
      <c r="CT286" s="4550"/>
      <c r="CU286" s="4550"/>
      <c r="CV286" s="4550"/>
      <c r="CW286" s="4550"/>
      <c r="CX286" s="4550"/>
      <c r="CY286" s="4550"/>
      <c r="CZ286" s="4550"/>
      <c r="DA286" s="4550"/>
      <c r="DB286" s="4550"/>
      <c r="DC286" s="4550"/>
      <c r="DD286" s="4550"/>
      <c r="DE286" s="4550"/>
      <c r="DF286" s="4550"/>
      <c r="DG286" s="4550"/>
      <c r="DH286" s="4550"/>
      <c r="DI286" s="4550"/>
      <c r="DJ286" s="4550"/>
      <c r="DK286" s="4550"/>
      <c r="DL286" s="4550"/>
      <c r="DM286" s="4550"/>
      <c r="DN286" s="4550"/>
      <c r="DO286" s="4550"/>
      <c r="DP286" s="4550"/>
      <c r="DQ286" s="4550"/>
      <c r="DR286" s="4550"/>
      <c r="DS286" s="4550"/>
      <c r="DT286" s="4550"/>
      <c r="DU286" s="4550"/>
      <c r="DV286" s="4550"/>
      <c r="DW286" s="4550"/>
      <c r="DX286" s="4550"/>
      <c r="DY286" s="4550"/>
      <c r="DZ286" s="4550"/>
      <c r="EA286" s="4550"/>
      <c r="EB286" s="4550"/>
      <c r="EC286" s="4550"/>
      <c r="ED286" s="4550"/>
      <c r="EE286" s="4550"/>
      <c r="EF286" s="4550"/>
      <c r="EG286" s="4550"/>
      <c r="EH286" s="4550"/>
      <c r="EI286" s="4550"/>
      <c r="EJ286" s="4550"/>
      <c r="EK286" s="4550"/>
      <c r="EL286" s="4550"/>
      <c r="EM286" s="4550"/>
      <c r="EN286" s="4550"/>
      <c r="EO286" s="4550"/>
      <c r="EP286" s="4550"/>
      <c r="EQ286" s="4550"/>
      <c r="ER286" s="4550"/>
      <c r="ES286" s="4550"/>
      <c r="ET286" s="4550"/>
      <c r="EU286" s="4550"/>
      <c r="EV286" s="4550"/>
      <c r="EW286" s="4550"/>
      <c r="EX286" s="4550"/>
      <c r="EY286" s="4550"/>
      <c r="EZ286" s="4550"/>
      <c r="FA286" s="4550"/>
      <c r="FB286" s="4550"/>
      <c r="FC286" s="4550"/>
      <c r="FD286" s="4550"/>
      <c r="FE286" s="4550"/>
      <c r="FF286" s="4550"/>
      <c r="FG286" s="4550"/>
      <c r="FH286" s="4550"/>
      <c r="FI286" s="4550"/>
      <c r="FJ286" s="4550"/>
      <c r="FK286" s="4550"/>
      <c r="FL286" s="4550"/>
      <c r="FM286" s="4550"/>
      <c r="FN286" s="4550"/>
      <c r="FO286" s="4550"/>
      <c r="FP286" s="4550"/>
      <c r="FQ286" s="4550"/>
      <c r="FR286" s="4550"/>
      <c r="FS286" s="4550"/>
      <c r="FT286" s="4550"/>
      <c r="FU286" s="4550"/>
      <c r="FV286" s="4550"/>
      <c r="FW286" s="4550"/>
      <c r="FX286" s="4550"/>
      <c r="FY286" s="4550"/>
      <c r="FZ286" s="4550"/>
      <c r="GA286" s="4550"/>
      <c r="GB286" s="4550"/>
      <c r="GC286" s="4550"/>
      <c r="GD286" s="4550"/>
      <c r="GE286" s="4550"/>
      <c r="GF286" s="4550"/>
      <c r="GG286" s="4550"/>
      <c r="GH286" s="4550"/>
      <c r="GI286" s="4550"/>
      <c r="GJ286" s="4550"/>
      <c r="GK286" s="4550"/>
      <c r="GL286" s="4550"/>
      <c r="GM286" s="4550"/>
      <c r="GN286" s="4550"/>
      <c r="GO286" s="4550"/>
      <c r="GP286" s="4550"/>
      <c r="GQ286" s="4550"/>
      <c r="GR286" s="4550"/>
      <c r="GS286" s="4550"/>
      <c r="GT286" s="4550"/>
      <c r="GU286" s="4550"/>
      <c r="GV286" s="4550"/>
      <c r="GW286" s="4550"/>
      <c r="GX286" s="4550"/>
      <c r="GY286" s="4550"/>
      <c r="GZ286" s="4550"/>
      <c r="HA286" s="4550"/>
      <c r="HB286" s="4550"/>
      <c r="HC286" s="4550"/>
      <c r="HD286" s="4550"/>
      <c r="HE286" s="4550"/>
      <c r="HF286" s="4550"/>
      <c r="HG286" s="4550"/>
      <c r="HH286" s="4550"/>
      <c r="HI286" s="4550"/>
      <c r="HJ286" s="4550"/>
      <c r="HK286" s="4550"/>
      <c r="HL286" s="4550"/>
      <c r="HM286" s="4550"/>
      <c r="HN286" s="4550"/>
      <c r="HO286" s="4550"/>
      <c r="HP286" s="4550"/>
      <c r="HQ286" s="4550"/>
      <c r="HR286" s="4550"/>
      <c r="HS286" s="4550"/>
      <c r="HT286" s="4550"/>
      <c r="HU286" s="4550"/>
      <c r="HV286" s="4550"/>
      <c r="HW286" s="4550"/>
      <c r="HX286" s="4550"/>
      <c r="HY286" s="4550"/>
      <c r="HZ286" s="4550"/>
      <c r="IA286" s="4550"/>
      <c r="IB286" s="4550"/>
      <c r="IC286" s="4550"/>
      <c r="ID286" s="4550"/>
      <c r="IE286" s="4550"/>
    </row>
    <row r="287" spans="1:239" s="4549" customFormat="1" ht="13.5" customHeight="1">
      <c r="A287" s="4167">
        <v>11.3</v>
      </c>
      <c r="B287" s="4635" t="s">
        <v>4055</v>
      </c>
      <c r="C287" s="4677">
        <v>5.87</v>
      </c>
      <c r="D287" s="4755" t="s">
        <v>2430</v>
      </c>
      <c r="E287" s="4318"/>
      <c r="F287" s="5000">
        <f t="shared" si="13"/>
        <v>0</v>
      </c>
      <c r="G287" s="4537"/>
      <c r="H287" s="4537"/>
      <c r="I287" s="4537"/>
      <c r="J287" s="4537"/>
      <c r="K287" s="4537"/>
      <c r="L287" s="4537"/>
      <c r="M287" s="4537"/>
      <c r="N287" s="4537"/>
      <c r="O287" s="4537"/>
      <c r="P287" s="4537"/>
      <c r="Q287" s="4537"/>
      <c r="R287" s="4537"/>
      <c r="S287" s="4537"/>
      <c r="T287" s="4537"/>
      <c r="U287" s="4537"/>
      <c r="V287" s="4537"/>
      <c r="W287" s="4537"/>
      <c r="X287" s="4537"/>
      <c r="Y287" s="4537"/>
      <c r="Z287" s="4537"/>
      <c r="AA287" s="4537"/>
      <c r="AB287" s="4537"/>
      <c r="AC287" s="4537"/>
      <c r="AD287" s="4537"/>
      <c r="AE287" s="4537"/>
      <c r="AF287" s="4537"/>
      <c r="AG287" s="4537"/>
      <c r="AH287" s="4537"/>
      <c r="AI287" s="4537"/>
      <c r="AJ287" s="4537"/>
      <c r="AK287" s="4537"/>
      <c r="AL287" s="4537"/>
      <c r="AM287" s="4537"/>
      <c r="AN287" s="4537"/>
      <c r="AO287" s="4537"/>
      <c r="AP287" s="4537"/>
      <c r="AQ287" s="4537"/>
      <c r="AR287" s="4537"/>
      <c r="AS287" s="4550"/>
      <c r="AT287" s="4550"/>
      <c r="AU287" s="4550"/>
      <c r="AV287" s="4550"/>
      <c r="AW287" s="4550"/>
      <c r="AX287" s="4550"/>
      <c r="AY287" s="4550"/>
      <c r="AZ287" s="4550"/>
      <c r="BA287" s="4550"/>
      <c r="BB287" s="4550"/>
      <c r="BC287" s="4550"/>
      <c r="BD287" s="4550"/>
      <c r="BE287" s="4550"/>
      <c r="BF287" s="4550"/>
      <c r="BG287" s="4550"/>
      <c r="BH287" s="4550"/>
      <c r="BI287" s="4550"/>
      <c r="BJ287" s="4550"/>
      <c r="BK287" s="4550"/>
      <c r="BL287" s="4550"/>
      <c r="BM287" s="4550"/>
      <c r="BN287" s="4550"/>
      <c r="BO287" s="4550"/>
      <c r="BP287" s="4550"/>
      <c r="BQ287" s="4550"/>
      <c r="BR287" s="4550"/>
      <c r="BS287" s="4550"/>
      <c r="BT287" s="4550"/>
      <c r="BU287" s="4550"/>
      <c r="BV287" s="4550"/>
      <c r="BW287" s="4550"/>
      <c r="BX287" s="4550"/>
      <c r="BY287" s="4550"/>
      <c r="BZ287" s="4550"/>
      <c r="CA287" s="4550"/>
      <c r="CB287" s="4550"/>
      <c r="CC287" s="4550"/>
      <c r="CD287" s="4550"/>
      <c r="CE287" s="4550"/>
      <c r="CF287" s="4550"/>
      <c r="CG287" s="4550"/>
      <c r="CH287" s="4550"/>
      <c r="CI287" s="4550"/>
      <c r="CJ287" s="4550"/>
      <c r="CK287" s="4550"/>
      <c r="CL287" s="4550"/>
      <c r="CM287" s="4550"/>
      <c r="CN287" s="4550"/>
      <c r="CO287" s="4550"/>
      <c r="CP287" s="4550"/>
      <c r="CQ287" s="4550"/>
      <c r="CR287" s="4550"/>
      <c r="CS287" s="4550"/>
      <c r="CT287" s="4550"/>
      <c r="CU287" s="4550"/>
      <c r="CV287" s="4550"/>
      <c r="CW287" s="4550"/>
      <c r="CX287" s="4550"/>
      <c r="CY287" s="4550"/>
      <c r="CZ287" s="4550"/>
      <c r="DA287" s="4550"/>
      <c r="DB287" s="4550"/>
      <c r="DC287" s="4550"/>
      <c r="DD287" s="4550"/>
      <c r="DE287" s="4550"/>
      <c r="DF287" s="4550"/>
      <c r="DG287" s="4550"/>
      <c r="DH287" s="4550"/>
      <c r="DI287" s="4550"/>
      <c r="DJ287" s="4550"/>
      <c r="DK287" s="4550"/>
      <c r="DL287" s="4550"/>
      <c r="DM287" s="4550"/>
      <c r="DN287" s="4550"/>
      <c r="DO287" s="4550"/>
      <c r="DP287" s="4550"/>
      <c r="DQ287" s="4550"/>
      <c r="DR287" s="4550"/>
      <c r="DS287" s="4550"/>
      <c r="DT287" s="4550"/>
      <c r="DU287" s="4550"/>
      <c r="DV287" s="4550"/>
      <c r="DW287" s="4550"/>
      <c r="DX287" s="4550"/>
      <c r="DY287" s="4550"/>
      <c r="DZ287" s="4550"/>
      <c r="EA287" s="4550"/>
      <c r="EB287" s="4550"/>
      <c r="EC287" s="4550"/>
      <c r="ED287" s="4550"/>
      <c r="EE287" s="4550"/>
      <c r="EF287" s="4550"/>
      <c r="EG287" s="4550"/>
      <c r="EH287" s="4550"/>
      <c r="EI287" s="4550"/>
      <c r="EJ287" s="4550"/>
      <c r="EK287" s="4550"/>
      <c r="EL287" s="4550"/>
      <c r="EM287" s="4550"/>
      <c r="EN287" s="4550"/>
      <c r="EO287" s="4550"/>
      <c r="EP287" s="4550"/>
      <c r="EQ287" s="4550"/>
      <c r="ER287" s="4550"/>
      <c r="ES287" s="4550"/>
      <c r="ET287" s="4550"/>
      <c r="EU287" s="4550"/>
      <c r="EV287" s="4550"/>
      <c r="EW287" s="4550"/>
      <c r="EX287" s="4550"/>
      <c r="EY287" s="4550"/>
      <c r="EZ287" s="4550"/>
      <c r="FA287" s="4550"/>
      <c r="FB287" s="4550"/>
      <c r="FC287" s="4550"/>
      <c r="FD287" s="4550"/>
      <c r="FE287" s="4550"/>
      <c r="FF287" s="4550"/>
      <c r="FG287" s="4550"/>
      <c r="FH287" s="4550"/>
      <c r="FI287" s="4550"/>
      <c r="FJ287" s="4550"/>
      <c r="FK287" s="4550"/>
      <c r="FL287" s="4550"/>
      <c r="FM287" s="4550"/>
      <c r="FN287" s="4550"/>
      <c r="FO287" s="4550"/>
      <c r="FP287" s="4550"/>
      <c r="FQ287" s="4550"/>
      <c r="FR287" s="4550"/>
      <c r="FS287" s="4550"/>
      <c r="FT287" s="4550"/>
      <c r="FU287" s="4550"/>
      <c r="FV287" s="4550"/>
      <c r="FW287" s="4550"/>
      <c r="FX287" s="4550"/>
      <c r="FY287" s="4550"/>
      <c r="FZ287" s="4550"/>
      <c r="GA287" s="4550"/>
      <c r="GB287" s="4550"/>
      <c r="GC287" s="4550"/>
      <c r="GD287" s="4550"/>
      <c r="GE287" s="4550"/>
      <c r="GF287" s="4550"/>
      <c r="GG287" s="4550"/>
      <c r="GH287" s="4550"/>
      <c r="GI287" s="4550"/>
      <c r="GJ287" s="4550"/>
      <c r="GK287" s="4550"/>
      <c r="GL287" s="4550"/>
      <c r="GM287" s="4550"/>
      <c r="GN287" s="4550"/>
      <c r="GO287" s="4550"/>
      <c r="GP287" s="4550"/>
      <c r="GQ287" s="4550"/>
      <c r="GR287" s="4550"/>
      <c r="GS287" s="4550"/>
      <c r="GT287" s="4550"/>
      <c r="GU287" s="4550"/>
      <c r="GV287" s="4550"/>
      <c r="GW287" s="4550"/>
      <c r="GX287" s="4550"/>
      <c r="GY287" s="4550"/>
      <c r="GZ287" s="4550"/>
      <c r="HA287" s="4550"/>
      <c r="HB287" s="4550"/>
      <c r="HC287" s="4550"/>
      <c r="HD287" s="4550"/>
      <c r="HE287" s="4550"/>
      <c r="HF287" s="4550"/>
      <c r="HG287" s="4550"/>
      <c r="HH287" s="4550"/>
      <c r="HI287" s="4550"/>
      <c r="HJ287" s="4550"/>
      <c r="HK287" s="4550"/>
      <c r="HL287" s="4550"/>
      <c r="HM287" s="4550"/>
      <c r="HN287" s="4550"/>
      <c r="HO287" s="4550"/>
      <c r="HP287" s="4550"/>
      <c r="HQ287" s="4550"/>
      <c r="HR287" s="4550"/>
      <c r="HS287" s="4550"/>
      <c r="HT287" s="4550"/>
      <c r="HU287" s="4550"/>
      <c r="HV287" s="4550"/>
      <c r="HW287" s="4550"/>
      <c r="HX287" s="4550"/>
      <c r="HY287" s="4550"/>
      <c r="HZ287" s="4550"/>
      <c r="IA287" s="4550"/>
      <c r="IB287" s="4550"/>
      <c r="IC287" s="4550"/>
      <c r="ID287" s="4550"/>
      <c r="IE287" s="4550"/>
    </row>
    <row r="288" spans="1:239" s="4549" customFormat="1" ht="28.5">
      <c r="A288" s="4167">
        <v>11.4</v>
      </c>
      <c r="B288" s="4635" t="s">
        <v>4663</v>
      </c>
      <c r="C288" s="4677">
        <v>1</v>
      </c>
      <c r="D288" s="4755" t="s">
        <v>61</v>
      </c>
      <c r="E288" s="4318"/>
      <c r="F288" s="5000">
        <f t="shared" si="13"/>
        <v>0</v>
      </c>
      <c r="G288" s="4537"/>
      <c r="H288" s="4537"/>
      <c r="I288" s="4537"/>
      <c r="J288" s="4537"/>
      <c r="K288" s="4537"/>
      <c r="L288" s="4537"/>
      <c r="M288" s="4537"/>
      <c r="N288" s="4537"/>
      <c r="O288" s="4537"/>
      <c r="P288" s="4537"/>
      <c r="Q288" s="4537"/>
      <c r="R288" s="4537"/>
      <c r="S288" s="4537"/>
      <c r="T288" s="4537"/>
      <c r="U288" s="4537"/>
      <c r="V288" s="4537"/>
      <c r="W288" s="4537"/>
      <c r="X288" s="4537"/>
      <c r="Y288" s="4537"/>
      <c r="Z288" s="4537"/>
      <c r="AA288" s="4537"/>
      <c r="AB288" s="4537"/>
      <c r="AC288" s="4537"/>
      <c r="AD288" s="4537"/>
      <c r="AE288" s="4537"/>
      <c r="AF288" s="4537"/>
      <c r="AG288" s="4537"/>
      <c r="AH288" s="4537"/>
      <c r="AI288" s="4537"/>
      <c r="AJ288" s="4537"/>
      <c r="AK288" s="4537"/>
      <c r="AL288" s="4537"/>
      <c r="AM288" s="4537"/>
      <c r="AN288" s="4537"/>
      <c r="AO288" s="4537"/>
      <c r="AP288" s="4537"/>
      <c r="AQ288" s="4537"/>
      <c r="AR288" s="4537"/>
      <c r="AS288" s="4550"/>
      <c r="AT288" s="4550"/>
      <c r="AU288" s="4550"/>
      <c r="AV288" s="4550"/>
      <c r="AW288" s="4550"/>
      <c r="AX288" s="4550"/>
      <c r="AY288" s="4550"/>
      <c r="AZ288" s="4550"/>
      <c r="BA288" s="4550"/>
      <c r="BB288" s="4550"/>
      <c r="BC288" s="4550"/>
      <c r="BD288" s="4550"/>
      <c r="BE288" s="4550"/>
      <c r="BF288" s="4550"/>
      <c r="BG288" s="4550"/>
      <c r="BH288" s="4550"/>
      <c r="BI288" s="4550"/>
      <c r="BJ288" s="4550"/>
      <c r="BK288" s="4550"/>
      <c r="BL288" s="4550"/>
      <c r="BM288" s="4550"/>
      <c r="BN288" s="4550"/>
      <c r="BO288" s="4550"/>
      <c r="BP288" s="4550"/>
      <c r="BQ288" s="4550"/>
      <c r="BR288" s="4550"/>
      <c r="BS288" s="4550"/>
      <c r="BT288" s="4550"/>
      <c r="BU288" s="4550"/>
      <c r="BV288" s="4550"/>
      <c r="BW288" s="4550"/>
      <c r="BX288" s="4550"/>
      <c r="BY288" s="4550"/>
      <c r="BZ288" s="4550"/>
      <c r="CA288" s="4550"/>
      <c r="CB288" s="4550"/>
      <c r="CC288" s="4550"/>
      <c r="CD288" s="4550"/>
      <c r="CE288" s="4550"/>
      <c r="CF288" s="4550"/>
      <c r="CG288" s="4550"/>
      <c r="CH288" s="4550"/>
      <c r="CI288" s="4550"/>
      <c r="CJ288" s="4550"/>
      <c r="CK288" s="4550"/>
      <c r="CL288" s="4550"/>
      <c r="CM288" s="4550"/>
      <c r="CN288" s="4550"/>
      <c r="CO288" s="4550"/>
      <c r="CP288" s="4550"/>
      <c r="CQ288" s="4550"/>
      <c r="CR288" s="4550"/>
      <c r="CS288" s="4550"/>
      <c r="CT288" s="4550"/>
      <c r="CU288" s="4550"/>
      <c r="CV288" s="4550"/>
      <c r="CW288" s="4550"/>
      <c r="CX288" s="4550"/>
      <c r="CY288" s="4550"/>
      <c r="CZ288" s="4550"/>
      <c r="DA288" s="4550"/>
      <c r="DB288" s="4550"/>
      <c r="DC288" s="4550"/>
      <c r="DD288" s="4550"/>
      <c r="DE288" s="4550"/>
      <c r="DF288" s="4550"/>
      <c r="DG288" s="4550"/>
      <c r="DH288" s="4550"/>
      <c r="DI288" s="4550"/>
      <c r="DJ288" s="4550"/>
      <c r="DK288" s="4550"/>
      <c r="DL288" s="4550"/>
      <c r="DM288" s="4550"/>
      <c r="DN288" s="4550"/>
      <c r="DO288" s="4550"/>
      <c r="DP288" s="4550"/>
      <c r="DQ288" s="4550"/>
      <c r="DR288" s="4550"/>
      <c r="DS288" s="4550"/>
      <c r="DT288" s="4550"/>
      <c r="DU288" s="4550"/>
      <c r="DV288" s="4550"/>
      <c r="DW288" s="4550"/>
      <c r="DX288" s="4550"/>
      <c r="DY288" s="4550"/>
      <c r="DZ288" s="4550"/>
      <c r="EA288" s="4550"/>
      <c r="EB288" s="4550"/>
      <c r="EC288" s="4550"/>
      <c r="ED288" s="4550"/>
      <c r="EE288" s="4550"/>
      <c r="EF288" s="4550"/>
      <c r="EG288" s="4550"/>
      <c r="EH288" s="4550"/>
      <c r="EI288" s="4550"/>
      <c r="EJ288" s="4550"/>
      <c r="EK288" s="4550"/>
      <c r="EL288" s="4550"/>
      <c r="EM288" s="4550"/>
      <c r="EN288" s="4550"/>
      <c r="EO288" s="4550"/>
      <c r="EP288" s="4550"/>
      <c r="EQ288" s="4550"/>
      <c r="ER288" s="4550"/>
      <c r="ES288" s="4550"/>
      <c r="ET288" s="4550"/>
      <c r="EU288" s="4550"/>
      <c r="EV288" s="4550"/>
      <c r="EW288" s="4550"/>
      <c r="EX288" s="4550"/>
      <c r="EY288" s="4550"/>
      <c r="EZ288" s="4550"/>
      <c r="FA288" s="4550"/>
      <c r="FB288" s="4550"/>
      <c r="FC288" s="4550"/>
      <c r="FD288" s="4550"/>
      <c r="FE288" s="4550"/>
      <c r="FF288" s="4550"/>
      <c r="FG288" s="4550"/>
      <c r="FH288" s="4550"/>
      <c r="FI288" s="4550"/>
      <c r="FJ288" s="4550"/>
      <c r="FK288" s="4550"/>
      <c r="FL288" s="4550"/>
      <c r="FM288" s="4550"/>
      <c r="FN288" s="4550"/>
      <c r="FO288" s="4550"/>
      <c r="FP288" s="4550"/>
      <c r="FQ288" s="4550"/>
      <c r="FR288" s="4550"/>
      <c r="FS288" s="4550"/>
      <c r="FT288" s="4550"/>
      <c r="FU288" s="4550"/>
      <c r="FV288" s="4550"/>
      <c r="FW288" s="4550"/>
      <c r="FX288" s="4550"/>
      <c r="FY288" s="4550"/>
      <c r="FZ288" s="4550"/>
      <c r="GA288" s="4550"/>
      <c r="GB288" s="4550"/>
      <c r="GC288" s="4550"/>
      <c r="GD288" s="4550"/>
      <c r="GE288" s="4550"/>
      <c r="GF288" s="4550"/>
      <c r="GG288" s="4550"/>
      <c r="GH288" s="4550"/>
      <c r="GI288" s="4550"/>
      <c r="GJ288" s="4550"/>
      <c r="GK288" s="4550"/>
      <c r="GL288" s="4550"/>
      <c r="GM288" s="4550"/>
      <c r="GN288" s="4550"/>
      <c r="GO288" s="4550"/>
      <c r="GP288" s="4550"/>
      <c r="GQ288" s="4550"/>
      <c r="GR288" s="4550"/>
      <c r="GS288" s="4550"/>
      <c r="GT288" s="4550"/>
      <c r="GU288" s="4550"/>
      <c r="GV288" s="4550"/>
      <c r="GW288" s="4550"/>
      <c r="GX288" s="4550"/>
      <c r="GY288" s="4550"/>
      <c r="GZ288" s="4550"/>
      <c r="HA288" s="4550"/>
      <c r="HB288" s="4550"/>
      <c r="HC288" s="4550"/>
      <c r="HD288" s="4550"/>
      <c r="HE288" s="4550"/>
      <c r="HF288" s="4550"/>
      <c r="HG288" s="4550"/>
      <c r="HH288" s="4550"/>
      <c r="HI288" s="4550"/>
      <c r="HJ288" s="4550"/>
      <c r="HK288" s="4550"/>
      <c r="HL288" s="4550"/>
      <c r="HM288" s="4550"/>
      <c r="HN288" s="4550"/>
      <c r="HO288" s="4550"/>
      <c r="HP288" s="4550"/>
      <c r="HQ288" s="4550"/>
      <c r="HR288" s="4550"/>
      <c r="HS288" s="4550"/>
      <c r="HT288" s="4550"/>
      <c r="HU288" s="4550"/>
      <c r="HV288" s="4550"/>
      <c r="HW288" s="4550"/>
      <c r="HX288" s="4550"/>
      <c r="HY288" s="4550"/>
      <c r="HZ288" s="4550"/>
      <c r="IA288" s="4550"/>
      <c r="IB288" s="4550"/>
      <c r="IC288" s="4550"/>
      <c r="ID288" s="4550"/>
      <c r="IE288" s="4550"/>
    </row>
    <row r="289" spans="1:239" s="4549" customFormat="1" ht="28.5">
      <c r="A289" s="4167">
        <v>11.5</v>
      </c>
      <c r="B289" s="4635" t="s">
        <v>4187</v>
      </c>
      <c r="C289" s="4677">
        <v>6</v>
      </c>
      <c r="D289" s="4755" t="s">
        <v>1</v>
      </c>
      <c r="E289" s="4318"/>
      <c r="F289" s="5000">
        <f t="shared" si="13"/>
        <v>0</v>
      </c>
      <c r="G289" s="4537"/>
      <c r="H289" s="4537"/>
      <c r="I289" s="4537"/>
      <c r="J289" s="4537"/>
      <c r="K289" s="4537"/>
      <c r="L289" s="4537"/>
      <c r="M289" s="4537"/>
      <c r="N289" s="4537"/>
      <c r="O289" s="4537"/>
      <c r="P289" s="4537"/>
      <c r="Q289" s="4537"/>
      <c r="R289" s="4537"/>
      <c r="S289" s="4537"/>
      <c r="T289" s="4537"/>
      <c r="U289" s="4537"/>
      <c r="V289" s="4537"/>
      <c r="W289" s="4537"/>
      <c r="X289" s="4537"/>
      <c r="Y289" s="4537"/>
      <c r="Z289" s="4537"/>
      <c r="AA289" s="4537"/>
      <c r="AB289" s="4537"/>
      <c r="AC289" s="4537"/>
      <c r="AD289" s="4537"/>
      <c r="AE289" s="4537"/>
      <c r="AF289" s="4537"/>
      <c r="AG289" s="4537"/>
      <c r="AH289" s="4537"/>
      <c r="AI289" s="4537"/>
      <c r="AJ289" s="4537"/>
      <c r="AK289" s="4537"/>
      <c r="AL289" s="4537"/>
      <c r="AM289" s="4537"/>
      <c r="AN289" s="4537"/>
      <c r="AO289" s="4537"/>
      <c r="AP289" s="4537"/>
      <c r="AQ289" s="4537"/>
      <c r="AR289" s="4537"/>
      <c r="AS289" s="4550"/>
      <c r="AT289" s="4550"/>
      <c r="AU289" s="4550"/>
      <c r="AV289" s="4550"/>
      <c r="AW289" s="4550"/>
      <c r="AX289" s="4550"/>
      <c r="AY289" s="4550"/>
      <c r="AZ289" s="4550"/>
      <c r="BA289" s="4550"/>
      <c r="BB289" s="4550"/>
      <c r="BC289" s="4550"/>
      <c r="BD289" s="4550"/>
      <c r="BE289" s="4550"/>
      <c r="BF289" s="4550"/>
      <c r="BG289" s="4550"/>
      <c r="BH289" s="4550"/>
      <c r="BI289" s="4550"/>
      <c r="BJ289" s="4550"/>
      <c r="BK289" s="4550"/>
      <c r="BL289" s="4550"/>
      <c r="BM289" s="4550"/>
      <c r="BN289" s="4550"/>
      <c r="BO289" s="4550"/>
      <c r="BP289" s="4550"/>
      <c r="BQ289" s="4550"/>
      <c r="BR289" s="4550"/>
      <c r="BS289" s="4550"/>
      <c r="BT289" s="4550"/>
      <c r="BU289" s="4550"/>
      <c r="BV289" s="4550"/>
      <c r="BW289" s="4550"/>
      <c r="BX289" s="4550"/>
      <c r="BY289" s="4550"/>
      <c r="BZ289" s="4550"/>
      <c r="CA289" s="4550"/>
      <c r="CB289" s="4550"/>
      <c r="CC289" s="4550"/>
      <c r="CD289" s="4550"/>
      <c r="CE289" s="4550"/>
      <c r="CF289" s="4550"/>
      <c r="CG289" s="4550"/>
      <c r="CH289" s="4550"/>
      <c r="CI289" s="4550"/>
      <c r="CJ289" s="4550"/>
      <c r="CK289" s="4550"/>
      <c r="CL289" s="4550"/>
      <c r="CM289" s="4550"/>
      <c r="CN289" s="4550"/>
      <c r="CO289" s="4550"/>
      <c r="CP289" s="4550"/>
      <c r="CQ289" s="4550"/>
      <c r="CR289" s="4550"/>
      <c r="CS289" s="4550"/>
      <c r="CT289" s="4550"/>
      <c r="CU289" s="4550"/>
      <c r="CV289" s="4550"/>
      <c r="CW289" s="4550"/>
      <c r="CX289" s="4550"/>
      <c r="CY289" s="4550"/>
      <c r="CZ289" s="4550"/>
      <c r="DA289" s="4550"/>
      <c r="DB289" s="4550"/>
      <c r="DC289" s="4550"/>
      <c r="DD289" s="4550"/>
      <c r="DE289" s="4550"/>
      <c r="DF289" s="4550"/>
      <c r="DG289" s="4550"/>
      <c r="DH289" s="4550"/>
      <c r="DI289" s="4550"/>
      <c r="DJ289" s="4550"/>
      <c r="DK289" s="4550"/>
      <c r="DL289" s="4550"/>
      <c r="DM289" s="4550"/>
      <c r="DN289" s="4550"/>
      <c r="DO289" s="4550"/>
      <c r="DP289" s="4550"/>
      <c r="DQ289" s="4550"/>
      <c r="DR289" s="4550"/>
      <c r="DS289" s="4550"/>
      <c r="DT289" s="4550"/>
      <c r="DU289" s="4550"/>
      <c r="DV289" s="4550"/>
      <c r="DW289" s="4550"/>
      <c r="DX289" s="4550"/>
      <c r="DY289" s="4550"/>
      <c r="DZ289" s="4550"/>
      <c r="EA289" s="4550"/>
      <c r="EB289" s="4550"/>
      <c r="EC289" s="4550"/>
      <c r="ED289" s="4550"/>
      <c r="EE289" s="4550"/>
      <c r="EF289" s="4550"/>
      <c r="EG289" s="4550"/>
      <c r="EH289" s="4550"/>
      <c r="EI289" s="4550"/>
      <c r="EJ289" s="4550"/>
      <c r="EK289" s="4550"/>
      <c r="EL289" s="4550"/>
      <c r="EM289" s="4550"/>
      <c r="EN289" s="4550"/>
      <c r="EO289" s="4550"/>
      <c r="EP289" s="4550"/>
      <c r="EQ289" s="4550"/>
      <c r="ER289" s="4550"/>
      <c r="ES289" s="4550"/>
      <c r="ET289" s="4550"/>
      <c r="EU289" s="4550"/>
      <c r="EV289" s="4550"/>
      <c r="EW289" s="4550"/>
      <c r="EX289" s="4550"/>
      <c r="EY289" s="4550"/>
      <c r="EZ289" s="4550"/>
      <c r="FA289" s="4550"/>
      <c r="FB289" s="4550"/>
      <c r="FC289" s="4550"/>
      <c r="FD289" s="4550"/>
      <c r="FE289" s="4550"/>
      <c r="FF289" s="4550"/>
      <c r="FG289" s="4550"/>
      <c r="FH289" s="4550"/>
      <c r="FI289" s="4550"/>
      <c r="FJ289" s="4550"/>
      <c r="FK289" s="4550"/>
      <c r="FL289" s="4550"/>
      <c r="FM289" s="4550"/>
      <c r="FN289" s="4550"/>
      <c r="FO289" s="4550"/>
      <c r="FP289" s="4550"/>
      <c r="FQ289" s="4550"/>
      <c r="FR289" s="4550"/>
      <c r="FS289" s="4550"/>
      <c r="FT289" s="4550"/>
      <c r="FU289" s="4550"/>
      <c r="FV289" s="4550"/>
      <c r="FW289" s="4550"/>
      <c r="FX289" s="4550"/>
      <c r="FY289" s="4550"/>
      <c r="FZ289" s="4550"/>
      <c r="GA289" s="4550"/>
      <c r="GB289" s="4550"/>
      <c r="GC289" s="4550"/>
      <c r="GD289" s="4550"/>
      <c r="GE289" s="4550"/>
      <c r="GF289" s="4550"/>
      <c r="GG289" s="4550"/>
      <c r="GH289" s="4550"/>
      <c r="GI289" s="4550"/>
      <c r="GJ289" s="4550"/>
      <c r="GK289" s="4550"/>
      <c r="GL289" s="4550"/>
      <c r="GM289" s="4550"/>
      <c r="GN289" s="4550"/>
      <c r="GO289" s="4550"/>
      <c r="GP289" s="4550"/>
      <c r="GQ289" s="4550"/>
      <c r="GR289" s="4550"/>
      <c r="GS289" s="4550"/>
      <c r="GT289" s="4550"/>
      <c r="GU289" s="4550"/>
      <c r="GV289" s="4550"/>
      <c r="GW289" s="4550"/>
      <c r="GX289" s="4550"/>
      <c r="GY289" s="4550"/>
      <c r="GZ289" s="4550"/>
      <c r="HA289" s="4550"/>
      <c r="HB289" s="4550"/>
      <c r="HC289" s="4550"/>
      <c r="HD289" s="4550"/>
      <c r="HE289" s="4550"/>
      <c r="HF289" s="4550"/>
      <c r="HG289" s="4550"/>
      <c r="HH289" s="4550"/>
      <c r="HI289" s="4550"/>
      <c r="HJ289" s="4550"/>
      <c r="HK289" s="4550"/>
      <c r="HL289" s="4550"/>
      <c r="HM289" s="4550"/>
      <c r="HN289" s="4550"/>
      <c r="HO289" s="4550"/>
      <c r="HP289" s="4550"/>
      <c r="HQ289" s="4550"/>
      <c r="HR289" s="4550"/>
      <c r="HS289" s="4550"/>
      <c r="HT289" s="4550"/>
      <c r="HU289" s="4550"/>
      <c r="HV289" s="4550"/>
      <c r="HW289" s="4550"/>
      <c r="HX289" s="4550"/>
      <c r="HY289" s="4550"/>
      <c r="HZ289" s="4550"/>
      <c r="IA289" s="4550"/>
      <c r="IB289" s="4550"/>
      <c r="IC289" s="4550"/>
      <c r="ID289" s="4550"/>
      <c r="IE289" s="4550"/>
    </row>
    <row r="290" spans="1:239" s="4549" customFormat="1" ht="28.5">
      <c r="A290" s="4167">
        <v>11.6</v>
      </c>
      <c r="B290" s="4635" t="s">
        <v>4565</v>
      </c>
      <c r="C290" s="4677">
        <v>1</v>
      </c>
      <c r="D290" s="4593" t="s">
        <v>2433</v>
      </c>
      <c r="E290" s="4318"/>
      <c r="F290" s="5000">
        <f t="shared" si="13"/>
        <v>0</v>
      </c>
      <c r="G290" s="4537"/>
      <c r="H290" s="4537"/>
      <c r="I290" s="4537"/>
      <c r="J290" s="4537"/>
      <c r="K290" s="4537"/>
      <c r="L290" s="4537"/>
      <c r="M290" s="4537"/>
      <c r="N290" s="4537"/>
      <c r="O290" s="4537"/>
      <c r="P290" s="4537"/>
      <c r="Q290" s="4537"/>
      <c r="R290" s="4537"/>
      <c r="S290" s="4537"/>
      <c r="T290" s="4537"/>
      <c r="U290" s="4537"/>
      <c r="V290" s="4537"/>
      <c r="W290" s="4537"/>
      <c r="X290" s="4537"/>
      <c r="Y290" s="4537"/>
      <c r="Z290" s="4537"/>
      <c r="AA290" s="4537"/>
      <c r="AB290" s="4537"/>
      <c r="AC290" s="4537"/>
      <c r="AD290" s="4537"/>
      <c r="AE290" s="4537"/>
      <c r="AF290" s="4537"/>
      <c r="AG290" s="4537"/>
      <c r="AH290" s="4537"/>
      <c r="AI290" s="4537"/>
      <c r="AJ290" s="4537"/>
      <c r="AK290" s="4537"/>
      <c r="AL290" s="4537"/>
      <c r="AM290" s="4537"/>
      <c r="AN290" s="4537"/>
      <c r="AO290" s="4537"/>
      <c r="AP290" s="4537"/>
      <c r="AQ290" s="4537"/>
      <c r="AR290" s="4537"/>
      <c r="AS290" s="4550"/>
      <c r="AT290" s="4550"/>
      <c r="AU290" s="4550"/>
      <c r="AV290" s="4550"/>
      <c r="AW290" s="4550"/>
      <c r="AX290" s="4550"/>
      <c r="AY290" s="4550"/>
      <c r="AZ290" s="4550"/>
      <c r="BA290" s="4550"/>
      <c r="BB290" s="4550"/>
      <c r="BC290" s="4550"/>
      <c r="BD290" s="4550"/>
      <c r="BE290" s="4550"/>
      <c r="BF290" s="4550"/>
      <c r="BG290" s="4550"/>
      <c r="BH290" s="4550"/>
      <c r="BI290" s="4550"/>
      <c r="BJ290" s="4550"/>
      <c r="BK290" s="4550"/>
      <c r="BL290" s="4550"/>
      <c r="BM290" s="4550"/>
      <c r="BN290" s="4550"/>
      <c r="BO290" s="4550"/>
      <c r="BP290" s="4550"/>
      <c r="BQ290" s="4550"/>
      <c r="BR290" s="4550"/>
      <c r="BS290" s="4550"/>
      <c r="BT290" s="4550"/>
      <c r="BU290" s="4550"/>
      <c r="BV290" s="4550"/>
      <c r="BW290" s="4550"/>
      <c r="BX290" s="4550"/>
      <c r="BY290" s="4550"/>
      <c r="BZ290" s="4550"/>
      <c r="CA290" s="4550"/>
      <c r="CB290" s="4550"/>
      <c r="CC290" s="4550"/>
      <c r="CD290" s="4550"/>
      <c r="CE290" s="4550"/>
      <c r="CF290" s="4550"/>
      <c r="CG290" s="4550"/>
      <c r="CH290" s="4550"/>
      <c r="CI290" s="4550"/>
      <c r="CJ290" s="4550"/>
      <c r="CK290" s="4550"/>
      <c r="CL290" s="4550"/>
      <c r="CM290" s="4550"/>
      <c r="CN290" s="4550"/>
      <c r="CO290" s="4550"/>
      <c r="CP290" s="4550"/>
      <c r="CQ290" s="4550"/>
      <c r="CR290" s="4550"/>
      <c r="CS290" s="4550"/>
      <c r="CT290" s="4550"/>
      <c r="CU290" s="4550"/>
      <c r="CV290" s="4550"/>
      <c r="CW290" s="4550"/>
      <c r="CX290" s="4550"/>
      <c r="CY290" s="4550"/>
      <c r="CZ290" s="4550"/>
      <c r="DA290" s="4550"/>
      <c r="DB290" s="4550"/>
      <c r="DC290" s="4550"/>
      <c r="DD290" s="4550"/>
      <c r="DE290" s="4550"/>
      <c r="DF290" s="4550"/>
      <c r="DG290" s="4550"/>
      <c r="DH290" s="4550"/>
      <c r="DI290" s="4550"/>
      <c r="DJ290" s="4550"/>
      <c r="DK290" s="4550"/>
      <c r="DL290" s="4550"/>
      <c r="DM290" s="4550"/>
      <c r="DN290" s="4550"/>
      <c r="DO290" s="4550"/>
      <c r="DP290" s="4550"/>
      <c r="DQ290" s="4550"/>
      <c r="DR290" s="4550"/>
      <c r="DS290" s="4550"/>
      <c r="DT290" s="4550"/>
      <c r="DU290" s="4550"/>
      <c r="DV290" s="4550"/>
      <c r="DW290" s="4550"/>
      <c r="DX290" s="4550"/>
      <c r="DY290" s="4550"/>
      <c r="DZ290" s="4550"/>
      <c r="EA290" s="4550"/>
      <c r="EB290" s="4550"/>
      <c r="EC290" s="4550"/>
      <c r="ED290" s="4550"/>
      <c r="EE290" s="4550"/>
      <c r="EF290" s="4550"/>
      <c r="EG290" s="4550"/>
      <c r="EH290" s="4550"/>
      <c r="EI290" s="4550"/>
      <c r="EJ290" s="4550"/>
      <c r="EK290" s="4550"/>
      <c r="EL290" s="4550"/>
      <c r="EM290" s="4550"/>
      <c r="EN290" s="4550"/>
      <c r="EO290" s="4550"/>
      <c r="EP290" s="4550"/>
      <c r="EQ290" s="4550"/>
      <c r="ER290" s="4550"/>
      <c r="ES290" s="4550"/>
      <c r="ET290" s="4550"/>
      <c r="EU290" s="4550"/>
      <c r="EV290" s="4550"/>
      <c r="EW290" s="4550"/>
      <c r="EX290" s="4550"/>
      <c r="EY290" s="4550"/>
      <c r="EZ290" s="4550"/>
      <c r="FA290" s="4550"/>
      <c r="FB290" s="4550"/>
      <c r="FC290" s="4550"/>
      <c r="FD290" s="4550"/>
      <c r="FE290" s="4550"/>
      <c r="FF290" s="4550"/>
      <c r="FG290" s="4550"/>
      <c r="FH290" s="4550"/>
      <c r="FI290" s="4550"/>
      <c r="FJ290" s="4550"/>
      <c r="FK290" s="4550"/>
      <c r="FL290" s="4550"/>
      <c r="FM290" s="4550"/>
      <c r="FN290" s="4550"/>
      <c r="FO290" s="4550"/>
      <c r="FP290" s="4550"/>
      <c r="FQ290" s="4550"/>
      <c r="FR290" s="4550"/>
      <c r="FS290" s="4550"/>
      <c r="FT290" s="4550"/>
      <c r="FU290" s="4550"/>
      <c r="FV290" s="4550"/>
      <c r="FW290" s="4550"/>
      <c r="FX290" s="4550"/>
      <c r="FY290" s="4550"/>
      <c r="FZ290" s="4550"/>
      <c r="GA290" s="4550"/>
      <c r="GB290" s="4550"/>
      <c r="GC290" s="4550"/>
      <c r="GD290" s="4550"/>
      <c r="GE290" s="4550"/>
      <c r="GF290" s="4550"/>
      <c r="GG290" s="4550"/>
      <c r="GH290" s="4550"/>
      <c r="GI290" s="4550"/>
      <c r="GJ290" s="4550"/>
      <c r="GK290" s="4550"/>
      <c r="GL290" s="4550"/>
      <c r="GM290" s="4550"/>
      <c r="GN290" s="4550"/>
      <c r="GO290" s="4550"/>
      <c r="GP290" s="4550"/>
      <c r="GQ290" s="4550"/>
      <c r="GR290" s="4550"/>
      <c r="GS290" s="4550"/>
      <c r="GT290" s="4550"/>
      <c r="GU290" s="4550"/>
      <c r="GV290" s="4550"/>
      <c r="GW290" s="4550"/>
      <c r="GX290" s="4550"/>
      <c r="GY290" s="4550"/>
      <c r="GZ290" s="4550"/>
      <c r="HA290" s="4550"/>
      <c r="HB290" s="4550"/>
      <c r="HC290" s="4550"/>
      <c r="HD290" s="4550"/>
      <c r="HE290" s="4550"/>
      <c r="HF290" s="4550"/>
      <c r="HG290" s="4550"/>
      <c r="HH290" s="4550"/>
      <c r="HI290" s="4550"/>
      <c r="HJ290" s="4550"/>
      <c r="HK290" s="4550"/>
      <c r="HL290" s="4550"/>
      <c r="HM290" s="4550"/>
      <c r="HN290" s="4550"/>
      <c r="HO290" s="4550"/>
      <c r="HP290" s="4550"/>
      <c r="HQ290" s="4550"/>
      <c r="HR290" s="4550"/>
      <c r="HS290" s="4550"/>
      <c r="HT290" s="4550"/>
      <c r="HU290" s="4550"/>
      <c r="HV290" s="4550"/>
      <c r="HW290" s="4550"/>
      <c r="HX290" s="4550"/>
      <c r="HY290" s="4550"/>
      <c r="HZ290" s="4550"/>
      <c r="IA290" s="4550"/>
      <c r="IB290" s="4550"/>
      <c r="IC290" s="4550"/>
      <c r="ID290" s="4550"/>
      <c r="IE290" s="4550"/>
    </row>
    <row r="291" spans="1:239" s="4549" customFormat="1" ht="15">
      <c r="A291" s="4167"/>
      <c r="B291" s="4734"/>
      <c r="C291" s="4677"/>
      <c r="D291" s="4593"/>
      <c r="E291" s="4318"/>
      <c r="F291" s="5000"/>
      <c r="G291" s="4537"/>
      <c r="H291" s="4537"/>
      <c r="I291" s="4537"/>
      <c r="J291" s="4537"/>
      <c r="K291" s="4537"/>
      <c r="L291" s="4537"/>
      <c r="M291" s="4537"/>
      <c r="N291" s="4537"/>
      <c r="O291" s="4537"/>
      <c r="P291" s="4537"/>
      <c r="Q291" s="4537"/>
      <c r="R291" s="4537"/>
      <c r="S291" s="4537"/>
      <c r="T291" s="4537"/>
      <c r="U291" s="4537"/>
      <c r="V291" s="4537"/>
      <c r="W291" s="4537"/>
      <c r="X291" s="4537"/>
      <c r="Y291" s="4537"/>
      <c r="Z291" s="4537"/>
      <c r="AA291" s="4537"/>
      <c r="AB291" s="4537"/>
      <c r="AC291" s="4537"/>
      <c r="AD291" s="4537"/>
      <c r="AE291" s="4537"/>
      <c r="AF291" s="4537"/>
      <c r="AG291" s="4537"/>
      <c r="AH291" s="4537"/>
      <c r="AI291" s="4537"/>
      <c r="AJ291" s="4537"/>
      <c r="AK291" s="4537"/>
      <c r="AL291" s="4537"/>
      <c r="AM291" s="4537"/>
      <c r="AN291" s="4537"/>
      <c r="AO291" s="4537"/>
      <c r="AP291" s="4537"/>
      <c r="AQ291" s="4537"/>
      <c r="AR291" s="4537"/>
      <c r="AS291" s="4550"/>
      <c r="AT291" s="4550"/>
      <c r="AU291" s="4550"/>
      <c r="AV291" s="4550"/>
      <c r="AW291" s="4550"/>
      <c r="AX291" s="4550"/>
      <c r="AY291" s="4550"/>
      <c r="AZ291" s="4550"/>
      <c r="BA291" s="4550"/>
      <c r="BB291" s="4550"/>
      <c r="BC291" s="4550"/>
      <c r="BD291" s="4550"/>
      <c r="BE291" s="4550"/>
      <c r="BF291" s="4550"/>
      <c r="BG291" s="4550"/>
      <c r="BH291" s="4550"/>
      <c r="BI291" s="4550"/>
      <c r="BJ291" s="4550"/>
      <c r="BK291" s="4550"/>
      <c r="BL291" s="4550"/>
      <c r="BM291" s="4550"/>
      <c r="BN291" s="4550"/>
      <c r="BO291" s="4550"/>
      <c r="BP291" s="4550"/>
      <c r="BQ291" s="4550"/>
      <c r="BR291" s="4550"/>
      <c r="BS291" s="4550"/>
      <c r="BT291" s="4550"/>
      <c r="BU291" s="4550"/>
      <c r="BV291" s="4550"/>
      <c r="BW291" s="4550"/>
      <c r="BX291" s="4550"/>
      <c r="BY291" s="4550"/>
      <c r="BZ291" s="4550"/>
      <c r="CA291" s="4550"/>
      <c r="CB291" s="4550"/>
      <c r="CC291" s="4550"/>
      <c r="CD291" s="4550"/>
      <c r="CE291" s="4550"/>
      <c r="CF291" s="4550"/>
      <c r="CG291" s="4550"/>
      <c r="CH291" s="4550"/>
      <c r="CI291" s="4550"/>
      <c r="CJ291" s="4550"/>
      <c r="CK291" s="4550"/>
      <c r="CL291" s="4550"/>
      <c r="CM291" s="4550"/>
      <c r="CN291" s="4550"/>
      <c r="CO291" s="4550"/>
      <c r="CP291" s="4550"/>
      <c r="CQ291" s="4550"/>
      <c r="CR291" s="4550"/>
      <c r="CS291" s="4550"/>
      <c r="CT291" s="4550"/>
      <c r="CU291" s="4550"/>
      <c r="CV291" s="4550"/>
      <c r="CW291" s="4550"/>
      <c r="CX291" s="4550"/>
      <c r="CY291" s="4550"/>
      <c r="CZ291" s="4550"/>
      <c r="DA291" s="4550"/>
      <c r="DB291" s="4550"/>
      <c r="DC291" s="4550"/>
      <c r="DD291" s="4550"/>
      <c r="DE291" s="4550"/>
      <c r="DF291" s="4550"/>
      <c r="DG291" s="4550"/>
      <c r="DH291" s="4550"/>
      <c r="DI291" s="4550"/>
      <c r="DJ291" s="4550"/>
      <c r="DK291" s="4550"/>
      <c r="DL291" s="4550"/>
      <c r="DM291" s="4550"/>
      <c r="DN291" s="4550"/>
      <c r="DO291" s="4550"/>
      <c r="DP291" s="4550"/>
      <c r="DQ291" s="4550"/>
      <c r="DR291" s="4550"/>
      <c r="DS291" s="4550"/>
      <c r="DT291" s="4550"/>
      <c r="DU291" s="4550"/>
      <c r="DV291" s="4550"/>
      <c r="DW291" s="4550"/>
      <c r="DX291" s="4550"/>
      <c r="DY291" s="4550"/>
      <c r="DZ291" s="4550"/>
      <c r="EA291" s="4550"/>
      <c r="EB291" s="4550"/>
      <c r="EC291" s="4550"/>
      <c r="ED291" s="4550"/>
      <c r="EE291" s="4550"/>
      <c r="EF291" s="4550"/>
      <c r="EG291" s="4550"/>
      <c r="EH291" s="4550"/>
      <c r="EI291" s="4550"/>
      <c r="EJ291" s="4550"/>
      <c r="EK291" s="4550"/>
      <c r="EL291" s="4550"/>
      <c r="EM291" s="4550"/>
      <c r="EN291" s="4550"/>
      <c r="EO291" s="4550"/>
      <c r="EP291" s="4550"/>
      <c r="EQ291" s="4550"/>
      <c r="ER291" s="4550"/>
      <c r="ES291" s="4550"/>
      <c r="ET291" s="4550"/>
      <c r="EU291" s="4550"/>
      <c r="EV291" s="4550"/>
      <c r="EW291" s="4550"/>
      <c r="EX291" s="4550"/>
      <c r="EY291" s="4550"/>
      <c r="EZ291" s="4550"/>
      <c r="FA291" s="4550"/>
      <c r="FB291" s="4550"/>
      <c r="FC291" s="4550"/>
      <c r="FD291" s="4550"/>
      <c r="FE291" s="4550"/>
      <c r="FF291" s="4550"/>
      <c r="FG291" s="4550"/>
      <c r="FH291" s="4550"/>
      <c r="FI291" s="4550"/>
      <c r="FJ291" s="4550"/>
      <c r="FK291" s="4550"/>
      <c r="FL291" s="4550"/>
      <c r="FM291" s="4550"/>
      <c r="FN291" s="4550"/>
      <c r="FO291" s="4550"/>
      <c r="FP291" s="4550"/>
      <c r="FQ291" s="4550"/>
      <c r="FR291" s="4550"/>
      <c r="FS291" s="4550"/>
      <c r="FT291" s="4550"/>
      <c r="FU291" s="4550"/>
      <c r="FV291" s="4550"/>
      <c r="FW291" s="4550"/>
      <c r="FX291" s="4550"/>
      <c r="FY291" s="4550"/>
      <c r="FZ291" s="4550"/>
      <c r="GA291" s="4550"/>
      <c r="GB291" s="4550"/>
      <c r="GC291" s="4550"/>
      <c r="GD291" s="4550"/>
      <c r="GE291" s="4550"/>
      <c r="GF291" s="4550"/>
      <c r="GG291" s="4550"/>
      <c r="GH291" s="4550"/>
      <c r="GI291" s="4550"/>
      <c r="GJ291" s="4550"/>
      <c r="GK291" s="4550"/>
      <c r="GL291" s="4550"/>
      <c r="GM291" s="4550"/>
      <c r="GN291" s="4550"/>
      <c r="GO291" s="4550"/>
      <c r="GP291" s="4550"/>
      <c r="GQ291" s="4550"/>
      <c r="GR291" s="4550"/>
      <c r="GS291" s="4550"/>
      <c r="GT291" s="4550"/>
      <c r="GU291" s="4550"/>
      <c r="GV291" s="4550"/>
      <c r="GW291" s="4550"/>
      <c r="GX291" s="4550"/>
      <c r="GY291" s="4550"/>
      <c r="GZ291" s="4550"/>
      <c r="HA291" s="4550"/>
      <c r="HB291" s="4550"/>
      <c r="HC291" s="4550"/>
      <c r="HD291" s="4550"/>
      <c r="HE291" s="4550"/>
      <c r="HF291" s="4550"/>
      <c r="HG291" s="4550"/>
      <c r="HH291" s="4550"/>
      <c r="HI291" s="4550"/>
      <c r="HJ291" s="4550"/>
      <c r="HK291" s="4550"/>
      <c r="HL291" s="4550"/>
      <c r="HM291" s="4550"/>
      <c r="HN291" s="4550"/>
      <c r="HO291" s="4550"/>
      <c r="HP291" s="4550"/>
      <c r="HQ291" s="4550"/>
      <c r="HR291" s="4550"/>
      <c r="HS291" s="4550"/>
      <c r="HT291" s="4550"/>
      <c r="HU291" s="4550"/>
      <c r="HV291" s="4550"/>
      <c r="HW291" s="4550"/>
      <c r="HX291" s="4550"/>
      <c r="HY291" s="4550"/>
      <c r="HZ291" s="4550"/>
      <c r="IA291" s="4550"/>
      <c r="IB291" s="4550"/>
      <c r="IC291" s="4550"/>
      <c r="ID291" s="4550"/>
      <c r="IE291" s="4550"/>
    </row>
    <row r="292" spans="1:239" s="4549" customFormat="1" ht="15">
      <c r="A292" s="4168">
        <v>12</v>
      </c>
      <c r="B292" s="4637" t="s">
        <v>4583</v>
      </c>
      <c r="C292" s="4677"/>
      <c r="D292" s="4593"/>
      <c r="E292" s="4318"/>
      <c r="F292" s="5000"/>
      <c r="G292" s="4537"/>
      <c r="H292" s="4537"/>
      <c r="I292" s="4537"/>
      <c r="J292" s="4537"/>
      <c r="K292" s="4537"/>
      <c r="L292" s="4537"/>
      <c r="M292" s="4537"/>
      <c r="N292" s="4537"/>
      <c r="O292" s="4537"/>
      <c r="P292" s="4537"/>
      <c r="Q292" s="4537"/>
      <c r="R292" s="4537"/>
      <c r="S292" s="4537"/>
      <c r="T292" s="4537"/>
      <c r="U292" s="4537"/>
      <c r="V292" s="4537"/>
      <c r="W292" s="4537"/>
      <c r="X292" s="4537"/>
      <c r="Y292" s="4537"/>
      <c r="Z292" s="4537"/>
      <c r="AA292" s="4537"/>
      <c r="AB292" s="4537"/>
      <c r="AC292" s="4537"/>
      <c r="AD292" s="4537"/>
      <c r="AE292" s="4537"/>
      <c r="AF292" s="4537"/>
      <c r="AG292" s="4537"/>
      <c r="AH292" s="4537"/>
      <c r="AI292" s="4537"/>
      <c r="AJ292" s="4537"/>
      <c r="AK292" s="4537"/>
      <c r="AL292" s="4537"/>
      <c r="AM292" s="4537"/>
      <c r="AN292" s="4537"/>
      <c r="AO292" s="4537"/>
      <c r="AP292" s="4537"/>
      <c r="AQ292" s="4537"/>
      <c r="AR292" s="4537"/>
      <c r="AS292" s="4550"/>
      <c r="AT292" s="4550"/>
      <c r="AU292" s="4550"/>
      <c r="AV292" s="4550"/>
      <c r="AW292" s="4550"/>
      <c r="AX292" s="4550"/>
      <c r="AY292" s="4550"/>
      <c r="AZ292" s="4550"/>
      <c r="BA292" s="4550"/>
      <c r="BB292" s="4550"/>
      <c r="BC292" s="4550"/>
      <c r="BD292" s="4550"/>
      <c r="BE292" s="4550"/>
      <c r="BF292" s="4550"/>
      <c r="BG292" s="4550"/>
      <c r="BH292" s="4550"/>
      <c r="BI292" s="4550"/>
      <c r="BJ292" s="4550"/>
      <c r="BK292" s="4550"/>
      <c r="BL292" s="4550"/>
      <c r="BM292" s="4550"/>
      <c r="BN292" s="4550"/>
      <c r="BO292" s="4550"/>
      <c r="BP292" s="4550"/>
      <c r="BQ292" s="4550"/>
      <c r="BR292" s="4550"/>
      <c r="BS292" s="4550"/>
      <c r="BT292" s="4550"/>
      <c r="BU292" s="4550"/>
      <c r="BV292" s="4550"/>
      <c r="BW292" s="4550"/>
      <c r="BX292" s="4550"/>
      <c r="BY292" s="4550"/>
      <c r="BZ292" s="4550"/>
      <c r="CA292" s="4550"/>
      <c r="CB292" s="4550"/>
      <c r="CC292" s="4550"/>
      <c r="CD292" s="4550"/>
      <c r="CE292" s="4550"/>
      <c r="CF292" s="4550"/>
      <c r="CG292" s="4550"/>
      <c r="CH292" s="4550"/>
      <c r="CI292" s="4550"/>
      <c r="CJ292" s="4550"/>
      <c r="CK292" s="4550"/>
      <c r="CL292" s="4550"/>
      <c r="CM292" s="4550"/>
      <c r="CN292" s="4550"/>
      <c r="CO292" s="4550"/>
      <c r="CP292" s="4550"/>
      <c r="CQ292" s="4550"/>
      <c r="CR292" s="4550"/>
      <c r="CS292" s="4550"/>
      <c r="CT292" s="4550"/>
      <c r="CU292" s="4550"/>
      <c r="CV292" s="4550"/>
      <c r="CW292" s="4550"/>
      <c r="CX292" s="4550"/>
      <c r="CY292" s="4550"/>
      <c r="CZ292" s="4550"/>
      <c r="DA292" s="4550"/>
      <c r="DB292" s="4550"/>
      <c r="DC292" s="4550"/>
      <c r="DD292" s="4550"/>
      <c r="DE292" s="4550"/>
      <c r="DF292" s="4550"/>
      <c r="DG292" s="4550"/>
      <c r="DH292" s="4550"/>
      <c r="DI292" s="4550"/>
      <c r="DJ292" s="4550"/>
      <c r="DK292" s="4550"/>
      <c r="DL292" s="4550"/>
      <c r="DM292" s="4550"/>
      <c r="DN292" s="4550"/>
      <c r="DO292" s="4550"/>
      <c r="DP292" s="4550"/>
      <c r="DQ292" s="4550"/>
      <c r="DR292" s="4550"/>
      <c r="DS292" s="4550"/>
      <c r="DT292" s="4550"/>
      <c r="DU292" s="4550"/>
      <c r="DV292" s="4550"/>
      <c r="DW292" s="4550"/>
      <c r="DX292" s="4550"/>
      <c r="DY292" s="4550"/>
      <c r="DZ292" s="4550"/>
      <c r="EA292" s="4550"/>
      <c r="EB292" s="4550"/>
      <c r="EC292" s="4550"/>
      <c r="ED292" s="4550"/>
      <c r="EE292" s="4550"/>
      <c r="EF292" s="4550"/>
      <c r="EG292" s="4550"/>
      <c r="EH292" s="4550"/>
      <c r="EI292" s="4550"/>
      <c r="EJ292" s="4550"/>
      <c r="EK292" s="4550"/>
      <c r="EL292" s="4550"/>
      <c r="EM292" s="4550"/>
      <c r="EN292" s="4550"/>
      <c r="EO292" s="4550"/>
      <c r="EP292" s="4550"/>
      <c r="EQ292" s="4550"/>
      <c r="ER292" s="4550"/>
      <c r="ES292" s="4550"/>
      <c r="ET292" s="4550"/>
      <c r="EU292" s="4550"/>
      <c r="EV292" s="4550"/>
      <c r="EW292" s="4550"/>
      <c r="EX292" s="4550"/>
      <c r="EY292" s="4550"/>
      <c r="EZ292" s="4550"/>
      <c r="FA292" s="4550"/>
      <c r="FB292" s="4550"/>
      <c r="FC292" s="4550"/>
      <c r="FD292" s="4550"/>
      <c r="FE292" s="4550"/>
      <c r="FF292" s="4550"/>
      <c r="FG292" s="4550"/>
      <c r="FH292" s="4550"/>
      <c r="FI292" s="4550"/>
      <c r="FJ292" s="4550"/>
      <c r="FK292" s="4550"/>
      <c r="FL292" s="4550"/>
      <c r="FM292" s="4550"/>
      <c r="FN292" s="4550"/>
      <c r="FO292" s="4550"/>
      <c r="FP292" s="4550"/>
      <c r="FQ292" s="4550"/>
      <c r="FR292" s="4550"/>
      <c r="FS292" s="4550"/>
      <c r="FT292" s="4550"/>
      <c r="FU292" s="4550"/>
      <c r="FV292" s="4550"/>
      <c r="FW292" s="4550"/>
      <c r="FX292" s="4550"/>
      <c r="FY292" s="4550"/>
      <c r="FZ292" s="4550"/>
      <c r="GA292" s="4550"/>
      <c r="GB292" s="4550"/>
      <c r="GC292" s="4550"/>
      <c r="GD292" s="4550"/>
      <c r="GE292" s="4550"/>
      <c r="GF292" s="4550"/>
      <c r="GG292" s="4550"/>
      <c r="GH292" s="4550"/>
      <c r="GI292" s="4550"/>
      <c r="GJ292" s="4550"/>
      <c r="GK292" s="4550"/>
      <c r="GL292" s="4550"/>
      <c r="GM292" s="4550"/>
      <c r="GN292" s="4550"/>
      <c r="GO292" s="4550"/>
      <c r="GP292" s="4550"/>
      <c r="GQ292" s="4550"/>
      <c r="GR292" s="4550"/>
      <c r="GS292" s="4550"/>
      <c r="GT292" s="4550"/>
      <c r="GU292" s="4550"/>
      <c r="GV292" s="4550"/>
      <c r="GW292" s="4550"/>
      <c r="GX292" s="4550"/>
      <c r="GY292" s="4550"/>
      <c r="GZ292" s="4550"/>
      <c r="HA292" s="4550"/>
      <c r="HB292" s="4550"/>
      <c r="HC292" s="4550"/>
      <c r="HD292" s="4550"/>
      <c r="HE292" s="4550"/>
      <c r="HF292" s="4550"/>
      <c r="HG292" s="4550"/>
      <c r="HH292" s="4550"/>
      <c r="HI292" s="4550"/>
      <c r="HJ292" s="4550"/>
      <c r="HK292" s="4550"/>
      <c r="HL292" s="4550"/>
      <c r="HM292" s="4550"/>
      <c r="HN292" s="4550"/>
      <c r="HO292" s="4550"/>
      <c r="HP292" s="4550"/>
      <c r="HQ292" s="4550"/>
      <c r="HR292" s="4550"/>
      <c r="HS292" s="4550"/>
      <c r="HT292" s="4550"/>
      <c r="HU292" s="4550"/>
      <c r="HV292" s="4550"/>
      <c r="HW292" s="4550"/>
      <c r="HX292" s="4550"/>
      <c r="HY292" s="4550"/>
      <c r="HZ292" s="4550"/>
      <c r="IA292" s="4550"/>
      <c r="IB292" s="4550"/>
      <c r="IC292" s="4550"/>
      <c r="ID292" s="4550"/>
      <c r="IE292" s="4550"/>
    </row>
    <row r="293" spans="1:239" s="4549" customFormat="1" ht="15">
      <c r="A293" s="4650">
        <v>12.1</v>
      </c>
      <c r="B293" s="4636" t="s">
        <v>2353</v>
      </c>
      <c r="C293" s="4731">
        <v>35</v>
      </c>
      <c r="D293" s="4732" t="s">
        <v>1</v>
      </c>
      <c r="E293" s="4980"/>
      <c r="F293" s="5001">
        <f t="shared" ref="F293:F301" si="14">ROUND((C293*E293),2)</f>
        <v>0</v>
      </c>
      <c r="G293" s="4537"/>
      <c r="H293" s="4537"/>
      <c r="I293" s="4537"/>
      <c r="J293" s="4537"/>
      <c r="K293" s="4537"/>
      <c r="L293" s="4537"/>
      <c r="M293" s="4537"/>
      <c r="N293" s="4537"/>
      <c r="O293" s="4537"/>
      <c r="P293" s="4537"/>
      <c r="Q293" s="4537"/>
      <c r="R293" s="4537"/>
      <c r="S293" s="4537"/>
      <c r="T293" s="4537"/>
      <c r="U293" s="4537"/>
      <c r="V293" s="4537"/>
      <c r="W293" s="4537"/>
      <c r="X293" s="4537"/>
      <c r="Y293" s="4537"/>
      <c r="Z293" s="4537"/>
      <c r="AA293" s="4537"/>
      <c r="AB293" s="4537"/>
      <c r="AC293" s="4537"/>
      <c r="AD293" s="4537"/>
      <c r="AE293" s="4537"/>
      <c r="AF293" s="4537"/>
      <c r="AG293" s="4537"/>
      <c r="AH293" s="4537"/>
      <c r="AI293" s="4537"/>
      <c r="AJ293" s="4537"/>
      <c r="AK293" s="4537"/>
      <c r="AL293" s="4537"/>
      <c r="AM293" s="4537"/>
      <c r="AN293" s="4537"/>
      <c r="AO293" s="4537"/>
      <c r="AP293" s="4537"/>
      <c r="AQ293" s="4537"/>
      <c r="AR293" s="4537"/>
      <c r="AS293" s="4550"/>
      <c r="AT293" s="4550"/>
      <c r="AU293" s="4550"/>
      <c r="AV293" s="4550"/>
      <c r="AW293" s="4550"/>
      <c r="AX293" s="4550"/>
      <c r="AY293" s="4550"/>
      <c r="AZ293" s="4550"/>
      <c r="BA293" s="4550"/>
      <c r="BB293" s="4550"/>
      <c r="BC293" s="4550"/>
      <c r="BD293" s="4550"/>
      <c r="BE293" s="4550"/>
      <c r="BF293" s="4550"/>
      <c r="BG293" s="4550"/>
      <c r="BH293" s="4550"/>
      <c r="BI293" s="4550"/>
      <c r="BJ293" s="4550"/>
      <c r="BK293" s="4550"/>
      <c r="BL293" s="4550"/>
      <c r="BM293" s="4550"/>
      <c r="BN293" s="4550"/>
      <c r="BO293" s="4550"/>
      <c r="BP293" s="4550"/>
      <c r="BQ293" s="4550"/>
      <c r="BR293" s="4550"/>
      <c r="BS293" s="4550"/>
      <c r="BT293" s="4550"/>
      <c r="BU293" s="4550"/>
      <c r="BV293" s="4550"/>
      <c r="BW293" s="4550"/>
      <c r="BX293" s="4550"/>
      <c r="BY293" s="4550"/>
      <c r="BZ293" s="4550"/>
      <c r="CA293" s="4550"/>
      <c r="CB293" s="4550"/>
      <c r="CC293" s="4550"/>
      <c r="CD293" s="4550"/>
      <c r="CE293" s="4550"/>
      <c r="CF293" s="4550"/>
      <c r="CG293" s="4550"/>
      <c r="CH293" s="4550"/>
      <c r="CI293" s="4550"/>
      <c r="CJ293" s="4550"/>
      <c r="CK293" s="4550"/>
      <c r="CL293" s="4550"/>
      <c r="CM293" s="4550"/>
      <c r="CN293" s="4550"/>
      <c r="CO293" s="4550"/>
      <c r="CP293" s="4550"/>
      <c r="CQ293" s="4550"/>
      <c r="CR293" s="4550"/>
      <c r="CS293" s="4550"/>
      <c r="CT293" s="4550"/>
      <c r="CU293" s="4550"/>
      <c r="CV293" s="4550"/>
      <c r="CW293" s="4550"/>
      <c r="CX293" s="4550"/>
      <c r="CY293" s="4550"/>
      <c r="CZ293" s="4550"/>
      <c r="DA293" s="4550"/>
      <c r="DB293" s="4550"/>
      <c r="DC293" s="4550"/>
      <c r="DD293" s="4550"/>
      <c r="DE293" s="4550"/>
      <c r="DF293" s="4550"/>
      <c r="DG293" s="4550"/>
      <c r="DH293" s="4550"/>
      <c r="DI293" s="4550"/>
      <c r="DJ293" s="4550"/>
      <c r="DK293" s="4550"/>
      <c r="DL293" s="4550"/>
      <c r="DM293" s="4550"/>
      <c r="DN293" s="4550"/>
      <c r="DO293" s="4550"/>
      <c r="DP293" s="4550"/>
      <c r="DQ293" s="4550"/>
      <c r="DR293" s="4550"/>
      <c r="DS293" s="4550"/>
      <c r="DT293" s="4550"/>
      <c r="DU293" s="4550"/>
      <c r="DV293" s="4550"/>
      <c r="DW293" s="4550"/>
      <c r="DX293" s="4550"/>
      <c r="DY293" s="4550"/>
      <c r="DZ293" s="4550"/>
      <c r="EA293" s="4550"/>
      <c r="EB293" s="4550"/>
      <c r="EC293" s="4550"/>
      <c r="ED293" s="4550"/>
      <c r="EE293" s="4550"/>
      <c r="EF293" s="4550"/>
      <c r="EG293" s="4550"/>
      <c r="EH293" s="4550"/>
      <c r="EI293" s="4550"/>
      <c r="EJ293" s="4550"/>
      <c r="EK293" s="4550"/>
      <c r="EL293" s="4550"/>
      <c r="EM293" s="4550"/>
      <c r="EN293" s="4550"/>
      <c r="EO293" s="4550"/>
      <c r="EP293" s="4550"/>
      <c r="EQ293" s="4550"/>
      <c r="ER293" s="4550"/>
      <c r="ES293" s="4550"/>
      <c r="ET293" s="4550"/>
      <c r="EU293" s="4550"/>
      <c r="EV293" s="4550"/>
      <c r="EW293" s="4550"/>
      <c r="EX293" s="4550"/>
      <c r="EY293" s="4550"/>
      <c r="EZ293" s="4550"/>
      <c r="FA293" s="4550"/>
      <c r="FB293" s="4550"/>
      <c r="FC293" s="4550"/>
      <c r="FD293" s="4550"/>
      <c r="FE293" s="4550"/>
      <c r="FF293" s="4550"/>
      <c r="FG293" s="4550"/>
      <c r="FH293" s="4550"/>
      <c r="FI293" s="4550"/>
      <c r="FJ293" s="4550"/>
      <c r="FK293" s="4550"/>
      <c r="FL293" s="4550"/>
      <c r="FM293" s="4550"/>
      <c r="FN293" s="4550"/>
      <c r="FO293" s="4550"/>
      <c r="FP293" s="4550"/>
      <c r="FQ293" s="4550"/>
      <c r="FR293" s="4550"/>
      <c r="FS293" s="4550"/>
      <c r="FT293" s="4550"/>
      <c r="FU293" s="4550"/>
      <c r="FV293" s="4550"/>
      <c r="FW293" s="4550"/>
      <c r="FX293" s="4550"/>
      <c r="FY293" s="4550"/>
      <c r="FZ293" s="4550"/>
      <c r="GA293" s="4550"/>
      <c r="GB293" s="4550"/>
      <c r="GC293" s="4550"/>
      <c r="GD293" s="4550"/>
      <c r="GE293" s="4550"/>
      <c r="GF293" s="4550"/>
      <c r="GG293" s="4550"/>
      <c r="GH293" s="4550"/>
      <c r="GI293" s="4550"/>
      <c r="GJ293" s="4550"/>
      <c r="GK293" s="4550"/>
      <c r="GL293" s="4550"/>
      <c r="GM293" s="4550"/>
      <c r="GN293" s="4550"/>
      <c r="GO293" s="4550"/>
      <c r="GP293" s="4550"/>
      <c r="GQ293" s="4550"/>
      <c r="GR293" s="4550"/>
      <c r="GS293" s="4550"/>
      <c r="GT293" s="4550"/>
      <c r="GU293" s="4550"/>
      <c r="GV293" s="4550"/>
      <c r="GW293" s="4550"/>
      <c r="GX293" s="4550"/>
      <c r="GY293" s="4550"/>
      <c r="GZ293" s="4550"/>
      <c r="HA293" s="4550"/>
      <c r="HB293" s="4550"/>
      <c r="HC293" s="4550"/>
      <c r="HD293" s="4550"/>
      <c r="HE293" s="4550"/>
      <c r="HF293" s="4550"/>
      <c r="HG293" s="4550"/>
      <c r="HH293" s="4550"/>
      <c r="HI293" s="4550"/>
      <c r="HJ293" s="4550"/>
      <c r="HK293" s="4550"/>
      <c r="HL293" s="4550"/>
      <c r="HM293" s="4550"/>
      <c r="HN293" s="4550"/>
      <c r="HO293" s="4550"/>
      <c r="HP293" s="4550"/>
      <c r="HQ293" s="4550"/>
      <c r="HR293" s="4550"/>
      <c r="HS293" s="4550"/>
      <c r="HT293" s="4550"/>
      <c r="HU293" s="4550"/>
      <c r="HV293" s="4550"/>
      <c r="HW293" s="4550"/>
      <c r="HX293" s="4550"/>
      <c r="HY293" s="4550"/>
      <c r="HZ293" s="4550"/>
      <c r="IA293" s="4550"/>
      <c r="IB293" s="4550"/>
      <c r="IC293" s="4550"/>
      <c r="ID293" s="4550"/>
      <c r="IE293" s="4550"/>
    </row>
    <row r="294" spans="1:239" s="4549" customFormat="1" ht="15">
      <c r="A294" s="4167">
        <v>12.2</v>
      </c>
      <c r="B294" s="4635" t="s">
        <v>4172</v>
      </c>
      <c r="C294" s="4677">
        <v>37.799999999999997</v>
      </c>
      <c r="D294" s="4755" t="s">
        <v>2430</v>
      </c>
      <c r="E294" s="4318"/>
      <c r="F294" s="5000">
        <f t="shared" si="14"/>
        <v>0</v>
      </c>
      <c r="G294" s="4537"/>
      <c r="H294" s="4537"/>
      <c r="I294" s="4537"/>
      <c r="J294" s="4537"/>
      <c r="K294" s="4537"/>
      <c r="L294" s="4537"/>
      <c r="M294" s="4537"/>
      <c r="N294" s="4537"/>
      <c r="O294" s="4537"/>
      <c r="P294" s="4537"/>
      <c r="Q294" s="4537"/>
      <c r="R294" s="4537"/>
      <c r="S294" s="4537"/>
      <c r="T294" s="4537"/>
      <c r="U294" s="4537"/>
      <c r="V294" s="4537"/>
      <c r="W294" s="4537"/>
      <c r="X294" s="4537"/>
      <c r="Y294" s="4537"/>
      <c r="Z294" s="4537"/>
      <c r="AA294" s="4537"/>
      <c r="AB294" s="4537"/>
      <c r="AC294" s="4537"/>
      <c r="AD294" s="4537"/>
      <c r="AE294" s="4537"/>
      <c r="AF294" s="4537"/>
      <c r="AG294" s="4537"/>
      <c r="AH294" s="4537"/>
      <c r="AI294" s="4537"/>
      <c r="AJ294" s="4537"/>
      <c r="AK294" s="4537"/>
      <c r="AL294" s="4537"/>
      <c r="AM294" s="4537"/>
      <c r="AN294" s="4537"/>
      <c r="AO294" s="4537"/>
      <c r="AP294" s="4537"/>
      <c r="AQ294" s="4537"/>
      <c r="AR294" s="4537"/>
      <c r="AS294" s="4550"/>
      <c r="AT294" s="4550"/>
      <c r="AU294" s="4550"/>
      <c r="AV294" s="4550"/>
      <c r="AW294" s="4550"/>
      <c r="AX294" s="4550"/>
      <c r="AY294" s="4550"/>
      <c r="AZ294" s="4550"/>
      <c r="BA294" s="4550"/>
      <c r="BB294" s="4550"/>
      <c r="BC294" s="4550"/>
      <c r="BD294" s="4550"/>
      <c r="BE294" s="4550"/>
      <c r="BF294" s="4550"/>
      <c r="BG294" s="4550"/>
      <c r="BH294" s="4550"/>
      <c r="BI294" s="4550"/>
      <c r="BJ294" s="4550"/>
      <c r="BK294" s="4550"/>
      <c r="BL294" s="4550"/>
      <c r="BM294" s="4550"/>
      <c r="BN294" s="4550"/>
      <c r="BO294" s="4550"/>
      <c r="BP294" s="4550"/>
      <c r="BQ294" s="4550"/>
      <c r="BR294" s="4550"/>
      <c r="BS294" s="4550"/>
      <c r="BT294" s="4550"/>
      <c r="BU294" s="4550"/>
      <c r="BV294" s="4550"/>
      <c r="BW294" s="4550"/>
      <c r="BX294" s="4550"/>
      <c r="BY294" s="4550"/>
      <c r="BZ294" s="4550"/>
      <c r="CA294" s="4550"/>
      <c r="CB294" s="4550"/>
      <c r="CC294" s="4550"/>
      <c r="CD294" s="4550"/>
      <c r="CE294" s="4550"/>
      <c r="CF294" s="4550"/>
      <c r="CG294" s="4550"/>
      <c r="CH294" s="4550"/>
      <c r="CI294" s="4550"/>
      <c r="CJ294" s="4550"/>
      <c r="CK294" s="4550"/>
      <c r="CL294" s="4550"/>
      <c r="CM294" s="4550"/>
      <c r="CN294" s="4550"/>
      <c r="CO294" s="4550"/>
      <c r="CP294" s="4550"/>
      <c r="CQ294" s="4550"/>
      <c r="CR294" s="4550"/>
      <c r="CS294" s="4550"/>
      <c r="CT294" s="4550"/>
      <c r="CU294" s="4550"/>
      <c r="CV294" s="4550"/>
      <c r="CW294" s="4550"/>
      <c r="CX294" s="4550"/>
      <c r="CY294" s="4550"/>
      <c r="CZ294" s="4550"/>
      <c r="DA294" s="4550"/>
      <c r="DB294" s="4550"/>
      <c r="DC294" s="4550"/>
      <c r="DD294" s="4550"/>
      <c r="DE294" s="4550"/>
      <c r="DF294" s="4550"/>
      <c r="DG294" s="4550"/>
      <c r="DH294" s="4550"/>
      <c r="DI294" s="4550"/>
      <c r="DJ294" s="4550"/>
      <c r="DK294" s="4550"/>
      <c r="DL294" s="4550"/>
      <c r="DM294" s="4550"/>
      <c r="DN294" s="4550"/>
      <c r="DO294" s="4550"/>
      <c r="DP294" s="4550"/>
      <c r="DQ294" s="4550"/>
      <c r="DR294" s="4550"/>
      <c r="DS294" s="4550"/>
      <c r="DT294" s="4550"/>
      <c r="DU294" s="4550"/>
      <c r="DV294" s="4550"/>
      <c r="DW294" s="4550"/>
      <c r="DX294" s="4550"/>
      <c r="DY294" s="4550"/>
      <c r="DZ294" s="4550"/>
      <c r="EA294" s="4550"/>
      <c r="EB294" s="4550"/>
      <c r="EC294" s="4550"/>
      <c r="ED294" s="4550"/>
      <c r="EE294" s="4550"/>
      <c r="EF294" s="4550"/>
      <c r="EG294" s="4550"/>
      <c r="EH294" s="4550"/>
      <c r="EI294" s="4550"/>
      <c r="EJ294" s="4550"/>
      <c r="EK294" s="4550"/>
      <c r="EL294" s="4550"/>
      <c r="EM294" s="4550"/>
      <c r="EN294" s="4550"/>
      <c r="EO294" s="4550"/>
      <c r="EP294" s="4550"/>
      <c r="EQ294" s="4550"/>
      <c r="ER294" s="4550"/>
      <c r="ES294" s="4550"/>
      <c r="ET294" s="4550"/>
      <c r="EU294" s="4550"/>
      <c r="EV294" s="4550"/>
      <c r="EW294" s="4550"/>
      <c r="EX294" s="4550"/>
      <c r="EY294" s="4550"/>
      <c r="EZ294" s="4550"/>
      <c r="FA294" s="4550"/>
      <c r="FB294" s="4550"/>
      <c r="FC294" s="4550"/>
      <c r="FD294" s="4550"/>
      <c r="FE294" s="4550"/>
      <c r="FF294" s="4550"/>
      <c r="FG294" s="4550"/>
      <c r="FH294" s="4550"/>
      <c r="FI294" s="4550"/>
      <c r="FJ294" s="4550"/>
      <c r="FK294" s="4550"/>
      <c r="FL294" s="4550"/>
      <c r="FM294" s="4550"/>
      <c r="FN294" s="4550"/>
      <c r="FO294" s="4550"/>
      <c r="FP294" s="4550"/>
      <c r="FQ294" s="4550"/>
      <c r="FR294" s="4550"/>
      <c r="FS294" s="4550"/>
      <c r="FT294" s="4550"/>
      <c r="FU294" s="4550"/>
      <c r="FV294" s="4550"/>
      <c r="FW294" s="4550"/>
      <c r="FX294" s="4550"/>
      <c r="FY294" s="4550"/>
      <c r="FZ294" s="4550"/>
      <c r="GA294" s="4550"/>
      <c r="GB294" s="4550"/>
      <c r="GC294" s="4550"/>
      <c r="GD294" s="4550"/>
      <c r="GE294" s="4550"/>
      <c r="GF294" s="4550"/>
      <c r="GG294" s="4550"/>
      <c r="GH294" s="4550"/>
      <c r="GI294" s="4550"/>
      <c r="GJ294" s="4550"/>
      <c r="GK294" s="4550"/>
      <c r="GL294" s="4550"/>
      <c r="GM294" s="4550"/>
      <c r="GN294" s="4550"/>
      <c r="GO294" s="4550"/>
      <c r="GP294" s="4550"/>
      <c r="GQ294" s="4550"/>
      <c r="GR294" s="4550"/>
      <c r="GS294" s="4550"/>
      <c r="GT294" s="4550"/>
      <c r="GU294" s="4550"/>
      <c r="GV294" s="4550"/>
      <c r="GW294" s="4550"/>
      <c r="GX294" s="4550"/>
      <c r="GY294" s="4550"/>
      <c r="GZ294" s="4550"/>
      <c r="HA294" s="4550"/>
      <c r="HB294" s="4550"/>
      <c r="HC294" s="4550"/>
      <c r="HD294" s="4550"/>
      <c r="HE294" s="4550"/>
      <c r="HF294" s="4550"/>
      <c r="HG294" s="4550"/>
      <c r="HH294" s="4550"/>
      <c r="HI294" s="4550"/>
      <c r="HJ294" s="4550"/>
      <c r="HK294" s="4550"/>
      <c r="HL294" s="4550"/>
      <c r="HM294" s="4550"/>
      <c r="HN294" s="4550"/>
      <c r="HO294" s="4550"/>
      <c r="HP294" s="4550"/>
      <c r="HQ294" s="4550"/>
      <c r="HR294" s="4550"/>
      <c r="HS294" s="4550"/>
      <c r="HT294" s="4550"/>
      <c r="HU294" s="4550"/>
      <c r="HV294" s="4550"/>
      <c r="HW294" s="4550"/>
      <c r="HX294" s="4550"/>
      <c r="HY294" s="4550"/>
      <c r="HZ294" s="4550"/>
      <c r="IA294" s="4550"/>
      <c r="IB294" s="4550"/>
      <c r="IC294" s="4550"/>
      <c r="ID294" s="4550"/>
      <c r="IE294" s="4550"/>
    </row>
    <row r="295" spans="1:239" s="4549" customFormat="1" ht="14.25" customHeight="1">
      <c r="A295" s="4167">
        <v>12.3</v>
      </c>
      <c r="B295" s="4635" t="s">
        <v>4055</v>
      </c>
      <c r="C295" s="4677">
        <v>34.22</v>
      </c>
      <c r="D295" s="4755" t="s">
        <v>2430</v>
      </c>
      <c r="E295" s="4318"/>
      <c r="F295" s="5000">
        <f t="shared" si="14"/>
        <v>0</v>
      </c>
      <c r="G295" s="4537"/>
      <c r="H295" s="4537"/>
      <c r="I295" s="4537"/>
      <c r="J295" s="4537"/>
      <c r="K295" s="4537"/>
      <c r="L295" s="4537"/>
      <c r="M295" s="4537"/>
      <c r="N295" s="4537"/>
      <c r="O295" s="4537"/>
      <c r="P295" s="4537"/>
      <c r="Q295" s="4537"/>
      <c r="R295" s="4537"/>
      <c r="S295" s="4537"/>
      <c r="T295" s="4537"/>
      <c r="U295" s="4537"/>
      <c r="V295" s="4537"/>
      <c r="W295" s="4537"/>
      <c r="X295" s="4537"/>
      <c r="Y295" s="4537"/>
      <c r="Z295" s="4537"/>
      <c r="AA295" s="4537"/>
      <c r="AB295" s="4537"/>
      <c r="AC295" s="4537"/>
      <c r="AD295" s="4537"/>
      <c r="AE295" s="4537"/>
      <c r="AF295" s="4537"/>
      <c r="AG295" s="4537"/>
      <c r="AH295" s="4537"/>
      <c r="AI295" s="4537"/>
      <c r="AJ295" s="4537"/>
      <c r="AK295" s="4537"/>
      <c r="AL295" s="4537"/>
      <c r="AM295" s="4537"/>
      <c r="AN295" s="4537"/>
      <c r="AO295" s="4537"/>
      <c r="AP295" s="4537"/>
      <c r="AQ295" s="4537"/>
      <c r="AR295" s="4537"/>
      <c r="AS295" s="4550"/>
      <c r="AT295" s="4550"/>
      <c r="AU295" s="4550"/>
      <c r="AV295" s="4550"/>
      <c r="AW295" s="4550"/>
      <c r="AX295" s="4550"/>
      <c r="AY295" s="4550"/>
      <c r="AZ295" s="4550"/>
      <c r="BA295" s="4550"/>
      <c r="BB295" s="4550"/>
      <c r="BC295" s="4550"/>
      <c r="BD295" s="4550"/>
      <c r="BE295" s="4550"/>
      <c r="BF295" s="4550"/>
      <c r="BG295" s="4550"/>
      <c r="BH295" s="4550"/>
      <c r="BI295" s="4550"/>
      <c r="BJ295" s="4550"/>
      <c r="BK295" s="4550"/>
      <c r="BL295" s="4550"/>
      <c r="BM295" s="4550"/>
      <c r="BN295" s="4550"/>
      <c r="BO295" s="4550"/>
      <c r="BP295" s="4550"/>
      <c r="BQ295" s="4550"/>
      <c r="BR295" s="4550"/>
      <c r="BS295" s="4550"/>
      <c r="BT295" s="4550"/>
      <c r="BU295" s="4550"/>
      <c r="BV295" s="4550"/>
      <c r="BW295" s="4550"/>
      <c r="BX295" s="4550"/>
      <c r="BY295" s="4550"/>
      <c r="BZ295" s="4550"/>
      <c r="CA295" s="4550"/>
      <c r="CB295" s="4550"/>
      <c r="CC295" s="4550"/>
      <c r="CD295" s="4550"/>
      <c r="CE295" s="4550"/>
      <c r="CF295" s="4550"/>
      <c r="CG295" s="4550"/>
      <c r="CH295" s="4550"/>
      <c r="CI295" s="4550"/>
      <c r="CJ295" s="4550"/>
      <c r="CK295" s="4550"/>
      <c r="CL295" s="4550"/>
      <c r="CM295" s="4550"/>
      <c r="CN295" s="4550"/>
      <c r="CO295" s="4550"/>
      <c r="CP295" s="4550"/>
      <c r="CQ295" s="4550"/>
      <c r="CR295" s="4550"/>
      <c r="CS295" s="4550"/>
      <c r="CT295" s="4550"/>
      <c r="CU295" s="4550"/>
      <c r="CV295" s="4550"/>
      <c r="CW295" s="4550"/>
      <c r="CX295" s="4550"/>
      <c r="CY295" s="4550"/>
      <c r="CZ295" s="4550"/>
      <c r="DA295" s="4550"/>
      <c r="DB295" s="4550"/>
      <c r="DC295" s="4550"/>
      <c r="DD295" s="4550"/>
      <c r="DE295" s="4550"/>
      <c r="DF295" s="4550"/>
      <c r="DG295" s="4550"/>
      <c r="DH295" s="4550"/>
      <c r="DI295" s="4550"/>
      <c r="DJ295" s="4550"/>
      <c r="DK295" s="4550"/>
      <c r="DL295" s="4550"/>
      <c r="DM295" s="4550"/>
      <c r="DN295" s="4550"/>
      <c r="DO295" s="4550"/>
      <c r="DP295" s="4550"/>
      <c r="DQ295" s="4550"/>
      <c r="DR295" s="4550"/>
      <c r="DS295" s="4550"/>
      <c r="DT295" s="4550"/>
      <c r="DU295" s="4550"/>
      <c r="DV295" s="4550"/>
      <c r="DW295" s="4550"/>
      <c r="DX295" s="4550"/>
      <c r="DY295" s="4550"/>
      <c r="DZ295" s="4550"/>
      <c r="EA295" s="4550"/>
      <c r="EB295" s="4550"/>
      <c r="EC295" s="4550"/>
      <c r="ED295" s="4550"/>
      <c r="EE295" s="4550"/>
      <c r="EF295" s="4550"/>
      <c r="EG295" s="4550"/>
      <c r="EH295" s="4550"/>
      <c r="EI295" s="4550"/>
      <c r="EJ295" s="4550"/>
      <c r="EK295" s="4550"/>
      <c r="EL295" s="4550"/>
      <c r="EM295" s="4550"/>
      <c r="EN295" s="4550"/>
      <c r="EO295" s="4550"/>
      <c r="EP295" s="4550"/>
      <c r="EQ295" s="4550"/>
      <c r="ER295" s="4550"/>
      <c r="ES295" s="4550"/>
      <c r="ET295" s="4550"/>
      <c r="EU295" s="4550"/>
      <c r="EV295" s="4550"/>
      <c r="EW295" s="4550"/>
      <c r="EX295" s="4550"/>
      <c r="EY295" s="4550"/>
      <c r="EZ295" s="4550"/>
      <c r="FA295" s="4550"/>
      <c r="FB295" s="4550"/>
      <c r="FC295" s="4550"/>
      <c r="FD295" s="4550"/>
      <c r="FE295" s="4550"/>
      <c r="FF295" s="4550"/>
      <c r="FG295" s="4550"/>
      <c r="FH295" s="4550"/>
      <c r="FI295" s="4550"/>
      <c r="FJ295" s="4550"/>
      <c r="FK295" s="4550"/>
      <c r="FL295" s="4550"/>
      <c r="FM295" s="4550"/>
      <c r="FN295" s="4550"/>
      <c r="FO295" s="4550"/>
      <c r="FP295" s="4550"/>
      <c r="FQ295" s="4550"/>
      <c r="FR295" s="4550"/>
      <c r="FS295" s="4550"/>
      <c r="FT295" s="4550"/>
      <c r="FU295" s="4550"/>
      <c r="FV295" s="4550"/>
      <c r="FW295" s="4550"/>
      <c r="FX295" s="4550"/>
      <c r="FY295" s="4550"/>
      <c r="FZ295" s="4550"/>
      <c r="GA295" s="4550"/>
      <c r="GB295" s="4550"/>
      <c r="GC295" s="4550"/>
      <c r="GD295" s="4550"/>
      <c r="GE295" s="4550"/>
      <c r="GF295" s="4550"/>
      <c r="GG295" s="4550"/>
      <c r="GH295" s="4550"/>
      <c r="GI295" s="4550"/>
      <c r="GJ295" s="4550"/>
      <c r="GK295" s="4550"/>
      <c r="GL295" s="4550"/>
      <c r="GM295" s="4550"/>
      <c r="GN295" s="4550"/>
      <c r="GO295" s="4550"/>
      <c r="GP295" s="4550"/>
      <c r="GQ295" s="4550"/>
      <c r="GR295" s="4550"/>
      <c r="GS295" s="4550"/>
      <c r="GT295" s="4550"/>
      <c r="GU295" s="4550"/>
      <c r="GV295" s="4550"/>
      <c r="GW295" s="4550"/>
      <c r="GX295" s="4550"/>
      <c r="GY295" s="4550"/>
      <c r="GZ295" s="4550"/>
      <c r="HA295" s="4550"/>
      <c r="HB295" s="4550"/>
      <c r="HC295" s="4550"/>
      <c r="HD295" s="4550"/>
      <c r="HE295" s="4550"/>
      <c r="HF295" s="4550"/>
      <c r="HG295" s="4550"/>
      <c r="HH295" s="4550"/>
      <c r="HI295" s="4550"/>
      <c r="HJ295" s="4550"/>
      <c r="HK295" s="4550"/>
      <c r="HL295" s="4550"/>
      <c r="HM295" s="4550"/>
      <c r="HN295" s="4550"/>
      <c r="HO295" s="4550"/>
      <c r="HP295" s="4550"/>
      <c r="HQ295" s="4550"/>
      <c r="HR295" s="4550"/>
      <c r="HS295" s="4550"/>
      <c r="HT295" s="4550"/>
      <c r="HU295" s="4550"/>
      <c r="HV295" s="4550"/>
      <c r="HW295" s="4550"/>
      <c r="HX295" s="4550"/>
      <c r="HY295" s="4550"/>
      <c r="HZ295" s="4550"/>
      <c r="IA295" s="4550"/>
      <c r="IB295" s="4550"/>
      <c r="IC295" s="4550"/>
      <c r="ID295" s="4550"/>
      <c r="IE295" s="4550"/>
    </row>
    <row r="296" spans="1:239" s="4549" customFormat="1" ht="28.5">
      <c r="A296" s="4167">
        <v>12.4</v>
      </c>
      <c r="B296" s="4635" t="s">
        <v>4186</v>
      </c>
      <c r="C296" s="4677">
        <v>4.29</v>
      </c>
      <c r="D296" s="4755" t="s">
        <v>2430</v>
      </c>
      <c r="E296" s="4318"/>
      <c r="F296" s="5000">
        <f t="shared" si="14"/>
        <v>0</v>
      </c>
      <c r="G296" s="4537"/>
      <c r="H296" s="4537"/>
      <c r="I296" s="4537"/>
      <c r="J296" s="4537"/>
      <c r="K296" s="4537"/>
      <c r="L296" s="4537"/>
      <c r="M296" s="4537"/>
      <c r="N296" s="4537"/>
      <c r="O296" s="4537"/>
      <c r="P296" s="4537"/>
      <c r="Q296" s="4537"/>
      <c r="R296" s="4537"/>
      <c r="S296" s="4537"/>
      <c r="T296" s="4537"/>
      <c r="U296" s="4537"/>
      <c r="V296" s="4537"/>
      <c r="W296" s="4537"/>
      <c r="X296" s="4537"/>
      <c r="Y296" s="4537"/>
      <c r="Z296" s="4537"/>
      <c r="AA296" s="4537"/>
      <c r="AB296" s="4537"/>
      <c r="AC296" s="4537"/>
      <c r="AD296" s="4537"/>
      <c r="AE296" s="4537"/>
      <c r="AF296" s="4537"/>
      <c r="AG296" s="4537"/>
      <c r="AH296" s="4537"/>
      <c r="AI296" s="4537"/>
      <c r="AJ296" s="4537"/>
      <c r="AK296" s="4537"/>
      <c r="AL296" s="4537"/>
      <c r="AM296" s="4537"/>
      <c r="AN296" s="4537"/>
      <c r="AO296" s="4537"/>
      <c r="AP296" s="4537"/>
      <c r="AQ296" s="4537"/>
      <c r="AR296" s="4537"/>
      <c r="AS296" s="4550"/>
      <c r="AT296" s="4550"/>
      <c r="AU296" s="4550"/>
      <c r="AV296" s="4550"/>
      <c r="AW296" s="4550"/>
      <c r="AX296" s="4550"/>
      <c r="AY296" s="4550"/>
      <c r="AZ296" s="4550"/>
      <c r="BA296" s="4550"/>
      <c r="BB296" s="4550"/>
      <c r="BC296" s="4550"/>
      <c r="BD296" s="4550"/>
      <c r="BE296" s="4550"/>
      <c r="BF296" s="4550"/>
      <c r="BG296" s="4550"/>
      <c r="BH296" s="4550"/>
      <c r="BI296" s="4550"/>
      <c r="BJ296" s="4550"/>
      <c r="BK296" s="4550"/>
      <c r="BL296" s="4550"/>
      <c r="BM296" s="4550"/>
      <c r="BN296" s="4550"/>
      <c r="BO296" s="4550"/>
      <c r="BP296" s="4550"/>
      <c r="BQ296" s="4550"/>
      <c r="BR296" s="4550"/>
      <c r="BS296" s="4550"/>
      <c r="BT296" s="4550"/>
      <c r="BU296" s="4550"/>
      <c r="BV296" s="4550"/>
      <c r="BW296" s="4550"/>
      <c r="BX296" s="4550"/>
      <c r="BY296" s="4550"/>
      <c r="BZ296" s="4550"/>
      <c r="CA296" s="4550"/>
      <c r="CB296" s="4550"/>
      <c r="CC296" s="4550"/>
      <c r="CD296" s="4550"/>
      <c r="CE296" s="4550"/>
      <c r="CF296" s="4550"/>
      <c r="CG296" s="4550"/>
      <c r="CH296" s="4550"/>
      <c r="CI296" s="4550"/>
      <c r="CJ296" s="4550"/>
      <c r="CK296" s="4550"/>
      <c r="CL296" s="4550"/>
      <c r="CM296" s="4550"/>
      <c r="CN296" s="4550"/>
      <c r="CO296" s="4550"/>
      <c r="CP296" s="4550"/>
      <c r="CQ296" s="4550"/>
      <c r="CR296" s="4550"/>
      <c r="CS296" s="4550"/>
      <c r="CT296" s="4550"/>
      <c r="CU296" s="4550"/>
      <c r="CV296" s="4550"/>
      <c r="CW296" s="4550"/>
      <c r="CX296" s="4550"/>
      <c r="CY296" s="4550"/>
      <c r="CZ296" s="4550"/>
      <c r="DA296" s="4550"/>
      <c r="DB296" s="4550"/>
      <c r="DC296" s="4550"/>
      <c r="DD296" s="4550"/>
      <c r="DE296" s="4550"/>
      <c r="DF296" s="4550"/>
      <c r="DG296" s="4550"/>
      <c r="DH296" s="4550"/>
      <c r="DI296" s="4550"/>
      <c r="DJ296" s="4550"/>
      <c r="DK296" s="4550"/>
      <c r="DL296" s="4550"/>
      <c r="DM296" s="4550"/>
      <c r="DN296" s="4550"/>
      <c r="DO296" s="4550"/>
      <c r="DP296" s="4550"/>
      <c r="DQ296" s="4550"/>
      <c r="DR296" s="4550"/>
      <c r="DS296" s="4550"/>
      <c r="DT296" s="4550"/>
      <c r="DU296" s="4550"/>
      <c r="DV296" s="4550"/>
      <c r="DW296" s="4550"/>
      <c r="DX296" s="4550"/>
      <c r="DY296" s="4550"/>
      <c r="DZ296" s="4550"/>
      <c r="EA296" s="4550"/>
      <c r="EB296" s="4550"/>
      <c r="EC296" s="4550"/>
      <c r="ED296" s="4550"/>
      <c r="EE296" s="4550"/>
      <c r="EF296" s="4550"/>
      <c r="EG296" s="4550"/>
      <c r="EH296" s="4550"/>
      <c r="EI296" s="4550"/>
      <c r="EJ296" s="4550"/>
      <c r="EK296" s="4550"/>
      <c r="EL296" s="4550"/>
      <c r="EM296" s="4550"/>
      <c r="EN296" s="4550"/>
      <c r="EO296" s="4550"/>
      <c r="EP296" s="4550"/>
      <c r="EQ296" s="4550"/>
      <c r="ER296" s="4550"/>
      <c r="ES296" s="4550"/>
      <c r="ET296" s="4550"/>
      <c r="EU296" s="4550"/>
      <c r="EV296" s="4550"/>
      <c r="EW296" s="4550"/>
      <c r="EX296" s="4550"/>
      <c r="EY296" s="4550"/>
      <c r="EZ296" s="4550"/>
      <c r="FA296" s="4550"/>
      <c r="FB296" s="4550"/>
      <c r="FC296" s="4550"/>
      <c r="FD296" s="4550"/>
      <c r="FE296" s="4550"/>
      <c r="FF296" s="4550"/>
      <c r="FG296" s="4550"/>
      <c r="FH296" s="4550"/>
      <c r="FI296" s="4550"/>
      <c r="FJ296" s="4550"/>
      <c r="FK296" s="4550"/>
      <c r="FL296" s="4550"/>
      <c r="FM296" s="4550"/>
      <c r="FN296" s="4550"/>
      <c r="FO296" s="4550"/>
      <c r="FP296" s="4550"/>
      <c r="FQ296" s="4550"/>
      <c r="FR296" s="4550"/>
      <c r="FS296" s="4550"/>
      <c r="FT296" s="4550"/>
      <c r="FU296" s="4550"/>
      <c r="FV296" s="4550"/>
      <c r="FW296" s="4550"/>
      <c r="FX296" s="4550"/>
      <c r="FY296" s="4550"/>
      <c r="FZ296" s="4550"/>
      <c r="GA296" s="4550"/>
      <c r="GB296" s="4550"/>
      <c r="GC296" s="4550"/>
      <c r="GD296" s="4550"/>
      <c r="GE296" s="4550"/>
      <c r="GF296" s="4550"/>
      <c r="GG296" s="4550"/>
      <c r="GH296" s="4550"/>
      <c r="GI296" s="4550"/>
      <c r="GJ296" s="4550"/>
      <c r="GK296" s="4550"/>
      <c r="GL296" s="4550"/>
      <c r="GM296" s="4550"/>
      <c r="GN296" s="4550"/>
      <c r="GO296" s="4550"/>
      <c r="GP296" s="4550"/>
      <c r="GQ296" s="4550"/>
      <c r="GR296" s="4550"/>
      <c r="GS296" s="4550"/>
      <c r="GT296" s="4550"/>
      <c r="GU296" s="4550"/>
      <c r="GV296" s="4550"/>
      <c r="GW296" s="4550"/>
      <c r="GX296" s="4550"/>
      <c r="GY296" s="4550"/>
      <c r="GZ296" s="4550"/>
      <c r="HA296" s="4550"/>
      <c r="HB296" s="4550"/>
      <c r="HC296" s="4550"/>
      <c r="HD296" s="4550"/>
      <c r="HE296" s="4550"/>
      <c r="HF296" s="4550"/>
      <c r="HG296" s="4550"/>
      <c r="HH296" s="4550"/>
      <c r="HI296" s="4550"/>
      <c r="HJ296" s="4550"/>
      <c r="HK296" s="4550"/>
      <c r="HL296" s="4550"/>
      <c r="HM296" s="4550"/>
      <c r="HN296" s="4550"/>
      <c r="HO296" s="4550"/>
      <c r="HP296" s="4550"/>
      <c r="HQ296" s="4550"/>
      <c r="HR296" s="4550"/>
      <c r="HS296" s="4550"/>
      <c r="HT296" s="4550"/>
      <c r="HU296" s="4550"/>
      <c r="HV296" s="4550"/>
      <c r="HW296" s="4550"/>
      <c r="HX296" s="4550"/>
      <c r="HY296" s="4550"/>
      <c r="HZ296" s="4550"/>
      <c r="IA296" s="4550"/>
      <c r="IB296" s="4550"/>
      <c r="IC296" s="4550"/>
      <c r="ID296" s="4550"/>
      <c r="IE296" s="4550"/>
    </row>
    <row r="297" spans="1:239" s="4549" customFormat="1" ht="28.5">
      <c r="A297" s="4167">
        <v>12.5</v>
      </c>
      <c r="B297" s="4635" t="s">
        <v>4188</v>
      </c>
      <c r="C297" s="4677">
        <v>35</v>
      </c>
      <c r="D297" s="4755" t="s">
        <v>1</v>
      </c>
      <c r="E297" s="4318"/>
      <c r="F297" s="5000">
        <f t="shared" si="14"/>
        <v>0</v>
      </c>
      <c r="G297" s="4537"/>
      <c r="H297" s="4537"/>
      <c r="I297" s="4537"/>
      <c r="J297" s="4537"/>
      <c r="K297" s="4537"/>
      <c r="L297" s="4537"/>
      <c r="M297" s="4537"/>
      <c r="N297" s="4537"/>
      <c r="O297" s="4537"/>
      <c r="P297" s="4537"/>
      <c r="Q297" s="4537"/>
      <c r="R297" s="4537"/>
      <c r="S297" s="4537"/>
      <c r="T297" s="4537"/>
      <c r="U297" s="4537"/>
      <c r="V297" s="4537"/>
      <c r="W297" s="4537"/>
      <c r="X297" s="4537"/>
      <c r="Y297" s="4537"/>
      <c r="Z297" s="4537"/>
      <c r="AA297" s="4537"/>
      <c r="AB297" s="4537"/>
      <c r="AC297" s="4537"/>
      <c r="AD297" s="4537"/>
      <c r="AE297" s="4537"/>
      <c r="AF297" s="4537"/>
      <c r="AG297" s="4537"/>
      <c r="AH297" s="4537"/>
      <c r="AI297" s="4537"/>
      <c r="AJ297" s="4537"/>
      <c r="AK297" s="4537"/>
      <c r="AL297" s="4537"/>
      <c r="AM297" s="4537"/>
      <c r="AN297" s="4537"/>
      <c r="AO297" s="4537"/>
      <c r="AP297" s="4537"/>
      <c r="AQ297" s="4537"/>
      <c r="AR297" s="4537"/>
      <c r="AS297" s="4550"/>
      <c r="AT297" s="4550"/>
      <c r="AU297" s="4550"/>
      <c r="AV297" s="4550"/>
      <c r="AW297" s="4550"/>
      <c r="AX297" s="4550"/>
      <c r="AY297" s="4550"/>
      <c r="AZ297" s="4550"/>
      <c r="BA297" s="4550"/>
      <c r="BB297" s="4550"/>
      <c r="BC297" s="4550"/>
      <c r="BD297" s="4550"/>
      <c r="BE297" s="4550"/>
      <c r="BF297" s="4550"/>
      <c r="BG297" s="4550"/>
      <c r="BH297" s="4550"/>
      <c r="BI297" s="4550"/>
      <c r="BJ297" s="4550"/>
      <c r="BK297" s="4550"/>
      <c r="BL297" s="4550"/>
      <c r="BM297" s="4550"/>
      <c r="BN297" s="4550"/>
      <c r="BO297" s="4550"/>
      <c r="BP297" s="4550"/>
      <c r="BQ297" s="4550"/>
      <c r="BR297" s="4550"/>
      <c r="BS297" s="4550"/>
      <c r="BT297" s="4550"/>
      <c r="BU297" s="4550"/>
      <c r="BV297" s="4550"/>
      <c r="BW297" s="4550"/>
      <c r="BX297" s="4550"/>
      <c r="BY297" s="4550"/>
      <c r="BZ297" s="4550"/>
      <c r="CA297" s="4550"/>
      <c r="CB297" s="4550"/>
      <c r="CC297" s="4550"/>
      <c r="CD297" s="4550"/>
      <c r="CE297" s="4550"/>
      <c r="CF297" s="4550"/>
      <c r="CG297" s="4550"/>
      <c r="CH297" s="4550"/>
      <c r="CI297" s="4550"/>
      <c r="CJ297" s="4550"/>
      <c r="CK297" s="4550"/>
      <c r="CL297" s="4550"/>
      <c r="CM297" s="4550"/>
      <c r="CN297" s="4550"/>
      <c r="CO297" s="4550"/>
      <c r="CP297" s="4550"/>
      <c r="CQ297" s="4550"/>
      <c r="CR297" s="4550"/>
      <c r="CS297" s="4550"/>
      <c r="CT297" s="4550"/>
      <c r="CU297" s="4550"/>
      <c r="CV297" s="4550"/>
      <c r="CW297" s="4550"/>
      <c r="CX297" s="4550"/>
      <c r="CY297" s="4550"/>
      <c r="CZ297" s="4550"/>
      <c r="DA297" s="4550"/>
      <c r="DB297" s="4550"/>
      <c r="DC297" s="4550"/>
      <c r="DD297" s="4550"/>
      <c r="DE297" s="4550"/>
      <c r="DF297" s="4550"/>
      <c r="DG297" s="4550"/>
      <c r="DH297" s="4550"/>
      <c r="DI297" s="4550"/>
      <c r="DJ297" s="4550"/>
      <c r="DK297" s="4550"/>
      <c r="DL297" s="4550"/>
      <c r="DM297" s="4550"/>
      <c r="DN297" s="4550"/>
      <c r="DO297" s="4550"/>
      <c r="DP297" s="4550"/>
      <c r="DQ297" s="4550"/>
      <c r="DR297" s="4550"/>
      <c r="DS297" s="4550"/>
      <c r="DT297" s="4550"/>
      <c r="DU297" s="4550"/>
      <c r="DV297" s="4550"/>
      <c r="DW297" s="4550"/>
      <c r="DX297" s="4550"/>
      <c r="DY297" s="4550"/>
      <c r="DZ297" s="4550"/>
      <c r="EA297" s="4550"/>
      <c r="EB297" s="4550"/>
      <c r="EC297" s="4550"/>
      <c r="ED297" s="4550"/>
      <c r="EE297" s="4550"/>
      <c r="EF297" s="4550"/>
      <c r="EG297" s="4550"/>
      <c r="EH297" s="4550"/>
      <c r="EI297" s="4550"/>
      <c r="EJ297" s="4550"/>
      <c r="EK297" s="4550"/>
      <c r="EL297" s="4550"/>
      <c r="EM297" s="4550"/>
      <c r="EN297" s="4550"/>
      <c r="EO297" s="4550"/>
      <c r="EP297" s="4550"/>
      <c r="EQ297" s="4550"/>
      <c r="ER297" s="4550"/>
      <c r="ES297" s="4550"/>
      <c r="ET297" s="4550"/>
      <c r="EU297" s="4550"/>
      <c r="EV297" s="4550"/>
      <c r="EW297" s="4550"/>
      <c r="EX297" s="4550"/>
      <c r="EY297" s="4550"/>
      <c r="EZ297" s="4550"/>
      <c r="FA297" s="4550"/>
      <c r="FB297" s="4550"/>
      <c r="FC297" s="4550"/>
      <c r="FD297" s="4550"/>
      <c r="FE297" s="4550"/>
      <c r="FF297" s="4550"/>
      <c r="FG297" s="4550"/>
      <c r="FH297" s="4550"/>
      <c r="FI297" s="4550"/>
      <c r="FJ297" s="4550"/>
      <c r="FK297" s="4550"/>
      <c r="FL297" s="4550"/>
      <c r="FM297" s="4550"/>
      <c r="FN297" s="4550"/>
      <c r="FO297" s="4550"/>
      <c r="FP297" s="4550"/>
      <c r="FQ297" s="4550"/>
      <c r="FR297" s="4550"/>
      <c r="FS297" s="4550"/>
      <c r="FT297" s="4550"/>
      <c r="FU297" s="4550"/>
      <c r="FV297" s="4550"/>
      <c r="FW297" s="4550"/>
      <c r="FX297" s="4550"/>
      <c r="FY297" s="4550"/>
      <c r="FZ297" s="4550"/>
      <c r="GA297" s="4550"/>
      <c r="GB297" s="4550"/>
      <c r="GC297" s="4550"/>
      <c r="GD297" s="4550"/>
      <c r="GE297" s="4550"/>
      <c r="GF297" s="4550"/>
      <c r="GG297" s="4550"/>
      <c r="GH297" s="4550"/>
      <c r="GI297" s="4550"/>
      <c r="GJ297" s="4550"/>
      <c r="GK297" s="4550"/>
      <c r="GL297" s="4550"/>
      <c r="GM297" s="4550"/>
      <c r="GN297" s="4550"/>
      <c r="GO297" s="4550"/>
      <c r="GP297" s="4550"/>
      <c r="GQ297" s="4550"/>
      <c r="GR297" s="4550"/>
      <c r="GS297" s="4550"/>
      <c r="GT297" s="4550"/>
      <c r="GU297" s="4550"/>
      <c r="GV297" s="4550"/>
      <c r="GW297" s="4550"/>
      <c r="GX297" s="4550"/>
      <c r="GY297" s="4550"/>
      <c r="GZ297" s="4550"/>
      <c r="HA297" s="4550"/>
      <c r="HB297" s="4550"/>
      <c r="HC297" s="4550"/>
      <c r="HD297" s="4550"/>
      <c r="HE297" s="4550"/>
      <c r="HF297" s="4550"/>
      <c r="HG297" s="4550"/>
      <c r="HH297" s="4550"/>
      <c r="HI297" s="4550"/>
      <c r="HJ297" s="4550"/>
      <c r="HK297" s="4550"/>
      <c r="HL297" s="4550"/>
      <c r="HM297" s="4550"/>
      <c r="HN297" s="4550"/>
      <c r="HO297" s="4550"/>
      <c r="HP297" s="4550"/>
      <c r="HQ297" s="4550"/>
      <c r="HR297" s="4550"/>
      <c r="HS297" s="4550"/>
      <c r="HT297" s="4550"/>
      <c r="HU297" s="4550"/>
      <c r="HV297" s="4550"/>
      <c r="HW297" s="4550"/>
      <c r="HX297" s="4550"/>
      <c r="HY297" s="4550"/>
      <c r="HZ297" s="4550"/>
      <c r="IA297" s="4550"/>
      <c r="IB297" s="4550"/>
      <c r="IC297" s="4550"/>
      <c r="ID297" s="4550"/>
      <c r="IE297" s="4550"/>
    </row>
    <row r="298" spans="1:239" s="4549" customFormat="1" ht="27.75" customHeight="1">
      <c r="A298" s="4167">
        <v>12.6</v>
      </c>
      <c r="B298" s="4635" t="s">
        <v>4189</v>
      </c>
      <c r="C298" s="4677">
        <v>2</v>
      </c>
      <c r="D298" s="4593" t="s">
        <v>2433</v>
      </c>
      <c r="E298" s="4318"/>
      <c r="F298" s="5000">
        <f t="shared" si="14"/>
        <v>0</v>
      </c>
      <c r="G298" s="4537"/>
      <c r="H298" s="4537"/>
      <c r="I298" s="4537"/>
      <c r="J298" s="4537"/>
      <c r="K298" s="4537"/>
      <c r="L298" s="4537"/>
      <c r="M298" s="4537"/>
      <c r="N298" s="4537"/>
      <c r="O298" s="4537"/>
      <c r="P298" s="4537"/>
      <c r="Q298" s="4537"/>
      <c r="R298" s="4537"/>
      <c r="S298" s="4537"/>
      <c r="T298" s="4537"/>
      <c r="U298" s="4537"/>
      <c r="V298" s="4537"/>
      <c r="W298" s="4537"/>
      <c r="X298" s="4537"/>
      <c r="Y298" s="4537"/>
      <c r="Z298" s="4537"/>
      <c r="AA298" s="4537"/>
      <c r="AB298" s="4537"/>
      <c r="AC298" s="4537"/>
      <c r="AD298" s="4537"/>
      <c r="AE298" s="4537"/>
      <c r="AF298" s="4537"/>
      <c r="AG298" s="4537"/>
      <c r="AH298" s="4537"/>
      <c r="AI298" s="4537"/>
      <c r="AJ298" s="4537"/>
      <c r="AK298" s="4537"/>
      <c r="AL298" s="4537"/>
      <c r="AM298" s="4537"/>
      <c r="AN298" s="4537"/>
      <c r="AO298" s="4537"/>
      <c r="AP298" s="4537"/>
      <c r="AQ298" s="4537"/>
      <c r="AR298" s="4537"/>
      <c r="AS298" s="4550"/>
      <c r="AT298" s="4550"/>
      <c r="AU298" s="4550"/>
      <c r="AV298" s="4550"/>
      <c r="AW298" s="4550"/>
      <c r="AX298" s="4550"/>
      <c r="AY298" s="4550"/>
      <c r="AZ298" s="4550"/>
      <c r="BA298" s="4550"/>
      <c r="BB298" s="4550"/>
      <c r="BC298" s="4550"/>
      <c r="BD298" s="4550"/>
      <c r="BE298" s="4550"/>
      <c r="BF298" s="4550"/>
      <c r="BG298" s="4550"/>
      <c r="BH298" s="4550"/>
      <c r="BI298" s="4550"/>
      <c r="BJ298" s="4550"/>
      <c r="BK298" s="4550"/>
      <c r="BL298" s="4550"/>
      <c r="BM298" s="4550"/>
      <c r="BN298" s="4550"/>
      <c r="BO298" s="4550"/>
      <c r="BP298" s="4550"/>
      <c r="BQ298" s="4550"/>
      <c r="BR298" s="4550"/>
      <c r="BS298" s="4550"/>
      <c r="BT298" s="4550"/>
      <c r="BU298" s="4550"/>
      <c r="BV298" s="4550"/>
      <c r="BW298" s="4550"/>
      <c r="BX298" s="4550"/>
      <c r="BY298" s="4550"/>
      <c r="BZ298" s="4550"/>
      <c r="CA298" s="4550"/>
      <c r="CB298" s="4550"/>
      <c r="CC298" s="4550"/>
      <c r="CD298" s="4550"/>
      <c r="CE298" s="4550"/>
      <c r="CF298" s="4550"/>
      <c r="CG298" s="4550"/>
      <c r="CH298" s="4550"/>
      <c r="CI298" s="4550"/>
      <c r="CJ298" s="4550"/>
      <c r="CK298" s="4550"/>
      <c r="CL298" s="4550"/>
      <c r="CM298" s="4550"/>
      <c r="CN298" s="4550"/>
      <c r="CO298" s="4550"/>
      <c r="CP298" s="4550"/>
      <c r="CQ298" s="4550"/>
      <c r="CR298" s="4550"/>
      <c r="CS298" s="4550"/>
      <c r="CT298" s="4550"/>
      <c r="CU298" s="4550"/>
      <c r="CV298" s="4550"/>
      <c r="CW298" s="4550"/>
      <c r="CX298" s="4550"/>
      <c r="CY298" s="4550"/>
      <c r="CZ298" s="4550"/>
      <c r="DA298" s="4550"/>
      <c r="DB298" s="4550"/>
      <c r="DC298" s="4550"/>
      <c r="DD298" s="4550"/>
      <c r="DE298" s="4550"/>
      <c r="DF298" s="4550"/>
      <c r="DG298" s="4550"/>
      <c r="DH298" s="4550"/>
      <c r="DI298" s="4550"/>
      <c r="DJ298" s="4550"/>
      <c r="DK298" s="4550"/>
      <c r="DL298" s="4550"/>
      <c r="DM298" s="4550"/>
      <c r="DN298" s="4550"/>
      <c r="DO298" s="4550"/>
      <c r="DP298" s="4550"/>
      <c r="DQ298" s="4550"/>
      <c r="DR298" s="4550"/>
      <c r="DS298" s="4550"/>
      <c r="DT298" s="4550"/>
      <c r="DU298" s="4550"/>
      <c r="DV298" s="4550"/>
      <c r="DW298" s="4550"/>
      <c r="DX298" s="4550"/>
      <c r="DY298" s="4550"/>
      <c r="DZ298" s="4550"/>
      <c r="EA298" s="4550"/>
      <c r="EB298" s="4550"/>
      <c r="EC298" s="4550"/>
      <c r="ED298" s="4550"/>
      <c r="EE298" s="4550"/>
      <c r="EF298" s="4550"/>
      <c r="EG298" s="4550"/>
      <c r="EH298" s="4550"/>
      <c r="EI298" s="4550"/>
      <c r="EJ298" s="4550"/>
      <c r="EK298" s="4550"/>
      <c r="EL298" s="4550"/>
      <c r="EM298" s="4550"/>
      <c r="EN298" s="4550"/>
      <c r="EO298" s="4550"/>
      <c r="EP298" s="4550"/>
      <c r="EQ298" s="4550"/>
      <c r="ER298" s="4550"/>
      <c r="ES298" s="4550"/>
      <c r="ET298" s="4550"/>
      <c r="EU298" s="4550"/>
      <c r="EV298" s="4550"/>
      <c r="EW298" s="4550"/>
      <c r="EX298" s="4550"/>
      <c r="EY298" s="4550"/>
      <c r="EZ298" s="4550"/>
      <c r="FA298" s="4550"/>
      <c r="FB298" s="4550"/>
      <c r="FC298" s="4550"/>
      <c r="FD298" s="4550"/>
      <c r="FE298" s="4550"/>
      <c r="FF298" s="4550"/>
      <c r="FG298" s="4550"/>
      <c r="FH298" s="4550"/>
      <c r="FI298" s="4550"/>
      <c r="FJ298" s="4550"/>
      <c r="FK298" s="4550"/>
      <c r="FL298" s="4550"/>
      <c r="FM298" s="4550"/>
      <c r="FN298" s="4550"/>
      <c r="FO298" s="4550"/>
      <c r="FP298" s="4550"/>
      <c r="FQ298" s="4550"/>
      <c r="FR298" s="4550"/>
      <c r="FS298" s="4550"/>
      <c r="FT298" s="4550"/>
      <c r="FU298" s="4550"/>
      <c r="FV298" s="4550"/>
      <c r="FW298" s="4550"/>
      <c r="FX298" s="4550"/>
      <c r="FY298" s="4550"/>
      <c r="FZ298" s="4550"/>
      <c r="GA298" s="4550"/>
      <c r="GB298" s="4550"/>
      <c r="GC298" s="4550"/>
      <c r="GD298" s="4550"/>
      <c r="GE298" s="4550"/>
      <c r="GF298" s="4550"/>
      <c r="GG298" s="4550"/>
      <c r="GH298" s="4550"/>
      <c r="GI298" s="4550"/>
      <c r="GJ298" s="4550"/>
      <c r="GK298" s="4550"/>
      <c r="GL298" s="4550"/>
      <c r="GM298" s="4550"/>
      <c r="GN298" s="4550"/>
      <c r="GO298" s="4550"/>
      <c r="GP298" s="4550"/>
      <c r="GQ298" s="4550"/>
      <c r="GR298" s="4550"/>
      <c r="GS298" s="4550"/>
      <c r="GT298" s="4550"/>
      <c r="GU298" s="4550"/>
      <c r="GV298" s="4550"/>
      <c r="GW298" s="4550"/>
      <c r="GX298" s="4550"/>
      <c r="GY298" s="4550"/>
      <c r="GZ298" s="4550"/>
      <c r="HA298" s="4550"/>
      <c r="HB298" s="4550"/>
      <c r="HC298" s="4550"/>
      <c r="HD298" s="4550"/>
      <c r="HE298" s="4550"/>
      <c r="HF298" s="4550"/>
      <c r="HG298" s="4550"/>
      <c r="HH298" s="4550"/>
      <c r="HI298" s="4550"/>
      <c r="HJ298" s="4550"/>
      <c r="HK298" s="4550"/>
      <c r="HL298" s="4550"/>
      <c r="HM298" s="4550"/>
      <c r="HN298" s="4550"/>
      <c r="HO298" s="4550"/>
      <c r="HP298" s="4550"/>
      <c r="HQ298" s="4550"/>
      <c r="HR298" s="4550"/>
      <c r="HS298" s="4550"/>
      <c r="HT298" s="4550"/>
      <c r="HU298" s="4550"/>
      <c r="HV298" s="4550"/>
      <c r="HW298" s="4550"/>
      <c r="HX298" s="4550"/>
      <c r="HY298" s="4550"/>
      <c r="HZ298" s="4550"/>
      <c r="IA298" s="4550"/>
      <c r="IB298" s="4550"/>
      <c r="IC298" s="4550"/>
      <c r="ID298" s="4550"/>
      <c r="IE298" s="4550"/>
    </row>
    <row r="299" spans="1:239" s="4549" customFormat="1" ht="31.5" customHeight="1">
      <c r="A299" s="4167"/>
      <c r="B299" s="4635" t="s">
        <v>4190</v>
      </c>
      <c r="C299" s="4677">
        <v>2</v>
      </c>
      <c r="D299" s="4593" t="s">
        <v>2433</v>
      </c>
      <c r="E299" s="4318"/>
      <c r="F299" s="5000">
        <f t="shared" si="14"/>
        <v>0</v>
      </c>
      <c r="G299" s="4537"/>
      <c r="H299" s="4537"/>
      <c r="I299" s="4537"/>
      <c r="J299" s="4537"/>
      <c r="K299" s="4537"/>
      <c r="L299" s="4537"/>
      <c r="M299" s="4537"/>
      <c r="N299" s="4537"/>
      <c r="O299" s="4537"/>
      <c r="P299" s="4537"/>
      <c r="Q299" s="4537"/>
      <c r="R299" s="4537"/>
      <c r="S299" s="4537"/>
      <c r="T299" s="4537"/>
      <c r="U299" s="4537"/>
      <c r="V299" s="4537"/>
      <c r="W299" s="4537"/>
      <c r="X299" s="4537"/>
      <c r="Y299" s="4537"/>
      <c r="Z299" s="4537"/>
      <c r="AA299" s="4537"/>
      <c r="AB299" s="4537"/>
      <c r="AC299" s="4537"/>
      <c r="AD299" s="4537"/>
      <c r="AE299" s="4537"/>
      <c r="AF299" s="4537"/>
      <c r="AG299" s="4537"/>
      <c r="AH299" s="4537"/>
      <c r="AI299" s="4537"/>
      <c r="AJ299" s="4537"/>
      <c r="AK299" s="4537"/>
      <c r="AL299" s="4537"/>
      <c r="AM299" s="4537"/>
      <c r="AN299" s="4537"/>
      <c r="AO299" s="4537"/>
      <c r="AP299" s="4537"/>
      <c r="AQ299" s="4537"/>
      <c r="AR299" s="4537"/>
      <c r="AS299" s="4550"/>
      <c r="AT299" s="4550"/>
      <c r="AU299" s="4550"/>
      <c r="AV299" s="4550"/>
      <c r="AW299" s="4550"/>
      <c r="AX299" s="4550"/>
      <c r="AY299" s="4550"/>
      <c r="AZ299" s="4550"/>
      <c r="BA299" s="4550"/>
      <c r="BB299" s="4550"/>
      <c r="BC299" s="4550"/>
      <c r="BD299" s="4550"/>
      <c r="BE299" s="4550"/>
      <c r="BF299" s="4550"/>
      <c r="BG299" s="4550"/>
      <c r="BH299" s="4550"/>
      <c r="BI299" s="4550"/>
      <c r="BJ299" s="4550"/>
      <c r="BK299" s="4550"/>
      <c r="BL299" s="4550"/>
      <c r="BM299" s="4550"/>
      <c r="BN299" s="4550"/>
      <c r="BO299" s="4550"/>
      <c r="BP299" s="4550"/>
      <c r="BQ299" s="4550"/>
      <c r="BR299" s="4550"/>
      <c r="BS299" s="4550"/>
      <c r="BT299" s="4550"/>
      <c r="BU299" s="4550"/>
      <c r="BV299" s="4550"/>
      <c r="BW299" s="4550"/>
      <c r="BX299" s="4550"/>
      <c r="BY299" s="4550"/>
      <c r="BZ299" s="4550"/>
      <c r="CA299" s="4550"/>
      <c r="CB299" s="4550"/>
      <c r="CC299" s="4550"/>
      <c r="CD299" s="4550"/>
      <c r="CE299" s="4550"/>
      <c r="CF299" s="4550"/>
      <c r="CG299" s="4550"/>
      <c r="CH299" s="4550"/>
      <c r="CI299" s="4550"/>
      <c r="CJ299" s="4550"/>
      <c r="CK299" s="4550"/>
      <c r="CL299" s="4550"/>
      <c r="CM299" s="4550"/>
      <c r="CN299" s="4550"/>
      <c r="CO299" s="4550"/>
      <c r="CP299" s="4550"/>
      <c r="CQ299" s="4550"/>
      <c r="CR299" s="4550"/>
      <c r="CS299" s="4550"/>
      <c r="CT299" s="4550"/>
      <c r="CU299" s="4550"/>
      <c r="CV299" s="4550"/>
      <c r="CW299" s="4550"/>
      <c r="CX299" s="4550"/>
      <c r="CY299" s="4550"/>
      <c r="CZ299" s="4550"/>
      <c r="DA299" s="4550"/>
      <c r="DB299" s="4550"/>
      <c r="DC299" s="4550"/>
      <c r="DD299" s="4550"/>
      <c r="DE299" s="4550"/>
      <c r="DF299" s="4550"/>
      <c r="DG299" s="4550"/>
      <c r="DH299" s="4550"/>
      <c r="DI299" s="4550"/>
      <c r="DJ299" s="4550"/>
      <c r="DK299" s="4550"/>
      <c r="DL299" s="4550"/>
      <c r="DM299" s="4550"/>
      <c r="DN299" s="4550"/>
      <c r="DO299" s="4550"/>
      <c r="DP299" s="4550"/>
      <c r="DQ299" s="4550"/>
      <c r="DR299" s="4550"/>
      <c r="DS299" s="4550"/>
      <c r="DT299" s="4550"/>
      <c r="DU299" s="4550"/>
      <c r="DV299" s="4550"/>
      <c r="DW299" s="4550"/>
      <c r="DX299" s="4550"/>
      <c r="DY299" s="4550"/>
      <c r="DZ299" s="4550"/>
      <c r="EA299" s="4550"/>
      <c r="EB299" s="4550"/>
      <c r="EC299" s="4550"/>
      <c r="ED299" s="4550"/>
      <c r="EE299" s="4550"/>
      <c r="EF299" s="4550"/>
      <c r="EG299" s="4550"/>
      <c r="EH299" s="4550"/>
      <c r="EI299" s="4550"/>
      <c r="EJ299" s="4550"/>
      <c r="EK299" s="4550"/>
      <c r="EL299" s="4550"/>
      <c r="EM299" s="4550"/>
      <c r="EN299" s="4550"/>
      <c r="EO299" s="4550"/>
      <c r="EP299" s="4550"/>
      <c r="EQ299" s="4550"/>
      <c r="ER299" s="4550"/>
      <c r="ES299" s="4550"/>
      <c r="ET299" s="4550"/>
      <c r="EU299" s="4550"/>
      <c r="EV299" s="4550"/>
      <c r="EW299" s="4550"/>
      <c r="EX299" s="4550"/>
      <c r="EY299" s="4550"/>
      <c r="EZ299" s="4550"/>
      <c r="FA299" s="4550"/>
      <c r="FB299" s="4550"/>
      <c r="FC299" s="4550"/>
      <c r="FD299" s="4550"/>
      <c r="FE299" s="4550"/>
      <c r="FF299" s="4550"/>
      <c r="FG299" s="4550"/>
      <c r="FH299" s="4550"/>
      <c r="FI299" s="4550"/>
      <c r="FJ299" s="4550"/>
      <c r="FK299" s="4550"/>
      <c r="FL299" s="4550"/>
      <c r="FM299" s="4550"/>
      <c r="FN299" s="4550"/>
      <c r="FO299" s="4550"/>
      <c r="FP299" s="4550"/>
      <c r="FQ299" s="4550"/>
      <c r="FR299" s="4550"/>
      <c r="FS299" s="4550"/>
      <c r="FT299" s="4550"/>
      <c r="FU299" s="4550"/>
      <c r="FV299" s="4550"/>
      <c r="FW299" s="4550"/>
      <c r="FX299" s="4550"/>
      <c r="FY299" s="4550"/>
      <c r="FZ299" s="4550"/>
      <c r="GA299" s="4550"/>
      <c r="GB299" s="4550"/>
      <c r="GC299" s="4550"/>
      <c r="GD299" s="4550"/>
      <c r="GE299" s="4550"/>
      <c r="GF299" s="4550"/>
      <c r="GG299" s="4550"/>
      <c r="GH299" s="4550"/>
      <c r="GI299" s="4550"/>
      <c r="GJ299" s="4550"/>
      <c r="GK299" s="4550"/>
      <c r="GL299" s="4550"/>
      <c r="GM299" s="4550"/>
      <c r="GN299" s="4550"/>
      <c r="GO299" s="4550"/>
      <c r="GP299" s="4550"/>
      <c r="GQ299" s="4550"/>
      <c r="GR299" s="4550"/>
      <c r="GS299" s="4550"/>
      <c r="GT299" s="4550"/>
      <c r="GU299" s="4550"/>
      <c r="GV299" s="4550"/>
      <c r="GW299" s="4550"/>
      <c r="GX299" s="4550"/>
      <c r="GY299" s="4550"/>
      <c r="GZ299" s="4550"/>
      <c r="HA299" s="4550"/>
      <c r="HB299" s="4550"/>
      <c r="HC299" s="4550"/>
      <c r="HD299" s="4550"/>
      <c r="HE299" s="4550"/>
      <c r="HF299" s="4550"/>
      <c r="HG299" s="4550"/>
      <c r="HH299" s="4550"/>
      <c r="HI299" s="4550"/>
      <c r="HJ299" s="4550"/>
      <c r="HK299" s="4550"/>
      <c r="HL299" s="4550"/>
      <c r="HM299" s="4550"/>
      <c r="HN299" s="4550"/>
      <c r="HO299" s="4550"/>
      <c r="HP299" s="4550"/>
      <c r="HQ299" s="4550"/>
      <c r="HR299" s="4550"/>
      <c r="HS299" s="4550"/>
      <c r="HT299" s="4550"/>
      <c r="HU299" s="4550"/>
      <c r="HV299" s="4550"/>
      <c r="HW299" s="4550"/>
      <c r="HX299" s="4550"/>
      <c r="HY299" s="4550"/>
      <c r="HZ299" s="4550"/>
      <c r="IA299" s="4550"/>
      <c r="IB299" s="4550"/>
      <c r="IC299" s="4550"/>
      <c r="ID299" s="4550"/>
      <c r="IE299" s="4550"/>
    </row>
    <row r="300" spans="1:239" s="4549" customFormat="1" ht="17.25" customHeight="1">
      <c r="A300" s="4167">
        <v>13</v>
      </c>
      <c r="B300" s="4635" t="s">
        <v>4191</v>
      </c>
      <c r="C300" s="4677">
        <v>520.70000000000005</v>
      </c>
      <c r="D300" s="4605" t="s">
        <v>2432</v>
      </c>
      <c r="E300" s="4318"/>
      <c r="F300" s="5000">
        <f t="shared" si="14"/>
        <v>0</v>
      </c>
      <c r="G300" s="4537"/>
      <c r="H300" s="4537"/>
      <c r="I300" s="4537"/>
      <c r="J300" s="4537"/>
      <c r="K300" s="4537"/>
      <c r="L300" s="4537"/>
      <c r="M300" s="4537"/>
      <c r="N300" s="4537"/>
      <c r="O300" s="4537"/>
      <c r="P300" s="4537"/>
      <c r="Q300" s="4537"/>
      <c r="R300" s="4537"/>
      <c r="S300" s="4537"/>
      <c r="T300" s="4537"/>
      <c r="U300" s="4537"/>
      <c r="V300" s="4537"/>
      <c r="W300" s="4537"/>
      <c r="X300" s="4537"/>
      <c r="Y300" s="4537"/>
      <c r="Z300" s="4537"/>
      <c r="AA300" s="4537"/>
      <c r="AB300" s="4537"/>
      <c r="AC300" s="4537"/>
      <c r="AD300" s="4537"/>
      <c r="AE300" s="4537"/>
      <c r="AF300" s="4537"/>
      <c r="AG300" s="4537"/>
      <c r="AH300" s="4537"/>
      <c r="AI300" s="4537"/>
      <c r="AJ300" s="4537"/>
      <c r="AK300" s="4537"/>
      <c r="AL300" s="4537"/>
      <c r="AM300" s="4537"/>
      <c r="AN300" s="4537"/>
      <c r="AO300" s="4537"/>
      <c r="AP300" s="4537"/>
      <c r="AQ300" s="4537"/>
      <c r="AR300" s="4537"/>
      <c r="AS300" s="4550"/>
      <c r="AT300" s="4550"/>
      <c r="AU300" s="4550"/>
      <c r="AV300" s="4550"/>
      <c r="AW300" s="4550"/>
      <c r="AX300" s="4550"/>
      <c r="AY300" s="4550"/>
      <c r="AZ300" s="4550"/>
      <c r="BA300" s="4550"/>
      <c r="BB300" s="4550"/>
      <c r="BC300" s="4550"/>
      <c r="BD300" s="4550"/>
      <c r="BE300" s="4550"/>
      <c r="BF300" s="4550"/>
      <c r="BG300" s="4550"/>
      <c r="BH300" s="4550"/>
      <c r="BI300" s="4550"/>
      <c r="BJ300" s="4550"/>
      <c r="BK300" s="4550"/>
      <c r="BL300" s="4550"/>
      <c r="BM300" s="4550"/>
      <c r="BN300" s="4550"/>
      <c r="BO300" s="4550"/>
      <c r="BP300" s="4550"/>
      <c r="BQ300" s="4550"/>
      <c r="BR300" s="4550"/>
      <c r="BS300" s="4550"/>
      <c r="BT300" s="4550"/>
      <c r="BU300" s="4550"/>
      <c r="BV300" s="4550"/>
      <c r="BW300" s="4550"/>
      <c r="BX300" s="4550"/>
      <c r="BY300" s="4550"/>
      <c r="BZ300" s="4550"/>
      <c r="CA300" s="4550"/>
      <c r="CB300" s="4550"/>
      <c r="CC300" s="4550"/>
      <c r="CD300" s="4550"/>
      <c r="CE300" s="4550"/>
      <c r="CF300" s="4550"/>
      <c r="CG300" s="4550"/>
      <c r="CH300" s="4550"/>
      <c r="CI300" s="4550"/>
      <c r="CJ300" s="4550"/>
      <c r="CK300" s="4550"/>
      <c r="CL300" s="4550"/>
      <c r="CM300" s="4550"/>
      <c r="CN300" s="4550"/>
      <c r="CO300" s="4550"/>
      <c r="CP300" s="4550"/>
      <c r="CQ300" s="4550"/>
      <c r="CR300" s="4550"/>
      <c r="CS300" s="4550"/>
      <c r="CT300" s="4550"/>
      <c r="CU300" s="4550"/>
      <c r="CV300" s="4550"/>
      <c r="CW300" s="4550"/>
      <c r="CX300" s="4550"/>
      <c r="CY300" s="4550"/>
      <c r="CZ300" s="4550"/>
      <c r="DA300" s="4550"/>
      <c r="DB300" s="4550"/>
      <c r="DC300" s="4550"/>
      <c r="DD300" s="4550"/>
      <c r="DE300" s="4550"/>
      <c r="DF300" s="4550"/>
      <c r="DG300" s="4550"/>
      <c r="DH300" s="4550"/>
      <c r="DI300" s="4550"/>
      <c r="DJ300" s="4550"/>
      <c r="DK300" s="4550"/>
      <c r="DL300" s="4550"/>
      <c r="DM300" s="4550"/>
      <c r="DN300" s="4550"/>
      <c r="DO300" s="4550"/>
      <c r="DP300" s="4550"/>
      <c r="DQ300" s="4550"/>
      <c r="DR300" s="4550"/>
      <c r="DS300" s="4550"/>
      <c r="DT300" s="4550"/>
      <c r="DU300" s="4550"/>
      <c r="DV300" s="4550"/>
      <c r="DW300" s="4550"/>
      <c r="DX300" s="4550"/>
      <c r="DY300" s="4550"/>
      <c r="DZ300" s="4550"/>
      <c r="EA300" s="4550"/>
      <c r="EB300" s="4550"/>
      <c r="EC300" s="4550"/>
      <c r="ED300" s="4550"/>
      <c r="EE300" s="4550"/>
      <c r="EF300" s="4550"/>
      <c r="EG300" s="4550"/>
      <c r="EH300" s="4550"/>
      <c r="EI300" s="4550"/>
      <c r="EJ300" s="4550"/>
      <c r="EK300" s="4550"/>
      <c r="EL300" s="4550"/>
      <c r="EM300" s="4550"/>
      <c r="EN300" s="4550"/>
      <c r="EO300" s="4550"/>
      <c r="EP300" s="4550"/>
      <c r="EQ300" s="4550"/>
      <c r="ER300" s="4550"/>
      <c r="ES300" s="4550"/>
      <c r="ET300" s="4550"/>
      <c r="EU300" s="4550"/>
      <c r="EV300" s="4550"/>
      <c r="EW300" s="4550"/>
      <c r="EX300" s="4550"/>
      <c r="EY300" s="4550"/>
      <c r="EZ300" s="4550"/>
      <c r="FA300" s="4550"/>
      <c r="FB300" s="4550"/>
      <c r="FC300" s="4550"/>
      <c r="FD300" s="4550"/>
      <c r="FE300" s="4550"/>
      <c r="FF300" s="4550"/>
      <c r="FG300" s="4550"/>
      <c r="FH300" s="4550"/>
      <c r="FI300" s="4550"/>
      <c r="FJ300" s="4550"/>
      <c r="FK300" s="4550"/>
      <c r="FL300" s="4550"/>
      <c r="FM300" s="4550"/>
      <c r="FN300" s="4550"/>
      <c r="FO300" s="4550"/>
      <c r="FP300" s="4550"/>
      <c r="FQ300" s="4550"/>
      <c r="FR300" s="4550"/>
      <c r="FS300" s="4550"/>
      <c r="FT300" s="4550"/>
      <c r="FU300" s="4550"/>
      <c r="FV300" s="4550"/>
      <c r="FW300" s="4550"/>
      <c r="FX300" s="4550"/>
      <c r="FY300" s="4550"/>
      <c r="FZ300" s="4550"/>
      <c r="GA300" s="4550"/>
      <c r="GB300" s="4550"/>
      <c r="GC300" s="4550"/>
      <c r="GD300" s="4550"/>
      <c r="GE300" s="4550"/>
      <c r="GF300" s="4550"/>
      <c r="GG300" s="4550"/>
      <c r="GH300" s="4550"/>
      <c r="GI300" s="4550"/>
      <c r="GJ300" s="4550"/>
      <c r="GK300" s="4550"/>
      <c r="GL300" s="4550"/>
      <c r="GM300" s="4550"/>
      <c r="GN300" s="4550"/>
      <c r="GO300" s="4550"/>
      <c r="GP300" s="4550"/>
      <c r="GQ300" s="4550"/>
      <c r="GR300" s="4550"/>
      <c r="GS300" s="4550"/>
      <c r="GT300" s="4550"/>
      <c r="GU300" s="4550"/>
      <c r="GV300" s="4550"/>
      <c r="GW300" s="4550"/>
      <c r="GX300" s="4550"/>
      <c r="GY300" s="4550"/>
      <c r="GZ300" s="4550"/>
      <c r="HA300" s="4550"/>
      <c r="HB300" s="4550"/>
      <c r="HC300" s="4550"/>
      <c r="HD300" s="4550"/>
      <c r="HE300" s="4550"/>
      <c r="HF300" s="4550"/>
      <c r="HG300" s="4550"/>
      <c r="HH300" s="4550"/>
      <c r="HI300" s="4550"/>
      <c r="HJ300" s="4550"/>
      <c r="HK300" s="4550"/>
      <c r="HL300" s="4550"/>
      <c r="HM300" s="4550"/>
      <c r="HN300" s="4550"/>
      <c r="HO300" s="4550"/>
      <c r="HP300" s="4550"/>
      <c r="HQ300" s="4550"/>
      <c r="HR300" s="4550"/>
      <c r="HS300" s="4550"/>
      <c r="HT300" s="4550"/>
      <c r="HU300" s="4550"/>
      <c r="HV300" s="4550"/>
      <c r="HW300" s="4550"/>
      <c r="HX300" s="4550"/>
      <c r="HY300" s="4550"/>
      <c r="HZ300" s="4550"/>
      <c r="IA300" s="4550"/>
      <c r="IB300" s="4550"/>
      <c r="IC300" s="4550"/>
      <c r="ID300" s="4550"/>
      <c r="IE300" s="4550"/>
    </row>
    <row r="301" spans="1:239" s="4549" customFormat="1" ht="18" customHeight="1">
      <c r="A301" s="4167">
        <v>14</v>
      </c>
      <c r="B301" s="4635" t="s">
        <v>4192</v>
      </c>
      <c r="C301" s="4659">
        <v>1</v>
      </c>
      <c r="D301" s="4757" t="s">
        <v>1100</v>
      </c>
      <c r="E301" s="5000"/>
      <c r="F301" s="5000">
        <f t="shared" si="14"/>
        <v>0</v>
      </c>
      <c r="G301" s="4537"/>
      <c r="H301" s="4537"/>
      <c r="I301" s="4537"/>
      <c r="J301" s="4537"/>
      <c r="K301" s="4537"/>
      <c r="L301" s="4537"/>
      <c r="M301" s="4537"/>
      <c r="N301" s="4537"/>
      <c r="O301" s="4537"/>
      <c r="P301" s="4537"/>
      <c r="Q301" s="4537"/>
      <c r="R301" s="4537"/>
      <c r="S301" s="4537"/>
      <c r="T301" s="4537"/>
      <c r="U301" s="4537"/>
      <c r="V301" s="4537"/>
      <c r="W301" s="4537"/>
      <c r="X301" s="4537"/>
      <c r="Y301" s="4537"/>
      <c r="Z301" s="4537"/>
      <c r="AA301" s="4537"/>
      <c r="AB301" s="4537"/>
      <c r="AC301" s="4537"/>
      <c r="AD301" s="4537"/>
      <c r="AE301" s="4537"/>
      <c r="AF301" s="4537"/>
      <c r="AG301" s="4537"/>
      <c r="AH301" s="4537"/>
      <c r="AI301" s="4537"/>
      <c r="AJ301" s="4537"/>
      <c r="AK301" s="4537"/>
      <c r="AL301" s="4537"/>
      <c r="AM301" s="4537"/>
      <c r="AN301" s="4537"/>
      <c r="AO301" s="4537"/>
      <c r="AP301" s="4537"/>
      <c r="AQ301" s="4537"/>
      <c r="AR301" s="4537"/>
      <c r="AS301" s="4550"/>
      <c r="AT301" s="4550"/>
      <c r="AU301" s="4550"/>
      <c r="AV301" s="4550"/>
      <c r="AW301" s="4550"/>
      <c r="AX301" s="4550"/>
      <c r="AY301" s="4550"/>
      <c r="AZ301" s="4550"/>
      <c r="BA301" s="4550"/>
      <c r="BB301" s="4550"/>
      <c r="BC301" s="4550"/>
      <c r="BD301" s="4550"/>
      <c r="BE301" s="4550"/>
      <c r="BF301" s="4550"/>
      <c r="BG301" s="4550"/>
      <c r="BH301" s="4550"/>
      <c r="BI301" s="4550"/>
      <c r="BJ301" s="4550"/>
      <c r="BK301" s="4550"/>
      <c r="BL301" s="4550"/>
      <c r="BM301" s="4550"/>
      <c r="BN301" s="4550"/>
      <c r="BO301" s="4550"/>
      <c r="BP301" s="4550"/>
      <c r="BQ301" s="4550"/>
      <c r="BR301" s="4550"/>
      <c r="BS301" s="4550"/>
      <c r="BT301" s="4550"/>
      <c r="BU301" s="4550"/>
      <c r="BV301" s="4550"/>
      <c r="BW301" s="4550"/>
      <c r="BX301" s="4550"/>
      <c r="BY301" s="4550"/>
      <c r="BZ301" s="4550"/>
      <c r="CA301" s="4550"/>
      <c r="CB301" s="4550"/>
      <c r="CC301" s="4550"/>
      <c r="CD301" s="4550"/>
      <c r="CE301" s="4550"/>
      <c r="CF301" s="4550"/>
      <c r="CG301" s="4550"/>
      <c r="CH301" s="4550"/>
      <c r="CI301" s="4550"/>
      <c r="CJ301" s="4550"/>
      <c r="CK301" s="4550"/>
      <c r="CL301" s="4550"/>
      <c r="CM301" s="4550"/>
      <c r="CN301" s="4550"/>
      <c r="CO301" s="4550"/>
      <c r="CP301" s="4550"/>
      <c r="CQ301" s="4550"/>
      <c r="CR301" s="4550"/>
      <c r="CS301" s="4550"/>
      <c r="CT301" s="4550"/>
      <c r="CU301" s="4550"/>
      <c r="CV301" s="4550"/>
      <c r="CW301" s="4550"/>
      <c r="CX301" s="4550"/>
      <c r="CY301" s="4550"/>
      <c r="CZ301" s="4550"/>
      <c r="DA301" s="4550"/>
      <c r="DB301" s="4550"/>
      <c r="DC301" s="4550"/>
      <c r="DD301" s="4550"/>
      <c r="DE301" s="4550"/>
      <c r="DF301" s="4550"/>
      <c r="DG301" s="4550"/>
      <c r="DH301" s="4550"/>
      <c r="DI301" s="4550"/>
      <c r="DJ301" s="4550"/>
      <c r="DK301" s="4550"/>
      <c r="DL301" s="4550"/>
      <c r="DM301" s="4550"/>
      <c r="DN301" s="4550"/>
      <c r="DO301" s="4550"/>
      <c r="DP301" s="4550"/>
      <c r="DQ301" s="4550"/>
      <c r="DR301" s="4550"/>
      <c r="DS301" s="4550"/>
      <c r="DT301" s="4550"/>
      <c r="DU301" s="4550"/>
      <c r="DV301" s="4550"/>
      <c r="DW301" s="4550"/>
      <c r="DX301" s="4550"/>
      <c r="DY301" s="4550"/>
      <c r="DZ301" s="4550"/>
      <c r="EA301" s="4550"/>
      <c r="EB301" s="4550"/>
      <c r="EC301" s="4550"/>
      <c r="ED301" s="4550"/>
      <c r="EE301" s="4550"/>
      <c r="EF301" s="4550"/>
      <c r="EG301" s="4550"/>
      <c r="EH301" s="4550"/>
      <c r="EI301" s="4550"/>
      <c r="EJ301" s="4550"/>
      <c r="EK301" s="4550"/>
      <c r="EL301" s="4550"/>
      <c r="EM301" s="4550"/>
      <c r="EN301" s="4550"/>
      <c r="EO301" s="4550"/>
      <c r="EP301" s="4550"/>
      <c r="EQ301" s="4550"/>
      <c r="ER301" s="4550"/>
      <c r="ES301" s="4550"/>
      <c r="ET301" s="4550"/>
      <c r="EU301" s="4550"/>
      <c r="EV301" s="4550"/>
      <c r="EW301" s="4550"/>
      <c r="EX301" s="4550"/>
      <c r="EY301" s="4550"/>
      <c r="EZ301" s="4550"/>
      <c r="FA301" s="4550"/>
      <c r="FB301" s="4550"/>
      <c r="FC301" s="4550"/>
      <c r="FD301" s="4550"/>
      <c r="FE301" s="4550"/>
      <c r="FF301" s="4550"/>
      <c r="FG301" s="4550"/>
      <c r="FH301" s="4550"/>
      <c r="FI301" s="4550"/>
      <c r="FJ301" s="4550"/>
      <c r="FK301" s="4550"/>
      <c r="FL301" s="4550"/>
      <c r="FM301" s="4550"/>
      <c r="FN301" s="4550"/>
      <c r="FO301" s="4550"/>
      <c r="FP301" s="4550"/>
      <c r="FQ301" s="4550"/>
      <c r="FR301" s="4550"/>
      <c r="FS301" s="4550"/>
      <c r="FT301" s="4550"/>
      <c r="FU301" s="4550"/>
      <c r="FV301" s="4550"/>
      <c r="FW301" s="4550"/>
      <c r="FX301" s="4550"/>
      <c r="FY301" s="4550"/>
      <c r="FZ301" s="4550"/>
      <c r="GA301" s="4550"/>
      <c r="GB301" s="4550"/>
      <c r="GC301" s="4550"/>
      <c r="GD301" s="4550"/>
      <c r="GE301" s="4550"/>
      <c r="GF301" s="4550"/>
      <c r="GG301" s="4550"/>
      <c r="GH301" s="4550"/>
      <c r="GI301" s="4550"/>
      <c r="GJ301" s="4550"/>
      <c r="GK301" s="4550"/>
      <c r="GL301" s="4550"/>
      <c r="GM301" s="4550"/>
      <c r="GN301" s="4550"/>
      <c r="GO301" s="4550"/>
      <c r="GP301" s="4550"/>
      <c r="GQ301" s="4550"/>
      <c r="GR301" s="4550"/>
      <c r="GS301" s="4550"/>
      <c r="GT301" s="4550"/>
      <c r="GU301" s="4550"/>
      <c r="GV301" s="4550"/>
      <c r="GW301" s="4550"/>
      <c r="GX301" s="4550"/>
      <c r="GY301" s="4550"/>
      <c r="GZ301" s="4550"/>
      <c r="HA301" s="4550"/>
      <c r="HB301" s="4550"/>
      <c r="HC301" s="4550"/>
      <c r="HD301" s="4550"/>
      <c r="HE301" s="4550"/>
      <c r="HF301" s="4550"/>
      <c r="HG301" s="4550"/>
      <c r="HH301" s="4550"/>
      <c r="HI301" s="4550"/>
      <c r="HJ301" s="4550"/>
      <c r="HK301" s="4550"/>
      <c r="HL301" s="4550"/>
      <c r="HM301" s="4550"/>
      <c r="HN301" s="4550"/>
      <c r="HO301" s="4550"/>
      <c r="HP301" s="4550"/>
      <c r="HQ301" s="4550"/>
      <c r="HR301" s="4550"/>
      <c r="HS301" s="4550"/>
      <c r="HT301" s="4550"/>
      <c r="HU301" s="4550"/>
      <c r="HV301" s="4550"/>
      <c r="HW301" s="4550"/>
      <c r="HX301" s="4550"/>
      <c r="HY301" s="4550"/>
      <c r="HZ301" s="4550"/>
      <c r="IA301" s="4550"/>
      <c r="IB301" s="4550"/>
      <c r="IC301" s="4550"/>
      <c r="ID301" s="4550"/>
      <c r="IE301" s="4550"/>
    </row>
    <row r="302" spans="1:239" s="4549" customFormat="1" ht="6" customHeight="1">
      <c r="A302" s="4762"/>
      <c r="B302" s="4763"/>
      <c r="C302" s="4658"/>
      <c r="D302" s="4593"/>
      <c r="E302" s="5002"/>
      <c r="F302" s="4969"/>
      <c r="G302" s="4537"/>
      <c r="H302" s="4537"/>
      <c r="I302" s="4537"/>
      <c r="J302" s="4537"/>
      <c r="K302" s="4537"/>
      <c r="L302" s="4537"/>
      <c r="M302" s="4537"/>
      <c r="N302" s="4537"/>
      <c r="O302" s="4537"/>
      <c r="P302" s="4537"/>
      <c r="Q302" s="4537"/>
      <c r="R302" s="4537"/>
      <c r="S302" s="4537"/>
      <c r="T302" s="4537"/>
      <c r="U302" s="4537"/>
      <c r="V302" s="4537"/>
      <c r="W302" s="4537"/>
      <c r="X302" s="4537"/>
      <c r="Y302" s="4537"/>
      <c r="Z302" s="4537"/>
      <c r="AA302" s="4537"/>
      <c r="AB302" s="4537"/>
      <c r="AC302" s="4537"/>
      <c r="AD302" s="4537"/>
      <c r="AE302" s="4537"/>
      <c r="AF302" s="4537"/>
      <c r="AG302" s="4537"/>
      <c r="AH302" s="4537"/>
      <c r="AI302" s="4537"/>
      <c r="AJ302" s="4537"/>
      <c r="AK302" s="4537"/>
      <c r="AL302" s="4537"/>
      <c r="AM302" s="4537"/>
      <c r="AN302" s="4537"/>
      <c r="AO302" s="4537"/>
      <c r="AP302" s="4537"/>
      <c r="AQ302" s="4537"/>
      <c r="AR302" s="4537"/>
      <c r="AS302" s="4550"/>
      <c r="AT302" s="4550"/>
      <c r="AU302" s="4550"/>
      <c r="AV302" s="4550"/>
      <c r="AW302" s="4550"/>
      <c r="AX302" s="4550"/>
      <c r="AY302" s="4550"/>
      <c r="AZ302" s="4550"/>
      <c r="BA302" s="4550"/>
      <c r="BB302" s="4550"/>
      <c r="BC302" s="4550"/>
      <c r="BD302" s="4550"/>
      <c r="BE302" s="4550"/>
      <c r="BF302" s="4550"/>
      <c r="BG302" s="4550"/>
      <c r="BH302" s="4550"/>
      <c r="BI302" s="4550"/>
      <c r="BJ302" s="4550"/>
      <c r="BK302" s="4550"/>
      <c r="BL302" s="4550"/>
      <c r="BM302" s="4550"/>
      <c r="BN302" s="4550"/>
      <c r="BO302" s="4550"/>
      <c r="BP302" s="4550"/>
      <c r="BQ302" s="4550"/>
      <c r="BR302" s="4550"/>
      <c r="BS302" s="4550"/>
      <c r="BT302" s="4550"/>
      <c r="BU302" s="4550"/>
      <c r="BV302" s="4550"/>
      <c r="BW302" s="4550"/>
      <c r="BX302" s="4550"/>
      <c r="BY302" s="4550"/>
      <c r="BZ302" s="4550"/>
      <c r="CA302" s="4550"/>
      <c r="CB302" s="4550"/>
      <c r="CC302" s="4550"/>
      <c r="CD302" s="4550"/>
      <c r="CE302" s="4550"/>
      <c r="CF302" s="4550"/>
      <c r="CG302" s="4550"/>
      <c r="CH302" s="4550"/>
      <c r="CI302" s="4550"/>
      <c r="CJ302" s="4550"/>
      <c r="CK302" s="4550"/>
      <c r="CL302" s="4550"/>
      <c r="CM302" s="4550"/>
      <c r="CN302" s="4550"/>
      <c r="CO302" s="4550"/>
      <c r="CP302" s="4550"/>
      <c r="CQ302" s="4550"/>
      <c r="CR302" s="4550"/>
      <c r="CS302" s="4550"/>
      <c r="CT302" s="4550"/>
      <c r="CU302" s="4550"/>
      <c r="CV302" s="4550"/>
      <c r="CW302" s="4550"/>
      <c r="CX302" s="4550"/>
      <c r="CY302" s="4550"/>
      <c r="CZ302" s="4550"/>
      <c r="DA302" s="4550"/>
      <c r="DB302" s="4550"/>
      <c r="DC302" s="4550"/>
      <c r="DD302" s="4550"/>
      <c r="DE302" s="4550"/>
      <c r="DF302" s="4550"/>
      <c r="DG302" s="4550"/>
      <c r="DH302" s="4550"/>
      <c r="DI302" s="4550"/>
      <c r="DJ302" s="4550"/>
      <c r="DK302" s="4550"/>
      <c r="DL302" s="4550"/>
      <c r="DM302" s="4550"/>
      <c r="DN302" s="4550"/>
      <c r="DO302" s="4550"/>
      <c r="DP302" s="4550"/>
      <c r="DQ302" s="4550"/>
      <c r="DR302" s="4550"/>
      <c r="DS302" s="4550"/>
      <c r="DT302" s="4550"/>
      <c r="DU302" s="4550"/>
      <c r="DV302" s="4550"/>
      <c r="DW302" s="4550"/>
      <c r="DX302" s="4550"/>
      <c r="DY302" s="4550"/>
      <c r="DZ302" s="4550"/>
      <c r="EA302" s="4550"/>
      <c r="EB302" s="4550"/>
      <c r="EC302" s="4550"/>
      <c r="ED302" s="4550"/>
      <c r="EE302" s="4550"/>
      <c r="EF302" s="4550"/>
      <c r="EG302" s="4550"/>
      <c r="EH302" s="4550"/>
      <c r="EI302" s="4550"/>
      <c r="EJ302" s="4550"/>
      <c r="EK302" s="4550"/>
      <c r="EL302" s="4550"/>
      <c r="EM302" s="4550"/>
      <c r="EN302" s="4550"/>
      <c r="EO302" s="4550"/>
      <c r="EP302" s="4550"/>
      <c r="EQ302" s="4550"/>
      <c r="ER302" s="4550"/>
      <c r="ES302" s="4550"/>
      <c r="ET302" s="4550"/>
      <c r="EU302" s="4550"/>
      <c r="EV302" s="4550"/>
      <c r="EW302" s="4550"/>
      <c r="EX302" s="4550"/>
      <c r="EY302" s="4550"/>
      <c r="EZ302" s="4550"/>
      <c r="FA302" s="4550"/>
      <c r="FB302" s="4550"/>
      <c r="FC302" s="4550"/>
      <c r="FD302" s="4550"/>
      <c r="FE302" s="4550"/>
      <c r="FF302" s="4550"/>
      <c r="FG302" s="4550"/>
      <c r="FH302" s="4550"/>
      <c r="FI302" s="4550"/>
      <c r="FJ302" s="4550"/>
      <c r="FK302" s="4550"/>
      <c r="FL302" s="4550"/>
      <c r="FM302" s="4550"/>
      <c r="FN302" s="4550"/>
      <c r="FO302" s="4550"/>
      <c r="FP302" s="4550"/>
      <c r="FQ302" s="4550"/>
      <c r="FR302" s="4550"/>
      <c r="FS302" s="4550"/>
      <c r="FT302" s="4550"/>
      <c r="FU302" s="4550"/>
      <c r="FV302" s="4550"/>
      <c r="FW302" s="4550"/>
      <c r="FX302" s="4550"/>
      <c r="FY302" s="4550"/>
      <c r="FZ302" s="4550"/>
      <c r="GA302" s="4550"/>
      <c r="GB302" s="4550"/>
      <c r="GC302" s="4550"/>
      <c r="GD302" s="4550"/>
      <c r="GE302" s="4550"/>
      <c r="GF302" s="4550"/>
      <c r="GG302" s="4550"/>
      <c r="GH302" s="4550"/>
      <c r="GI302" s="4550"/>
      <c r="GJ302" s="4550"/>
      <c r="GK302" s="4550"/>
      <c r="GL302" s="4550"/>
      <c r="GM302" s="4550"/>
      <c r="GN302" s="4550"/>
      <c r="GO302" s="4550"/>
      <c r="GP302" s="4550"/>
      <c r="GQ302" s="4550"/>
      <c r="GR302" s="4550"/>
      <c r="GS302" s="4550"/>
      <c r="GT302" s="4550"/>
      <c r="GU302" s="4550"/>
      <c r="GV302" s="4550"/>
      <c r="GW302" s="4550"/>
      <c r="GX302" s="4550"/>
      <c r="GY302" s="4550"/>
      <c r="GZ302" s="4550"/>
      <c r="HA302" s="4550"/>
      <c r="HB302" s="4550"/>
      <c r="HC302" s="4550"/>
      <c r="HD302" s="4550"/>
      <c r="HE302" s="4550"/>
      <c r="HF302" s="4550"/>
      <c r="HG302" s="4550"/>
      <c r="HH302" s="4550"/>
      <c r="HI302" s="4550"/>
      <c r="HJ302" s="4550"/>
      <c r="HK302" s="4550"/>
      <c r="HL302" s="4550"/>
      <c r="HM302" s="4550"/>
      <c r="HN302" s="4550"/>
      <c r="HO302" s="4550"/>
      <c r="HP302" s="4550"/>
      <c r="HQ302" s="4550"/>
      <c r="HR302" s="4550"/>
      <c r="HS302" s="4550"/>
      <c r="HT302" s="4550"/>
      <c r="HU302" s="4550"/>
      <c r="HV302" s="4550"/>
      <c r="HW302" s="4550"/>
      <c r="HX302" s="4550"/>
      <c r="HY302" s="4550"/>
      <c r="HZ302" s="4550"/>
      <c r="IA302" s="4550"/>
      <c r="IB302" s="4550"/>
      <c r="IC302" s="4550"/>
      <c r="ID302" s="4550"/>
      <c r="IE302" s="4550"/>
    </row>
    <row r="303" spans="1:239" s="4549" customFormat="1" ht="12.95" customHeight="1">
      <c r="A303" s="4705">
        <v>15</v>
      </c>
      <c r="B303" s="4637" t="s">
        <v>4193</v>
      </c>
      <c r="C303" s="4658"/>
      <c r="D303" s="4593"/>
      <c r="E303" s="5002"/>
      <c r="F303" s="4969"/>
      <c r="G303" s="4537"/>
      <c r="H303" s="4537"/>
      <c r="I303" s="4537"/>
      <c r="J303" s="4537"/>
      <c r="K303" s="4537"/>
      <c r="L303" s="4537"/>
      <c r="M303" s="4537"/>
      <c r="N303" s="4537"/>
      <c r="O303" s="4537"/>
      <c r="P303" s="4537"/>
      <c r="Q303" s="4537"/>
      <c r="R303" s="4537"/>
      <c r="S303" s="4537"/>
      <c r="T303" s="4537"/>
      <c r="U303" s="4537"/>
      <c r="V303" s="4537"/>
      <c r="W303" s="4537"/>
      <c r="X303" s="4537"/>
      <c r="Y303" s="4537"/>
      <c r="Z303" s="4537"/>
      <c r="AA303" s="4537"/>
      <c r="AB303" s="4537"/>
      <c r="AC303" s="4537"/>
      <c r="AD303" s="4537"/>
      <c r="AE303" s="4537"/>
      <c r="AF303" s="4537"/>
      <c r="AG303" s="4537"/>
      <c r="AH303" s="4537"/>
      <c r="AI303" s="4537"/>
      <c r="AJ303" s="4537"/>
      <c r="AK303" s="4537"/>
      <c r="AL303" s="4537"/>
      <c r="AM303" s="4537"/>
      <c r="AN303" s="4537"/>
      <c r="AO303" s="4537"/>
      <c r="AP303" s="4537"/>
      <c r="AQ303" s="4537"/>
      <c r="AR303" s="4537"/>
      <c r="AS303" s="4550"/>
      <c r="AT303" s="4550"/>
      <c r="AU303" s="4550"/>
      <c r="AV303" s="4550"/>
      <c r="AW303" s="4550"/>
      <c r="AX303" s="4550"/>
      <c r="AY303" s="4550"/>
      <c r="AZ303" s="4550"/>
      <c r="BA303" s="4550"/>
      <c r="BB303" s="4550"/>
      <c r="BC303" s="4550"/>
      <c r="BD303" s="4550"/>
      <c r="BE303" s="4550"/>
      <c r="BF303" s="4550"/>
      <c r="BG303" s="4550"/>
      <c r="BH303" s="4550"/>
      <c r="BI303" s="4550"/>
      <c r="BJ303" s="4550"/>
      <c r="BK303" s="4550"/>
      <c r="BL303" s="4550"/>
      <c r="BM303" s="4550"/>
      <c r="BN303" s="4550"/>
      <c r="BO303" s="4550"/>
      <c r="BP303" s="4550"/>
      <c r="BQ303" s="4550"/>
      <c r="BR303" s="4550"/>
      <c r="BS303" s="4550"/>
      <c r="BT303" s="4550"/>
      <c r="BU303" s="4550"/>
      <c r="BV303" s="4550"/>
      <c r="BW303" s="4550"/>
      <c r="BX303" s="4550"/>
      <c r="BY303" s="4550"/>
      <c r="BZ303" s="4550"/>
      <c r="CA303" s="4550"/>
      <c r="CB303" s="4550"/>
      <c r="CC303" s="4550"/>
      <c r="CD303" s="4550"/>
      <c r="CE303" s="4550"/>
      <c r="CF303" s="4550"/>
      <c r="CG303" s="4550"/>
      <c r="CH303" s="4550"/>
      <c r="CI303" s="4550"/>
      <c r="CJ303" s="4550"/>
      <c r="CK303" s="4550"/>
      <c r="CL303" s="4550"/>
      <c r="CM303" s="4550"/>
      <c r="CN303" s="4550"/>
      <c r="CO303" s="4550"/>
      <c r="CP303" s="4550"/>
      <c r="CQ303" s="4550"/>
      <c r="CR303" s="4550"/>
      <c r="CS303" s="4550"/>
      <c r="CT303" s="4550"/>
      <c r="CU303" s="4550"/>
      <c r="CV303" s="4550"/>
      <c r="CW303" s="4550"/>
      <c r="CX303" s="4550"/>
      <c r="CY303" s="4550"/>
      <c r="CZ303" s="4550"/>
      <c r="DA303" s="4550"/>
      <c r="DB303" s="4550"/>
      <c r="DC303" s="4550"/>
      <c r="DD303" s="4550"/>
      <c r="DE303" s="4550"/>
      <c r="DF303" s="4550"/>
      <c r="DG303" s="4550"/>
      <c r="DH303" s="4550"/>
      <c r="DI303" s="4550"/>
      <c r="DJ303" s="4550"/>
      <c r="DK303" s="4550"/>
      <c r="DL303" s="4550"/>
      <c r="DM303" s="4550"/>
      <c r="DN303" s="4550"/>
      <c r="DO303" s="4550"/>
      <c r="DP303" s="4550"/>
      <c r="DQ303" s="4550"/>
      <c r="DR303" s="4550"/>
      <c r="DS303" s="4550"/>
      <c r="DT303" s="4550"/>
      <c r="DU303" s="4550"/>
      <c r="DV303" s="4550"/>
      <c r="DW303" s="4550"/>
      <c r="DX303" s="4550"/>
      <c r="DY303" s="4550"/>
      <c r="DZ303" s="4550"/>
      <c r="EA303" s="4550"/>
      <c r="EB303" s="4550"/>
      <c r="EC303" s="4550"/>
      <c r="ED303" s="4550"/>
      <c r="EE303" s="4550"/>
      <c r="EF303" s="4550"/>
      <c r="EG303" s="4550"/>
      <c r="EH303" s="4550"/>
      <c r="EI303" s="4550"/>
      <c r="EJ303" s="4550"/>
      <c r="EK303" s="4550"/>
      <c r="EL303" s="4550"/>
      <c r="EM303" s="4550"/>
      <c r="EN303" s="4550"/>
      <c r="EO303" s="4550"/>
      <c r="EP303" s="4550"/>
      <c r="EQ303" s="4550"/>
      <c r="ER303" s="4550"/>
      <c r="ES303" s="4550"/>
      <c r="ET303" s="4550"/>
      <c r="EU303" s="4550"/>
      <c r="EV303" s="4550"/>
      <c r="EW303" s="4550"/>
      <c r="EX303" s="4550"/>
      <c r="EY303" s="4550"/>
      <c r="EZ303" s="4550"/>
      <c r="FA303" s="4550"/>
      <c r="FB303" s="4550"/>
      <c r="FC303" s="4550"/>
      <c r="FD303" s="4550"/>
      <c r="FE303" s="4550"/>
      <c r="FF303" s="4550"/>
      <c r="FG303" s="4550"/>
      <c r="FH303" s="4550"/>
      <c r="FI303" s="4550"/>
      <c r="FJ303" s="4550"/>
      <c r="FK303" s="4550"/>
      <c r="FL303" s="4550"/>
      <c r="FM303" s="4550"/>
      <c r="FN303" s="4550"/>
      <c r="FO303" s="4550"/>
      <c r="FP303" s="4550"/>
      <c r="FQ303" s="4550"/>
      <c r="FR303" s="4550"/>
      <c r="FS303" s="4550"/>
      <c r="FT303" s="4550"/>
      <c r="FU303" s="4550"/>
      <c r="FV303" s="4550"/>
      <c r="FW303" s="4550"/>
      <c r="FX303" s="4550"/>
      <c r="FY303" s="4550"/>
      <c r="FZ303" s="4550"/>
      <c r="GA303" s="4550"/>
      <c r="GB303" s="4550"/>
      <c r="GC303" s="4550"/>
      <c r="GD303" s="4550"/>
      <c r="GE303" s="4550"/>
      <c r="GF303" s="4550"/>
      <c r="GG303" s="4550"/>
      <c r="GH303" s="4550"/>
      <c r="GI303" s="4550"/>
      <c r="GJ303" s="4550"/>
      <c r="GK303" s="4550"/>
      <c r="GL303" s="4550"/>
      <c r="GM303" s="4550"/>
      <c r="GN303" s="4550"/>
      <c r="GO303" s="4550"/>
      <c r="GP303" s="4550"/>
      <c r="GQ303" s="4550"/>
      <c r="GR303" s="4550"/>
      <c r="GS303" s="4550"/>
      <c r="GT303" s="4550"/>
      <c r="GU303" s="4550"/>
      <c r="GV303" s="4550"/>
      <c r="GW303" s="4550"/>
      <c r="GX303" s="4550"/>
      <c r="GY303" s="4550"/>
      <c r="GZ303" s="4550"/>
      <c r="HA303" s="4550"/>
      <c r="HB303" s="4550"/>
      <c r="HC303" s="4550"/>
      <c r="HD303" s="4550"/>
      <c r="HE303" s="4550"/>
      <c r="HF303" s="4550"/>
      <c r="HG303" s="4550"/>
      <c r="HH303" s="4550"/>
      <c r="HI303" s="4550"/>
      <c r="HJ303" s="4550"/>
      <c r="HK303" s="4550"/>
      <c r="HL303" s="4550"/>
      <c r="HM303" s="4550"/>
      <c r="HN303" s="4550"/>
      <c r="HO303" s="4550"/>
      <c r="HP303" s="4550"/>
      <c r="HQ303" s="4550"/>
      <c r="HR303" s="4550"/>
      <c r="HS303" s="4550"/>
      <c r="HT303" s="4550"/>
      <c r="HU303" s="4550"/>
      <c r="HV303" s="4550"/>
      <c r="HW303" s="4550"/>
      <c r="HX303" s="4550"/>
      <c r="HY303" s="4550"/>
      <c r="HZ303" s="4550"/>
      <c r="IA303" s="4550"/>
      <c r="IB303" s="4550"/>
      <c r="IC303" s="4550"/>
      <c r="ID303" s="4550"/>
      <c r="IE303" s="4550"/>
    </row>
    <row r="304" spans="1:239" s="4549" customFormat="1" ht="12.95" customHeight="1">
      <c r="A304" s="4762">
        <v>15.1</v>
      </c>
      <c r="B304" s="4637" t="s">
        <v>4564</v>
      </c>
      <c r="C304" s="4658"/>
      <c r="D304" s="4593"/>
      <c r="E304" s="5002"/>
      <c r="F304" s="5002"/>
      <c r="G304" s="4537"/>
      <c r="H304" s="4537"/>
      <c r="I304" s="4537"/>
      <c r="J304" s="4537"/>
      <c r="K304" s="4537"/>
      <c r="L304" s="4537"/>
      <c r="M304" s="4537"/>
      <c r="N304" s="4537"/>
      <c r="O304" s="4537"/>
      <c r="P304" s="4537"/>
      <c r="Q304" s="4537"/>
      <c r="R304" s="4537"/>
      <c r="S304" s="4537"/>
      <c r="T304" s="4537"/>
      <c r="U304" s="4537"/>
      <c r="V304" s="4537"/>
      <c r="W304" s="4537"/>
      <c r="X304" s="4537"/>
      <c r="Y304" s="4537"/>
      <c r="Z304" s="4537"/>
      <c r="AA304" s="4537"/>
      <c r="AB304" s="4537"/>
      <c r="AC304" s="4537"/>
      <c r="AD304" s="4537"/>
      <c r="AE304" s="4537"/>
      <c r="AF304" s="4537"/>
      <c r="AG304" s="4537"/>
      <c r="AH304" s="4537"/>
      <c r="AI304" s="4537"/>
      <c r="AJ304" s="4537"/>
      <c r="AK304" s="4537"/>
      <c r="AL304" s="4537"/>
      <c r="AM304" s="4537"/>
      <c r="AN304" s="4537"/>
      <c r="AO304" s="4537"/>
      <c r="AP304" s="4537"/>
      <c r="AQ304" s="4537"/>
      <c r="AR304" s="4537"/>
      <c r="AS304" s="4550"/>
      <c r="AT304" s="4550"/>
      <c r="AU304" s="4550"/>
      <c r="AV304" s="4550"/>
      <c r="AW304" s="4550"/>
      <c r="AX304" s="4550"/>
      <c r="AY304" s="4550"/>
      <c r="AZ304" s="4550"/>
      <c r="BA304" s="4550"/>
      <c r="BB304" s="4550"/>
      <c r="BC304" s="4550"/>
      <c r="BD304" s="4550"/>
      <c r="BE304" s="4550"/>
      <c r="BF304" s="4550"/>
      <c r="BG304" s="4550"/>
      <c r="BH304" s="4550"/>
      <c r="BI304" s="4550"/>
      <c r="BJ304" s="4550"/>
      <c r="BK304" s="4550"/>
      <c r="BL304" s="4550"/>
      <c r="BM304" s="4550"/>
      <c r="BN304" s="4550"/>
      <c r="BO304" s="4550"/>
      <c r="BP304" s="4550"/>
      <c r="BQ304" s="4550"/>
      <c r="BR304" s="4550"/>
      <c r="BS304" s="4550"/>
      <c r="BT304" s="4550"/>
      <c r="BU304" s="4550"/>
      <c r="BV304" s="4550"/>
      <c r="BW304" s="4550"/>
      <c r="BX304" s="4550"/>
      <c r="BY304" s="4550"/>
      <c r="BZ304" s="4550"/>
      <c r="CA304" s="4550"/>
      <c r="CB304" s="4550"/>
      <c r="CC304" s="4550"/>
      <c r="CD304" s="4550"/>
      <c r="CE304" s="4550"/>
      <c r="CF304" s="4550"/>
      <c r="CG304" s="4550"/>
      <c r="CH304" s="4550"/>
      <c r="CI304" s="4550"/>
      <c r="CJ304" s="4550"/>
      <c r="CK304" s="4550"/>
      <c r="CL304" s="4550"/>
      <c r="CM304" s="4550"/>
      <c r="CN304" s="4550"/>
      <c r="CO304" s="4550"/>
      <c r="CP304" s="4550"/>
      <c r="CQ304" s="4550"/>
      <c r="CR304" s="4550"/>
      <c r="CS304" s="4550"/>
      <c r="CT304" s="4550"/>
      <c r="CU304" s="4550"/>
      <c r="CV304" s="4550"/>
      <c r="CW304" s="4550"/>
      <c r="CX304" s="4550"/>
      <c r="CY304" s="4550"/>
      <c r="CZ304" s="4550"/>
      <c r="DA304" s="4550"/>
      <c r="DB304" s="4550"/>
      <c r="DC304" s="4550"/>
      <c r="DD304" s="4550"/>
      <c r="DE304" s="4550"/>
      <c r="DF304" s="4550"/>
      <c r="DG304" s="4550"/>
      <c r="DH304" s="4550"/>
      <c r="DI304" s="4550"/>
      <c r="DJ304" s="4550"/>
      <c r="DK304" s="4550"/>
      <c r="DL304" s="4550"/>
      <c r="DM304" s="4550"/>
      <c r="DN304" s="4550"/>
      <c r="DO304" s="4550"/>
      <c r="DP304" s="4550"/>
      <c r="DQ304" s="4550"/>
      <c r="DR304" s="4550"/>
      <c r="DS304" s="4550"/>
      <c r="DT304" s="4550"/>
      <c r="DU304" s="4550"/>
      <c r="DV304" s="4550"/>
      <c r="DW304" s="4550"/>
      <c r="DX304" s="4550"/>
      <c r="DY304" s="4550"/>
      <c r="DZ304" s="4550"/>
      <c r="EA304" s="4550"/>
      <c r="EB304" s="4550"/>
      <c r="EC304" s="4550"/>
      <c r="ED304" s="4550"/>
      <c r="EE304" s="4550"/>
      <c r="EF304" s="4550"/>
      <c r="EG304" s="4550"/>
      <c r="EH304" s="4550"/>
      <c r="EI304" s="4550"/>
      <c r="EJ304" s="4550"/>
      <c r="EK304" s="4550"/>
      <c r="EL304" s="4550"/>
      <c r="EM304" s="4550"/>
      <c r="EN304" s="4550"/>
      <c r="EO304" s="4550"/>
      <c r="EP304" s="4550"/>
      <c r="EQ304" s="4550"/>
      <c r="ER304" s="4550"/>
      <c r="ES304" s="4550"/>
      <c r="ET304" s="4550"/>
      <c r="EU304" s="4550"/>
      <c r="EV304" s="4550"/>
      <c r="EW304" s="4550"/>
      <c r="EX304" s="4550"/>
      <c r="EY304" s="4550"/>
      <c r="EZ304" s="4550"/>
      <c r="FA304" s="4550"/>
      <c r="FB304" s="4550"/>
      <c r="FC304" s="4550"/>
      <c r="FD304" s="4550"/>
      <c r="FE304" s="4550"/>
      <c r="FF304" s="4550"/>
      <c r="FG304" s="4550"/>
      <c r="FH304" s="4550"/>
      <c r="FI304" s="4550"/>
      <c r="FJ304" s="4550"/>
      <c r="FK304" s="4550"/>
      <c r="FL304" s="4550"/>
      <c r="FM304" s="4550"/>
      <c r="FN304" s="4550"/>
      <c r="FO304" s="4550"/>
      <c r="FP304" s="4550"/>
      <c r="FQ304" s="4550"/>
      <c r="FR304" s="4550"/>
      <c r="FS304" s="4550"/>
      <c r="FT304" s="4550"/>
      <c r="FU304" s="4550"/>
      <c r="FV304" s="4550"/>
      <c r="FW304" s="4550"/>
      <c r="FX304" s="4550"/>
      <c r="FY304" s="4550"/>
      <c r="FZ304" s="4550"/>
      <c r="GA304" s="4550"/>
      <c r="GB304" s="4550"/>
      <c r="GC304" s="4550"/>
      <c r="GD304" s="4550"/>
      <c r="GE304" s="4550"/>
      <c r="GF304" s="4550"/>
      <c r="GG304" s="4550"/>
      <c r="GH304" s="4550"/>
      <c r="GI304" s="4550"/>
      <c r="GJ304" s="4550"/>
      <c r="GK304" s="4550"/>
      <c r="GL304" s="4550"/>
      <c r="GM304" s="4550"/>
      <c r="GN304" s="4550"/>
      <c r="GO304" s="4550"/>
      <c r="GP304" s="4550"/>
      <c r="GQ304" s="4550"/>
      <c r="GR304" s="4550"/>
      <c r="GS304" s="4550"/>
      <c r="GT304" s="4550"/>
      <c r="GU304" s="4550"/>
      <c r="GV304" s="4550"/>
      <c r="GW304" s="4550"/>
      <c r="GX304" s="4550"/>
      <c r="GY304" s="4550"/>
      <c r="GZ304" s="4550"/>
      <c r="HA304" s="4550"/>
      <c r="HB304" s="4550"/>
      <c r="HC304" s="4550"/>
      <c r="HD304" s="4550"/>
      <c r="HE304" s="4550"/>
      <c r="HF304" s="4550"/>
      <c r="HG304" s="4550"/>
      <c r="HH304" s="4550"/>
      <c r="HI304" s="4550"/>
      <c r="HJ304" s="4550"/>
      <c r="HK304" s="4550"/>
      <c r="HL304" s="4550"/>
      <c r="HM304" s="4550"/>
      <c r="HN304" s="4550"/>
      <c r="HO304" s="4550"/>
      <c r="HP304" s="4550"/>
      <c r="HQ304" s="4550"/>
      <c r="HR304" s="4550"/>
      <c r="HS304" s="4550"/>
      <c r="HT304" s="4550"/>
      <c r="HU304" s="4550"/>
      <c r="HV304" s="4550"/>
      <c r="HW304" s="4550"/>
      <c r="HX304" s="4550"/>
      <c r="HY304" s="4550"/>
      <c r="HZ304" s="4550"/>
      <c r="IA304" s="4550"/>
      <c r="IB304" s="4550"/>
      <c r="IC304" s="4550"/>
      <c r="ID304" s="4550"/>
      <c r="IE304" s="4550"/>
    </row>
    <row r="305" spans="1:239" s="4549" customFormat="1" ht="12.75" customHeight="1">
      <c r="A305" s="4708" t="s">
        <v>724</v>
      </c>
      <c r="B305" s="4635" t="s">
        <v>4664</v>
      </c>
      <c r="C305" s="4659">
        <v>1384.76</v>
      </c>
      <c r="D305" s="4593" t="s">
        <v>4194</v>
      </c>
      <c r="E305" s="5000"/>
      <c r="F305" s="4969">
        <f t="shared" ref="F305:F314" si="15">ROUND(C305*E305,2)</f>
        <v>0</v>
      </c>
      <c r="G305" s="4537"/>
      <c r="H305" s="4537"/>
      <c r="I305" s="4537"/>
      <c r="J305" s="4537"/>
      <c r="K305" s="4537"/>
      <c r="L305" s="4537"/>
      <c r="M305" s="4537"/>
      <c r="N305" s="4537"/>
      <c r="O305" s="4537"/>
      <c r="P305" s="4537"/>
      <c r="Q305" s="4537"/>
      <c r="R305" s="4537"/>
      <c r="S305" s="4537"/>
      <c r="T305" s="4537"/>
      <c r="U305" s="4537"/>
      <c r="V305" s="4537"/>
      <c r="W305" s="4537"/>
      <c r="X305" s="4537"/>
      <c r="Y305" s="4537"/>
      <c r="Z305" s="4537"/>
      <c r="AA305" s="4537"/>
      <c r="AB305" s="4537"/>
      <c r="AC305" s="4537"/>
      <c r="AD305" s="4537"/>
      <c r="AE305" s="4537"/>
      <c r="AF305" s="4537"/>
      <c r="AG305" s="4537"/>
      <c r="AH305" s="4537"/>
      <c r="AI305" s="4537"/>
      <c r="AJ305" s="4537"/>
      <c r="AK305" s="4537"/>
      <c r="AL305" s="4537"/>
      <c r="AM305" s="4537"/>
      <c r="AN305" s="4537"/>
      <c r="AO305" s="4537"/>
      <c r="AP305" s="4537"/>
      <c r="AQ305" s="4537"/>
      <c r="AR305" s="4537"/>
      <c r="AS305" s="4550"/>
      <c r="AT305" s="4550"/>
      <c r="AU305" s="4550"/>
      <c r="AV305" s="4550"/>
      <c r="AW305" s="4550"/>
      <c r="AX305" s="4550"/>
      <c r="AY305" s="4550"/>
      <c r="AZ305" s="4550"/>
      <c r="BA305" s="4550"/>
      <c r="BB305" s="4550"/>
      <c r="BC305" s="4550"/>
      <c r="BD305" s="4550"/>
      <c r="BE305" s="4550"/>
      <c r="BF305" s="4550"/>
      <c r="BG305" s="4550"/>
      <c r="BH305" s="4550"/>
      <c r="BI305" s="4550"/>
      <c r="BJ305" s="4550"/>
      <c r="BK305" s="4550"/>
      <c r="BL305" s="4550"/>
      <c r="BM305" s="4550"/>
      <c r="BN305" s="4550"/>
      <c r="BO305" s="4550"/>
      <c r="BP305" s="4550"/>
      <c r="BQ305" s="4550"/>
      <c r="BR305" s="4550"/>
      <c r="BS305" s="4550"/>
      <c r="BT305" s="4550"/>
      <c r="BU305" s="4550"/>
      <c r="BV305" s="4550"/>
      <c r="BW305" s="4550"/>
      <c r="BX305" s="4550"/>
      <c r="BY305" s="4550"/>
      <c r="BZ305" s="4550"/>
      <c r="CA305" s="4550"/>
      <c r="CB305" s="4550"/>
      <c r="CC305" s="4550"/>
      <c r="CD305" s="4550"/>
      <c r="CE305" s="4550"/>
      <c r="CF305" s="4550"/>
      <c r="CG305" s="4550"/>
      <c r="CH305" s="4550"/>
      <c r="CI305" s="4550"/>
      <c r="CJ305" s="4550"/>
      <c r="CK305" s="4550"/>
      <c r="CL305" s="4550"/>
      <c r="CM305" s="4550"/>
      <c r="CN305" s="4550"/>
      <c r="CO305" s="4550"/>
      <c r="CP305" s="4550"/>
      <c r="CQ305" s="4550"/>
      <c r="CR305" s="4550"/>
      <c r="CS305" s="4550"/>
      <c r="CT305" s="4550"/>
      <c r="CU305" s="4550"/>
      <c r="CV305" s="4550"/>
      <c r="CW305" s="4550"/>
      <c r="CX305" s="4550"/>
      <c r="CY305" s="4550"/>
      <c r="CZ305" s="4550"/>
      <c r="DA305" s="4550"/>
      <c r="DB305" s="4550"/>
      <c r="DC305" s="4550"/>
      <c r="DD305" s="4550"/>
      <c r="DE305" s="4550"/>
      <c r="DF305" s="4550"/>
      <c r="DG305" s="4550"/>
      <c r="DH305" s="4550"/>
      <c r="DI305" s="4550"/>
      <c r="DJ305" s="4550"/>
      <c r="DK305" s="4550"/>
      <c r="DL305" s="4550"/>
      <c r="DM305" s="4550"/>
      <c r="DN305" s="4550"/>
      <c r="DO305" s="4550"/>
      <c r="DP305" s="4550"/>
      <c r="DQ305" s="4550"/>
      <c r="DR305" s="4550"/>
      <c r="DS305" s="4550"/>
      <c r="DT305" s="4550"/>
      <c r="DU305" s="4550"/>
      <c r="DV305" s="4550"/>
      <c r="DW305" s="4550"/>
      <c r="DX305" s="4550"/>
      <c r="DY305" s="4550"/>
      <c r="DZ305" s="4550"/>
      <c r="EA305" s="4550"/>
      <c r="EB305" s="4550"/>
      <c r="EC305" s="4550"/>
      <c r="ED305" s="4550"/>
      <c r="EE305" s="4550"/>
      <c r="EF305" s="4550"/>
      <c r="EG305" s="4550"/>
      <c r="EH305" s="4550"/>
      <c r="EI305" s="4550"/>
      <c r="EJ305" s="4550"/>
      <c r="EK305" s="4550"/>
      <c r="EL305" s="4550"/>
      <c r="EM305" s="4550"/>
      <c r="EN305" s="4550"/>
      <c r="EO305" s="4550"/>
      <c r="EP305" s="4550"/>
      <c r="EQ305" s="4550"/>
      <c r="ER305" s="4550"/>
      <c r="ES305" s="4550"/>
      <c r="ET305" s="4550"/>
      <c r="EU305" s="4550"/>
      <c r="EV305" s="4550"/>
      <c r="EW305" s="4550"/>
      <c r="EX305" s="4550"/>
      <c r="EY305" s="4550"/>
      <c r="EZ305" s="4550"/>
      <c r="FA305" s="4550"/>
      <c r="FB305" s="4550"/>
      <c r="FC305" s="4550"/>
      <c r="FD305" s="4550"/>
      <c r="FE305" s="4550"/>
      <c r="FF305" s="4550"/>
      <c r="FG305" s="4550"/>
      <c r="FH305" s="4550"/>
      <c r="FI305" s="4550"/>
      <c r="FJ305" s="4550"/>
      <c r="FK305" s="4550"/>
      <c r="FL305" s="4550"/>
      <c r="FM305" s="4550"/>
      <c r="FN305" s="4550"/>
      <c r="FO305" s="4550"/>
      <c r="FP305" s="4550"/>
      <c r="FQ305" s="4550"/>
      <c r="FR305" s="4550"/>
      <c r="FS305" s="4550"/>
      <c r="FT305" s="4550"/>
      <c r="FU305" s="4550"/>
      <c r="FV305" s="4550"/>
      <c r="FW305" s="4550"/>
      <c r="FX305" s="4550"/>
      <c r="FY305" s="4550"/>
      <c r="FZ305" s="4550"/>
      <c r="GA305" s="4550"/>
      <c r="GB305" s="4550"/>
      <c r="GC305" s="4550"/>
      <c r="GD305" s="4550"/>
      <c r="GE305" s="4550"/>
      <c r="GF305" s="4550"/>
      <c r="GG305" s="4550"/>
      <c r="GH305" s="4550"/>
      <c r="GI305" s="4550"/>
      <c r="GJ305" s="4550"/>
      <c r="GK305" s="4550"/>
      <c r="GL305" s="4550"/>
      <c r="GM305" s="4550"/>
      <c r="GN305" s="4550"/>
      <c r="GO305" s="4550"/>
      <c r="GP305" s="4550"/>
      <c r="GQ305" s="4550"/>
      <c r="GR305" s="4550"/>
      <c r="GS305" s="4550"/>
      <c r="GT305" s="4550"/>
      <c r="GU305" s="4550"/>
      <c r="GV305" s="4550"/>
      <c r="GW305" s="4550"/>
      <c r="GX305" s="4550"/>
      <c r="GY305" s="4550"/>
      <c r="GZ305" s="4550"/>
      <c r="HA305" s="4550"/>
      <c r="HB305" s="4550"/>
      <c r="HC305" s="4550"/>
      <c r="HD305" s="4550"/>
      <c r="HE305" s="4550"/>
      <c r="HF305" s="4550"/>
      <c r="HG305" s="4550"/>
      <c r="HH305" s="4550"/>
      <c r="HI305" s="4550"/>
      <c r="HJ305" s="4550"/>
      <c r="HK305" s="4550"/>
      <c r="HL305" s="4550"/>
      <c r="HM305" s="4550"/>
      <c r="HN305" s="4550"/>
      <c r="HO305" s="4550"/>
      <c r="HP305" s="4550"/>
      <c r="HQ305" s="4550"/>
      <c r="HR305" s="4550"/>
      <c r="HS305" s="4550"/>
      <c r="HT305" s="4550"/>
      <c r="HU305" s="4550"/>
      <c r="HV305" s="4550"/>
      <c r="HW305" s="4550"/>
      <c r="HX305" s="4550"/>
      <c r="HY305" s="4550"/>
      <c r="HZ305" s="4550"/>
      <c r="IA305" s="4550"/>
      <c r="IB305" s="4550"/>
      <c r="IC305" s="4550"/>
      <c r="ID305" s="4550"/>
      <c r="IE305" s="4550"/>
    </row>
    <row r="306" spans="1:239" s="4549" customFormat="1" ht="12.75" customHeight="1">
      <c r="A306" s="4708" t="s">
        <v>2030</v>
      </c>
      <c r="B306" s="4635" t="s">
        <v>4195</v>
      </c>
      <c r="C306" s="4659">
        <v>403.55</v>
      </c>
      <c r="D306" s="4593" t="s">
        <v>4194</v>
      </c>
      <c r="E306" s="5000"/>
      <c r="F306" s="4969">
        <f t="shared" si="15"/>
        <v>0</v>
      </c>
      <c r="G306" s="4537"/>
      <c r="H306" s="4537"/>
      <c r="I306" s="4537"/>
      <c r="J306" s="4537"/>
      <c r="K306" s="4537"/>
      <c r="L306" s="4537"/>
      <c r="M306" s="4537"/>
      <c r="N306" s="4537"/>
      <c r="O306" s="4537"/>
      <c r="P306" s="4537"/>
      <c r="Q306" s="4537"/>
      <c r="R306" s="4537"/>
      <c r="S306" s="4537"/>
      <c r="T306" s="4537"/>
      <c r="U306" s="4537"/>
      <c r="V306" s="4537"/>
      <c r="W306" s="4537"/>
      <c r="X306" s="4537"/>
      <c r="Y306" s="4537"/>
      <c r="Z306" s="4537"/>
      <c r="AA306" s="4537"/>
      <c r="AB306" s="4537"/>
      <c r="AC306" s="4537"/>
      <c r="AD306" s="4537"/>
      <c r="AE306" s="4537"/>
      <c r="AF306" s="4537"/>
      <c r="AG306" s="4537"/>
      <c r="AH306" s="4537"/>
      <c r="AI306" s="4537"/>
      <c r="AJ306" s="4537"/>
      <c r="AK306" s="4537"/>
      <c r="AL306" s="4537"/>
      <c r="AM306" s="4537"/>
      <c r="AN306" s="4537"/>
      <c r="AO306" s="4537"/>
      <c r="AP306" s="4537"/>
      <c r="AQ306" s="4537"/>
      <c r="AR306" s="4537"/>
      <c r="AS306" s="4550"/>
      <c r="AT306" s="4550"/>
      <c r="AU306" s="4550"/>
      <c r="AV306" s="4550"/>
      <c r="AW306" s="4550"/>
      <c r="AX306" s="4550"/>
      <c r="AY306" s="4550"/>
      <c r="AZ306" s="4550"/>
      <c r="BA306" s="4550"/>
      <c r="BB306" s="4550"/>
      <c r="BC306" s="4550"/>
      <c r="BD306" s="4550"/>
      <c r="BE306" s="4550"/>
      <c r="BF306" s="4550"/>
      <c r="BG306" s="4550"/>
      <c r="BH306" s="4550"/>
      <c r="BI306" s="4550"/>
      <c r="BJ306" s="4550"/>
      <c r="BK306" s="4550"/>
      <c r="BL306" s="4550"/>
      <c r="BM306" s="4550"/>
      <c r="BN306" s="4550"/>
      <c r="BO306" s="4550"/>
      <c r="BP306" s="4550"/>
      <c r="BQ306" s="4550"/>
      <c r="BR306" s="4550"/>
      <c r="BS306" s="4550"/>
      <c r="BT306" s="4550"/>
      <c r="BU306" s="4550"/>
      <c r="BV306" s="4550"/>
      <c r="BW306" s="4550"/>
      <c r="BX306" s="4550"/>
      <c r="BY306" s="4550"/>
      <c r="BZ306" s="4550"/>
      <c r="CA306" s="4550"/>
      <c r="CB306" s="4550"/>
      <c r="CC306" s="4550"/>
      <c r="CD306" s="4550"/>
      <c r="CE306" s="4550"/>
      <c r="CF306" s="4550"/>
      <c r="CG306" s="4550"/>
      <c r="CH306" s="4550"/>
      <c r="CI306" s="4550"/>
      <c r="CJ306" s="4550"/>
      <c r="CK306" s="4550"/>
      <c r="CL306" s="4550"/>
      <c r="CM306" s="4550"/>
      <c r="CN306" s="4550"/>
      <c r="CO306" s="4550"/>
      <c r="CP306" s="4550"/>
      <c r="CQ306" s="4550"/>
      <c r="CR306" s="4550"/>
      <c r="CS306" s="4550"/>
      <c r="CT306" s="4550"/>
      <c r="CU306" s="4550"/>
      <c r="CV306" s="4550"/>
      <c r="CW306" s="4550"/>
      <c r="CX306" s="4550"/>
      <c r="CY306" s="4550"/>
      <c r="CZ306" s="4550"/>
      <c r="DA306" s="4550"/>
      <c r="DB306" s="4550"/>
      <c r="DC306" s="4550"/>
      <c r="DD306" s="4550"/>
      <c r="DE306" s="4550"/>
      <c r="DF306" s="4550"/>
      <c r="DG306" s="4550"/>
      <c r="DH306" s="4550"/>
      <c r="DI306" s="4550"/>
      <c r="DJ306" s="4550"/>
      <c r="DK306" s="4550"/>
      <c r="DL306" s="4550"/>
      <c r="DM306" s="4550"/>
      <c r="DN306" s="4550"/>
      <c r="DO306" s="4550"/>
      <c r="DP306" s="4550"/>
      <c r="DQ306" s="4550"/>
      <c r="DR306" s="4550"/>
      <c r="DS306" s="4550"/>
      <c r="DT306" s="4550"/>
      <c r="DU306" s="4550"/>
      <c r="DV306" s="4550"/>
      <c r="DW306" s="4550"/>
      <c r="DX306" s="4550"/>
      <c r="DY306" s="4550"/>
      <c r="DZ306" s="4550"/>
      <c r="EA306" s="4550"/>
      <c r="EB306" s="4550"/>
      <c r="EC306" s="4550"/>
      <c r="ED306" s="4550"/>
      <c r="EE306" s="4550"/>
      <c r="EF306" s="4550"/>
      <c r="EG306" s="4550"/>
      <c r="EH306" s="4550"/>
      <c r="EI306" s="4550"/>
      <c r="EJ306" s="4550"/>
      <c r="EK306" s="4550"/>
      <c r="EL306" s="4550"/>
      <c r="EM306" s="4550"/>
      <c r="EN306" s="4550"/>
      <c r="EO306" s="4550"/>
      <c r="EP306" s="4550"/>
      <c r="EQ306" s="4550"/>
      <c r="ER306" s="4550"/>
      <c r="ES306" s="4550"/>
      <c r="ET306" s="4550"/>
      <c r="EU306" s="4550"/>
      <c r="EV306" s="4550"/>
      <c r="EW306" s="4550"/>
      <c r="EX306" s="4550"/>
      <c r="EY306" s="4550"/>
      <c r="EZ306" s="4550"/>
      <c r="FA306" s="4550"/>
      <c r="FB306" s="4550"/>
      <c r="FC306" s="4550"/>
      <c r="FD306" s="4550"/>
      <c r="FE306" s="4550"/>
      <c r="FF306" s="4550"/>
      <c r="FG306" s="4550"/>
      <c r="FH306" s="4550"/>
      <c r="FI306" s="4550"/>
      <c r="FJ306" s="4550"/>
      <c r="FK306" s="4550"/>
      <c r="FL306" s="4550"/>
      <c r="FM306" s="4550"/>
      <c r="FN306" s="4550"/>
      <c r="FO306" s="4550"/>
      <c r="FP306" s="4550"/>
      <c r="FQ306" s="4550"/>
      <c r="FR306" s="4550"/>
      <c r="FS306" s="4550"/>
      <c r="FT306" s="4550"/>
      <c r="FU306" s="4550"/>
      <c r="FV306" s="4550"/>
      <c r="FW306" s="4550"/>
      <c r="FX306" s="4550"/>
      <c r="FY306" s="4550"/>
      <c r="FZ306" s="4550"/>
      <c r="GA306" s="4550"/>
      <c r="GB306" s="4550"/>
      <c r="GC306" s="4550"/>
      <c r="GD306" s="4550"/>
      <c r="GE306" s="4550"/>
      <c r="GF306" s="4550"/>
      <c r="GG306" s="4550"/>
      <c r="GH306" s="4550"/>
      <c r="GI306" s="4550"/>
      <c r="GJ306" s="4550"/>
      <c r="GK306" s="4550"/>
      <c r="GL306" s="4550"/>
      <c r="GM306" s="4550"/>
      <c r="GN306" s="4550"/>
      <c r="GO306" s="4550"/>
      <c r="GP306" s="4550"/>
      <c r="GQ306" s="4550"/>
      <c r="GR306" s="4550"/>
      <c r="GS306" s="4550"/>
      <c r="GT306" s="4550"/>
      <c r="GU306" s="4550"/>
      <c r="GV306" s="4550"/>
      <c r="GW306" s="4550"/>
      <c r="GX306" s="4550"/>
      <c r="GY306" s="4550"/>
      <c r="GZ306" s="4550"/>
      <c r="HA306" s="4550"/>
      <c r="HB306" s="4550"/>
      <c r="HC306" s="4550"/>
      <c r="HD306" s="4550"/>
      <c r="HE306" s="4550"/>
      <c r="HF306" s="4550"/>
      <c r="HG306" s="4550"/>
      <c r="HH306" s="4550"/>
      <c r="HI306" s="4550"/>
      <c r="HJ306" s="4550"/>
      <c r="HK306" s="4550"/>
      <c r="HL306" s="4550"/>
      <c r="HM306" s="4550"/>
      <c r="HN306" s="4550"/>
      <c r="HO306" s="4550"/>
      <c r="HP306" s="4550"/>
      <c r="HQ306" s="4550"/>
      <c r="HR306" s="4550"/>
      <c r="HS306" s="4550"/>
      <c r="HT306" s="4550"/>
      <c r="HU306" s="4550"/>
      <c r="HV306" s="4550"/>
      <c r="HW306" s="4550"/>
      <c r="HX306" s="4550"/>
      <c r="HY306" s="4550"/>
      <c r="HZ306" s="4550"/>
      <c r="IA306" s="4550"/>
      <c r="IB306" s="4550"/>
      <c r="IC306" s="4550"/>
      <c r="ID306" s="4550"/>
      <c r="IE306" s="4550"/>
    </row>
    <row r="307" spans="1:239" s="4549" customFormat="1" ht="12.75" customHeight="1">
      <c r="A307" s="4708" t="s">
        <v>2032</v>
      </c>
      <c r="B307" s="4635" t="s">
        <v>4196</v>
      </c>
      <c r="C307" s="4659">
        <v>292.98</v>
      </c>
      <c r="D307" s="4593" t="s">
        <v>4194</v>
      </c>
      <c r="E307" s="5000"/>
      <c r="F307" s="4969">
        <f t="shared" si="15"/>
        <v>0</v>
      </c>
      <c r="G307" s="4537"/>
      <c r="H307" s="4537"/>
      <c r="I307" s="4537"/>
      <c r="J307" s="4537"/>
      <c r="K307" s="4537"/>
      <c r="L307" s="4537"/>
      <c r="M307" s="4537"/>
      <c r="N307" s="4537"/>
      <c r="O307" s="4537"/>
      <c r="P307" s="4537"/>
      <c r="Q307" s="4537"/>
      <c r="R307" s="4537"/>
      <c r="S307" s="4537"/>
      <c r="T307" s="4537"/>
      <c r="U307" s="4537"/>
      <c r="V307" s="4537"/>
      <c r="W307" s="4537"/>
      <c r="X307" s="4537"/>
      <c r="Y307" s="4537"/>
      <c r="Z307" s="4537"/>
      <c r="AA307" s="4537"/>
      <c r="AB307" s="4537"/>
      <c r="AC307" s="4537"/>
      <c r="AD307" s="4537"/>
      <c r="AE307" s="4537"/>
      <c r="AF307" s="4537"/>
      <c r="AG307" s="4537"/>
      <c r="AH307" s="4537"/>
      <c r="AI307" s="4537"/>
      <c r="AJ307" s="4537"/>
      <c r="AK307" s="4537"/>
      <c r="AL307" s="4537"/>
      <c r="AM307" s="4537"/>
      <c r="AN307" s="4537"/>
      <c r="AO307" s="4537"/>
      <c r="AP307" s="4537"/>
      <c r="AQ307" s="4537"/>
      <c r="AR307" s="4537"/>
      <c r="AS307" s="4550"/>
      <c r="AT307" s="4550"/>
      <c r="AU307" s="4550"/>
      <c r="AV307" s="4550"/>
      <c r="AW307" s="4550"/>
      <c r="AX307" s="4550"/>
      <c r="AY307" s="4550"/>
      <c r="AZ307" s="4550"/>
      <c r="BA307" s="4550"/>
      <c r="BB307" s="4550"/>
      <c r="BC307" s="4550"/>
      <c r="BD307" s="4550"/>
      <c r="BE307" s="4550"/>
      <c r="BF307" s="4550"/>
      <c r="BG307" s="4550"/>
      <c r="BH307" s="4550"/>
      <c r="BI307" s="4550"/>
      <c r="BJ307" s="4550"/>
      <c r="BK307" s="4550"/>
      <c r="BL307" s="4550"/>
      <c r="BM307" s="4550"/>
      <c r="BN307" s="4550"/>
      <c r="BO307" s="4550"/>
      <c r="BP307" s="4550"/>
      <c r="BQ307" s="4550"/>
      <c r="BR307" s="4550"/>
      <c r="BS307" s="4550"/>
      <c r="BT307" s="4550"/>
      <c r="BU307" s="4550"/>
      <c r="BV307" s="4550"/>
      <c r="BW307" s="4550"/>
      <c r="BX307" s="4550"/>
      <c r="BY307" s="4550"/>
      <c r="BZ307" s="4550"/>
      <c r="CA307" s="4550"/>
      <c r="CB307" s="4550"/>
      <c r="CC307" s="4550"/>
      <c r="CD307" s="4550"/>
      <c r="CE307" s="4550"/>
      <c r="CF307" s="4550"/>
      <c r="CG307" s="4550"/>
      <c r="CH307" s="4550"/>
      <c r="CI307" s="4550"/>
      <c r="CJ307" s="4550"/>
      <c r="CK307" s="4550"/>
      <c r="CL307" s="4550"/>
      <c r="CM307" s="4550"/>
      <c r="CN307" s="4550"/>
      <c r="CO307" s="4550"/>
      <c r="CP307" s="4550"/>
      <c r="CQ307" s="4550"/>
      <c r="CR307" s="4550"/>
      <c r="CS307" s="4550"/>
      <c r="CT307" s="4550"/>
      <c r="CU307" s="4550"/>
      <c r="CV307" s="4550"/>
      <c r="CW307" s="4550"/>
      <c r="CX307" s="4550"/>
      <c r="CY307" s="4550"/>
      <c r="CZ307" s="4550"/>
      <c r="DA307" s="4550"/>
      <c r="DB307" s="4550"/>
      <c r="DC307" s="4550"/>
      <c r="DD307" s="4550"/>
      <c r="DE307" s="4550"/>
      <c r="DF307" s="4550"/>
      <c r="DG307" s="4550"/>
      <c r="DH307" s="4550"/>
      <c r="DI307" s="4550"/>
      <c r="DJ307" s="4550"/>
      <c r="DK307" s="4550"/>
      <c r="DL307" s="4550"/>
      <c r="DM307" s="4550"/>
      <c r="DN307" s="4550"/>
      <c r="DO307" s="4550"/>
      <c r="DP307" s="4550"/>
      <c r="DQ307" s="4550"/>
      <c r="DR307" s="4550"/>
      <c r="DS307" s="4550"/>
      <c r="DT307" s="4550"/>
      <c r="DU307" s="4550"/>
      <c r="DV307" s="4550"/>
      <c r="DW307" s="4550"/>
      <c r="DX307" s="4550"/>
      <c r="DY307" s="4550"/>
      <c r="DZ307" s="4550"/>
      <c r="EA307" s="4550"/>
      <c r="EB307" s="4550"/>
      <c r="EC307" s="4550"/>
      <c r="ED307" s="4550"/>
      <c r="EE307" s="4550"/>
      <c r="EF307" s="4550"/>
      <c r="EG307" s="4550"/>
      <c r="EH307" s="4550"/>
      <c r="EI307" s="4550"/>
      <c r="EJ307" s="4550"/>
      <c r="EK307" s="4550"/>
      <c r="EL307" s="4550"/>
      <c r="EM307" s="4550"/>
      <c r="EN307" s="4550"/>
      <c r="EO307" s="4550"/>
      <c r="EP307" s="4550"/>
      <c r="EQ307" s="4550"/>
      <c r="ER307" s="4550"/>
      <c r="ES307" s="4550"/>
      <c r="ET307" s="4550"/>
      <c r="EU307" s="4550"/>
      <c r="EV307" s="4550"/>
      <c r="EW307" s="4550"/>
      <c r="EX307" s="4550"/>
      <c r="EY307" s="4550"/>
      <c r="EZ307" s="4550"/>
      <c r="FA307" s="4550"/>
      <c r="FB307" s="4550"/>
      <c r="FC307" s="4550"/>
      <c r="FD307" s="4550"/>
      <c r="FE307" s="4550"/>
      <c r="FF307" s="4550"/>
      <c r="FG307" s="4550"/>
      <c r="FH307" s="4550"/>
      <c r="FI307" s="4550"/>
      <c r="FJ307" s="4550"/>
      <c r="FK307" s="4550"/>
      <c r="FL307" s="4550"/>
      <c r="FM307" s="4550"/>
      <c r="FN307" s="4550"/>
      <c r="FO307" s="4550"/>
      <c r="FP307" s="4550"/>
      <c r="FQ307" s="4550"/>
      <c r="FR307" s="4550"/>
      <c r="FS307" s="4550"/>
      <c r="FT307" s="4550"/>
      <c r="FU307" s="4550"/>
      <c r="FV307" s="4550"/>
      <c r="FW307" s="4550"/>
      <c r="FX307" s="4550"/>
      <c r="FY307" s="4550"/>
      <c r="FZ307" s="4550"/>
      <c r="GA307" s="4550"/>
      <c r="GB307" s="4550"/>
      <c r="GC307" s="4550"/>
      <c r="GD307" s="4550"/>
      <c r="GE307" s="4550"/>
      <c r="GF307" s="4550"/>
      <c r="GG307" s="4550"/>
      <c r="GH307" s="4550"/>
      <c r="GI307" s="4550"/>
      <c r="GJ307" s="4550"/>
      <c r="GK307" s="4550"/>
      <c r="GL307" s="4550"/>
      <c r="GM307" s="4550"/>
      <c r="GN307" s="4550"/>
      <c r="GO307" s="4550"/>
      <c r="GP307" s="4550"/>
      <c r="GQ307" s="4550"/>
      <c r="GR307" s="4550"/>
      <c r="GS307" s="4550"/>
      <c r="GT307" s="4550"/>
      <c r="GU307" s="4550"/>
      <c r="GV307" s="4550"/>
      <c r="GW307" s="4550"/>
      <c r="GX307" s="4550"/>
      <c r="GY307" s="4550"/>
      <c r="GZ307" s="4550"/>
      <c r="HA307" s="4550"/>
      <c r="HB307" s="4550"/>
      <c r="HC307" s="4550"/>
      <c r="HD307" s="4550"/>
      <c r="HE307" s="4550"/>
      <c r="HF307" s="4550"/>
      <c r="HG307" s="4550"/>
      <c r="HH307" s="4550"/>
      <c r="HI307" s="4550"/>
      <c r="HJ307" s="4550"/>
      <c r="HK307" s="4550"/>
      <c r="HL307" s="4550"/>
      <c r="HM307" s="4550"/>
      <c r="HN307" s="4550"/>
      <c r="HO307" s="4550"/>
      <c r="HP307" s="4550"/>
      <c r="HQ307" s="4550"/>
      <c r="HR307" s="4550"/>
      <c r="HS307" s="4550"/>
      <c r="HT307" s="4550"/>
      <c r="HU307" s="4550"/>
      <c r="HV307" s="4550"/>
      <c r="HW307" s="4550"/>
      <c r="HX307" s="4550"/>
      <c r="HY307" s="4550"/>
      <c r="HZ307" s="4550"/>
      <c r="IA307" s="4550"/>
      <c r="IB307" s="4550"/>
      <c r="IC307" s="4550"/>
      <c r="ID307" s="4550"/>
      <c r="IE307" s="4550"/>
    </row>
    <row r="308" spans="1:239" s="4549" customFormat="1" ht="12.75" customHeight="1">
      <c r="A308" s="4708" t="s">
        <v>4197</v>
      </c>
      <c r="B308" s="4635" t="s">
        <v>4198</v>
      </c>
      <c r="C308" s="4659">
        <v>732.46</v>
      </c>
      <c r="D308" s="4593" t="s">
        <v>4194</v>
      </c>
      <c r="E308" s="5000"/>
      <c r="F308" s="4969">
        <f t="shared" si="15"/>
        <v>0</v>
      </c>
      <c r="G308" s="4537"/>
      <c r="H308" s="4537"/>
      <c r="I308" s="4537"/>
      <c r="J308" s="4537"/>
      <c r="K308" s="4537"/>
      <c r="L308" s="4537"/>
      <c r="M308" s="4537"/>
      <c r="N308" s="4537"/>
      <c r="O308" s="4537"/>
      <c r="P308" s="4537"/>
      <c r="Q308" s="4537"/>
      <c r="R308" s="4537"/>
      <c r="S308" s="4537"/>
      <c r="T308" s="4537"/>
      <c r="U308" s="4537"/>
      <c r="V308" s="4537"/>
      <c r="W308" s="4537"/>
      <c r="X308" s="4537"/>
      <c r="Y308" s="4537"/>
      <c r="Z308" s="4537"/>
      <c r="AA308" s="4537"/>
      <c r="AB308" s="4537"/>
      <c r="AC308" s="4537"/>
      <c r="AD308" s="4537"/>
      <c r="AE308" s="4537"/>
      <c r="AF308" s="4537"/>
      <c r="AG308" s="4537"/>
      <c r="AH308" s="4537"/>
      <c r="AI308" s="4537"/>
      <c r="AJ308" s="4537"/>
      <c r="AK308" s="4537"/>
      <c r="AL308" s="4537"/>
      <c r="AM308" s="4537"/>
      <c r="AN308" s="4537"/>
      <c r="AO308" s="4537"/>
      <c r="AP308" s="4537"/>
      <c r="AQ308" s="4537"/>
      <c r="AR308" s="4537"/>
      <c r="AS308" s="4550"/>
      <c r="AT308" s="4550"/>
      <c r="AU308" s="4550"/>
      <c r="AV308" s="4550"/>
      <c r="AW308" s="4550"/>
      <c r="AX308" s="4550"/>
      <c r="AY308" s="4550"/>
      <c r="AZ308" s="4550"/>
      <c r="BA308" s="4550"/>
      <c r="BB308" s="4550"/>
      <c r="BC308" s="4550"/>
      <c r="BD308" s="4550"/>
      <c r="BE308" s="4550"/>
      <c r="BF308" s="4550"/>
      <c r="BG308" s="4550"/>
      <c r="BH308" s="4550"/>
      <c r="BI308" s="4550"/>
      <c r="BJ308" s="4550"/>
      <c r="BK308" s="4550"/>
      <c r="BL308" s="4550"/>
      <c r="BM308" s="4550"/>
      <c r="BN308" s="4550"/>
      <c r="BO308" s="4550"/>
      <c r="BP308" s="4550"/>
      <c r="BQ308" s="4550"/>
      <c r="BR308" s="4550"/>
      <c r="BS308" s="4550"/>
      <c r="BT308" s="4550"/>
      <c r="BU308" s="4550"/>
      <c r="BV308" s="4550"/>
      <c r="BW308" s="4550"/>
      <c r="BX308" s="4550"/>
      <c r="BY308" s="4550"/>
      <c r="BZ308" s="4550"/>
      <c r="CA308" s="4550"/>
      <c r="CB308" s="4550"/>
      <c r="CC308" s="4550"/>
      <c r="CD308" s="4550"/>
      <c r="CE308" s="4550"/>
      <c r="CF308" s="4550"/>
      <c r="CG308" s="4550"/>
      <c r="CH308" s="4550"/>
      <c r="CI308" s="4550"/>
      <c r="CJ308" s="4550"/>
      <c r="CK308" s="4550"/>
      <c r="CL308" s="4550"/>
      <c r="CM308" s="4550"/>
      <c r="CN308" s="4550"/>
      <c r="CO308" s="4550"/>
      <c r="CP308" s="4550"/>
      <c r="CQ308" s="4550"/>
      <c r="CR308" s="4550"/>
      <c r="CS308" s="4550"/>
      <c r="CT308" s="4550"/>
      <c r="CU308" s="4550"/>
      <c r="CV308" s="4550"/>
      <c r="CW308" s="4550"/>
      <c r="CX308" s="4550"/>
      <c r="CY308" s="4550"/>
      <c r="CZ308" s="4550"/>
      <c r="DA308" s="4550"/>
      <c r="DB308" s="4550"/>
      <c r="DC308" s="4550"/>
      <c r="DD308" s="4550"/>
      <c r="DE308" s="4550"/>
      <c r="DF308" s="4550"/>
      <c r="DG308" s="4550"/>
      <c r="DH308" s="4550"/>
      <c r="DI308" s="4550"/>
      <c r="DJ308" s="4550"/>
      <c r="DK308" s="4550"/>
      <c r="DL308" s="4550"/>
      <c r="DM308" s="4550"/>
      <c r="DN308" s="4550"/>
      <c r="DO308" s="4550"/>
      <c r="DP308" s="4550"/>
      <c r="DQ308" s="4550"/>
      <c r="DR308" s="4550"/>
      <c r="DS308" s="4550"/>
      <c r="DT308" s="4550"/>
      <c r="DU308" s="4550"/>
      <c r="DV308" s="4550"/>
      <c r="DW308" s="4550"/>
      <c r="DX308" s="4550"/>
      <c r="DY308" s="4550"/>
      <c r="DZ308" s="4550"/>
      <c r="EA308" s="4550"/>
      <c r="EB308" s="4550"/>
      <c r="EC308" s="4550"/>
      <c r="ED308" s="4550"/>
      <c r="EE308" s="4550"/>
      <c r="EF308" s="4550"/>
      <c r="EG308" s="4550"/>
      <c r="EH308" s="4550"/>
      <c r="EI308" s="4550"/>
      <c r="EJ308" s="4550"/>
      <c r="EK308" s="4550"/>
      <c r="EL308" s="4550"/>
      <c r="EM308" s="4550"/>
      <c r="EN308" s="4550"/>
      <c r="EO308" s="4550"/>
      <c r="EP308" s="4550"/>
      <c r="EQ308" s="4550"/>
      <c r="ER308" s="4550"/>
      <c r="ES308" s="4550"/>
      <c r="ET308" s="4550"/>
      <c r="EU308" s="4550"/>
      <c r="EV308" s="4550"/>
      <c r="EW308" s="4550"/>
      <c r="EX308" s="4550"/>
      <c r="EY308" s="4550"/>
      <c r="EZ308" s="4550"/>
      <c r="FA308" s="4550"/>
      <c r="FB308" s="4550"/>
      <c r="FC308" s="4550"/>
      <c r="FD308" s="4550"/>
      <c r="FE308" s="4550"/>
      <c r="FF308" s="4550"/>
      <c r="FG308" s="4550"/>
      <c r="FH308" s="4550"/>
      <c r="FI308" s="4550"/>
      <c r="FJ308" s="4550"/>
      <c r="FK308" s="4550"/>
      <c r="FL308" s="4550"/>
      <c r="FM308" s="4550"/>
      <c r="FN308" s="4550"/>
      <c r="FO308" s="4550"/>
      <c r="FP308" s="4550"/>
      <c r="FQ308" s="4550"/>
      <c r="FR308" s="4550"/>
      <c r="FS308" s="4550"/>
      <c r="FT308" s="4550"/>
      <c r="FU308" s="4550"/>
      <c r="FV308" s="4550"/>
      <c r="FW308" s="4550"/>
      <c r="FX308" s="4550"/>
      <c r="FY308" s="4550"/>
      <c r="FZ308" s="4550"/>
      <c r="GA308" s="4550"/>
      <c r="GB308" s="4550"/>
      <c r="GC308" s="4550"/>
      <c r="GD308" s="4550"/>
      <c r="GE308" s="4550"/>
      <c r="GF308" s="4550"/>
      <c r="GG308" s="4550"/>
      <c r="GH308" s="4550"/>
      <c r="GI308" s="4550"/>
      <c r="GJ308" s="4550"/>
      <c r="GK308" s="4550"/>
      <c r="GL308" s="4550"/>
      <c r="GM308" s="4550"/>
      <c r="GN308" s="4550"/>
      <c r="GO308" s="4550"/>
      <c r="GP308" s="4550"/>
      <c r="GQ308" s="4550"/>
      <c r="GR308" s="4550"/>
      <c r="GS308" s="4550"/>
      <c r="GT308" s="4550"/>
      <c r="GU308" s="4550"/>
      <c r="GV308" s="4550"/>
      <c r="GW308" s="4550"/>
      <c r="GX308" s="4550"/>
      <c r="GY308" s="4550"/>
      <c r="GZ308" s="4550"/>
      <c r="HA308" s="4550"/>
      <c r="HB308" s="4550"/>
      <c r="HC308" s="4550"/>
      <c r="HD308" s="4550"/>
      <c r="HE308" s="4550"/>
      <c r="HF308" s="4550"/>
      <c r="HG308" s="4550"/>
      <c r="HH308" s="4550"/>
      <c r="HI308" s="4550"/>
      <c r="HJ308" s="4550"/>
      <c r="HK308" s="4550"/>
      <c r="HL308" s="4550"/>
      <c r="HM308" s="4550"/>
      <c r="HN308" s="4550"/>
      <c r="HO308" s="4550"/>
      <c r="HP308" s="4550"/>
      <c r="HQ308" s="4550"/>
      <c r="HR308" s="4550"/>
      <c r="HS308" s="4550"/>
      <c r="HT308" s="4550"/>
      <c r="HU308" s="4550"/>
      <c r="HV308" s="4550"/>
      <c r="HW308" s="4550"/>
      <c r="HX308" s="4550"/>
      <c r="HY308" s="4550"/>
      <c r="HZ308" s="4550"/>
      <c r="IA308" s="4550"/>
      <c r="IB308" s="4550"/>
      <c r="IC308" s="4550"/>
      <c r="ID308" s="4550"/>
      <c r="IE308" s="4550"/>
    </row>
    <row r="309" spans="1:239" s="4549" customFormat="1" ht="15" customHeight="1">
      <c r="A309" s="4708" t="s">
        <v>4199</v>
      </c>
      <c r="B309" s="4635" t="s">
        <v>4200</v>
      </c>
      <c r="C309" s="4659">
        <v>15059.79</v>
      </c>
      <c r="D309" s="4593" t="s">
        <v>4194</v>
      </c>
      <c r="E309" s="5000"/>
      <c r="F309" s="4969">
        <f t="shared" si="15"/>
        <v>0</v>
      </c>
      <c r="G309" s="4537"/>
      <c r="H309" s="4537"/>
      <c r="I309" s="4537"/>
      <c r="J309" s="4537"/>
      <c r="K309" s="4537"/>
      <c r="L309" s="4537"/>
      <c r="M309" s="4537"/>
      <c r="N309" s="4537"/>
      <c r="O309" s="4537"/>
      <c r="P309" s="4537"/>
      <c r="Q309" s="4537"/>
      <c r="R309" s="4537"/>
      <c r="S309" s="4537"/>
      <c r="T309" s="4537"/>
      <c r="U309" s="4537"/>
      <c r="V309" s="4537"/>
      <c r="W309" s="4537"/>
      <c r="X309" s="4537"/>
      <c r="Y309" s="4537"/>
      <c r="Z309" s="4537"/>
      <c r="AA309" s="4537"/>
      <c r="AB309" s="4537"/>
      <c r="AC309" s="4537"/>
      <c r="AD309" s="4537"/>
      <c r="AE309" s="4537"/>
      <c r="AF309" s="4537"/>
      <c r="AG309" s="4537"/>
      <c r="AH309" s="4537"/>
      <c r="AI309" s="4537"/>
      <c r="AJ309" s="4537"/>
      <c r="AK309" s="4537"/>
      <c r="AL309" s="4537"/>
      <c r="AM309" s="4537"/>
      <c r="AN309" s="4537"/>
      <c r="AO309" s="4537"/>
      <c r="AP309" s="4537"/>
      <c r="AQ309" s="4537"/>
      <c r="AR309" s="4537"/>
      <c r="AS309" s="4550"/>
      <c r="AT309" s="4550"/>
      <c r="AU309" s="4550"/>
      <c r="AV309" s="4550"/>
      <c r="AW309" s="4550"/>
      <c r="AX309" s="4550"/>
      <c r="AY309" s="4550"/>
      <c r="AZ309" s="4550"/>
      <c r="BA309" s="4550"/>
      <c r="BB309" s="4550"/>
      <c r="BC309" s="4550"/>
      <c r="BD309" s="4550"/>
      <c r="BE309" s="4550"/>
      <c r="BF309" s="4550"/>
      <c r="BG309" s="4550"/>
      <c r="BH309" s="4550"/>
      <c r="BI309" s="4550"/>
      <c r="BJ309" s="4550"/>
      <c r="BK309" s="4550"/>
      <c r="BL309" s="4550"/>
      <c r="BM309" s="4550"/>
      <c r="BN309" s="4550"/>
      <c r="BO309" s="4550"/>
      <c r="BP309" s="4550"/>
      <c r="BQ309" s="4550"/>
      <c r="BR309" s="4550"/>
      <c r="BS309" s="4550"/>
      <c r="BT309" s="4550"/>
      <c r="BU309" s="4550"/>
      <c r="BV309" s="4550"/>
      <c r="BW309" s="4550"/>
      <c r="BX309" s="4550"/>
      <c r="BY309" s="4550"/>
      <c r="BZ309" s="4550"/>
      <c r="CA309" s="4550"/>
      <c r="CB309" s="4550"/>
      <c r="CC309" s="4550"/>
      <c r="CD309" s="4550"/>
      <c r="CE309" s="4550"/>
      <c r="CF309" s="4550"/>
      <c r="CG309" s="4550"/>
      <c r="CH309" s="4550"/>
      <c r="CI309" s="4550"/>
      <c r="CJ309" s="4550"/>
      <c r="CK309" s="4550"/>
      <c r="CL309" s="4550"/>
      <c r="CM309" s="4550"/>
      <c r="CN309" s="4550"/>
      <c r="CO309" s="4550"/>
      <c r="CP309" s="4550"/>
      <c r="CQ309" s="4550"/>
      <c r="CR309" s="4550"/>
      <c r="CS309" s="4550"/>
      <c r="CT309" s="4550"/>
      <c r="CU309" s="4550"/>
      <c r="CV309" s="4550"/>
      <c r="CW309" s="4550"/>
      <c r="CX309" s="4550"/>
      <c r="CY309" s="4550"/>
      <c r="CZ309" s="4550"/>
      <c r="DA309" s="4550"/>
      <c r="DB309" s="4550"/>
      <c r="DC309" s="4550"/>
      <c r="DD309" s="4550"/>
      <c r="DE309" s="4550"/>
      <c r="DF309" s="4550"/>
      <c r="DG309" s="4550"/>
      <c r="DH309" s="4550"/>
      <c r="DI309" s="4550"/>
      <c r="DJ309" s="4550"/>
      <c r="DK309" s="4550"/>
      <c r="DL309" s="4550"/>
      <c r="DM309" s="4550"/>
      <c r="DN309" s="4550"/>
      <c r="DO309" s="4550"/>
      <c r="DP309" s="4550"/>
      <c r="DQ309" s="4550"/>
      <c r="DR309" s="4550"/>
      <c r="DS309" s="4550"/>
      <c r="DT309" s="4550"/>
      <c r="DU309" s="4550"/>
      <c r="DV309" s="4550"/>
      <c r="DW309" s="4550"/>
      <c r="DX309" s="4550"/>
      <c r="DY309" s="4550"/>
      <c r="DZ309" s="4550"/>
      <c r="EA309" s="4550"/>
      <c r="EB309" s="4550"/>
      <c r="EC309" s="4550"/>
      <c r="ED309" s="4550"/>
      <c r="EE309" s="4550"/>
      <c r="EF309" s="4550"/>
      <c r="EG309" s="4550"/>
      <c r="EH309" s="4550"/>
      <c r="EI309" s="4550"/>
      <c r="EJ309" s="4550"/>
      <c r="EK309" s="4550"/>
      <c r="EL309" s="4550"/>
      <c r="EM309" s="4550"/>
      <c r="EN309" s="4550"/>
      <c r="EO309" s="4550"/>
      <c r="EP309" s="4550"/>
      <c r="EQ309" s="4550"/>
      <c r="ER309" s="4550"/>
      <c r="ES309" s="4550"/>
      <c r="ET309" s="4550"/>
      <c r="EU309" s="4550"/>
      <c r="EV309" s="4550"/>
      <c r="EW309" s="4550"/>
      <c r="EX309" s="4550"/>
      <c r="EY309" s="4550"/>
      <c r="EZ309" s="4550"/>
      <c r="FA309" s="4550"/>
      <c r="FB309" s="4550"/>
      <c r="FC309" s="4550"/>
      <c r="FD309" s="4550"/>
      <c r="FE309" s="4550"/>
      <c r="FF309" s="4550"/>
      <c r="FG309" s="4550"/>
      <c r="FH309" s="4550"/>
      <c r="FI309" s="4550"/>
      <c r="FJ309" s="4550"/>
      <c r="FK309" s="4550"/>
      <c r="FL309" s="4550"/>
      <c r="FM309" s="4550"/>
      <c r="FN309" s="4550"/>
      <c r="FO309" s="4550"/>
      <c r="FP309" s="4550"/>
      <c r="FQ309" s="4550"/>
      <c r="FR309" s="4550"/>
      <c r="FS309" s="4550"/>
      <c r="FT309" s="4550"/>
      <c r="FU309" s="4550"/>
      <c r="FV309" s="4550"/>
      <c r="FW309" s="4550"/>
      <c r="FX309" s="4550"/>
      <c r="FY309" s="4550"/>
      <c r="FZ309" s="4550"/>
      <c r="GA309" s="4550"/>
      <c r="GB309" s="4550"/>
      <c r="GC309" s="4550"/>
      <c r="GD309" s="4550"/>
      <c r="GE309" s="4550"/>
      <c r="GF309" s="4550"/>
      <c r="GG309" s="4550"/>
      <c r="GH309" s="4550"/>
      <c r="GI309" s="4550"/>
      <c r="GJ309" s="4550"/>
      <c r="GK309" s="4550"/>
      <c r="GL309" s="4550"/>
      <c r="GM309" s="4550"/>
      <c r="GN309" s="4550"/>
      <c r="GO309" s="4550"/>
      <c r="GP309" s="4550"/>
      <c r="GQ309" s="4550"/>
      <c r="GR309" s="4550"/>
      <c r="GS309" s="4550"/>
      <c r="GT309" s="4550"/>
      <c r="GU309" s="4550"/>
      <c r="GV309" s="4550"/>
      <c r="GW309" s="4550"/>
      <c r="GX309" s="4550"/>
      <c r="GY309" s="4550"/>
      <c r="GZ309" s="4550"/>
      <c r="HA309" s="4550"/>
      <c r="HB309" s="4550"/>
      <c r="HC309" s="4550"/>
      <c r="HD309" s="4550"/>
      <c r="HE309" s="4550"/>
      <c r="HF309" s="4550"/>
      <c r="HG309" s="4550"/>
      <c r="HH309" s="4550"/>
      <c r="HI309" s="4550"/>
      <c r="HJ309" s="4550"/>
      <c r="HK309" s="4550"/>
      <c r="HL309" s="4550"/>
      <c r="HM309" s="4550"/>
      <c r="HN309" s="4550"/>
      <c r="HO309" s="4550"/>
      <c r="HP309" s="4550"/>
      <c r="HQ309" s="4550"/>
      <c r="HR309" s="4550"/>
      <c r="HS309" s="4550"/>
      <c r="HT309" s="4550"/>
      <c r="HU309" s="4550"/>
      <c r="HV309" s="4550"/>
      <c r="HW309" s="4550"/>
      <c r="HX309" s="4550"/>
      <c r="HY309" s="4550"/>
      <c r="HZ309" s="4550"/>
      <c r="IA309" s="4550"/>
      <c r="IB309" s="4550"/>
      <c r="IC309" s="4550"/>
      <c r="ID309" s="4550"/>
      <c r="IE309" s="4550"/>
    </row>
    <row r="310" spans="1:239" s="4549" customFormat="1" ht="12.75" customHeight="1">
      <c r="A310" s="4708" t="s">
        <v>4201</v>
      </c>
      <c r="B310" s="4635" t="s">
        <v>4202</v>
      </c>
      <c r="C310" s="4659">
        <v>8917.99</v>
      </c>
      <c r="D310" s="4593" t="s">
        <v>4194</v>
      </c>
      <c r="E310" s="5000"/>
      <c r="F310" s="4969">
        <f t="shared" si="15"/>
        <v>0</v>
      </c>
      <c r="G310" s="4537"/>
      <c r="H310" s="4537"/>
      <c r="I310" s="4537"/>
      <c r="J310" s="4537"/>
      <c r="K310" s="4537"/>
      <c r="L310" s="4537"/>
      <c r="M310" s="4537"/>
      <c r="N310" s="4537"/>
      <c r="O310" s="4537"/>
      <c r="P310" s="4537"/>
      <c r="Q310" s="4537"/>
      <c r="R310" s="4537"/>
      <c r="S310" s="4537"/>
      <c r="T310" s="4537"/>
      <c r="U310" s="4537"/>
      <c r="V310" s="4537"/>
      <c r="W310" s="4537"/>
      <c r="X310" s="4537"/>
      <c r="Y310" s="4537"/>
      <c r="Z310" s="4537"/>
      <c r="AA310" s="4537"/>
      <c r="AB310" s="4537"/>
      <c r="AC310" s="4537"/>
      <c r="AD310" s="4537"/>
      <c r="AE310" s="4537"/>
      <c r="AF310" s="4537"/>
      <c r="AG310" s="4537"/>
      <c r="AH310" s="4537"/>
      <c r="AI310" s="4537"/>
      <c r="AJ310" s="4537"/>
      <c r="AK310" s="4537"/>
      <c r="AL310" s="4537"/>
      <c r="AM310" s="4537"/>
      <c r="AN310" s="4537"/>
      <c r="AO310" s="4537"/>
      <c r="AP310" s="4537"/>
      <c r="AQ310" s="4537"/>
      <c r="AR310" s="4537"/>
      <c r="AS310" s="4550"/>
      <c r="AT310" s="4550"/>
      <c r="AU310" s="4550"/>
      <c r="AV310" s="4550"/>
      <c r="AW310" s="4550"/>
      <c r="AX310" s="4550"/>
      <c r="AY310" s="4550"/>
      <c r="AZ310" s="4550"/>
      <c r="BA310" s="4550"/>
      <c r="BB310" s="4550"/>
      <c r="BC310" s="4550"/>
      <c r="BD310" s="4550"/>
      <c r="BE310" s="4550"/>
      <c r="BF310" s="4550"/>
      <c r="BG310" s="4550"/>
      <c r="BH310" s="4550"/>
      <c r="BI310" s="4550"/>
      <c r="BJ310" s="4550"/>
      <c r="BK310" s="4550"/>
      <c r="BL310" s="4550"/>
      <c r="BM310" s="4550"/>
      <c r="BN310" s="4550"/>
      <c r="BO310" s="4550"/>
      <c r="BP310" s="4550"/>
      <c r="BQ310" s="4550"/>
      <c r="BR310" s="4550"/>
      <c r="BS310" s="4550"/>
      <c r="BT310" s="4550"/>
      <c r="BU310" s="4550"/>
      <c r="BV310" s="4550"/>
      <c r="BW310" s="4550"/>
      <c r="BX310" s="4550"/>
      <c r="BY310" s="4550"/>
      <c r="BZ310" s="4550"/>
      <c r="CA310" s="4550"/>
      <c r="CB310" s="4550"/>
      <c r="CC310" s="4550"/>
      <c r="CD310" s="4550"/>
      <c r="CE310" s="4550"/>
      <c r="CF310" s="4550"/>
      <c r="CG310" s="4550"/>
      <c r="CH310" s="4550"/>
      <c r="CI310" s="4550"/>
      <c r="CJ310" s="4550"/>
      <c r="CK310" s="4550"/>
      <c r="CL310" s="4550"/>
      <c r="CM310" s="4550"/>
      <c r="CN310" s="4550"/>
      <c r="CO310" s="4550"/>
      <c r="CP310" s="4550"/>
      <c r="CQ310" s="4550"/>
      <c r="CR310" s="4550"/>
      <c r="CS310" s="4550"/>
      <c r="CT310" s="4550"/>
      <c r="CU310" s="4550"/>
      <c r="CV310" s="4550"/>
      <c r="CW310" s="4550"/>
      <c r="CX310" s="4550"/>
      <c r="CY310" s="4550"/>
      <c r="CZ310" s="4550"/>
      <c r="DA310" s="4550"/>
      <c r="DB310" s="4550"/>
      <c r="DC310" s="4550"/>
      <c r="DD310" s="4550"/>
      <c r="DE310" s="4550"/>
      <c r="DF310" s="4550"/>
      <c r="DG310" s="4550"/>
      <c r="DH310" s="4550"/>
      <c r="DI310" s="4550"/>
      <c r="DJ310" s="4550"/>
      <c r="DK310" s="4550"/>
      <c r="DL310" s="4550"/>
      <c r="DM310" s="4550"/>
      <c r="DN310" s="4550"/>
      <c r="DO310" s="4550"/>
      <c r="DP310" s="4550"/>
      <c r="DQ310" s="4550"/>
      <c r="DR310" s="4550"/>
      <c r="DS310" s="4550"/>
      <c r="DT310" s="4550"/>
      <c r="DU310" s="4550"/>
      <c r="DV310" s="4550"/>
      <c r="DW310" s="4550"/>
      <c r="DX310" s="4550"/>
      <c r="DY310" s="4550"/>
      <c r="DZ310" s="4550"/>
      <c r="EA310" s="4550"/>
      <c r="EB310" s="4550"/>
      <c r="EC310" s="4550"/>
      <c r="ED310" s="4550"/>
      <c r="EE310" s="4550"/>
      <c r="EF310" s="4550"/>
      <c r="EG310" s="4550"/>
      <c r="EH310" s="4550"/>
      <c r="EI310" s="4550"/>
      <c r="EJ310" s="4550"/>
      <c r="EK310" s="4550"/>
      <c r="EL310" s="4550"/>
      <c r="EM310" s="4550"/>
      <c r="EN310" s="4550"/>
      <c r="EO310" s="4550"/>
      <c r="EP310" s="4550"/>
      <c r="EQ310" s="4550"/>
      <c r="ER310" s="4550"/>
      <c r="ES310" s="4550"/>
      <c r="ET310" s="4550"/>
      <c r="EU310" s="4550"/>
      <c r="EV310" s="4550"/>
      <c r="EW310" s="4550"/>
      <c r="EX310" s="4550"/>
      <c r="EY310" s="4550"/>
      <c r="EZ310" s="4550"/>
      <c r="FA310" s="4550"/>
      <c r="FB310" s="4550"/>
      <c r="FC310" s="4550"/>
      <c r="FD310" s="4550"/>
      <c r="FE310" s="4550"/>
      <c r="FF310" s="4550"/>
      <c r="FG310" s="4550"/>
      <c r="FH310" s="4550"/>
      <c r="FI310" s="4550"/>
      <c r="FJ310" s="4550"/>
      <c r="FK310" s="4550"/>
      <c r="FL310" s="4550"/>
      <c r="FM310" s="4550"/>
      <c r="FN310" s="4550"/>
      <c r="FO310" s="4550"/>
      <c r="FP310" s="4550"/>
      <c r="FQ310" s="4550"/>
      <c r="FR310" s="4550"/>
      <c r="FS310" s="4550"/>
      <c r="FT310" s="4550"/>
      <c r="FU310" s="4550"/>
      <c r="FV310" s="4550"/>
      <c r="FW310" s="4550"/>
      <c r="FX310" s="4550"/>
      <c r="FY310" s="4550"/>
      <c r="FZ310" s="4550"/>
      <c r="GA310" s="4550"/>
      <c r="GB310" s="4550"/>
      <c r="GC310" s="4550"/>
      <c r="GD310" s="4550"/>
      <c r="GE310" s="4550"/>
      <c r="GF310" s="4550"/>
      <c r="GG310" s="4550"/>
      <c r="GH310" s="4550"/>
      <c r="GI310" s="4550"/>
      <c r="GJ310" s="4550"/>
      <c r="GK310" s="4550"/>
      <c r="GL310" s="4550"/>
      <c r="GM310" s="4550"/>
      <c r="GN310" s="4550"/>
      <c r="GO310" s="4550"/>
      <c r="GP310" s="4550"/>
      <c r="GQ310" s="4550"/>
      <c r="GR310" s="4550"/>
      <c r="GS310" s="4550"/>
      <c r="GT310" s="4550"/>
      <c r="GU310" s="4550"/>
      <c r="GV310" s="4550"/>
      <c r="GW310" s="4550"/>
      <c r="GX310" s="4550"/>
      <c r="GY310" s="4550"/>
      <c r="GZ310" s="4550"/>
      <c r="HA310" s="4550"/>
      <c r="HB310" s="4550"/>
      <c r="HC310" s="4550"/>
      <c r="HD310" s="4550"/>
      <c r="HE310" s="4550"/>
      <c r="HF310" s="4550"/>
      <c r="HG310" s="4550"/>
      <c r="HH310" s="4550"/>
      <c r="HI310" s="4550"/>
      <c r="HJ310" s="4550"/>
      <c r="HK310" s="4550"/>
      <c r="HL310" s="4550"/>
      <c r="HM310" s="4550"/>
      <c r="HN310" s="4550"/>
      <c r="HO310" s="4550"/>
      <c r="HP310" s="4550"/>
      <c r="HQ310" s="4550"/>
      <c r="HR310" s="4550"/>
      <c r="HS310" s="4550"/>
      <c r="HT310" s="4550"/>
      <c r="HU310" s="4550"/>
      <c r="HV310" s="4550"/>
      <c r="HW310" s="4550"/>
      <c r="HX310" s="4550"/>
      <c r="HY310" s="4550"/>
      <c r="HZ310" s="4550"/>
      <c r="IA310" s="4550"/>
      <c r="IB310" s="4550"/>
      <c r="IC310" s="4550"/>
      <c r="ID310" s="4550"/>
      <c r="IE310" s="4550"/>
    </row>
    <row r="311" spans="1:239" s="4549" customFormat="1" ht="12.75" customHeight="1">
      <c r="A311" s="4708" t="s">
        <v>4203</v>
      </c>
      <c r="B311" s="4635" t="s">
        <v>4204</v>
      </c>
      <c r="C311" s="4659">
        <v>220</v>
      </c>
      <c r="D311" s="4596" t="s">
        <v>2433</v>
      </c>
      <c r="E311" s="5000"/>
      <c r="F311" s="4969">
        <f>ROUND(C311*E311,2)</f>
        <v>0</v>
      </c>
      <c r="G311" s="4537"/>
      <c r="H311" s="4537"/>
      <c r="I311" s="4537"/>
      <c r="J311" s="4537"/>
      <c r="K311" s="4537"/>
      <c r="L311" s="4537"/>
      <c r="M311" s="4537"/>
      <c r="N311" s="4537"/>
      <c r="O311" s="4537"/>
      <c r="P311" s="4537"/>
      <c r="Q311" s="4537"/>
      <c r="R311" s="4537"/>
      <c r="S311" s="4537"/>
      <c r="T311" s="4537"/>
      <c r="U311" s="4537"/>
      <c r="V311" s="4537"/>
      <c r="W311" s="4537"/>
      <c r="X311" s="4537"/>
      <c r="Y311" s="4537"/>
      <c r="Z311" s="4537"/>
      <c r="AA311" s="4537"/>
      <c r="AB311" s="4537"/>
      <c r="AC311" s="4537"/>
      <c r="AD311" s="4537"/>
      <c r="AE311" s="4537"/>
      <c r="AF311" s="4537"/>
      <c r="AG311" s="4537"/>
      <c r="AH311" s="4537"/>
      <c r="AI311" s="4537"/>
      <c r="AJ311" s="4537"/>
      <c r="AK311" s="4537"/>
      <c r="AL311" s="4537"/>
      <c r="AM311" s="4537"/>
      <c r="AN311" s="4537"/>
      <c r="AO311" s="4537"/>
      <c r="AP311" s="4537"/>
      <c r="AQ311" s="4537"/>
      <c r="AR311" s="4537"/>
      <c r="AS311" s="4550"/>
      <c r="AT311" s="4550"/>
      <c r="AU311" s="4550"/>
      <c r="AV311" s="4550"/>
      <c r="AW311" s="4550"/>
      <c r="AX311" s="4550"/>
      <c r="AY311" s="4550"/>
      <c r="AZ311" s="4550"/>
      <c r="BA311" s="4550"/>
      <c r="BB311" s="4550"/>
      <c r="BC311" s="4550"/>
      <c r="BD311" s="4550"/>
      <c r="BE311" s="4550"/>
      <c r="BF311" s="4550"/>
      <c r="BG311" s="4550"/>
      <c r="BH311" s="4550"/>
      <c r="BI311" s="4550"/>
      <c r="BJ311" s="4550"/>
      <c r="BK311" s="4550"/>
      <c r="BL311" s="4550"/>
      <c r="BM311" s="4550"/>
      <c r="BN311" s="4550"/>
      <c r="BO311" s="4550"/>
      <c r="BP311" s="4550"/>
      <c r="BQ311" s="4550"/>
      <c r="BR311" s="4550"/>
      <c r="BS311" s="4550"/>
      <c r="BT311" s="4550"/>
      <c r="BU311" s="4550"/>
      <c r="BV311" s="4550"/>
      <c r="BW311" s="4550"/>
      <c r="BX311" s="4550"/>
      <c r="BY311" s="4550"/>
      <c r="BZ311" s="4550"/>
      <c r="CA311" s="4550"/>
      <c r="CB311" s="4550"/>
      <c r="CC311" s="4550"/>
      <c r="CD311" s="4550"/>
      <c r="CE311" s="4550"/>
      <c r="CF311" s="4550"/>
      <c r="CG311" s="4550"/>
      <c r="CH311" s="4550"/>
      <c r="CI311" s="4550"/>
      <c r="CJ311" s="4550"/>
      <c r="CK311" s="4550"/>
      <c r="CL311" s="4550"/>
      <c r="CM311" s="4550"/>
      <c r="CN311" s="4550"/>
      <c r="CO311" s="4550"/>
      <c r="CP311" s="4550"/>
      <c r="CQ311" s="4550"/>
      <c r="CR311" s="4550"/>
      <c r="CS311" s="4550"/>
      <c r="CT311" s="4550"/>
      <c r="CU311" s="4550"/>
      <c r="CV311" s="4550"/>
      <c r="CW311" s="4550"/>
      <c r="CX311" s="4550"/>
      <c r="CY311" s="4550"/>
      <c r="CZ311" s="4550"/>
      <c r="DA311" s="4550"/>
      <c r="DB311" s="4550"/>
      <c r="DC311" s="4550"/>
      <c r="DD311" s="4550"/>
      <c r="DE311" s="4550"/>
      <c r="DF311" s="4550"/>
      <c r="DG311" s="4550"/>
      <c r="DH311" s="4550"/>
      <c r="DI311" s="4550"/>
      <c r="DJ311" s="4550"/>
      <c r="DK311" s="4550"/>
      <c r="DL311" s="4550"/>
      <c r="DM311" s="4550"/>
      <c r="DN311" s="4550"/>
      <c r="DO311" s="4550"/>
      <c r="DP311" s="4550"/>
      <c r="DQ311" s="4550"/>
      <c r="DR311" s="4550"/>
      <c r="DS311" s="4550"/>
      <c r="DT311" s="4550"/>
      <c r="DU311" s="4550"/>
      <c r="DV311" s="4550"/>
      <c r="DW311" s="4550"/>
      <c r="DX311" s="4550"/>
      <c r="DY311" s="4550"/>
      <c r="DZ311" s="4550"/>
      <c r="EA311" s="4550"/>
      <c r="EB311" s="4550"/>
      <c r="EC311" s="4550"/>
      <c r="ED311" s="4550"/>
      <c r="EE311" s="4550"/>
      <c r="EF311" s="4550"/>
      <c r="EG311" s="4550"/>
      <c r="EH311" s="4550"/>
      <c r="EI311" s="4550"/>
      <c r="EJ311" s="4550"/>
      <c r="EK311" s="4550"/>
      <c r="EL311" s="4550"/>
      <c r="EM311" s="4550"/>
      <c r="EN311" s="4550"/>
      <c r="EO311" s="4550"/>
      <c r="EP311" s="4550"/>
      <c r="EQ311" s="4550"/>
      <c r="ER311" s="4550"/>
      <c r="ES311" s="4550"/>
      <c r="ET311" s="4550"/>
      <c r="EU311" s="4550"/>
      <c r="EV311" s="4550"/>
      <c r="EW311" s="4550"/>
      <c r="EX311" s="4550"/>
      <c r="EY311" s="4550"/>
      <c r="EZ311" s="4550"/>
      <c r="FA311" s="4550"/>
      <c r="FB311" s="4550"/>
      <c r="FC311" s="4550"/>
      <c r="FD311" s="4550"/>
      <c r="FE311" s="4550"/>
      <c r="FF311" s="4550"/>
      <c r="FG311" s="4550"/>
      <c r="FH311" s="4550"/>
      <c r="FI311" s="4550"/>
      <c r="FJ311" s="4550"/>
      <c r="FK311" s="4550"/>
      <c r="FL311" s="4550"/>
      <c r="FM311" s="4550"/>
      <c r="FN311" s="4550"/>
      <c r="FO311" s="4550"/>
      <c r="FP311" s="4550"/>
      <c r="FQ311" s="4550"/>
      <c r="FR311" s="4550"/>
      <c r="FS311" s="4550"/>
      <c r="FT311" s="4550"/>
      <c r="FU311" s="4550"/>
      <c r="FV311" s="4550"/>
      <c r="FW311" s="4550"/>
      <c r="FX311" s="4550"/>
      <c r="FY311" s="4550"/>
      <c r="FZ311" s="4550"/>
      <c r="GA311" s="4550"/>
      <c r="GB311" s="4550"/>
      <c r="GC311" s="4550"/>
      <c r="GD311" s="4550"/>
      <c r="GE311" s="4550"/>
      <c r="GF311" s="4550"/>
      <c r="GG311" s="4550"/>
      <c r="GH311" s="4550"/>
      <c r="GI311" s="4550"/>
      <c r="GJ311" s="4550"/>
      <c r="GK311" s="4550"/>
      <c r="GL311" s="4550"/>
      <c r="GM311" s="4550"/>
      <c r="GN311" s="4550"/>
      <c r="GO311" s="4550"/>
      <c r="GP311" s="4550"/>
      <c r="GQ311" s="4550"/>
      <c r="GR311" s="4550"/>
      <c r="GS311" s="4550"/>
      <c r="GT311" s="4550"/>
      <c r="GU311" s="4550"/>
      <c r="GV311" s="4550"/>
      <c r="GW311" s="4550"/>
      <c r="GX311" s="4550"/>
      <c r="GY311" s="4550"/>
      <c r="GZ311" s="4550"/>
      <c r="HA311" s="4550"/>
      <c r="HB311" s="4550"/>
      <c r="HC311" s="4550"/>
      <c r="HD311" s="4550"/>
      <c r="HE311" s="4550"/>
      <c r="HF311" s="4550"/>
      <c r="HG311" s="4550"/>
      <c r="HH311" s="4550"/>
      <c r="HI311" s="4550"/>
      <c r="HJ311" s="4550"/>
      <c r="HK311" s="4550"/>
      <c r="HL311" s="4550"/>
      <c r="HM311" s="4550"/>
      <c r="HN311" s="4550"/>
      <c r="HO311" s="4550"/>
      <c r="HP311" s="4550"/>
      <c r="HQ311" s="4550"/>
      <c r="HR311" s="4550"/>
      <c r="HS311" s="4550"/>
      <c r="HT311" s="4550"/>
      <c r="HU311" s="4550"/>
      <c r="HV311" s="4550"/>
      <c r="HW311" s="4550"/>
      <c r="HX311" s="4550"/>
      <c r="HY311" s="4550"/>
      <c r="HZ311" s="4550"/>
      <c r="IA311" s="4550"/>
      <c r="IB311" s="4550"/>
      <c r="IC311" s="4550"/>
      <c r="ID311" s="4550"/>
      <c r="IE311" s="4550"/>
    </row>
    <row r="312" spans="1:239" s="4549" customFormat="1" ht="15" customHeight="1">
      <c r="A312" s="4708" t="s">
        <v>4205</v>
      </c>
      <c r="B312" s="4635" t="s">
        <v>4206</v>
      </c>
      <c r="C312" s="4659">
        <v>45</v>
      </c>
      <c r="D312" s="4596" t="s">
        <v>2433</v>
      </c>
      <c r="E312" s="5000"/>
      <c r="F312" s="4969">
        <f t="shared" si="15"/>
        <v>0</v>
      </c>
      <c r="G312" s="4537"/>
      <c r="H312" s="4537"/>
      <c r="I312" s="4537"/>
      <c r="J312" s="4537"/>
      <c r="K312" s="4537"/>
      <c r="L312" s="4537"/>
      <c r="M312" s="4537"/>
      <c r="N312" s="4537"/>
      <c r="O312" s="4537"/>
      <c r="P312" s="4537"/>
      <c r="Q312" s="4537"/>
      <c r="R312" s="4537"/>
      <c r="S312" s="4537"/>
      <c r="T312" s="4537"/>
      <c r="U312" s="4537"/>
      <c r="V312" s="4537"/>
      <c r="W312" s="4537"/>
      <c r="X312" s="4537"/>
      <c r="Y312" s="4537"/>
      <c r="Z312" s="4537"/>
      <c r="AA312" s="4537"/>
      <c r="AB312" s="4537"/>
      <c r="AC312" s="4537"/>
      <c r="AD312" s="4537"/>
      <c r="AE312" s="4537"/>
      <c r="AF312" s="4537"/>
      <c r="AG312" s="4537"/>
      <c r="AH312" s="4537"/>
      <c r="AI312" s="4537"/>
      <c r="AJ312" s="4537"/>
      <c r="AK312" s="4537"/>
      <c r="AL312" s="4537"/>
      <c r="AM312" s="4537"/>
      <c r="AN312" s="4537"/>
      <c r="AO312" s="4537"/>
      <c r="AP312" s="4537"/>
      <c r="AQ312" s="4537"/>
      <c r="AR312" s="4537"/>
      <c r="AS312" s="4550"/>
      <c r="AT312" s="4550"/>
      <c r="AU312" s="4550"/>
      <c r="AV312" s="4550"/>
      <c r="AW312" s="4550"/>
      <c r="AX312" s="4550"/>
      <c r="AY312" s="4550"/>
      <c r="AZ312" s="4550"/>
      <c r="BA312" s="4550"/>
      <c r="BB312" s="4550"/>
      <c r="BC312" s="4550"/>
      <c r="BD312" s="4550"/>
      <c r="BE312" s="4550"/>
      <c r="BF312" s="4550"/>
      <c r="BG312" s="4550"/>
      <c r="BH312" s="4550"/>
      <c r="BI312" s="4550"/>
      <c r="BJ312" s="4550"/>
      <c r="BK312" s="4550"/>
      <c r="BL312" s="4550"/>
      <c r="BM312" s="4550"/>
      <c r="BN312" s="4550"/>
      <c r="BO312" s="4550"/>
      <c r="BP312" s="4550"/>
      <c r="BQ312" s="4550"/>
      <c r="BR312" s="4550"/>
      <c r="BS312" s="4550"/>
      <c r="BT312" s="4550"/>
      <c r="BU312" s="4550"/>
      <c r="BV312" s="4550"/>
      <c r="BW312" s="4550"/>
      <c r="BX312" s="4550"/>
      <c r="BY312" s="4550"/>
      <c r="BZ312" s="4550"/>
      <c r="CA312" s="4550"/>
      <c r="CB312" s="4550"/>
      <c r="CC312" s="4550"/>
      <c r="CD312" s="4550"/>
      <c r="CE312" s="4550"/>
      <c r="CF312" s="4550"/>
      <c r="CG312" s="4550"/>
      <c r="CH312" s="4550"/>
      <c r="CI312" s="4550"/>
      <c r="CJ312" s="4550"/>
      <c r="CK312" s="4550"/>
      <c r="CL312" s="4550"/>
      <c r="CM312" s="4550"/>
      <c r="CN312" s="4550"/>
      <c r="CO312" s="4550"/>
      <c r="CP312" s="4550"/>
      <c r="CQ312" s="4550"/>
      <c r="CR312" s="4550"/>
      <c r="CS312" s="4550"/>
      <c r="CT312" s="4550"/>
      <c r="CU312" s="4550"/>
      <c r="CV312" s="4550"/>
      <c r="CW312" s="4550"/>
      <c r="CX312" s="4550"/>
      <c r="CY312" s="4550"/>
      <c r="CZ312" s="4550"/>
      <c r="DA312" s="4550"/>
      <c r="DB312" s="4550"/>
      <c r="DC312" s="4550"/>
      <c r="DD312" s="4550"/>
      <c r="DE312" s="4550"/>
      <c r="DF312" s="4550"/>
      <c r="DG312" s="4550"/>
      <c r="DH312" s="4550"/>
      <c r="DI312" s="4550"/>
      <c r="DJ312" s="4550"/>
      <c r="DK312" s="4550"/>
      <c r="DL312" s="4550"/>
      <c r="DM312" s="4550"/>
      <c r="DN312" s="4550"/>
      <c r="DO312" s="4550"/>
      <c r="DP312" s="4550"/>
      <c r="DQ312" s="4550"/>
      <c r="DR312" s="4550"/>
      <c r="DS312" s="4550"/>
      <c r="DT312" s="4550"/>
      <c r="DU312" s="4550"/>
      <c r="DV312" s="4550"/>
      <c r="DW312" s="4550"/>
      <c r="DX312" s="4550"/>
      <c r="DY312" s="4550"/>
      <c r="DZ312" s="4550"/>
      <c r="EA312" s="4550"/>
      <c r="EB312" s="4550"/>
      <c r="EC312" s="4550"/>
      <c r="ED312" s="4550"/>
      <c r="EE312" s="4550"/>
      <c r="EF312" s="4550"/>
      <c r="EG312" s="4550"/>
      <c r="EH312" s="4550"/>
      <c r="EI312" s="4550"/>
      <c r="EJ312" s="4550"/>
      <c r="EK312" s="4550"/>
      <c r="EL312" s="4550"/>
      <c r="EM312" s="4550"/>
      <c r="EN312" s="4550"/>
      <c r="EO312" s="4550"/>
      <c r="EP312" s="4550"/>
      <c r="EQ312" s="4550"/>
      <c r="ER312" s="4550"/>
      <c r="ES312" s="4550"/>
      <c r="ET312" s="4550"/>
      <c r="EU312" s="4550"/>
      <c r="EV312" s="4550"/>
      <c r="EW312" s="4550"/>
      <c r="EX312" s="4550"/>
      <c r="EY312" s="4550"/>
      <c r="EZ312" s="4550"/>
      <c r="FA312" s="4550"/>
      <c r="FB312" s="4550"/>
      <c r="FC312" s="4550"/>
      <c r="FD312" s="4550"/>
      <c r="FE312" s="4550"/>
      <c r="FF312" s="4550"/>
      <c r="FG312" s="4550"/>
      <c r="FH312" s="4550"/>
      <c r="FI312" s="4550"/>
      <c r="FJ312" s="4550"/>
      <c r="FK312" s="4550"/>
      <c r="FL312" s="4550"/>
      <c r="FM312" s="4550"/>
      <c r="FN312" s="4550"/>
      <c r="FO312" s="4550"/>
      <c r="FP312" s="4550"/>
      <c r="FQ312" s="4550"/>
      <c r="FR312" s="4550"/>
      <c r="FS312" s="4550"/>
      <c r="FT312" s="4550"/>
      <c r="FU312" s="4550"/>
      <c r="FV312" s="4550"/>
      <c r="FW312" s="4550"/>
      <c r="FX312" s="4550"/>
      <c r="FY312" s="4550"/>
      <c r="FZ312" s="4550"/>
      <c r="GA312" s="4550"/>
      <c r="GB312" s="4550"/>
      <c r="GC312" s="4550"/>
      <c r="GD312" s="4550"/>
      <c r="GE312" s="4550"/>
      <c r="GF312" s="4550"/>
      <c r="GG312" s="4550"/>
      <c r="GH312" s="4550"/>
      <c r="GI312" s="4550"/>
      <c r="GJ312" s="4550"/>
      <c r="GK312" s="4550"/>
      <c r="GL312" s="4550"/>
      <c r="GM312" s="4550"/>
      <c r="GN312" s="4550"/>
      <c r="GO312" s="4550"/>
      <c r="GP312" s="4550"/>
      <c r="GQ312" s="4550"/>
      <c r="GR312" s="4550"/>
      <c r="GS312" s="4550"/>
      <c r="GT312" s="4550"/>
      <c r="GU312" s="4550"/>
      <c r="GV312" s="4550"/>
      <c r="GW312" s="4550"/>
      <c r="GX312" s="4550"/>
      <c r="GY312" s="4550"/>
      <c r="GZ312" s="4550"/>
      <c r="HA312" s="4550"/>
      <c r="HB312" s="4550"/>
      <c r="HC312" s="4550"/>
      <c r="HD312" s="4550"/>
      <c r="HE312" s="4550"/>
      <c r="HF312" s="4550"/>
      <c r="HG312" s="4550"/>
      <c r="HH312" s="4550"/>
      <c r="HI312" s="4550"/>
      <c r="HJ312" s="4550"/>
      <c r="HK312" s="4550"/>
      <c r="HL312" s="4550"/>
      <c r="HM312" s="4550"/>
      <c r="HN312" s="4550"/>
      <c r="HO312" s="4550"/>
      <c r="HP312" s="4550"/>
      <c r="HQ312" s="4550"/>
      <c r="HR312" s="4550"/>
      <c r="HS312" s="4550"/>
      <c r="HT312" s="4550"/>
      <c r="HU312" s="4550"/>
      <c r="HV312" s="4550"/>
      <c r="HW312" s="4550"/>
      <c r="HX312" s="4550"/>
      <c r="HY312" s="4550"/>
      <c r="HZ312" s="4550"/>
      <c r="IA312" s="4550"/>
      <c r="IB312" s="4550"/>
      <c r="IC312" s="4550"/>
      <c r="ID312" s="4550"/>
      <c r="IE312" s="4550"/>
    </row>
    <row r="313" spans="1:239" s="4549" customFormat="1" ht="14.25" customHeight="1">
      <c r="A313" s="4708" t="s">
        <v>4207</v>
      </c>
      <c r="B313" s="4635" t="s">
        <v>4563</v>
      </c>
      <c r="C313" s="4659">
        <v>292.13</v>
      </c>
      <c r="D313" s="4707" t="s">
        <v>2432</v>
      </c>
      <c r="E313" s="5000"/>
      <c r="F313" s="4969">
        <f t="shared" si="15"/>
        <v>0</v>
      </c>
      <c r="G313" s="4537"/>
      <c r="H313" s="4537"/>
      <c r="I313" s="4537"/>
      <c r="J313" s="4537"/>
      <c r="K313" s="4537"/>
      <c r="L313" s="4537"/>
      <c r="M313" s="4537"/>
      <c r="N313" s="4537"/>
      <c r="O313" s="4537"/>
      <c r="P313" s="4537"/>
      <c r="Q313" s="4537"/>
      <c r="R313" s="4537"/>
      <c r="S313" s="4537"/>
      <c r="T313" s="4537"/>
      <c r="U313" s="4537"/>
      <c r="V313" s="4537"/>
      <c r="W313" s="4537"/>
      <c r="X313" s="4537"/>
      <c r="Y313" s="4537"/>
      <c r="Z313" s="4537"/>
      <c r="AA313" s="4537"/>
      <c r="AB313" s="4537"/>
      <c r="AC313" s="4537"/>
      <c r="AD313" s="4537"/>
      <c r="AE313" s="4537"/>
      <c r="AF313" s="4537"/>
      <c r="AG313" s="4537"/>
      <c r="AH313" s="4537"/>
      <c r="AI313" s="4537"/>
      <c r="AJ313" s="4537"/>
      <c r="AK313" s="4537"/>
      <c r="AL313" s="4537"/>
      <c r="AM313" s="4537"/>
      <c r="AN313" s="4537"/>
      <c r="AO313" s="4537"/>
      <c r="AP313" s="4537"/>
      <c r="AQ313" s="4537"/>
      <c r="AR313" s="4537"/>
      <c r="AS313" s="4550"/>
      <c r="AT313" s="4550"/>
      <c r="AU313" s="4550"/>
      <c r="AV313" s="4550"/>
      <c r="AW313" s="4550"/>
      <c r="AX313" s="4550"/>
      <c r="AY313" s="4550"/>
      <c r="AZ313" s="4550"/>
      <c r="BA313" s="4550"/>
      <c r="BB313" s="4550"/>
      <c r="BC313" s="4550"/>
      <c r="BD313" s="4550"/>
      <c r="BE313" s="4550"/>
      <c r="BF313" s="4550"/>
      <c r="BG313" s="4550"/>
      <c r="BH313" s="4550"/>
      <c r="BI313" s="4550"/>
      <c r="BJ313" s="4550"/>
      <c r="BK313" s="4550"/>
      <c r="BL313" s="4550"/>
      <c r="BM313" s="4550"/>
      <c r="BN313" s="4550"/>
      <c r="BO313" s="4550"/>
      <c r="BP313" s="4550"/>
      <c r="BQ313" s="4550"/>
      <c r="BR313" s="4550"/>
      <c r="BS313" s="4550"/>
      <c r="BT313" s="4550"/>
      <c r="BU313" s="4550"/>
      <c r="BV313" s="4550"/>
      <c r="BW313" s="4550"/>
      <c r="BX313" s="4550"/>
      <c r="BY313" s="4550"/>
      <c r="BZ313" s="4550"/>
      <c r="CA313" s="4550"/>
      <c r="CB313" s="4550"/>
      <c r="CC313" s="4550"/>
      <c r="CD313" s="4550"/>
      <c r="CE313" s="4550"/>
      <c r="CF313" s="4550"/>
      <c r="CG313" s="4550"/>
      <c r="CH313" s="4550"/>
      <c r="CI313" s="4550"/>
      <c r="CJ313" s="4550"/>
      <c r="CK313" s="4550"/>
      <c r="CL313" s="4550"/>
      <c r="CM313" s="4550"/>
      <c r="CN313" s="4550"/>
      <c r="CO313" s="4550"/>
      <c r="CP313" s="4550"/>
      <c r="CQ313" s="4550"/>
      <c r="CR313" s="4550"/>
      <c r="CS313" s="4550"/>
      <c r="CT313" s="4550"/>
      <c r="CU313" s="4550"/>
      <c r="CV313" s="4550"/>
      <c r="CW313" s="4550"/>
      <c r="CX313" s="4550"/>
      <c r="CY313" s="4550"/>
      <c r="CZ313" s="4550"/>
      <c r="DA313" s="4550"/>
      <c r="DB313" s="4550"/>
      <c r="DC313" s="4550"/>
      <c r="DD313" s="4550"/>
      <c r="DE313" s="4550"/>
      <c r="DF313" s="4550"/>
      <c r="DG313" s="4550"/>
      <c r="DH313" s="4550"/>
      <c r="DI313" s="4550"/>
      <c r="DJ313" s="4550"/>
      <c r="DK313" s="4550"/>
      <c r="DL313" s="4550"/>
      <c r="DM313" s="4550"/>
      <c r="DN313" s="4550"/>
      <c r="DO313" s="4550"/>
      <c r="DP313" s="4550"/>
      <c r="DQ313" s="4550"/>
      <c r="DR313" s="4550"/>
      <c r="DS313" s="4550"/>
      <c r="DT313" s="4550"/>
      <c r="DU313" s="4550"/>
      <c r="DV313" s="4550"/>
      <c r="DW313" s="4550"/>
      <c r="DX313" s="4550"/>
      <c r="DY313" s="4550"/>
      <c r="DZ313" s="4550"/>
      <c r="EA313" s="4550"/>
      <c r="EB313" s="4550"/>
      <c r="EC313" s="4550"/>
      <c r="ED313" s="4550"/>
      <c r="EE313" s="4550"/>
      <c r="EF313" s="4550"/>
      <c r="EG313" s="4550"/>
      <c r="EH313" s="4550"/>
      <c r="EI313" s="4550"/>
      <c r="EJ313" s="4550"/>
      <c r="EK313" s="4550"/>
      <c r="EL313" s="4550"/>
      <c r="EM313" s="4550"/>
      <c r="EN313" s="4550"/>
      <c r="EO313" s="4550"/>
      <c r="EP313" s="4550"/>
      <c r="EQ313" s="4550"/>
      <c r="ER313" s="4550"/>
      <c r="ES313" s="4550"/>
      <c r="ET313" s="4550"/>
      <c r="EU313" s="4550"/>
      <c r="EV313" s="4550"/>
      <c r="EW313" s="4550"/>
      <c r="EX313" s="4550"/>
      <c r="EY313" s="4550"/>
      <c r="EZ313" s="4550"/>
      <c r="FA313" s="4550"/>
      <c r="FB313" s="4550"/>
      <c r="FC313" s="4550"/>
      <c r="FD313" s="4550"/>
      <c r="FE313" s="4550"/>
      <c r="FF313" s="4550"/>
      <c r="FG313" s="4550"/>
      <c r="FH313" s="4550"/>
      <c r="FI313" s="4550"/>
      <c r="FJ313" s="4550"/>
      <c r="FK313" s="4550"/>
      <c r="FL313" s="4550"/>
      <c r="FM313" s="4550"/>
      <c r="FN313" s="4550"/>
      <c r="FO313" s="4550"/>
      <c r="FP313" s="4550"/>
      <c r="FQ313" s="4550"/>
      <c r="FR313" s="4550"/>
      <c r="FS313" s="4550"/>
      <c r="FT313" s="4550"/>
      <c r="FU313" s="4550"/>
      <c r="FV313" s="4550"/>
      <c r="FW313" s="4550"/>
      <c r="FX313" s="4550"/>
      <c r="FY313" s="4550"/>
      <c r="FZ313" s="4550"/>
      <c r="GA313" s="4550"/>
      <c r="GB313" s="4550"/>
      <c r="GC313" s="4550"/>
      <c r="GD313" s="4550"/>
      <c r="GE313" s="4550"/>
      <c r="GF313" s="4550"/>
      <c r="GG313" s="4550"/>
      <c r="GH313" s="4550"/>
      <c r="GI313" s="4550"/>
      <c r="GJ313" s="4550"/>
      <c r="GK313" s="4550"/>
      <c r="GL313" s="4550"/>
      <c r="GM313" s="4550"/>
      <c r="GN313" s="4550"/>
      <c r="GO313" s="4550"/>
      <c r="GP313" s="4550"/>
      <c r="GQ313" s="4550"/>
      <c r="GR313" s="4550"/>
      <c r="GS313" s="4550"/>
      <c r="GT313" s="4550"/>
      <c r="GU313" s="4550"/>
      <c r="GV313" s="4550"/>
      <c r="GW313" s="4550"/>
      <c r="GX313" s="4550"/>
      <c r="GY313" s="4550"/>
      <c r="GZ313" s="4550"/>
      <c r="HA313" s="4550"/>
      <c r="HB313" s="4550"/>
      <c r="HC313" s="4550"/>
      <c r="HD313" s="4550"/>
      <c r="HE313" s="4550"/>
      <c r="HF313" s="4550"/>
      <c r="HG313" s="4550"/>
      <c r="HH313" s="4550"/>
      <c r="HI313" s="4550"/>
      <c r="HJ313" s="4550"/>
      <c r="HK313" s="4550"/>
      <c r="HL313" s="4550"/>
      <c r="HM313" s="4550"/>
      <c r="HN313" s="4550"/>
      <c r="HO313" s="4550"/>
      <c r="HP313" s="4550"/>
      <c r="HQ313" s="4550"/>
      <c r="HR313" s="4550"/>
      <c r="HS313" s="4550"/>
      <c r="HT313" s="4550"/>
      <c r="HU313" s="4550"/>
      <c r="HV313" s="4550"/>
      <c r="HW313" s="4550"/>
      <c r="HX313" s="4550"/>
      <c r="HY313" s="4550"/>
      <c r="HZ313" s="4550"/>
      <c r="IA313" s="4550"/>
      <c r="IB313" s="4550"/>
      <c r="IC313" s="4550"/>
      <c r="ID313" s="4550"/>
      <c r="IE313" s="4550"/>
    </row>
    <row r="314" spans="1:239" s="4549" customFormat="1" ht="17.25" customHeight="1">
      <c r="A314" s="4708" t="s">
        <v>4208</v>
      </c>
      <c r="B314" s="4635" t="s">
        <v>4209</v>
      </c>
      <c r="C314" s="4659">
        <v>292.13</v>
      </c>
      <c r="D314" s="4707" t="s">
        <v>2432</v>
      </c>
      <c r="E314" s="5000"/>
      <c r="F314" s="4969">
        <f t="shared" si="15"/>
        <v>0</v>
      </c>
      <c r="G314" s="4537"/>
      <c r="H314" s="4537"/>
      <c r="I314" s="4537"/>
      <c r="J314" s="4537"/>
      <c r="K314" s="4537"/>
      <c r="L314" s="4537"/>
      <c r="M314" s="4537"/>
      <c r="N314" s="4537"/>
      <c r="O314" s="4537"/>
      <c r="P314" s="4537"/>
      <c r="Q314" s="4537"/>
      <c r="R314" s="4537"/>
      <c r="S314" s="4537"/>
      <c r="T314" s="4537"/>
      <c r="U314" s="4537"/>
      <c r="V314" s="4537"/>
      <c r="W314" s="4537"/>
      <c r="X314" s="4537"/>
      <c r="Y314" s="4537"/>
      <c r="Z314" s="4537"/>
      <c r="AA314" s="4537"/>
      <c r="AB314" s="4537"/>
      <c r="AC314" s="4537"/>
      <c r="AD314" s="4537"/>
      <c r="AE314" s="4537"/>
      <c r="AF314" s="4537"/>
      <c r="AG314" s="4537"/>
      <c r="AH314" s="4537"/>
      <c r="AI314" s="4537"/>
      <c r="AJ314" s="4537"/>
      <c r="AK314" s="4537"/>
      <c r="AL314" s="4537"/>
      <c r="AM314" s="4537"/>
      <c r="AN314" s="4537"/>
      <c r="AO314" s="4537"/>
      <c r="AP314" s="4537"/>
      <c r="AQ314" s="4537"/>
      <c r="AR314" s="4537"/>
      <c r="AS314" s="4550"/>
      <c r="AT314" s="4550"/>
      <c r="AU314" s="4550"/>
      <c r="AV314" s="4550"/>
      <c r="AW314" s="4550"/>
      <c r="AX314" s="4550"/>
      <c r="AY314" s="4550"/>
      <c r="AZ314" s="4550"/>
      <c r="BA314" s="4550"/>
      <c r="BB314" s="4550"/>
      <c r="BC314" s="4550"/>
      <c r="BD314" s="4550"/>
      <c r="BE314" s="4550"/>
      <c r="BF314" s="4550"/>
      <c r="BG314" s="4550"/>
      <c r="BH314" s="4550"/>
      <c r="BI314" s="4550"/>
      <c r="BJ314" s="4550"/>
      <c r="BK314" s="4550"/>
      <c r="BL314" s="4550"/>
      <c r="BM314" s="4550"/>
      <c r="BN314" s="4550"/>
      <c r="BO314" s="4550"/>
      <c r="BP314" s="4550"/>
      <c r="BQ314" s="4550"/>
      <c r="BR314" s="4550"/>
      <c r="BS314" s="4550"/>
      <c r="BT314" s="4550"/>
      <c r="BU314" s="4550"/>
      <c r="BV314" s="4550"/>
      <c r="BW314" s="4550"/>
      <c r="BX314" s="4550"/>
      <c r="BY314" s="4550"/>
      <c r="BZ314" s="4550"/>
      <c r="CA314" s="4550"/>
      <c r="CB314" s="4550"/>
      <c r="CC314" s="4550"/>
      <c r="CD314" s="4550"/>
      <c r="CE314" s="4550"/>
      <c r="CF314" s="4550"/>
      <c r="CG314" s="4550"/>
      <c r="CH314" s="4550"/>
      <c r="CI314" s="4550"/>
      <c r="CJ314" s="4550"/>
      <c r="CK314" s="4550"/>
      <c r="CL314" s="4550"/>
      <c r="CM314" s="4550"/>
      <c r="CN314" s="4550"/>
      <c r="CO314" s="4550"/>
      <c r="CP314" s="4550"/>
      <c r="CQ314" s="4550"/>
      <c r="CR314" s="4550"/>
      <c r="CS314" s="4550"/>
      <c r="CT314" s="4550"/>
      <c r="CU314" s="4550"/>
      <c r="CV314" s="4550"/>
      <c r="CW314" s="4550"/>
      <c r="CX314" s="4550"/>
      <c r="CY314" s="4550"/>
      <c r="CZ314" s="4550"/>
      <c r="DA314" s="4550"/>
      <c r="DB314" s="4550"/>
      <c r="DC314" s="4550"/>
      <c r="DD314" s="4550"/>
      <c r="DE314" s="4550"/>
      <c r="DF314" s="4550"/>
      <c r="DG314" s="4550"/>
      <c r="DH314" s="4550"/>
      <c r="DI314" s="4550"/>
      <c r="DJ314" s="4550"/>
      <c r="DK314" s="4550"/>
      <c r="DL314" s="4550"/>
      <c r="DM314" s="4550"/>
      <c r="DN314" s="4550"/>
      <c r="DO314" s="4550"/>
      <c r="DP314" s="4550"/>
      <c r="DQ314" s="4550"/>
      <c r="DR314" s="4550"/>
      <c r="DS314" s="4550"/>
      <c r="DT314" s="4550"/>
      <c r="DU314" s="4550"/>
      <c r="DV314" s="4550"/>
      <c r="DW314" s="4550"/>
      <c r="DX314" s="4550"/>
      <c r="DY314" s="4550"/>
      <c r="DZ314" s="4550"/>
      <c r="EA314" s="4550"/>
      <c r="EB314" s="4550"/>
      <c r="EC314" s="4550"/>
      <c r="ED314" s="4550"/>
      <c r="EE314" s="4550"/>
      <c r="EF314" s="4550"/>
      <c r="EG314" s="4550"/>
      <c r="EH314" s="4550"/>
      <c r="EI314" s="4550"/>
      <c r="EJ314" s="4550"/>
      <c r="EK314" s="4550"/>
      <c r="EL314" s="4550"/>
      <c r="EM314" s="4550"/>
      <c r="EN314" s="4550"/>
      <c r="EO314" s="4550"/>
      <c r="EP314" s="4550"/>
      <c r="EQ314" s="4550"/>
      <c r="ER314" s="4550"/>
      <c r="ES314" s="4550"/>
      <c r="ET314" s="4550"/>
      <c r="EU314" s="4550"/>
      <c r="EV314" s="4550"/>
      <c r="EW314" s="4550"/>
      <c r="EX314" s="4550"/>
      <c r="EY314" s="4550"/>
      <c r="EZ314" s="4550"/>
      <c r="FA314" s="4550"/>
      <c r="FB314" s="4550"/>
      <c r="FC314" s="4550"/>
      <c r="FD314" s="4550"/>
      <c r="FE314" s="4550"/>
      <c r="FF314" s="4550"/>
      <c r="FG314" s="4550"/>
      <c r="FH314" s="4550"/>
      <c r="FI314" s="4550"/>
      <c r="FJ314" s="4550"/>
      <c r="FK314" s="4550"/>
      <c r="FL314" s="4550"/>
      <c r="FM314" s="4550"/>
      <c r="FN314" s="4550"/>
      <c r="FO314" s="4550"/>
      <c r="FP314" s="4550"/>
      <c r="FQ314" s="4550"/>
      <c r="FR314" s="4550"/>
      <c r="FS314" s="4550"/>
      <c r="FT314" s="4550"/>
      <c r="FU314" s="4550"/>
      <c r="FV314" s="4550"/>
      <c r="FW314" s="4550"/>
      <c r="FX314" s="4550"/>
      <c r="FY314" s="4550"/>
      <c r="FZ314" s="4550"/>
      <c r="GA314" s="4550"/>
      <c r="GB314" s="4550"/>
      <c r="GC314" s="4550"/>
      <c r="GD314" s="4550"/>
      <c r="GE314" s="4550"/>
      <c r="GF314" s="4550"/>
      <c r="GG314" s="4550"/>
      <c r="GH314" s="4550"/>
      <c r="GI314" s="4550"/>
      <c r="GJ314" s="4550"/>
      <c r="GK314" s="4550"/>
      <c r="GL314" s="4550"/>
      <c r="GM314" s="4550"/>
      <c r="GN314" s="4550"/>
      <c r="GO314" s="4550"/>
      <c r="GP314" s="4550"/>
      <c r="GQ314" s="4550"/>
      <c r="GR314" s="4550"/>
      <c r="GS314" s="4550"/>
      <c r="GT314" s="4550"/>
      <c r="GU314" s="4550"/>
      <c r="GV314" s="4550"/>
      <c r="GW314" s="4550"/>
      <c r="GX314" s="4550"/>
      <c r="GY314" s="4550"/>
      <c r="GZ314" s="4550"/>
      <c r="HA314" s="4550"/>
      <c r="HB314" s="4550"/>
      <c r="HC314" s="4550"/>
      <c r="HD314" s="4550"/>
      <c r="HE314" s="4550"/>
      <c r="HF314" s="4550"/>
      <c r="HG314" s="4550"/>
      <c r="HH314" s="4550"/>
      <c r="HI314" s="4550"/>
      <c r="HJ314" s="4550"/>
      <c r="HK314" s="4550"/>
      <c r="HL314" s="4550"/>
      <c r="HM314" s="4550"/>
      <c r="HN314" s="4550"/>
      <c r="HO314" s="4550"/>
      <c r="HP314" s="4550"/>
      <c r="HQ314" s="4550"/>
      <c r="HR314" s="4550"/>
      <c r="HS314" s="4550"/>
      <c r="HT314" s="4550"/>
      <c r="HU314" s="4550"/>
      <c r="HV314" s="4550"/>
      <c r="HW314" s="4550"/>
      <c r="HX314" s="4550"/>
      <c r="HY314" s="4550"/>
      <c r="HZ314" s="4550"/>
      <c r="IA314" s="4550"/>
      <c r="IB314" s="4550"/>
      <c r="IC314" s="4550"/>
      <c r="ID314" s="4550"/>
      <c r="IE314" s="4550"/>
    </row>
    <row r="315" spans="1:239" s="4549" customFormat="1" ht="5.25" customHeight="1">
      <c r="A315" s="4762"/>
      <c r="B315" s="4734"/>
      <c r="C315" s="4659"/>
      <c r="D315" s="4593"/>
      <c r="E315" s="5000"/>
      <c r="F315" s="4969"/>
      <c r="G315" s="4537"/>
      <c r="H315" s="4537"/>
      <c r="I315" s="4537"/>
      <c r="J315" s="4537"/>
      <c r="K315" s="4537"/>
      <c r="L315" s="4537"/>
      <c r="M315" s="4537"/>
      <c r="N315" s="4537"/>
      <c r="O315" s="4537"/>
      <c r="P315" s="4537"/>
      <c r="Q315" s="4537"/>
      <c r="R315" s="4537"/>
      <c r="S315" s="4537"/>
      <c r="T315" s="4537"/>
      <c r="U315" s="4537"/>
      <c r="V315" s="4537"/>
      <c r="W315" s="4537"/>
      <c r="X315" s="4537"/>
      <c r="Y315" s="4537"/>
      <c r="Z315" s="4537"/>
      <c r="AA315" s="4537"/>
      <c r="AB315" s="4537"/>
      <c r="AC315" s="4537"/>
      <c r="AD315" s="4537"/>
      <c r="AE315" s="4537"/>
      <c r="AF315" s="4537"/>
      <c r="AG315" s="4537"/>
      <c r="AH315" s="4537"/>
      <c r="AI315" s="4537"/>
      <c r="AJ315" s="4537"/>
      <c r="AK315" s="4537"/>
      <c r="AL315" s="4537"/>
      <c r="AM315" s="4537"/>
      <c r="AN315" s="4537"/>
      <c r="AO315" s="4537"/>
      <c r="AP315" s="4537"/>
      <c r="AQ315" s="4537"/>
      <c r="AR315" s="4537"/>
      <c r="AS315" s="4550"/>
      <c r="AT315" s="4550"/>
      <c r="AU315" s="4550"/>
      <c r="AV315" s="4550"/>
      <c r="AW315" s="4550"/>
      <c r="AX315" s="4550"/>
      <c r="AY315" s="4550"/>
      <c r="AZ315" s="4550"/>
      <c r="BA315" s="4550"/>
      <c r="BB315" s="4550"/>
      <c r="BC315" s="4550"/>
      <c r="BD315" s="4550"/>
      <c r="BE315" s="4550"/>
      <c r="BF315" s="4550"/>
      <c r="BG315" s="4550"/>
      <c r="BH315" s="4550"/>
      <c r="BI315" s="4550"/>
      <c r="BJ315" s="4550"/>
      <c r="BK315" s="4550"/>
      <c r="BL315" s="4550"/>
      <c r="BM315" s="4550"/>
      <c r="BN315" s="4550"/>
      <c r="BO315" s="4550"/>
      <c r="BP315" s="4550"/>
      <c r="BQ315" s="4550"/>
      <c r="BR315" s="4550"/>
      <c r="BS315" s="4550"/>
      <c r="BT315" s="4550"/>
      <c r="BU315" s="4550"/>
      <c r="BV315" s="4550"/>
      <c r="BW315" s="4550"/>
      <c r="BX315" s="4550"/>
      <c r="BY315" s="4550"/>
      <c r="BZ315" s="4550"/>
      <c r="CA315" s="4550"/>
      <c r="CB315" s="4550"/>
      <c r="CC315" s="4550"/>
      <c r="CD315" s="4550"/>
      <c r="CE315" s="4550"/>
      <c r="CF315" s="4550"/>
      <c r="CG315" s="4550"/>
      <c r="CH315" s="4550"/>
      <c r="CI315" s="4550"/>
      <c r="CJ315" s="4550"/>
      <c r="CK315" s="4550"/>
      <c r="CL315" s="4550"/>
      <c r="CM315" s="4550"/>
      <c r="CN315" s="4550"/>
      <c r="CO315" s="4550"/>
      <c r="CP315" s="4550"/>
      <c r="CQ315" s="4550"/>
      <c r="CR315" s="4550"/>
      <c r="CS315" s="4550"/>
      <c r="CT315" s="4550"/>
      <c r="CU315" s="4550"/>
      <c r="CV315" s="4550"/>
      <c r="CW315" s="4550"/>
      <c r="CX315" s="4550"/>
      <c r="CY315" s="4550"/>
      <c r="CZ315" s="4550"/>
      <c r="DA315" s="4550"/>
      <c r="DB315" s="4550"/>
      <c r="DC315" s="4550"/>
      <c r="DD315" s="4550"/>
      <c r="DE315" s="4550"/>
      <c r="DF315" s="4550"/>
      <c r="DG315" s="4550"/>
      <c r="DH315" s="4550"/>
      <c r="DI315" s="4550"/>
      <c r="DJ315" s="4550"/>
      <c r="DK315" s="4550"/>
      <c r="DL315" s="4550"/>
      <c r="DM315" s="4550"/>
      <c r="DN315" s="4550"/>
      <c r="DO315" s="4550"/>
      <c r="DP315" s="4550"/>
      <c r="DQ315" s="4550"/>
      <c r="DR315" s="4550"/>
      <c r="DS315" s="4550"/>
      <c r="DT315" s="4550"/>
      <c r="DU315" s="4550"/>
      <c r="DV315" s="4550"/>
      <c r="DW315" s="4550"/>
      <c r="DX315" s="4550"/>
      <c r="DY315" s="4550"/>
      <c r="DZ315" s="4550"/>
      <c r="EA315" s="4550"/>
      <c r="EB315" s="4550"/>
      <c r="EC315" s="4550"/>
      <c r="ED315" s="4550"/>
      <c r="EE315" s="4550"/>
      <c r="EF315" s="4550"/>
      <c r="EG315" s="4550"/>
      <c r="EH315" s="4550"/>
      <c r="EI315" s="4550"/>
      <c r="EJ315" s="4550"/>
      <c r="EK315" s="4550"/>
      <c r="EL315" s="4550"/>
      <c r="EM315" s="4550"/>
      <c r="EN315" s="4550"/>
      <c r="EO315" s="4550"/>
      <c r="EP315" s="4550"/>
      <c r="EQ315" s="4550"/>
      <c r="ER315" s="4550"/>
      <c r="ES315" s="4550"/>
      <c r="ET315" s="4550"/>
      <c r="EU315" s="4550"/>
      <c r="EV315" s="4550"/>
      <c r="EW315" s="4550"/>
      <c r="EX315" s="4550"/>
      <c r="EY315" s="4550"/>
      <c r="EZ315" s="4550"/>
      <c r="FA315" s="4550"/>
      <c r="FB315" s="4550"/>
      <c r="FC315" s="4550"/>
      <c r="FD315" s="4550"/>
      <c r="FE315" s="4550"/>
      <c r="FF315" s="4550"/>
      <c r="FG315" s="4550"/>
      <c r="FH315" s="4550"/>
      <c r="FI315" s="4550"/>
      <c r="FJ315" s="4550"/>
      <c r="FK315" s="4550"/>
      <c r="FL315" s="4550"/>
      <c r="FM315" s="4550"/>
      <c r="FN315" s="4550"/>
      <c r="FO315" s="4550"/>
      <c r="FP315" s="4550"/>
      <c r="FQ315" s="4550"/>
      <c r="FR315" s="4550"/>
      <c r="FS315" s="4550"/>
      <c r="FT315" s="4550"/>
      <c r="FU315" s="4550"/>
      <c r="FV315" s="4550"/>
      <c r="FW315" s="4550"/>
      <c r="FX315" s="4550"/>
      <c r="FY315" s="4550"/>
      <c r="FZ315" s="4550"/>
      <c r="GA315" s="4550"/>
      <c r="GB315" s="4550"/>
      <c r="GC315" s="4550"/>
      <c r="GD315" s="4550"/>
      <c r="GE315" s="4550"/>
      <c r="GF315" s="4550"/>
      <c r="GG315" s="4550"/>
      <c r="GH315" s="4550"/>
      <c r="GI315" s="4550"/>
      <c r="GJ315" s="4550"/>
      <c r="GK315" s="4550"/>
      <c r="GL315" s="4550"/>
      <c r="GM315" s="4550"/>
      <c r="GN315" s="4550"/>
      <c r="GO315" s="4550"/>
      <c r="GP315" s="4550"/>
      <c r="GQ315" s="4550"/>
      <c r="GR315" s="4550"/>
      <c r="GS315" s="4550"/>
      <c r="GT315" s="4550"/>
      <c r="GU315" s="4550"/>
      <c r="GV315" s="4550"/>
      <c r="GW315" s="4550"/>
      <c r="GX315" s="4550"/>
      <c r="GY315" s="4550"/>
      <c r="GZ315" s="4550"/>
      <c r="HA315" s="4550"/>
      <c r="HB315" s="4550"/>
      <c r="HC315" s="4550"/>
      <c r="HD315" s="4550"/>
      <c r="HE315" s="4550"/>
      <c r="HF315" s="4550"/>
      <c r="HG315" s="4550"/>
      <c r="HH315" s="4550"/>
      <c r="HI315" s="4550"/>
      <c r="HJ315" s="4550"/>
      <c r="HK315" s="4550"/>
      <c r="HL315" s="4550"/>
      <c r="HM315" s="4550"/>
      <c r="HN315" s="4550"/>
      <c r="HO315" s="4550"/>
      <c r="HP315" s="4550"/>
      <c r="HQ315" s="4550"/>
      <c r="HR315" s="4550"/>
      <c r="HS315" s="4550"/>
      <c r="HT315" s="4550"/>
      <c r="HU315" s="4550"/>
      <c r="HV315" s="4550"/>
      <c r="HW315" s="4550"/>
      <c r="HX315" s="4550"/>
      <c r="HY315" s="4550"/>
      <c r="HZ315" s="4550"/>
      <c r="IA315" s="4550"/>
      <c r="IB315" s="4550"/>
      <c r="IC315" s="4550"/>
      <c r="ID315" s="4550"/>
      <c r="IE315" s="4550"/>
    </row>
    <row r="316" spans="1:239" s="4549" customFormat="1" ht="13.5" customHeight="1">
      <c r="A316" s="4762" t="s">
        <v>3916</v>
      </c>
      <c r="B316" s="4637" t="s">
        <v>4210</v>
      </c>
      <c r="C316" s="4659"/>
      <c r="D316" s="4764"/>
      <c r="E316" s="5000"/>
      <c r="F316" s="5002"/>
      <c r="G316" s="4537"/>
      <c r="H316" s="4537"/>
      <c r="I316" s="4537"/>
      <c r="J316" s="4537"/>
      <c r="K316" s="4537"/>
      <c r="L316" s="4537"/>
      <c r="M316" s="4537"/>
      <c r="N316" s="4537"/>
      <c r="O316" s="4537"/>
      <c r="P316" s="4537"/>
      <c r="Q316" s="4537"/>
      <c r="R316" s="4537"/>
      <c r="S316" s="4537"/>
      <c r="T316" s="4537"/>
      <c r="U316" s="4537"/>
      <c r="V316" s="4537"/>
      <c r="W316" s="4537"/>
      <c r="X316" s="4537"/>
      <c r="Y316" s="4537"/>
      <c r="Z316" s="4537"/>
      <c r="AA316" s="4537"/>
      <c r="AB316" s="4537"/>
      <c r="AC316" s="4537"/>
      <c r="AD316" s="4537"/>
      <c r="AE316" s="4537"/>
      <c r="AF316" s="4537"/>
      <c r="AG316" s="4537"/>
      <c r="AH316" s="4537"/>
      <c r="AI316" s="4537"/>
      <c r="AJ316" s="4537"/>
      <c r="AK316" s="4537"/>
      <c r="AL316" s="4537"/>
      <c r="AM316" s="4537"/>
      <c r="AN316" s="4537"/>
      <c r="AO316" s="4537"/>
      <c r="AP316" s="4537"/>
      <c r="AQ316" s="4537"/>
      <c r="AR316" s="4537"/>
      <c r="AS316" s="4550"/>
      <c r="AT316" s="4550"/>
      <c r="AU316" s="4550"/>
      <c r="AV316" s="4550"/>
      <c r="AW316" s="4550"/>
      <c r="AX316" s="4550"/>
      <c r="AY316" s="4550"/>
      <c r="AZ316" s="4550"/>
      <c r="BA316" s="4550"/>
      <c r="BB316" s="4550"/>
      <c r="BC316" s="4550"/>
      <c r="BD316" s="4550"/>
      <c r="BE316" s="4550"/>
      <c r="BF316" s="4550"/>
      <c r="BG316" s="4550"/>
      <c r="BH316" s="4550"/>
      <c r="BI316" s="4550"/>
      <c r="BJ316" s="4550"/>
      <c r="BK316" s="4550"/>
      <c r="BL316" s="4550"/>
      <c r="BM316" s="4550"/>
      <c r="BN316" s="4550"/>
      <c r="BO316" s="4550"/>
      <c r="BP316" s="4550"/>
      <c r="BQ316" s="4550"/>
      <c r="BR316" s="4550"/>
      <c r="BS316" s="4550"/>
      <c r="BT316" s="4550"/>
      <c r="BU316" s="4550"/>
      <c r="BV316" s="4550"/>
      <c r="BW316" s="4550"/>
      <c r="BX316" s="4550"/>
      <c r="BY316" s="4550"/>
      <c r="BZ316" s="4550"/>
      <c r="CA316" s="4550"/>
      <c r="CB316" s="4550"/>
      <c r="CC316" s="4550"/>
      <c r="CD316" s="4550"/>
      <c r="CE316" s="4550"/>
      <c r="CF316" s="4550"/>
      <c r="CG316" s="4550"/>
      <c r="CH316" s="4550"/>
      <c r="CI316" s="4550"/>
      <c r="CJ316" s="4550"/>
      <c r="CK316" s="4550"/>
      <c r="CL316" s="4550"/>
      <c r="CM316" s="4550"/>
      <c r="CN316" s="4550"/>
      <c r="CO316" s="4550"/>
      <c r="CP316" s="4550"/>
      <c r="CQ316" s="4550"/>
      <c r="CR316" s="4550"/>
      <c r="CS316" s="4550"/>
      <c r="CT316" s="4550"/>
      <c r="CU316" s="4550"/>
      <c r="CV316" s="4550"/>
      <c r="CW316" s="4550"/>
      <c r="CX316" s="4550"/>
      <c r="CY316" s="4550"/>
      <c r="CZ316" s="4550"/>
      <c r="DA316" s="4550"/>
      <c r="DB316" s="4550"/>
      <c r="DC316" s="4550"/>
      <c r="DD316" s="4550"/>
      <c r="DE316" s="4550"/>
      <c r="DF316" s="4550"/>
      <c r="DG316" s="4550"/>
      <c r="DH316" s="4550"/>
      <c r="DI316" s="4550"/>
      <c r="DJ316" s="4550"/>
      <c r="DK316" s="4550"/>
      <c r="DL316" s="4550"/>
      <c r="DM316" s="4550"/>
      <c r="DN316" s="4550"/>
      <c r="DO316" s="4550"/>
      <c r="DP316" s="4550"/>
      <c r="DQ316" s="4550"/>
      <c r="DR316" s="4550"/>
      <c r="DS316" s="4550"/>
      <c r="DT316" s="4550"/>
      <c r="DU316" s="4550"/>
      <c r="DV316" s="4550"/>
      <c r="DW316" s="4550"/>
      <c r="DX316" s="4550"/>
      <c r="DY316" s="4550"/>
      <c r="DZ316" s="4550"/>
      <c r="EA316" s="4550"/>
      <c r="EB316" s="4550"/>
      <c r="EC316" s="4550"/>
      <c r="ED316" s="4550"/>
      <c r="EE316" s="4550"/>
      <c r="EF316" s="4550"/>
      <c r="EG316" s="4550"/>
      <c r="EH316" s="4550"/>
      <c r="EI316" s="4550"/>
      <c r="EJ316" s="4550"/>
      <c r="EK316" s="4550"/>
      <c r="EL316" s="4550"/>
      <c r="EM316" s="4550"/>
      <c r="EN316" s="4550"/>
      <c r="EO316" s="4550"/>
      <c r="EP316" s="4550"/>
      <c r="EQ316" s="4550"/>
      <c r="ER316" s="4550"/>
      <c r="ES316" s="4550"/>
      <c r="ET316" s="4550"/>
      <c r="EU316" s="4550"/>
      <c r="EV316" s="4550"/>
      <c r="EW316" s="4550"/>
      <c r="EX316" s="4550"/>
      <c r="EY316" s="4550"/>
      <c r="EZ316" s="4550"/>
      <c r="FA316" s="4550"/>
      <c r="FB316" s="4550"/>
      <c r="FC316" s="4550"/>
      <c r="FD316" s="4550"/>
      <c r="FE316" s="4550"/>
      <c r="FF316" s="4550"/>
      <c r="FG316" s="4550"/>
      <c r="FH316" s="4550"/>
      <c r="FI316" s="4550"/>
      <c r="FJ316" s="4550"/>
      <c r="FK316" s="4550"/>
      <c r="FL316" s="4550"/>
      <c r="FM316" s="4550"/>
      <c r="FN316" s="4550"/>
      <c r="FO316" s="4550"/>
      <c r="FP316" s="4550"/>
      <c r="FQ316" s="4550"/>
      <c r="FR316" s="4550"/>
      <c r="FS316" s="4550"/>
      <c r="FT316" s="4550"/>
      <c r="FU316" s="4550"/>
      <c r="FV316" s="4550"/>
      <c r="FW316" s="4550"/>
      <c r="FX316" s="4550"/>
      <c r="FY316" s="4550"/>
      <c r="FZ316" s="4550"/>
      <c r="GA316" s="4550"/>
      <c r="GB316" s="4550"/>
      <c r="GC316" s="4550"/>
      <c r="GD316" s="4550"/>
      <c r="GE316" s="4550"/>
      <c r="GF316" s="4550"/>
      <c r="GG316" s="4550"/>
      <c r="GH316" s="4550"/>
      <c r="GI316" s="4550"/>
      <c r="GJ316" s="4550"/>
      <c r="GK316" s="4550"/>
      <c r="GL316" s="4550"/>
      <c r="GM316" s="4550"/>
      <c r="GN316" s="4550"/>
      <c r="GO316" s="4550"/>
      <c r="GP316" s="4550"/>
      <c r="GQ316" s="4550"/>
      <c r="GR316" s="4550"/>
      <c r="GS316" s="4550"/>
      <c r="GT316" s="4550"/>
      <c r="GU316" s="4550"/>
      <c r="GV316" s="4550"/>
      <c r="GW316" s="4550"/>
      <c r="GX316" s="4550"/>
      <c r="GY316" s="4550"/>
      <c r="GZ316" s="4550"/>
      <c r="HA316" s="4550"/>
      <c r="HB316" s="4550"/>
      <c r="HC316" s="4550"/>
      <c r="HD316" s="4550"/>
      <c r="HE316" s="4550"/>
      <c r="HF316" s="4550"/>
      <c r="HG316" s="4550"/>
      <c r="HH316" s="4550"/>
      <c r="HI316" s="4550"/>
      <c r="HJ316" s="4550"/>
      <c r="HK316" s="4550"/>
      <c r="HL316" s="4550"/>
      <c r="HM316" s="4550"/>
      <c r="HN316" s="4550"/>
      <c r="HO316" s="4550"/>
      <c r="HP316" s="4550"/>
      <c r="HQ316" s="4550"/>
      <c r="HR316" s="4550"/>
      <c r="HS316" s="4550"/>
      <c r="HT316" s="4550"/>
      <c r="HU316" s="4550"/>
      <c r="HV316" s="4550"/>
      <c r="HW316" s="4550"/>
      <c r="HX316" s="4550"/>
      <c r="HY316" s="4550"/>
      <c r="HZ316" s="4550"/>
      <c r="IA316" s="4550"/>
      <c r="IB316" s="4550"/>
      <c r="IC316" s="4550"/>
      <c r="ID316" s="4550"/>
      <c r="IE316" s="4550"/>
    </row>
    <row r="317" spans="1:239" s="4549" customFormat="1" ht="13.5" customHeight="1">
      <c r="A317" s="4765" t="s">
        <v>4211</v>
      </c>
      <c r="B317" s="4635" t="s">
        <v>4212</v>
      </c>
      <c r="C317" s="4659">
        <v>45</v>
      </c>
      <c r="D317" s="4593" t="s">
        <v>4213</v>
      </c>
      <c r="E317" s="5000"/>
      <c r="F317" s="4969">
        <f>ROUND(C317*E317,2)</f>
        <v>0</v>
      </c>
      <c r="G317" s="4537"/>
      <c r="H317" s="4537"/>
      <c r="I317" s="4537"/>
      <c r="J317" s="4537"/>
      <c r="K317" s="4537"/>
      <c r="L317" s="4537"/>
      <c r="M317" s="4537"/>
      <c r="N317" s="4537"/>
      <c r="O317" s="4537"/>
      <c r="P317" s="4537"/>
      <c r="Q317" s="4537"/>
      <c r="R317" s="4537"/>
      <c r="S317" s="4537"/>
      <c r="T317" s="4537"/>
      <c r="U317" s="4537"/>
      <c r="V317" s="4537"/>
      <c r="W317" s="4537"/>
      <c r="X317" s="4537"/>
      <c r="Y317" s="4537"/>
      <c r="Z317" s="4537"/>
      <c r="AA317" s="4537"/>
      <c r="AB317" s="4537"/>
      <c r="AC317" s="4537"/>
      <c r="AD317" s="4537"/>
      <c r="AE317" s="4537"/>
      <c r="AF317" s="4537"/>
      <c r="AG317" s="4537"/>
      <c r="AH317" s="4537"/>
      <c r="AI317" s="4537"/>
      <c r="AJ317" s="4537"/>
      <c r="AK317" s="4537"/>
      <c r="AL317" s="4537"/>
      <c r="AM317" s="4537"/>
      <c r="AN317" s="4537"/>
      <c r="AO317" s="4537"/>
      <c r="AP317" s="4537"/>
      <c r="AQ317" s="4537"/>
      <c r="AR317" s="4537"/>
      <c r="AS317" s="4550"/>
      <c r="AT317" s="4550"/>
      <c r="AU317" s="4550"/>
      <c r="AV317" s="4550"/>
      <c r="AW317" s="4550"/>
      <c r="AX317" s="4550"/>
      <c r="AY317" s="4550"/>
      <c r="AZ317" s="4550"/>
      <c r="BA317" s="4550"/>
      <c r="BB317" s="4550"/>
      <c r="BC317" s="4550"/>
      <c r="BD317" s="4550"/>
      <c r="BE317" s="4550"/>
      <c r="BF317" s="4550"/>
      <c r="BG317" s="4550"/>
      <c r="BH317" s="4550"/>
      <c r="BI317" s="4550"/>
      <c r="BJ317" s="4550"/>
      <c r="BK317" s="4550"/>
      <c r="BL317" s="4550"/>
      <c r="BM317" s="4550"/>
      <c r="BN317" s="4550"/>
      <c r="BO317" s="4550"/>
      <c r="BP317" s="4550"/>
      <c r="BQ317" s="4550"/>
      <c r="BR317" s="4550"/>
      <c r="BS317" s="4550"/>
      <c r="BT317" s="4550"/>
      <c r="BU317" s="4550"/>
      <c r="BV317" s="4550"/>
      <c r="BW317" s="4550"/>
      <c r="BX317" s="4550"/>
      <c r="BY317" s="4550"/>
      <c r="BZ317" s="4550"/>
      <c r="CA317" s="4550"/>
      <c r="CB317" s="4550"/>
      <c r="CC317" s="4550"/>
      <c r="CD317" s="4550"/>
      <c r="CE317" s="4550"/>
      <c r="CF317" s="4550"/>
      <c r="CG317" s="4550"/>
      <c r="CH317" s="4550"/>
      <c r="CI317" s="4550"/>
      <c r="CJ317" s="4550"/>
      <c r="CK317" s="4550"/>
      <c r="CL317" s="4550"/>
      <c r="CM317" s="4550"/>
      <c r="CN317" s="4550"/>
      <c r="CO317" s="4550"/>
      <c r="CP317" s="4550"/>
      <c r="CQ317" s="4550"/>
      <c r="CR317" s="4550"/>
      <c r="CS317" s="4550"/>
      <c r="CT317" s="4550"/>
      <c r="CU317" s="4550"/>
      <c r="CV317" s="4550"/>
      <c r="CW317" s="4550"/>
      <c r="CX317" s="4550"/>
      <c r="CY317" s="4550"/>
      <c r="CZ317" s="4550"/>
      <c r="DA317" s="4550"/>
      <c r="DB317" s="4550"/>
      <c r="DC317" s="4550"/>
      <c r="DD317" s="4550"/>
      <c r="DE317" s="4550"/>
      <c r="DF317" s="4550"/>
      <c r="DG317" s="4550"/>
      <c r="DH317" s="4550"/>
      <c r="DI317" s="4550"/>
      <c r="DJ317" s="4550"/>
      <c r="DK317" s="4550"/>
      <c r="DL317" s="4550"/>
      <c r="DM317" s="4550"/>
      <c r="DN317" s="4550"/>
      <c r="DO317" s="4550"/>
      <c r="DP317" s="4550"/>
      <c r="DQ317" s="4550"/>
      <c r="DR317" s="4550"/>
      <c r="DS317" s="4550"/>
      <c r="DT317" s="4550"/>
      <c r="DU317" s="4550"/>
      <c r="DV317" s="4550"/>
      <c r="DW317" s="4550"/>
      <c r="DX317" s="4550"/>
      <c r="DY317" s="4550"/>
      <c r="DZ317" s="4550"/>
      <c r="EA317" s="4550"/>
      <c r="EB317" s="4550"/>
      <c r="EC317" s="4550"/>
      <c r="ED317" s="4550"/>
      <c r="EE317" s="4550"/>
      <c r="EF317" s="4550"/>
      <c r="EG317" s="4550"/>
      <c r="EH317" s="4550"/>
      <c r="EI317" s="4550"/>
      <c r="EJ317" s="4550"/>
      <c r="EK317" s="4550"/>
      <c r="EL317" s="4550"/>
      <c r="EM317" s="4550"/>
      <c r="EN317" s="4550"/>
      <c r="EO317" s="4550"/>
      <c r="EP317" s="4550"/>
      <c r="EQ317" s="4550"/>
      <c r="ER317" s="4550"/>
      <c r="ES317" s="4550"/>
      <c r="ET317" s="4550"/>
      <c r="EU317" s="4550"/>
      <c r="EV317" s="4550"/>
      <c r="EW317" s="4550"/>
      <c r="EX317" s="4550"/>
      <c r="EY317" s="4550"/>
      <c r="EZ317" s="4550"/>
      <c r="FA317" s="4550"/>
      <c r="FB317" s="4550"/>
      <c r="FC317" s="4550"/>
      <c r="FD317" s="4550"/>
      <c r="FE317" s="4550"/>
      <c r="FF317" s="4550"/>
      <c r="FG317" s="4550"/>
      <c r="FH317" s="4550"/>
      <c r="FI317" s="4550"/>
      <c r="FJ317" s="4550"/>
      <c r="FK317" s="4550"/>
      <c r="FL317" s="4550"/>
      <c r="FM317" s="4550"/>
      <c r="FN317" s="4550"/>
      <c r="FO317" s="4550"/>
      <c r="FP317" s="4550"/>
      <c r="FQ317" s="4550"/>
      <c r="FR317" s="4550"/>
      <c r="FS317" s="4550"/>
      <c r="FT317" s="4550"/>
      <c r="FU317" s="4550"/>
      <c r="FV317" s="4550"/>
      <c r="FW317" s="4550"/>
      <c r="FX317" s="4550"/>
      <c r="FY317" s="4550"/>
      <c r="FZ317" s="4550"/>
      <c r="GA317" s="4550"/>
      <c r="GB317" s="4550"/>
      <c r="GC317" s="4550"/>
      <c r="GD317" s="4550"/>
      <c r="GE317" s="4550"/>
      <c r="GF317" s="4550"/>
      <c r="GG317" s="4550"/>
      <c r="GH317" s="4550"/>
      <c r="GI317" s="4550"/>
      <c r="GJ317" s="4550"/>
      <c r="GK317" s="4550"/>
      <c r="GL317" s="4550"/>
      <c r="GM317" s="4550"/>
      <c r="GN317" s="4550"/>
      <c r="GO317" s="4550"/>
      <c r="GP317" s="4550"/>
      <c r="GQ317" s="4550"/>
      <c r="GR317" s="4550"/>
      <c r="GS317" s="4550"/>
      <c r="GT317" s="4550"/>
      <c r="GU317" s="4550"/>
      <c r="GV317" s="4550"/>
      <c r="GW317" s="4550"/>
      <c r="GX317" s="4550"/>
      <c r="GY317" s="4550"/>
      <c r="GZ317" s="4550"/>
      <c r="HA317" s="4550"/>
      <c r="HB317" s="4550"/>
      <c r="HC317" s="4550"/>
      <c r="HD317" s="4550"/>
      <c r="HE317" s="4550"/>
      <c r="HF317" s="4550"/>
      <c r="HG317" s="4550"/>
      <c r="HH317" s="4550"/>
      <c r="HI317" s="4550"/>
      <c r="HJ317" s="4550"/>
      <c r="HK317" s="4550"/>
      <c r="HL317" s="4550"/>
      <c r="HM317" s="4550"/>
      <c r="HN317" s="4550"/>
      <c r="HO317" s="4550"/>
      <c r="HP317" s="4550"/>
      <c r="HQ317" s="4550"/>
      <c r="HR317" s="4550"/>
      <c r="HS317" s="4550"/>
      <c r="HT317" s="4550"/>
      <c r="HU317" s="4550"/>
      <c r="HV317" s="4550"/>
      <c r="HW317" s="4550"/>
      <c r="HX317" s="4550"/>
      <c r="HY317" s="4550"/>
      <c r="HZ317" s="4550"/>
      <c r="IA317" s="4550"/>
      <c r="IB317" s="4550"/>
      <c r="IC317" s="4550"/>
      <c r="ID317" s="4550"/>
      <c r="IE317" s="4550"/>
    </row>
    <row r="318" spans="1:239" s="4549" customFormat="1" ht="30" customHeight="1">
      <c r="A318" s="4765" t="s">
        <v>4214</v>
      </c>
      <c r="B318" s="4635" t="s">
        <v>4215</v>
      </c>
      <c r="C318" s="4659">
        <v>45</v>
      </c>
      <c r="D318" s="4593" t="s">
        <v>4213</v>
      </c>
      <c r="E318" s="5000"/>
      <c r="F318" s="4969">
        <f>ROUND(C318*E318,2)</f>
        <v>0</v>
      </c>
      <c r="G318" s="4537"/>
      <c r="H318" s="4537"/>
      <c r="I318" s="4537"/>
      <c r="J318" s="4537"/>
      <c r="K318" s="4537"/>
      <c r="L318" s="4537"/>
      <c r="M318" s="4537"/>
      <c r="N318" s="4537"/>
      <c r="O318" s="4537"/>
      <c r="P318" s="4537"/>
      <c r="Q318" s="4537"/>
      <c r="R318" s="4537"/>
      <c r="S318" s="4537"/>
      <c r="T318" s="4537"/>
      <c r="U318" s="4537"/>
      <c r="V318" s="4537"/>
      <c r="W318" s="4537"/>
      <c r="X318" s="4537"/>
      <c r="Y318" s="4537"/>
      <c r="Z318" s="4537"/>
      <c r="AA318" s="4537"/>
      <c r="AB318" s="4537"/>
      <c r="AC318" s="4537"/>
      <c r="AD318" s="4537"/>
      <c r="AE318" s="4537"/>
      <c r="AF318" s="4537"/>
      <c r="AG318" s="4537"/>
      <c r="AH318" s="4537"/>
      <c r="AI318" s="4537"/>
      <c r="AJ318" s="4537"/>
      <c r="AK318" s="4537"/>
      <c r="AL318" s="4537"/>
      <c r="AM318" s="4537"/>
      <c r="AN318" s="4537"/>
      <c r="AO318" s="4537"/>
      <c r="AP318" s="4537"/>
      <c r="AQ318" s="4537"/>
      <c r="AR318" s="4537"/>
      <c r="AS318" s="4550"/>
      <c r="AT318" s="4550"/>
      <c r="AU318" s="4550"/>
      <c r="AV318" s="4550"/>
      <c r="AW318" s="4550"/>
      <c r="AX318" s="4550"/>
      <c r="AY318" s="4550"/>
      <c r="AZ318" s="4550"/>
      <c r="BA318" s="4550"/>
      <c r="BB318" s="4550"/>
      <c r="BC318" s="4550"/>
      <c r="BD318" s="4550"/>
      <c r="BE318" s="4550"/>
      <c r="BF318" s="4550"/>
      <c r="BG318" s="4550"/>
      <c r="BH318" s="4550"/>
      <c r="BI318" s="4550"/>
      <c r="BJ318" s="4550"/>
      <c r="BK318" s="4550"/>
      <c r="BL318" s="4550"/>
      <c r="BM318" s="4550"/>
      <c r="BN318" s="4550"/>
      <c r="BO318" s="4550"/>
      <c r="BP318" s="4550"/>
      <c r="BQ318" s="4550"/>
      <c r="BR318" s="4550"/>
      <c r="BS318" s="4550"/>
      <c r="BT318" s="4550"/>
      <c r="BU318" s="4550"/>
      <c r="BV318" s="4550"/>
      <c r="BW318" s="4550"/>
      <c r="BX318" s="4550"/>
      <c r="BY318" s="4550"/>
      <c r="BZ318" s="4550"/>
      <c r="CA318" s="4550"/>
      <c r="CB318" s="4550"/>
      <c r="CC318" s="4550"/>
      <c r="CD318" s="4550"/>
      <c r="CE318" s="4550"/>
      <c r="CF318" s="4550"/>
      <c r="CG318" s="4550"/>
      <c r="CH318" s="4550"/>
      <c r="CI318" s="4550"/>
      <c r="CJ318" s="4550"/>
      <c r="CK318" s="4550"/>
      <c r="CL318" s="4550"/>
      <c r="CM318" s="4550"/>
      <c r="CN318" s="4550"/>
      <c r="CO318" s="4550"/>
      <c r="CP318" s="4550"/>
      <c r="CQ318" s="4550"/>
      <c r="CR318" s="4550"/>
      <c r="CS318" s="4550"/>
      <c r="CT318" s="4550"/>
      <c r="CU318" s="4550"/>
      <c r="CV318" s="4550"/>
      <c r="CW318" s="4550"/>
      <c r="CX318" s="4550"/>
      <c r="CY318" s="4550"/>
      <c r="CZ318" s="4550"/>
      <c r="DA318" s="4550"/>
      <c r="DB318" s="4550"/>
      <c r="DC318" s="4550"/>
      <c r="DD318" s="4550"/>
      <c r="DE318" s="4550"/>
      <c r="DF318" s="4550"/>
      <c r="DG318" s="4550"/>
      <c r="DH318" s="4550"/>
      <c r="DI318" s="4550"/>
      <c r="DJ318" s="4550"/>
      <c r="DK318" s="4550"/>
      <c r="DL318" s="4550"/>
      <c r="DM318" s="4550"/>
      <c r="DN318" s="4550"/>
      <c r="DO318" s="4550"/>
      <c r="DP318" s="4550"/>
      <c r="DQ318" s="4550"/>
      <c r="DR318" s="4550"/>
      <c r="DS318" s="4550"/>
      <c r="DT318" s="4550"/>
      <c r="DU318" s="4550"/>
      <c r="DV318" s="4550"/>
      <c r="DW318" s="4550"/>
      <c r="DX318" s="4550"/>
      <c r="DY318" s="4550"/>
      <c r="DZ318" s="4550"/>
      <c r="EA318" s="4550"/>
      <c r="EB318" s="4550"/>
      <c r="EC318" s="4550"/>
      <c r="ED318" s="4550"/>
      <c r="EE318" s="4550"/>
      <c r="EF318" s="4550"/>
      <c r="EG318" s="4550"/>
      <c r="EH318" s="4550"/>
      <c r="EI318" s="4550"/>
      <c r="EJ318" s="4550"/>
      <c r="EK318" s="4550"/>
      <c r="EL318" s="4550"/>
      <c r="EM318" s="4550"/>
      <c r="EN318" s="4550"/>
      <c r="EO318" s="4550"/>
      <c r="EP318" s="4550"/>
      <c r="EQ318" s="4550"/>
      <c r="ER318" s="4550"/>
      <c r="ES318" s="4550"/>
      <c r="ET318" s="4550"/>
      <c r="EU318" s="4550"/>
      <c r="EV318" s="4550"/>
      <c r="EW318" s="4550"/>
      <c r="EX318" s="4550"/>
      <c r="EY318" s="4550"/>
      <c r="EZ318" s="4550"/>
      <c r="FA318" s="4550"/>
      <c r="FB318" s="4550"/>
      <c r="FC318" s="4550"/>
      <c r="FD318" s="4550"/>
      <c r="FE318" s="4550"/>
      <c r="FF318" s="4550"/>
      <c r="FG318" s="4550"/>
      <c r="FH318" s="4550"/>
      <c r="FI318" s="4550"/>
      <c r="FJ318" s="4550"/>
      <c r="FK318" s="4550"/>
      <c r="FL318" s="4550"/>
      <c r="FM318" s="4550"/>
      <c r="FN318" s="4550"/>
      <c r="FO318" s="4550"/>
      <c r="FP318" s="4550"/>
      <c r="FQ318" s="4550"/>
      <c r="FR318" s="4550"/>
      <c r="FS318" s="4550"/>
      <c r="FT318" s="4550"/>
      <c r="FU318" s="4550"/>
      <c r="FV318" s="4550"/>
      <c r="FW318" s="4550"/>
      <c r="FX318" s="4550"/>
      <c r="FY318" s="4550"/>
      <c r="FZ318" s="4550"/>
      <c r="GA318" s="4550"/>
      <c r="GB318" s="4550"/>
      <c r="GC318" s="4550"/>
      <c r="GD318" s="4550"/>
      <c r="GE318" s="4550"/>
      <c r="GF318" s="4550"/>
      <c r="GG318" s="4550"/>
      <c r="GH318" s="4550"/>
      <c r="GI318" s="4550"/>
      <c r="GJ318" s="4550"/>
      <c r="GK318" s="4550"/>
      <c r="GL318" s="4550"/>
      <c r="GM318" s="4550"/>
      <c r="GN318" s="4550"/>
      <c r="GO318" s="4550"/>
      <c r="GP318" s="4550"/>
      <c r="GQ318" s="4550"/>
      <c r="GR318" s="4550"/>
      <c r="GS318" s="4550"/>
      <c r="GT318" s="4550"/>
      <c r="GU318" s="4550"/>
      <c r="GV318" s="4550"/>
      <c r="GW318" s="4550"/>
      <c r="GX318" s="4550"/>
      <c r="GY318" s="4550"/>
      <c r="GZ318" s="4550"/>
      <c r="HA318" s="4550"/>
      <c r="HB318" s="4550"/>
      <c r="HC318" s="4550"/>
      <c r="HD318" s="4550"/>
      <c r="HE318" s="4550"/>
      <c r="HF318" s="4550"/>
      <c r="HG318" s="4550"/>
      <c r="HH318" s="4550"/>
      <c r="HI318" s="4550"/>
      <c r="HJ318" s="4550"/>
      <c r="HK318" s="4550"/>
      <c r="HL318" s="4550"/>
      <c r="HM318" s="4550"/>
      <c r="HN318" s="4550"/>
      <c r="HO318" s="4550"/>
      <c r="HP318" s="4550"/>
      <c r="HQ318" s="4550"/>
      <c r="HR318" s="4550"/>
      <c r="HS318" s="4550"/>
      <c r="HT318" s="4550"/>
      <c r="HU318" s="4550"/>
      <c r="HV318" s="4550"/>
      <c r="HW318" s="4550"/>
      <c r="HX318" s="4550"/>
      <c r="HY318" s="4550"/>
      <c r="HZ318" s="4550"/>
      <c r="IA318" s="4550"/>
      <c r="IB318" s="4550"/>
      <c r="IC318" s="4550"/>
      <c r="ID318" s="4550"/>
      <c r="IE318" s="4550"/>
    </row>
    <row r="319" spans="1:239" s="4549" customFormat="1" ht="12.75" customHeight="1">
      <c r="A319" s="4765"/>
      <c r="B319" s="4734"/>
      <c r="C319" s="4766"/>
      <c r="D319" s="4593"/>
      <c r="E319" s="5003"/>
      <c r="F319" s="4969"/>
      <c r="G319" s="4537"/>
      <c r="H319" s="4537"/>
      <c r="I319" s="4537"/>
      <c r="J319" s="4537"/>
      <c r="K319" s="4537"/>
      <c r="L319" s="4537"/>
      <c r="M319" s="4537"/>
      <c r="N319" s="4537"/>
      <c r="O319" s="4537"/>
      <c r="P319" s="4537"/>
      <c r="Q319" s="4537"/>
      <c r="R319" s="4537"/>
      <c r="S319" s="4537"/>
      <c r="T319" s="4537"/>
      <c r="U319" s="4537"/>
      <c r="V319" s="4537"/>
      <c r="W319" s="4537"/>
      <c r="X319" s="4537"/>
      <c r="Y319" s="4537"/>
      <c r="Z319" s="4537"/>
      <c r="AA319" s="4537"/>
      <c r="AB319" s="4537"/>
      <c r="AC319" s="4537"/>
      <c r="AD319" s="4537"/>
      <c r="AE319" s="4537"/>
      <c r="AF319" s="4537"/>
      <c r="AG319" s="4537"/>
      <c r="AH319" s="4537"/>
      <c r="AI319" s="4537"/>
      <c r="AJ319" s="4537"/>
      <c r="AK319" s="4537"/>
      <c r="AL319" s="4537"/>
      <c r="AM319" s="4537"/>
      <c r="AN319" s="4537"/>
      <c r="AO319" s="4537"/>
      <c r="AP319" s="4537"/>
      <c r="AQ319" s="4537"/>
      <c r="AR319" s="4537"/>
      <c r="AS319" s="4550"/>
      <c r="AT319" s="4550"/>
      <c r="AU319" s="4550"/>
      <c r="AV319" s="4550"/>
      <c r="AW319" s="4550"/>
      <c r="AX319" s="4550"/>
      <c r="AY319" s="4550"/>
      <c r="AZ319" s="4550"/>
      <c r="BA319" s="4550"/>
      <c r="BB319" s="4550"/>
      <c r="BC319" s="4550"/>
      <c r="BD319" s="4550"/>
      <c r="BE319" s="4550"/>
      <c r="BF319" s="4550"/>
      <c r="BG319" s="4550"/>
      <c r="BH319" s="4550"/>
      <c r="BI319" s="4550"/>
      <c r="BJ319" s="4550"/>
      <c r="BK319" s="4550"/>
      <c r="BL319" s="4550"/>
      <c r="BM319" s="4550"/>
      <c r="BN319" s="4550"/>
      <c r="BO319" s="4550"/>
      <c r="BP319" s="4550"/>
      <c r="BQ319" s="4550"/>
      <c r="BR319" s="4550"/>
      <c r="BS319" s="4550"/>
      <c r="BT319" s="4550"/>
      <c r="BU319" s="4550"/>
      <c r="BV319" s="4550"/>
      <c r="BW319" s="4550"/>
      <c r="BX319" s="4550"/>
      <c r="BY319" s="4550"/>
      <c r="BZ319" s="4550"/>
      <c r="CA319" s="4550"/>
      <c r="CB319" s="4550"/>
      <c r="CC319" s="4550"/>
      <c r="CD319" s="4550"/>
      <c r="CE319" s="4550"/>
      <c r="CF319" s="4550"/>
      <c r="CG319" s="4550"/>
      <c r="CH319" s="4550"/>
      <c r="CI319" s="4550"/>
      <c r="CJ319" s="4550"/>
      <c r="CK319" s="4550"/>
      <c r="CL319" s="4550"/>
      <c r="CM319" s="4550"/>
      <c r="CN319" s="4550"/>
      <c r="CO319" s="4550"/>
      <c r="CP319" s="4550"/>
      <c r="CQ319" s="4550"/>
      <c r="CR319" s="4550"/>
      <c r="CS319" s="4550"/>
      <c r="CT319" s="4550"/>
      <c r="CU319" s="4550"/>
      <c r="CV319" s="4550"/>
      <c r="CW319" s="4550"/>
      <c r="CX319" s="4550"/>
      <c r="CY319" s="4550"/>
      <c r="CZ319" s="4550"/>
      <c r="DA319" s="4550"/>
      <c r="DB319" s="4550"/>
      <c r="DC319" s="4550"/>
      <c r="DD319" s="4550"/>
      <c r="DE319" s="4550"/>
      <c r="DF319" s="4550"/>
      <c r="DG319" s="4550"/>
      <c r="DH319" s="4550"/>
      <c r="DI319" s="4550"/>
      <c r="DJ319" s="4550"/>
      <c r="DK319" s="4550"/>
      <c r="DL319" s="4550"/>
      <c r="DM319" s="4550"/>
      <c r="DN319" s="4550"/>
      <c r="DO319" s="4550"/>
      <c r="DP319" s="4550"/>
      <c r="DQ319" s="4550"/>
      <c r="DR319" s="4550"/>
      <c r="DS319" s="4550"/>
      <c r="DT319" s="4550"/>
      <c r="DU319" s="4550"/>
      <c r="DV319" s="4550"/>
      <c r="DW319" s="4550"/>
      <c r="DX319" s="4550"/>
      <c r="DY319" s="4550"/>
      <c r="DZ319" s="4550"/>
      <c r="EA319" s="4550"/>
      <c r="EB319" s="4550"/>
      <c r="EC319" s="4550"/>
      <c r="ED319" s="4550"/>
      <c r="EE319" s="4550"/>
      <c r="EF319" s="4550"/>
      <c r="EG319" s="4550"/>
      <c r="EH319" s="4550"/>
      <c r="EI319" s="4550"/>
      <c r="EJ319" s="4550"/>
      <c r="EK319" s="4550"/>
      <c r="EL319" s="4550"/>
      <c r="EM319" s="4550"/>
      <c r="EN319" s="4550"/>
      <c r="EO319" s="4550"/>
      <c r="EP319" s="4550"/>
      <c r="EQ319" s="4550"/>
      <c r="ER319" s="4550"/>
      <c r="ES319" s="4550"/>
      <c r="ET319" s="4550"/>
      <c r="EU319" s="4550"/>
      <c r="EV319" s="4550"/>
      <c r="EW319" s="4550"/>
      <c r="EX319" s="4550"/>
      <c r="EY319" s="4550"/>
      <c r="EZ319" s="4550"/>
      <c r="FA319" s="4550"/>
      <c r="FB319" s="4550"/>
      <c r="FC319" s="4550"/>
      <c r="FD319" s="4550"/>
      <c r="FE319" s="4550"/>
      <c r="FF319" s="4550"/>
      <c r="FG319" s="4550"/>
      <c r="FH319" s="4550"/>
      <c r="FI319" s="4550"/>
      <c r="FJ319" s="4550"/>
      <c r="FK319" s="4550"/>
      <c r="FL319" s="4550"/>
      <c r="FM319" s="4550"/>
      <c r="FN319" s="4550"/>
      <c r="FO319" s="4550"/>
      <c r="FP319" s="4550"/>
      <c r="FQ319" s="4550"/>
      <c r="FR319" s="4550"/>
      <c r="FS319" s="4550"/>
      <c r="FT319" s="4550"/>
      <c r="FU319" s="4550"/>
      <c r="FV319" s="4550"/>
      <c r="FW319" s="4550"/>
      <c r="FX319" s="4550"/>
      <c r="FY319" s="4550"/>
      <c r="FZ319" s="4550"/>
      <c r="GA319" s="4550"/>
      <c r="GB319" s="4550"/>
      <c r="GC319" s="4550"/>
      <c r="GD319" s="4550"/>
      <c r="GE319" s="4550"/>
      <c r="GF319" s="4550"/>
      <c r="GG319" s="4550"/>
      <c r="GH319" s="4550"/>
      <c r="GI319" s="4550"/>
      <c r="GJ319" s="4550"/>
      <c r="GK319" s="4550"/>
      <c r="GL319" s="4550"/>
      <c r="GM319" s="4550"/>
      <c r="GN319" s="4550"/>
      <c r="GO319" s="4550"/>
      <c r="GP319" s="4550"/>
      <c r="GQ319" s="4550"/>
      <c r="GR319" s="4550"/>
      <c r="GS319" s="4550"/>
      <c r="GT319" s="4550"/>
      <c r="GU319" s="4550"/>
      <c r="GV319" s="4550"/>
      <c r="GW319" s="4550"/>
      <c r="GX319" s="4550"/>
      <c r="GY319" s="4550"/>
      <c r="GZ319" s="4550"/>
      <c r="HA319" s="4550"/>
      <c r="HB319" s="4550"/>
      <c r="HC319" s="4550"/>
      <c r="HD319" s="4550"/>
      <c r="HE319" s="4550"/>
      <c r="HF319" s="4550"/>
      <c r="HG319" s="4550"/>
      <c r="HH319" s="4550"/>
      <c r="HI319" s="4550"/>
      <c r="HJ319" s="4550"/>
      <c r="HK319" s="4550"/>
      <c r="HL319" s="4550"/>
      <c r="HM319" s="4550"/>
      <c r="HN319" s="4550"/>
      <c r="HO319" s="4550"/>
      <c r="HP319" s="4550"/>
      <c r="HQ319" s="4550"/>
      <c r="HR319" s="4550"/>
      <c r="HS319" s="4550"/>
      <c r="HT319" s="4550"/>
      <c r="HU319" s="4550"/>
      <c r="HV319" s="4550"/>
      <c r="HW319" s="4550"/>
      <c r="HX319" s="4550"/>
      <c r="HY319" s="4550"/>
      <c r="HZ319" s="4550"/>
      <c r="IA319" s="4550"/>
      <c r="IB319" s="4550"/>
      <c r="IC319" s="4550"/>
      <c r="ID319" s="4550"/>
      <c r="IE319" s="4550"/>
    </row>
    <row r="320" spans="1:239" s="4549" customFormat="1" ht="15">
      <c r="A320" s="4762">
        <v>15.2</v>
      </c>
      <c r="B320" s="4637" t="s">
        <v>4216</v>
      </c>
      <c r="C320" s="4659"/>
      <c r="D320" s="4593"/>
      <c r="E320" s="5002"/>
      <c r="F320" s="5002"/>
      <c r="G320" s="4537"/>
      <c r="H320" s="4537"/>
      <c r="I320" s="4537"/>
      <c r="J320" s="4537"/>
      <c r="K320" s="4537"/>
      <c r="L320" s="4537"/>
      <c r="M320" s="4537"/>
      <c r="N320" s="4537"/>
      <c r="O320" s="4537"/>
      <c r="P320" s="4537"/>
      <c r="Q320" s="4537"/>
      <c r="R320" s="4537"/>
      <c r="S320" s="4537"/>
      <c r="T320" s="4537"/>
      <c r="U320" s="4537"/>
      <c r="V320" s="4537"/>
      <c r="W320" s="4537"/>
      <c r="X320" s="4537"/>
      <c r="Y320" s="4537"/>
      <c r="Z320" s="4537"/>
      <c r="AA320" s="4537"/>
      <c r="AB320" s="4537"/>
      <c r="AC320" s="4537"/>
      <c r="AD320" s="4537"/>
      <c r="AE320" s="4537"/>
      <c r="AF320" s="4537"/>
      <c r="AG320" s="4537"/>
      <c r="AH320" s="4537"/>
      <c r="AI320" s="4537"/>
      <c r="AJ320" s="4537"/>
      <c r="AK320" s="4537"/>
      <c r="AL320" s="4537"/>
      <c r="AM320" s="4537"/>
      <c r="AN320" s="4537"/>
      <c r="AO320" s="4537"/>
      <c r="AP320" s="4537"/>
      <c r="AQ320" s="4537"/>
      <c r="AR320" s="4537"/>
      <c r="AS320" s="4550"/>
      <c r="AT320" s="4550"/>
      <c r="AU320" s="4550"/>
      <c r="AV320" s="4550"/>
      <c r="AW320" s="4550"/>
      <c r="AX320" s="4550"/>
      <c r="AY320" s="4550"/>
      <c r="AZ320" s="4550"/>
      <c r="BA320" s="4550"/>
      <c r="BB320" s="4550"/>
      <c r="BC320" s="4550"/>
      <c r="BD320" s="4550"/>
      <c r="BE320" s="4550"/>
      <c r="BF320" s="4550"/>
      <c r="BG320" s="4550"/>
      <c r="BH320" s="4550"/>
      <c r="BI320" s="4550"/>
      <c r="BJ320" s="4550"/>
      <c r="BK320" s="4550"/>
      <c r="BL320" s="4550"/>
      <c r="BM320" s="4550"/>
      <c r="BN320" s="4550"/>
      <c r="BO320" s="4550"/>
      <c r="BP320" s="4550"/>
      <c r="BQ320" s="4550"/>
      <c r="BR320" s="4550"/>
      <c r="BS320" s="4550"/>
      <c r="BT320" s="4550"/>
      <c r="BU320" s="4550"/>
      <c r="BV320" s="4550"/>
      <c r="BW320" s="4550"/>
      <c r="BX320" s="4550"/>
      <c r="BY320" s="4550"/>
      <c r="BZ320" s="4550"/>
      <c r="CA320" s="4550"/>
      <c r="CB320" s="4550"/>
      <c r="CC320" s="4550"/>
      <c r="CD320" s="4550"/>
      <c r="CE320" s="4550"/>
      <c r="CF320" s="4550"/>
      <c r="CG320" s="4550"/>
      <c r="CH320" s="4550"/>
      <c r="CI320" s="4550"/>
      <c r="CJ320" s="4550"/>
      <c r="CK320" s="4550"/>
      <c r="CL320" s="4550"/>
      <c r="CM320" s="4550"/>
      <c r="CN320" s="4550"/>
      <c r="CO320" s="4550"/>
      <c r="CP320" s="4550"/>
      <c r="CQ320" s="4550"/>
      <c r="CR320" s="4550"/>
      <c r="CS320" s="4550"/>
      <c r="CT320" s="4550"/>
      <c r="CU320" s="4550"/>
      <c r="CV320" s="4550"/>
      <c r="CW320" s="4550"/>
      <c r="CX320" s="4550"/>
      <c r="CY320" s="4550"/>
      <c r="CZ320" s="4550"/>
      <c r="DA320" s="4550"/>
      <c r="DB320" s="4550"/>
      <c r="DC320" s="4550"/>
      <c r="DD320" s="4550"/>
      <c r="DE320" s="4550"/>
      <c r="DF320" s="4550"/>
      <c r="DG320" s="4550"/>
      <c r="DH320" s="4550"/>
      <c r="DI320" s="4550"/>
      <c r="DJ320" s="4550"/>
      <c r="DK320" s="4550"/>
      <c r="DL320" s="4550"/>
      <c r="DM320" s="4550"/>
      <c r="DN320" s="4550"/>
      <c r="DO320" s="4550"/>
      <c r="DP320" s="4550"/>
      <c r="DQ320" s="4550"/>
      <c r="DR320" s="4550"/>
      <c r="DS320" s="4550"/>
      <c r="DT320" s="4550"/>
      <c r="DU320" s="4550"/>
      <c r="DV320" s="4550"/>
      <c r="DW320" s="4550"/>
      <c r="DX320" s="4550"/>
      <c r="DY320" s="4550"/>
      <c r="DZ320" s="4550"/>
      <c r="EA320" s="4550"/>
      <c r="EB320" s="4550"/>
      <c r="EC320" s="4550"/>
      <c r="ED320" s="4550"/>
      <c r="EE320" s="4550"/>
      <c r="EF320" s="4550"/>
      <c r="EG320" s="4550"/>
      <c r="EH320" s="4550"/>
      <c r="EI320" s="4550"/>
      <c r="EJ320" s="4550"/>
      <c r="EK320" s="4550"/>
      <c r="EL320" s="4550"/>
      <c r="EM320" s="4550"/>
      <c r="EN320" s="4550"/>
      <c r="EO320" s="4550"/>
      <c r="EP320" s="4550"/>
      <c r="EQ320" s="4550"/>
      <c r="ER320" s="4550"/>
      <c r="ES320" s="4550"/>
      <c r="ET320" s="4550"/>
      <c r="EU320" s="4550"/>
      <c r="EV320" s="4550"/>
      <c r="EW320" s="4550"/>
      <c r="EX320" s="4550"/>
      <c r="EY320" s="4550"/>
      <c r="EZ320" s="4550"/>
      <c r="FA320" s="4550"/>
      <c r="FB320" s="4550"/>
      <c r="FC320" s="4550"/>
      <c r="FD320" s="4550"/>
      <c r="FE320" s="4550"/>
      <c r="FF320" s="4550"/>
      <c r="FG320" s="4550"/>
      <c r="FH320" s="4550"/>
      <c r="FI320" s="4550"/>
      <c r="FJ320" s="4550"/>
      <c r="FK320" s="4550"/>
      <c r="FL320" s="4550"/>
      <c r="FM320" s="4550"/>
      <c r="FN320" s="4550"/>
      <c r="FO320" s="4550"/>
      <c r="FP320" s="4550"/>
      <c r="FQ320" s="4550"/>
      <c r="FR320" s="4550"/>
      <c r="FS320" s="4550"/>
      <c r="FT320" s="4550"/>
      <c r="FU320" s="4550"/>
      <c r="FV320" s="4550"/>
      <c r="FW320" s="4550"/>
      <c r="FX320" s="4550"/>
      <c r="FY320" s="4550"/>
      <c r="FZ320" s="4550"/>
      <c r="GA320" s="4550"/>
      <c r="GB320" s="4550"/>
      <c r="GC320" s="4550"/>
      <c r="GD320" s="4550"/>
      <c r="GE320" s="4550"/>
      <c r="GF320" s="4550"/>
      <c r="GG320" s="4550"/>
      <c r="GH320" s="4550"/>
      <c r="GI320" s="4550"/>
      <c r="GJ320" s="4550"/>
      <c r="GK320" s="4550"/>
      <c r="GL320" s="4550"/>
      <c r="GM320" s="4550"/>
      <c r="GN320" s="4550"/>
      <c r="GO320" s="4550"/>
      <c r="GP320" s="4550"/>
      <c r="GQ320" s="4550"/>
      <c r="GR320" s="4550"/>
      <c r="GS320" s="4550"/>
      <c r="GT320" s="4550"/>
      <c r="GU320" s="4550"/>
      <c r="GV320" s="4550"/>
      <c r="GW320" s="4550"/>
      <c r="GX320" s="4550"/>
      <c r="GY320" s="4550"/>
      <c r="GZ320" s="4550"/>
      <c r="HA320" s="4550"/>
      <c r="HB320" s="4550"/>
      <c r="HC320" s="4550"/>
      <c r="HD320" s="4550"/>
      <c r="HE320" s="4550"/>
      <c r="HF320" s="4550"/>
      <c r="HG320" s="4550"/>
      <c r="HH320" s="4550"/>
      <c r="HI320" s="4550"/>
      <c r="HJ320" s="4550"/>
      <c r="HK320" s="4550"/>
      <c r="HL320" s="4550"/>
      <c r="HM320" s="4550"/>
      <c r="HN320" s="4550"/>
      <c r="HO320" s="4550"/>
      <c r="HP320" s="4550"/>
      <c r="HQ320" s="4550"/>
      <c r="HR320" s="4550"/>
      <c r="HS320" s="4550"/>
      <c r="HT320" s="4550"/>
      <c r="HU320" s="4550"/>
      <c r="HV320" s="4550"/>
      <c r="HW320" s="4550"/>
      <c r="HX320" s="4550"/>
      <c r="HY320" s="4550"/>
      <c r="HZ320" s="4550"/>
      <c r="IA320" s="4550"/>
      <c r="IB320" s="4550"/>
      <c r="IC320" s="4550"/>
      <c r="ID320" s="4550"/>
      <c r="IE320" s="4550"/>
    </row>
    <row r="321" spans="1:239" s="4549" customFormat="1" ht="14.1" customHeight="1">
      <c r="A321" s="4708" t="s">
        <v>725</v>
      </c>
      <c r="B321" s="4635" t="s">
        <v>4217</v>
      </c>
      <c r="C321" s="4659">
        <v>2012.5</v>
      </c>
      <c r="D321" s="4593" t="s">
        <v>155</v>
      </c>
      <c r="E321" s="5000"/>
      <c r="F321" s="4969">
        <f t="shared" ref="F321:F334" si="16">ROUND(C321*E321,2)</f>
        <v>0</v>
      </c>
      <c r="G321" s="4537"/>
      <c r="H321" s="4537"/>
      <c r="I321" s="4537"/>
      <c r="J321" s="4537"/>
      <c r="K321" s="4537"/>
      <c r="L321" s="4537"/>
      <c r="M321" s="4537"/>
      <c r="N321" s="4537"/>
      <c r="O321" s="4537"/>
      <c r="P321" s="4537"/>
      <c r="Q321" s="4537"/>
      <c r="R321" s="4537"/>
      <c r="S321" s="4537"/>
      <c r="T321" s="4537"/>
      <c r="U321" s="4537"/>
      <c r="V321" s="4537"/>
      <c r="W321" s="4537"/>
      <c r="X321" s="4537"/>
      <c r="Y321" s="4537"/>
      <c r="Z321" s="4537"/>
      <c r="AA321" s="4537"/>
      <c r="AB321" s="4537"/>
      <c r="AC321" s="4537"/>
      <c r="AD321" s="4537"/>
      <c r="AE321" s="4537"/>
      <c r="AF321" s="4537"/>
      <c r="AG321" s="4537"/>
      <c r="AH321" s="4537"/>
      <c r="AI321" s="4537"/>
      <c r="AJ321" s="4537"/>
      <c r="AK321" s="4537"/>
      <c r="AL321" s="4537"/>
      <c r="AM321" s="4537"/>
      <c r="AN321" s="4537"/>
      <c r="AO321" s="4537"/>
      <c r="AP321" s="4537"/>
      <c r="AQ321" s="4537"/>
      <c r="AR321" s="4537"/>
      <c r="AS321" s="4550"/>
      <c r="AT321" s="4550"/>
      <c r="AU321" s="4550"/>
      <c r="AV321" s="4550"/>
      <c r="AW321" s="4550"/>
      <c r="AX321" s="4550"/>
      <c r="AY321" s="4550"/>
      <c r="AZ321" s="4550"/>
      <c r="BA321" s="4550"/>
      <c r="BB321" s="4550"/>
      <c r="BC321" s="4550"/>
      <c r="BD321" s="4550"/>
      <c r="BE321" s="4550"/>
      <c r="BF321" s="4550"/>
      <c r="BG321" s="4550"/>
      <c r="BH321" s="4550"/>
      <c r="BI321" s="4550"/>
      <c r="BJ321" s="4550"/>
      <c r="BK321" s="4550"/>
      <c r="BL321" s="4550"/>
      <c r="BM321" s="4550"/>
      <c r="BN321" s="4550"/>
      <c r="BO321" s="4550"/>
      <c r="BP321" s="4550"/>
      <c r="BQ321" s="4550"/>
      <c r="BR321" s="4550"/>
      <c r="BS321" s="4550"/>
      <c r="BT321" s="4550"/>
      <c r="BU321" s="4550"/>
      <c r="BV321" s="4550"/>
      <c r="BW321" s="4550"/>
      <c r="BX321" s="4550"/>
      <c r="BY321" s="4550"/>
      <c r="BZ321" s="4550"/>
      <c r="CA321" s="4550"/>
      <c r="CB321" s="4550"/>
      <c r="CC321" s="4550"/>
      <c r="CD321" s="4550"/>
      <c r="CE321" s="4550"/>
      <c r="CF321" s="4550"/>
      <c r="CG321" s="4550"/>
      <c r="CH321" s="4550"/>
      <c r="CI321" s="4550"/>
      <c r="CJ321" s="4550"/>
      <c r="CK321" s="4550"/>
      <c r="CL321" s="4550"/>
      <c r="CM321" s="4550"/>
      <c r="CN321" s="4550"/>
      <c r="CO321" s="4550"/>
      <c r="CP321" s="4550"/>
      <c r="CQ321" s="4550"/>
      <c r="CR321" s="4550"/>
      <c r="CS321" s="4550"/>
      <c r="CT321" s="4550"/>
      <c r="CU321" s="4550"/>
      <c r="CV321" s="4550"/>
      <c r="CW321" s="4550"/>
      <c r="CX321" s="4550"/>
      <c r="CY321" s="4550"/>
      <c r="CZ321" s="4550"/>
      <c r="DA321" s="4550"/>
      <c r="DB321" s="4550"/>
      <c r="DC321" s="4550"/>
      <c r="DD321" s="4550"/>
      <c r="DE321" s="4550"/>
      <c r="DF321" s="4550"/>
      <c r="DG321" s="4550"/>
      <c r="DH321" s="4550"/>
      <c r="DI321" s="4550"/>
      <c r="DJ321" s="4550"/>
      <c r="DK321" s="4550"/>
      <c r="DL321" s="4550"/>
      <c r="DM321" s="4550"/>
      <c r="DN321" s="4550"/>
      <c r="DO321" s="4550"/>
      <c r="DP321" s="4550"/>
      <c r="DQ321" s="4550"/>
      <c r="DR321" s="4550"/>
      <c r="DS321" s="4550"/>
      <c r="DT321" s="4550"/>
      <c r="DU321" s="4550"/>
      <c r="DV321" s="4550"/>
      <c r="DW321" s="4550"/>
      <c r="DX321" s="4550"/>
      <c r="DY321" s="4550"/>
      <c r="DZ321" s="4550"/>
      <c r="EA321" s="4550"/>
      <c r="EB321" s="4550"/>
      <c r="EC321" s="4550"/>
      <c r="ED321" s="4550"/>
      <c r="EE321" s="4550"/>
      <c r="EF321" s="4550"/>
      <c r="EG321" s="4550"/>
      <c r="EH321" s="4550"/>
      <c r="EI321" s="4550"/>
      <c r="EJ321" s="4550"/>
      <c r="EK321" s="4550"/>
      <c r="EL321" s="4550"/>
      <c r="EM321" s="4550"/>
      <c r="EN321" s="4550"/>
      <c r="EO321" s="4550"/>
      <c r="EP321" s="4550"/>
      <c r="EQ321" s="4550"/>
      <c r="ER321" s="4550"/>
      <c r="ES321" s="4550"/>
      <c r="ET321" s="4550"/>
      <c r="EU321" s="4550"/>
      <c r="EV321" s="4550"/>
      <c r="EW321" s="4550"/>
      <c r="EX321" s="4550"/>
      <c r="EY321" s="4550"/>
      <c r="EZ321" s="4550"/>
      <c r="FA321" s="4550"/>
      <c r="FB321" s="4550"/>
      <c r="FC321" s="4550"/>
      <c r="FD321" s="4550"/>
      <c r="FE321" s="4550"/>
      <c r="FF321" s="4550"/>
      <c r="FG321" s="4550"/>
      <c r="FH321" s="4550"/>
      <c r="FI321" s="4550"/>
      <c r="FJ321" s="4550"/>
      <c r="FK321" s="4550"/>
      <c r="FL321" s="4550"/>
      <c r="FM321" s="4550"/>
      <c r="FN321" s="4550"/>
      <c r="FO321" s="4550"/>
      <c r="FP321" s="4550"/>
      <c r="FQ321" s="4550"/>
      <c r="FR321" s="4550"/>
      <c r="FS321" s="4550"/>
      <c r="FT321" s="4550"/>
      <c r="FU321" s="4550"/>
      <c r="FV321" s="4550"/>
      <c r="FW321" s="4550"/>
      <c r="FX321" s="4550"/>
      <c r="FY321" s="4550"/>
      <c r="FZ321" s="4550"/>
      <c r="GA321" s="4550"/>
      <c r="GB321" s="4550"/>
      <c r="GC321" s="4550"/>
      <c r="GD321" s="4550"/>
      <c r="GE321" s="4550"/>
      <c r="GF321" s="4550"/>
      <c r="GG321" s="4550"/>
      <c r="GH321" s="4550"/>
      <c r="GI321" s="4550"/>
      <c r="GJ321" s="4550"/>
      <c r="GK321" s="4550"/>
      <c r="GL321" s="4550"/>
      <c r="GM321" s="4550"/>
      <c r="GN321" s="4550"/>
      <c r="GO321" s="4550"/>
      <c r="GP321" s="4550"/>
      <c r="GQ321" s="4550"/>
      <c r="GR321" s="4550"/>
      <c r="GS321" s="4550"/>
      <c r="GT321" s="4550"/>
      <c r="GU321" s="4550"/>
      <c r="GV321" s="4550"/>
      <c r="GW321" s="4550"/>
      <c r="GX321" s="4550"/>
      <c r="GY321" s="4550"/>
      <c r="GZ321" s="4550"/>
      <c r="HA321" s="4550"/>
      <c r="HB321" s="4550"/>
      <c r="HC321" s="4550"/>
      <c r="HD321" s="4550"/>
      <c r="HE321" s="4550"/>
      <c r="HF321" s="4550"/>
      <c r="HG321" s="4550"/>
      <c r="HH321" s="4550"/>
      <c r="HI321" s="4550"/>
      <c r="HJ321" s="4550"/>
      <c r="HK321" s="4550"/>
      <c r="HL321" s="4550"/>
      <c r="HM321" s="4550"/>
      <c r="HN321" s="4550"/>
      <c r="HO321" s="4550"/>
      <c r="HP321" s="4550"/>
      <c r="HQ321" s="4550"/>
      <c r="HR321" s="4550"/>
      <c r="HS321" s="4550"/>
      <c r="HT321" s="4550"/>
      <c r="HU321" s="4550"/>
      <c r="HV321" s="4550"/>
      <c r="HW321" s="4550"/>
      <c r="HX321" s="4550"/>
      <c r="HY321" s="4550"/>
      <c r="HZ321" s="4550"/>
      <c r="IA321" s="4550"/>
      <c r="IB321" s="4550"/>
      <c r="IC321" s="4550"/>
      <c r="ID321" s="4550"/>
      <c r="IE321" s="4550"/>
    </row>
    <row r="322" spans="1:239" s="4549" customFormat="1" ht="14.1" customHeight="1">
      <c r="A322" s="4708" t="s">
        <v>726</v>
      </c>
      <c r="B322" s="4635" t="s">
        <v>4218</v>
      </c>
      <c r="C322" s="4659">
        <v>2415</v>
      </c>
      <c r="D322" s="4593" t="s">
        <v>155</v>
      </c>
      <c r="E322" s="5000"/>
      <c r="F322" s="4969">
        <f t="shared" si="16"/>
        <v>0</v>
      </c>
      <c r="G322" s="4537"/>
      <c r="H322" s="4537"/>
      <c r="I322" s="4537"/>
      <c r="J322" s="4537"/>
      <c r="K322" s="4537"/>
      <c r="L322" s="4537"/>
      <c r="M322" s="4537"/>
      <c r="N322" s="4537"/>
      <c r="O322" s="4537"/>
      <c r="P322" s="4537"/>
      <c r="Q322" s="4537"/>
      <c r="R322" s="4537"/>
      <c r="S322" s="4537"/>
      <c r="T322" s="4537"/>
      <c r="U322" s="4537"/>
      <c r="V322" s="4537"/>
      <c r="W322" s="4537"/>
      <c r="X322" s="4537"/>
      <c r="Y322" s="4537"/>
      <c r="Z322" s="4537"/>
      <c r="AA322" s="4537"/>
      <c r="AB322" s="4537"/>
      <c r="AC322" s="4537"/>
      <c r="AD322" s="4537"/>
      <c r="AE322" s="4537"/>
      <c r="AF322" s="4537"/>
      <c r="AG322" s="4537"/>
      <c r="AH322" s="4537"/>
      <c r="AI322" s="4537"/>
      <c r="AJ322" s="4537"/>
      <c r="AK322" s="4537"/>
      <c r="AL322" s="4537"/>
      <c r="AM322" s="4537"/>
      <c r="AN322" s="4537"/>
      <c r="AO322" s="4537"/>
      <c r="AP322" s="4537"/>
      <c r="AQ322" s="4537"/>
      <c r="AR322" s="4537"/>
      <c r="AS322" s="4550"/>
      <c r="AT322" s="4550"/>
      <c r="AU322" s="4550"/>
      <c r="AV322" s="4550"/>
      <c r="AW322" s="4550"/>
      <c r="AX322" s="4550"/>
      <c r="AY322" s="4550"/>
      <c r="AZ322" s="4550"/>
      <c r="BA322" s="4550"/>
      <c r="BB322" s="4550"/>
      <c r="BC322" s="4550"/>
      <c r="BD322" s="4550"/>
      <c r="BE322" s="4550"/>
      <c r="BF322" s="4550"/>
      <c r="BG322" s="4550"/>
      <c r="BH322" s="4550"/>
      <c r="BI322" s="4550"/>
      <c r="BJ322" s="4550"/>
      <c r="BK322" s="4550"/>
      <c r="BL322" s="4550"/>
      <c r="BM322" s="4550"/>
      <c r="BN322" s="4550"/>
      <c r="BO322" s="4550"/>
      <c r="BP322" s="4550"/>
      <c r="BQ322" s="4550"/>
      <c r="BR322" s="4550"/>
      <c r="BS322" s="4550"/>
      <c r="BT322" s="4550"/>
      <c r="BU322" s="4550"/>
      <c r="BV322" s="4550"/>
      <c r="BW322" s="4550"/>
      <c r="BX322" s="4550"/>
      <c r="BY322" s="4550"/>
      <c r="BZ322" s="4550"/>
      <c r="CA322" s="4550"/>
      <c r="CB322" s="4550"/>
      <c r="CC322" s="4550"/>
      <c r="CD322" s="4550"/>
      <c r="CE322" s="4550"/>
      <c r="CF322" s="4550"/>
      <c r="CG322" s="4550"/>
      <c r="CH322" s="4550"/>
      <c r="CI322" s="4550"/>
      <c r="CJ322" s="4550"/>
      <c r="CK322" s="4550"/>
      <c r="CL322" s="4550"/>
      <c r="CM322" s="4550"/>
      <c r="CN322" s="4550"/>
      <c r="CO322" s="4550"/>
      <c r="CP322" s="4550"/>
      <c r="CQ322" s="4550"/>
      <c r="CR322" s="4550"/>
      <c r="CS322" s="4550"/>
      <c r="CT322" s="4550"/>
      <c r="CU322" s="4550"/>
      <c r="CV322" s="4550"/>
      <c r="CW322" s="4550"/>
      <c r="CX322" s="4550"/>
      <c r="CY322" s="4550"/>
      <c r="CZ322" s="4550"/>
      <c r="DA322" s="4550"/>
      <c r="DB322" s="4550"/>
      <c r="DC322" s="4550"/>
      <c r="DD322" s="4550"/>
      <c r="DE322" s="4550"/>
      <c r="DF322" s="4550"/>
      <c r="DG322" s="4550"/>
      <c r="DH322" s="4550"/>
      <c r="DI322" s="4550"/>
      <c r="DJ322" s="4550"/>
      <c r="DK322" s="4550"/>
      <c r="DL322" s="4550"/>
      <c r="DM322" s="4550"/>
      <c r="DN322" s="4550"/>
      <c r="DO322" s="4550"/>
      <c r="DP322" s="4550"/>
      <c r="DQ322" s="4550"/>
      <c r="DR322" s="4550"/>
      <c r="DS322" s="4550"/>
      <c r="DT322" s="4550"/>
      <c r="DU322" s="4550"/>
      <c r="DV322" s="4550"/>
      <c r="DW322" s="4550"/>
      <c r="DX322" s="4550"/>
      <c r="DY322" s="4550"/>
      <c r="DZ322" s="4550"/>
      <c r="EA322" s="4550"/>
      <c r="EB322" s="4550"/>
      <c r="EC322" s="4550"/>
      <c r="ED322" s="4550"/>
      <c r="EE322" s="4550"/>
      <c r="EF322" s="4550"/>
      <c r="EG322" s="4550"/>
      <c r="EH322" s="4550"/>
      <c r="EI322" s="4550"/>
      <c r="EJ322" s="4550"/>
      <c r="EK322" s="4550"/>
      <c r="EL322" s="4550"/>
      <c r="EM322" s="4550"/>
      <c r="EN322" s="4550"/>
      <c r="EO322" s="4550"/>
      <c r="EP322" s="4550"/>
      <c r="EQ322" s="4550"/>
      <c r="ER322" s="4550"/>
      <c r="ES322" s="4550"/>
      <c r="ET322" s="4550"/>
      <c r="EU322" s="4550"/>
      <c r="EV322" s="4550"/>
      <c r="EW322" s="4550"/>
      <c r="EX322" s="4550"/>
      <c r="EY322" s="4550"/>
      <c r="EZ322" s="4550"/>
      <c r="FA322" s="4550"/>
      <c r="FB322" s="4550"/>
      <c r="FC322" s="4550"/>
      <c r="FD322" s="4550"/>
      <c r="FE322" s="4550"/>
      <c r="FF322" s="4550"/>
      <c r="FG322" s="4550"/>
      <c r="FH322" s="4550"/>
      <c r="FI322" s="4550"/>
      <c r="FJ322" s="4550"/>
      <c r="FK322" s="4550"/>
      <c r="FL322" s="4550"/>
      <c r="FM322" s="4550"/>
      <c r="FN322" s="4550"/>
      <c r="FO322" s="4550"/>
      <c r="FP322" s="4550"/>
      <c r="FQ322" s="4550"/>
      <c r="FR322" s="4550"/>
      <c r="FS322" s="4550"/>
      <c r="FT322" s="4550"/>
      <c r="FU322" s="4550"/>
      <c r="FV322" s="4550"/>
      <c r="FW322" s="4550"/>
      <c r="FX322" s="4550"/>
      <c r="FY322" s="4550"/>
      <c r="FZ322" s="4550"/>
      <c r="GA322" s="4550"/>
      <c r="GB322" s="4550"/>
      <c r="GC322" s="4550"/>
      <c r="GD322" s="4550"/>
      <c r="GE322" s="4550"/>
      <c r="GF322" s="4550"/>
      <c r="GG322" s="4550"/>
      <c r="GH322" s="4550"/>
      <c r="GI322" s="4550"/>
      <c r="GJ322" s="4550"/>
      <c r="GK322" s="4550"/>
      <c r="GL322" s="4550"/>
      <c r="GM322" s="4550"/>
      <c r="GN322" s="4550"/>
      <c r="GO322" s="4550"/>
      <c r="GP322" s="4550"/>
      <c r="GQ322" s="4550"/>
      <c r="GR322" s="4550"/>
      <c r="GS322" s="4550"/>
      <c r="GT322" s="4550"/>
      <c r="GU322" s="4550"/>
      <c r="GV322" s="4550"/>
      <c r="GW322" s="4550"/>
      <c r="GX322" s="4550"/>
      <c r="GY322" s="4550"/>
      <c r="GZ322" s="4550"/>
      <c r="HA322" s="4550"/>
      <c r="HB322" s="4550"/>
      <c r="HC322" s="4550"/>
      <c r="HD322" s="4550"/>
      <c r="HE322" s="4550"/>
      <c r="HF322" s="4550"/>
      <c r="HG322" s="4550"/>
      <c r="HH322" s="4550"/>
      <c r="HI322" s="4550"/>
      <c r="HJ322" s="4550"/>
      <c r="HK322" s="4550"/>
      <c r="HL322" s="4550"/>
      <c r="HM322" s="4550"/>
      <c r="HN322" s="4550"/>
      <c r="HO322" s="4550"/>
      <c r="HP322" s="4550"/>
      <c r="HQ322" s="4550"/>
      <c r="HR322" s="4550"/>
      <c r="HS322" s="4550"/>
      <c r="HT322" s="4550"/>
      <c r="HU322" s="4550"/>
      <c r="HV322" s="4550"/>
      <c r="HW322" s="4550"/>
      <c r="HX322" s="4550"/>
      <c r="HY322" s="4550"/>
      <c r="HZ322" s="4550"/>
      <c r="IA322" s="4550"/>
      <c r="IB322" s="4550"/>
      <c r="IC322" s="4550"/>
      <c r="ID322" s="4550"/>
      <c r="IE322" s="4550"/>
    </row>
    <row r="323" spans="1:239" s="4549" customFormat="1" ht="14.1" customHeight="1">
      <c r="A323" s="4708" t="s">
        <v>727</v>
      </c>
      <c r="B323" s="4635" t="s">
        <v>4219</v>
      </c>
      <c r="C323" s="4659">
        <v>6</v>
      </c>
      <c r="D323" s="4596" t="s">
        <v>2433</v>
      </c>
      <c r="E323" s="5000"/>
      <c r="F323" s="4969">
        <f t="shared" si="16"/>
        <v>0</v>
      </c>
      <c r="G323" s="4537"/>
      <c r="H323" s="4537"/>
      <c r="I323" s="4537"/>
      <c r="J323" s="4537"/>
      <c r="K323" s="4537"/>
      <c r="L323" s="4537"/>
      <c r="M323" s="4537"/>
      <c r="N323" s="4537"/>
      <c r="O323" s="4537"/>
      <c r="P323" s="4537"/>
      <c r="Q323" s="4537"/>
      <c r="R323" s="4537"/>
      <c r="S323" s="4537"/>
      <c r="T323" s="4537"/>
      <c r="U323" s="4537"/>
      <c r="V323" s="4537"/>
      <c r="W323" s="4537"/>
      <c r="X323" s="4537"/>
      <c r="Y323" s="4537"/>
      <c r="Z323" s="4537"/>
      <c r="AA323" s="4537"/>
      <c r="AB323" s="4537"/>
      <c r="AC323" s="4537"/>
      <c r="AD323" s="4537"/>
      <c r="AE323" s="4537"/>
      <c r="AF323" s="4537"/>
      <c r="AG323" s="4537"/>
      <c r="AH323" s="4537"/>
      <c r="AI323" s="4537"/>
      <c r="AJ323" s="4537"/>
      <c r="AK323" s="4537"/>
      <c r="AL323" s="4537"/>
      <c r="AM323" s="4537"/>
      <c r="AN323" s="4537"/>
      <c r="AO323" s="4537"/>
      <c r="AP323" s="4537"/>
      <c r="AQ323" s="4537"/>
      <c r="AR323" s="4537"/>
      <c r="AS323" s="4550"/>
      <c r="AT323" s="4550"/>
      <c r="AU323" s="4550"/>
      <c r="AV323" s="4550"/>
      <c r="AW323" s="4550"/>
      <c r="AX323" s="4550"/>
      <c r="AY323" s="4550"/>
      <c r="AZ323" s="4550"/>
      <c r="BA323" s="4550"/>
      <c r="BB323" s="4550"/>
      <c r="BC323" s="4550"/>
      <c r="BD323" s="4550"/>
      <c r="BE323" s="4550"/>
      <c r="BF323" s="4550"/>
      <c r="BG323" s="4550"/>
      <c r="BH323" s="4550"/>
      <c r="BI323" s="4550"/>
      <c r="BJ323" s="4550"/>
      <c r="BK323" s="4550"/>
      <c r="BL323" s="4550"/>
      <c r="BM323" s="4550"/>
      <c r="BN323" s="4550"/>
      <c r="BO323" s="4550"/>
      <c r="BP323" s="4550"/>
      <c r="BQ323" s="4550"/>
      <c r="BR323" s="4550"/>
      <c r="BS323" s="4550"/>
      <c r="BT323" s="4550"/>
      <c r="BU323" s="4550"/>
      <c r="BV323" s="4550"/>
      <c r="BW323" s="4550"/>
      <c r="BX323" s="4550"/>
      <c r="BY323" s="4550"/>
      <c r="BZ323" s="4550"/>
      <c r="CA323" s="4550"/>
      <c r="CB323" s="4550"/>
      <c r="CC323" s="4550"/>
      <c r="CD323" s="4550"/>
      <c r="CE323" s="4550"/>
      <c r="CF323" s="4550"/>
      <c r="CG323" s="4550"/>
      <c r="CH323" s="4550"/>
      <c r="CI323" s="4550"/>
      <c r="CJ323" s="4550"/>
      <c r="CK323" s="4550"/>
      <c r="CL323" s="4550"/>
      <c r="CM323" s="4550"/>
      <c r="CN323" s="4550"/>
      <c r="CO323" s="4550"/>
      <c r="CP323" s="4550"/>
      <c r="CQ323" s="4550"/>
      <c r="CR323" s="4550"/>
      <c r="CS323" s="4550"/>
      <c r="CT323" s="4550"/>
      <c r="CU323" s="4550"/>
      <c r="CV323" s="4550"/>
      <c r="CW323" s="4550"/>
      <c r="CX323" s="4550"/>
      <c r="CY323" s="4550"/>
      <c r="CZ323" s="4550"/>
      <c r="DA323" s="4550"/>
      <c r="DB323" s="4550"/>
      <c r="DC323" s="4550"/>
      <c r="DD323" s="4550"/>
      <c r="DE323" s="4550"/>
      <c r="DF323" s="4550"/>
      <c r="DG323" s="4550"/>
      <c r="DH323" s="4550"/>
      <c r="DI323" s="4550"/>
      <c r="DJ323" s="4550"/>
      <c r="DK323" s="4550"/>
      <c r="DL323" s="4550"/>
      <c r="DM323" s="4550"/>
      <c r="DN323" s="4550"/>
      <c r="DO323" s="4550"/>
      <c r="DP323" s="4550"/>
      <c r="DQ323" s="4550"/>
      <c r="DR323" s="4550"/>
      <c r="DS323" s="4550"/>
      <c r="DT323" s="4550"/>
      <c r="DU323" s="4550"/>
      <c r="DV323" s="4550"/>
      <c r="DW323" s="4550"/>
      <c r="DX323" s="4550"/>
      <c r="DY323" s="4550"/>
      <c r="DZ323" s="4550"/>
      <c r="EA323" s="4550"/>
      <c r="EB323" s="4550"/>
      <c r="EC323" s="4550"/>
      <c r="ED323" s="4550"/>
      <c r="EE323" s="4550"/>
      <c r="EF323" s="4550"/>
      <c r="EG323" s="4550"/>
      <c r="EH323" s="4550"/>
      <c r="EI323" s="4550"/>
      <c r="EJ323" s="4550"/>
      <c r="EK323" s="4550"/>
      <c r="EL323" s="4550"/>
      <c r="EM323" s="4550"/>
      <c r="EN323" s="4550"/>
      <c r="EO323" s="4550"/>
      <c r="EP323" s="4550"/>
      <c r="EQ323" s="4550"/>
      <c r="ER323" s="4550"/>
      <c r="ES323" s="4550"/>
      <c r="ET323" s="4550"/>
      <c r="EU323" s="4550"/>
      <c r="EV323" s="4550"/>
      <c r="EW323" s="4550"/>
      <c r="EX323" s="4550"/>
      <c r="EY323" s="4550"/>
      <c r="EZ323" s="4550"/>
      <c r="FA323" s="4550"/>
      <c r="FB323" s="4550"/>
      <c r="FC323" s="4550"/>
      <c r="FD323" s="4550"/>
      <c r="FE323" s="4550"/>
      <c r="FF323" s="4550"/>
      <c r="FG323" s="4550"/>
      <c r="FH323" s="4550"/>
      <c r="FI323" s="4550"/>
      <c r="FJ323" s="4550"/>
      <c r="FK323" s="4550"/>
      <c r="FL323" s="4550"/>
      <c r="FM323" s="4550"/>
      <c r="FN323" s="4550"/>
      <c r="FO323" s="4550"/>
      <c r="FP323" s="4550"/>
      <c r="FQ323" s="4550"/>
      <c r="FR323" s="4550"/>
      <c r="FS323" s="4550"/>
      <c r="FT323" s="4550"/>
      <c r="FU323" s="4550"/>
      <c r="FV323" s="4550"/>
      <c r="FW323" s="4550"/>
      <c r="FX323" s="4550"/>
      <c r="FY323" s="4550"/>
      <c r="FZ323" s="4550"/>
      <c r="GA323" s="4550"/>
      <c r="GB323" s="4550"/>
      <c r="GC323" s="4550"/>
      <c r="GD323" s="4550"/>
      <c r="GE323" s="4550"/>
      <c r="GF323" s="4550"/>
      <c r="GG323" s="4550"/>
      <c r="GH323" s="4550"/>
      <c r="GI323" s="4550"/>
      <c r="GJ323" s="4550"/>
      <c r="GK323" s="4550"/>
      <c r="GL323" s="4550"/>
      <c r="GM323" s="4550"/>
      <c r="GN323" s="4550"/>
      <c r="GO323" s="4550"/>
      <c r="GP323" s="4550"/>
      <c r="GQ323" s="4550"/>
      <c r="GR323" s="4550"/>
      <c r="GS323" s="4550"/>
      <c r="GT323" s="4550"/>
      <c r="GU323" s="4550"/>
      <c r="GV323" s="4550"/>
      <c r="GW323" s="4550"/>
      <c r="GX323" s="4550"/>
      <c r="GY323" s="4550"/>
      <c r="GZ323" s="4550"/>
      <c r="HA323" s="4550"/>
      <c r="HB323" s="4550"/>
      <c r="HC323" s="4550"/>
      <c r="HD323" s="4550"/>
      <c r="HE323" s="4550"/>
      <c r="HF323" s="4550"/>
      <c r="HG323" s="4550"/>
      <c r="HH323" s="4550"/>
      <c r="HI323" s="4550"/>
      <c r="HJ323" s="4550"/>
      <c r="HK323" s="4550"/>
      <c r="HL323" s="4550"/>
      <c r="HM323" s="4550"/>
      <c r="HN323" s="4550"/>
      <c r="HO323" s="4550"/>
      <c r="HP323" s="4550"/>
      <c r="HQ323" s="4550"/>
      <c r="HR323" s="4550"/>
      <c r="HS323" s="4550"/>
      <c r="HT323" s="4550"/>
      <c r="HU323" s="4550"/>
      <c r="HV323" s="4550"/>
      <c r="HW323" s="4550"/>
      <c r="HX323" s="4550"/>
      <c r="HY323" s="4550"/>
      <c r="HZ323" s="4550"/>
      <c r="IA323" s="4550"/>
      <c r="IB323" s="4550"/>
      <c r="IC323" s="4550"/>
      <c r="ID323" s="4550"/>
      <c r="IE323" s="4550"/>
    </row>
    <row r="324" spans="1:239" s="4549" customFormat="1" ht="14.1" customHeight="1">
      <c r="A324" s="4708" t="s">
        <v>4220</v>
      </c>
      <c r="B324" s="4635" t="s">
        <v>4221</v>
      </c>
      <c r="C324" s="4659">
        <v>1200</v>
      </c>
      <c r="D324" s="4596" t="s">
        <v>2433</v>
      </c>
      <c r="E324" s="5000"/>
      <c r="F324" s="4969">
        <f t="shared" si="16"/>
        <v>0</v>
      </c>
      <c r="G324" s="4537"/>
      <c r="H324" s="4537"/>
      <c r="I324" s="4537"/>
      <c r="J324" s="4537"/>
      <c r="K324" s="4537"/>
      <c r="L324" s="4537"/>
      <c r="M324" s="4537"/>
      <c r="N324" s="4537"/>
      <c r="O324" s="4537"/>
      <c r="P324" s="4537"/>
      <c r="Q324" s="4537"/>
      <c r="R324" s="4537"/>
      <c r="S324" s="4537"/>
      <c r="T324" s="4537"/>
      <c r="U324" s="4537"/>
      <c r="V324" s="4537"/>
      <c r="W324" s="4537"/>
      <c r="X324" s="4537"/>
      <c r="Y324" s="4537"/>
      <c r="Z324" s="4537"/>
      <c r="AA324" s="4537"/>
      <c r="AB324" s="4537"/>
      <c r="AC324" s="4537"/>
      <c r="AD324" s="4537"/>
      <c r="AE324" s="4537"/>
      <c r="AF324" s="4537"/>
      <c r="AG324" s="4537"/>
      <c r="AH324" s="4537"/>
      <c r="AI324" s="4537"/>
      <c r="AJ324" s="4537"/>
      <c r="AK324" s="4537"/>
      <c r="AL324" s="4537"/>
      <c r="AM324" s="4537"/>
      <c r="AN324" s="4537"/>
      <c r="AO324" s="4537"/>
      <c r="AP324" s="4537"/>
      <c r="AQ324" s="4537"/>
      <c r="AR324" s="4537"/>
      <c r="AS324" s="4550"/>
      <c r="AT324" s="4550"/>
      <c r="AU324" s="4550"/>
      <c r="AV324" s="4550"/>
      <c r="AW324" s="4550"/>
      <c r="AX324" s="4550"/>
      <c r="AY324" s="4550"/>
      <c r="AZ324" s="4550"/>
      <c r="BA324" s="4550"/>
      <c r="BB324" s="4550"/>
      <c r="BC324" s="4550"/>
      <c r="BD324" s="4550"/>
      <c r="BE324" s="4550"/>
      <c r="BF324" s="4550"/>
      <c r="BG324" s="4550"/>
      <c r="BH324" s="4550"/>
      <c r="BI324" s="4550"/>
      <c r="BJ324" s="4550"/>
      <c r="BK324" s="4550"/>
      <c r="BL324" s="4550"/>
      <c r="BM324" s="4550"/>
      <c r="BN324" s="4550"/>
      <c r="BO324" s="4550"/>
      <c r="BP324" s="4550"/>
      <c r="BQ324" s="4550"/>
      <c r="BR324" s="4550"/>
      <c r="BS324" s="4550"/>
      <c r="BT324" s="4550"/>
      <c r="BU324" s="4550"/>
      <c r="BV324" s="4550"/>
      <c r="BW324" s="4550"/>
      <c r="BX324" s="4550"/>
      <c r="BY324" s="4550"/>
      <c r="BZ324" s="4550"/>
      <c r="CA324" s="4550"/>
      <c r="CB324" s="4550"/>
      <c r="CC324" s="4550"/>
      <c r="CD324" s="4550"/>
      <c r="CE324" s="4550"/>
      <c r="CF324" s="4550"/>
      <c r="CG324" s="4550"/>
      <c r="CH324" s="4550"/>
      <c r="CI324" s="4550"/>
      <c r="CJ324" s="4550"/>
      <c r="CK324" s="4550"/>
      <c r="CL324" s="4550"/>
      <c r="CM324" s="4550"/>
      <c r="CN324" s="4550"/>
      <c r="CO324" s="4550"/>
      <c r="CP324" s="4550"/>
      <c r="CQ324" s="4550"/>
      <c r="CR324" s="4550"/>
      <c r="CS324" s="4550"/>
      <c r="CT324" s="4550"/>
      <c r="CU324" s="4550"/>
      <c r="CV324" s="4550"/>
      <c r="CW324" s="4550"/>
      <c r="CX324" s="4550"/>
      <c r="CY324" s="4550"/>
      <c r="CZ324" s="4550"/>
      <c r="DA324" s="4550"/>
      <c r="DB324" s="4550"/>
      <c r="DC324" s="4550"/>
      <c r="DD324" s="4550"/>
      <c r="DE324" s="4550"/>
      <c r="DF324" s="4550"/>
      <c r="DG324" s="4550"/>
      <c r="DH324" s="4550"/>
      <c r="DI324" s="4550"/>
      <c r="DJ324" s="4550"/>
      <c r="DK324" s="4550"/>
      <c r="DL324" s="4550"/>
      <c r="DM324" s="4550"/>
      <c r="DN324" s="4550"/>
      <c r="DO324" s="4550"/>
      <c r="DP324" s="4550"/>
      <c r="DQ324" s="4550"/>
      <c r="DR324" s="4550"/>
      <c r="DS324" s="4550"/>
      <c r="DT324" s="4550"/>
      <c r="DU324" s="4550"/>
      <c r="DV324" s="4550"/>
      <c r="DW324" s="4550"/>
      <c r="DX324" s="4550"/>
      <c r="DY324" s="4550"/>
      <c r="DZ324" s="4550"/>
      <c r="EA324" s="4550"/>
      <c r="EB324" s="4550"/>
      <c r="EC324" s="4550"/>
      <c r="ED324" s="4550"/>
      <c r="EE324" s="4550"/>
      <c r="EF324" s="4550"/>
      <c r="EG324" s="4550"/>
      <c r="EH324" s="4550"/>
      <c r="EI324" s="4550"/>
      <c r="EJ324" s="4550"/>
      <c r="EK324" s="4550"/>
      <c r="EL324" s="4550"/>
      <c r="EM324" s="4550"/>
      <c r="EN324" s="4550"/>
      <c r="EO324" s="4550"/>
      <c r="EP324" s="4550"/>
      <c r="EQ324" s="4550"/>
      <c r="ER324" s="4550"/>
      <c r="ES324" s="4550"/>
      <c r="ET324" s="4550"/>
      <c r="EU324" s="4550"/>
      <c r="EV324" s="4550"/>
      <c r="EW324" s="4550"/>
      <c r="EX324" s="4550"/>
      <c r="EY324" s="4550"/>
      <c r="EZ324" s="4550"/>
      <c r="FA324" s="4550"/>
      <c r="FB324" s="4550"/>
      <c r="FC324" s="4550"/>
      <c r="FD324" s="4550"/>
      <c r="FE324" s="4550"/>
      <c r="FF324" s="4550"/>
      <c r="FG324" s="4550"/>
      <c r="FH324" s="4550"/>
      <c r="FI324" s="4550"/>
      <c r="FJ324" s="4550"/>
      <c r="FK324" s="4550"/>
      <c r="FL324" s="4550"/>
      <c r="FM324" s="4550"/>
      <c r="FN324" s="4550"/>
      <c r="FO324" s="4550"/>
      <c r="FP324" s="4550"/>
      <c r="FQ324" s="4550"/>
      <c r="FR324" s="4550"/>
      <c r="FS324" s="4550"/>
      <c r="FT324" s="4550"/>
      <c r="FU324" s="4550"/>
      <c r="FV324" s="4550"/>
      <c r="FW324" s="4550"/>
      <c r="FX324" s="4550"/>
      <c r="FY324" s="4550"/>
      <c r="FZ324" s="4550"/>
      <c r="GA324" s="4550"/>
      <c r="GB324" s="4550"/>
      <c r="GC324" s="4550"/>
      <c r="GD324" s="4550"/>
      <c r="GE324" s="4550"/>
      <c r="GF324" s="4550"/>
      <c r="GG324" s="4550"/>
      <c r="GH324" s="4550"/>
      <c r="GI324" s="4550"/>
      <c r="GJ324" s="4550"/>
      <c r="GK324" s="4550"/>
      <c r="GL324" s="4550"/>
      <c r="GM324" s="4550"/>
      <c r="GN324" s="4550"/>
      <c r="GO324" s="4550"/>
      <c r="GP324" s="4550"/>
      <c r="GQ324" s="4550"/>
      <c r="GR324" s="4550"/>
      <c r="GS324" s="4550"/>
      <c r="GT324" s="4550"/>
      <c r="GU324" s="4550"/>
      <c r="GV324" s="4550"/>
      <c r="GW324" s="4550"/>
      <c r="GX324" s="4550"/>
      <c r="GY324" s="4550"/>
      <c r="GZ324" s="4550"/>
      <c r="HA324" s="4550"/>
      <c r="HB324" s="4550"/>
      <c r="HC324" s="4550"/>
      <c r="HD324" s="4550"/>
      <c r="HE324" s="4550"/>
      <c r="HF324" s="4550"/>
      <c r="HG324" s="4550"/>
      <c r="HH324" s="4550"/>
      <c r="HI324" s="4550"/>
      <c r="HJ324" s="4550"/>
      <c r="HK324" s="4550"/>
      <c r="HL324" s="4550"/>
      <c r="HM324" s="4550"/>
      <c r="HN324" s="4550"/>
      <c r="HO324" s="4550"/>
      <c r="HP324" s="4550"/>
      <c r="HQ324" s="4550"/>
      <c r="HR324" s="4550"/>
      <c r="HS324" s="4550"/>
      <c r="HT324" s="4550"/>
      <c r="HU324" s="4550"/>
      <c r="HV324" s="4550"/>
      <c r="HW324" s="4550"/>
      <c r="HX324" s="4550"/>
      <c r="HY324" s="4550"/>
      <c r="HZ324" s="4550"/>
      <c r="IA324" s="4550"/>
      <c r="IB324" s="4550"/>
      <c r="IC324" s="4550"/>
      <c r="ID324" s="4550"/>
      <c r="IE324" s="4550"/>
    </row>
    <row r="325" spans="1:239" s="4549" customFormat="1" ht="13.5" customHeight="1">
      <c r="A325" s="4708"/>
      <c r="B325" s="4734"/>
      <c r="C325" s="4659"/>
      <c r="D325" s="4596"/>
      <c r="E325" s="5000"/>
      <c r="F325" s="4969"/>
      <c r="G325" s="4537"/>
      <c r="H325" s="4537"/>
      <c r="I325" s="4537"/>
      <c r="J325" s="4537"/>
      <c r="K325" s="4537"/>
      <c r="L325" s="4537"/>
      <c r="M325" s="4537"/>
      <c r="N325" s="4537"/>
      <c r="O325" s="4537"/>
      <c r="P325" s="4537"/>
      <c r="Q325" s="4537"/>
      <c r="R325" s="4537"/>
      <c r="S325" s="4537"/>
      <c r="T325" s="4537"/>
      <c r="U325" s="4537"/>
      <c r="V325" s="4537"/>
      <c r="W325" s="4537"/>
      <c r="X325" s="4537"/>
      <c r="Y325" s="4537"/>
      <c r="Z325" s="4537"/>
      <c r="AA325" s="4537"/>
      <c r="AB325" s="4537"/>
      <c r="AC325" s="4537"/>
      <c r="AD325" s="4537"/>
      <c r="AE325" s="4537"/>
      <c r="AF325" s="4537"/>
      <c r="AG325" s="4537"/>
      <c r="AH325" s="4537"/>
      <c r="AI325" s="4537"/>
      <c r="AJ325" s="4537"/>
      <c r="AK325" s="4537"/>
      <c r="AL325" s="4537"/>
      <c r="AM325" s="4537"/>
      <c r="AN325" s="4537"/>
      <c r="AO325" s="4537"/>
      <c r="AP325" s="4537"/>
      <c r="AQ325" s="4537"/>
      <c r="AR325" s="4537"/>
      <c r="AS325" s="4550"/>
      <c r="AT325" s="4550"/>
      <c r="AU325" s="4550"/>
      <c r="AV325" s="4550"/>
      <c r="AW325" s="4550"/>
      <c r="AX325" s="4550"/>
      <c r="AY325" s="4550"/>
      <c r="AZ325" s="4550"/>
      <c r="BA325" s="4550"/>
      <c r="BB325" s="4550"/>
      <c r="BC325" s="4550"/>
      <c r="BD325" s="4550"/>
      <c r="BE325" s="4550"/>
      <c r="BF325" s="4550"/>
      <c r="BG325" s="4550"/>
      <c r="BH325" s="4550"/>
      <c r="BI325" s="4550"/>
      <c r="BJ325" s="4550"/>
      <c r="BK325" s="4550"/>
      <c r="BL325" s="4550"/>
      <c r="BM325" s="4550"/>
      <c r="BN325" s="4550"/>
      <c r="BO325" s="4550"/>
      <c r="BP325" s="4550"/>
      <c r="BQ325" s="4550"/>
      <c r="BR325" s="4550"/>
      <c r="BS325" s="4550"/>
      <c r="BT325" s="4550"/>
      <c r="BU325" s="4550"/>
      <c r="BV325" s="4550"/>
      <c r="BW325" s="4550"/>
      <c r="BX325" s="4550"/>
      <c r="BY325" s="4550"/>
      <c r="BZ325" s="4550"/>
      <c r="CA325" s="4550"/>
      <c r="CB325" s="4550"/>
      <c r="CC325" s="4550"/>
      <c r="CD325" s="4550"/>
      <c r="CE325" s="4550"/>
      <c r="CF325" s="4550"/>
      <c r="CG325" s="4550"/>
      <c r="CH325" s="4550"/>
      <c r="CI325" s="4550"/>
      <c r="CJ325" s="4550"/>
      <c r="CK325" s="4550"/>
      <c r="CL325" s="4550"/>
      <c r="CM325" s="4550"/>
      <c r="CN325" s="4550"/>
      <c r="CO325" s="4550"/>
      <c r="CP325" s="4550"/>
      <c r="CQ325" s="4550"/>
      <c r="CR325" s="4550"/>
      <c r="CS325" s="4550"/>
      <c r="CT325" s="4550"/>
      <c r="CU325" s="4550"/>
      <c r="CV325" s="4550"/>
      <c r="CW325" s="4550"/>
      <c r="CX325" s="4550"/>
      <c r="CY325" s="4550"/>
      <c r="CZ325" s="4550"/>
      <c r="DA325" s="4550"/>
      <c r="DB325" s="4550"/>
      <c r="DC325" s="4550"/>
      <c r="DD325" s="4550"/>
      <c r="DE325" s="4550"/>
      <c r="DF325" s="4550"/>
      <c r="DG325" s="4550"/>
      <c r="DH325" s="4550"/>
      <c r="DI325" s="4550"/>
      <c r="DJ325" s="4550"/>
      <c r="DK325" s="4550"/>
      <c r="DL325" s="4550"/>
      <c r="DM325" s="4550"/>
      <c r="DN325" s="4550"/>
      <c r="DO325" s="4550"/>
      <c r="DP325" s="4550"/>
      <c r="DQ325" s="4550"/>
      <c r="DR325" s="4550"/>
      <c r="DS325" s="4550"/>
      <c r="DT325" s="4550"/>
      <c r="DU325" s="4550"/>
      <c r="DV325" s="4550"/>
      <c r="DW325" s="4550"/>
      <c r="DX325" s="4550"/>
      <c r="DY325" s="4550"/>
      <c r="DZ325" s="4550"/>
      <c r="EA325" s="4550"/>
      <c r="EB325" s="4550"/>
      <c r="EC325" s="4550"/>
      <c r="ED325" s="4550"/>
      <c r="EE325" s="4550"/>
      <c r="EF325" s="4550"/>
      <c r="EG325" s="4550"/>
      <c r="EH325" s="4550"/>
      <c r="EI325" s="4550"/>
      <c r="EJ325" s="4550"/>
      <c r="EK325" s="4550"/>
      <c r="EL325" s="4550"/>
      <c r="EM325" s="4550"/>
      <c r="EN325" s="4550"/>
      <c r="EO325" s="4550"/>
      <c r="EP325" s="4550"/>
      <c r="EQ325" s="4550"/>
      <c r="ER325" s="4550"/>
      <c r="ES325" s="4550"/>
      <c r="ET325" s="4550"/>
      <c r="EU325" s="4550"/>
      <c r="EV325" s="4550"/>
      <c r="EW325" s="4550"/>
      <c r="EX325" s="4550"/>
      <c r="EY325" s="4550"/>
      <c r="EZ325" s="4550"/>
      <c r="FA325" s="4550"/>
      <c r="FB325" s="4550"/>
      <c r="FC325" s="4550"/>
      <c r="FD325" s="4550"/>
      <c r="FE325" s="4550"/>
      <c r="FF325" s="4550"/>
      <c r="FG325" s="4550"/>
      <c r="FH325" s="4550"/>
      <c r="FI325" s="4550"/>
      <c r="FJ325" s="4550"/>
      <c r="FK325" s="4550"/>
      <c r="FL325" s="4550"/>
      <c r="FM325" s="4550"/>
      <c r="FN325" s="4550"/>
      <c r="FO325" s="4550"/>
      <c r="FP325" s="4550"/>
      <c r="FQ325" s="4550"/>
      <c r="FR325" s="4550"/>
      <c r="FS325" s="4550"/>
      <c r="FT325" s="4550"/>
      <c r="FU325" s="4550"/>
      <c r="FV325" s="4550"/>
      <c r="FW325" s="4550"/>
      <c r="FX325" s="4550"/>
      <c r="FY325" s="4550"/>
      <c r="FZ325" s="4550"/>
      <c r="GA325" s="4550"/>
      <c r="GB325" s="4550"/>
      <c r="GC325" s="4550"/>
      <c r="GD325" s="4550"/>
      <c r="GE325" s="4550"/>
      <c r="GF325" s="4550"/>
      <c r="GG325" s="4550"/>
      <c r="GH325" s="4550"/>
      <c r="GI325" s="4550"/>
      <c r="GJ325" s="4550"/>
      <c r="GK325" s="4550"/>
      <c r="GL325" s="4550"/>
      <c r="GM325" s="4550"/>
      <c r="GN325" s="4550"/>
      <c r="GO325" s="4550"/>
      <c r="GP325" s="4550"/>
      <c r="GQ325" s="4550"/>
      <c r="GR325" s="4550"/>
      <c r="GS325" s="4550"/>
      <c r="GT325" s="4550"/>
      <c r="GU325" s="4550"/>
      <c r="GV325" s="4550"/>
      <c r="GW325" s="4550"/>
      <c r="GX325" s="4550"/>
      <c r="GY325" s="4550"/>
      <c r="GZ325" s="4550"/>
      <c r="HA325" s="4550"/>
      <c r="HB325" s="4550"/>
      <c r="HC325" s="4550"/>
      <c r="HD325" s="4550"/>
      <c r="HE325" s="4550"/>
      <c r="HF325" s="4550"/>
      <c r="HG325" s="4550"/>
      <c r="HH325" s="4550"/>
      <c r="HI325" s="4550"/>
      <c r="HJ325" s="4550"/>
      <c r="HK325" s="4550"/>
      <c r="HL325" s="4550"/>
      <c r="HM325" s="4550"/>
      <c r="HN325" s="4550"/>
      <c r="HO325" s="4550"/>
      <c r="HP325" s="4550"/>
      <c r="HQ325" s="4550"/>
      <c r="HR325" s="4550"/>
      <c r="HS325" s="4550"/>
      <c r="HT325" s="4550"/>
      <c r="HU325" s="4550"/>
      <c r="HV325" s="4550"/>
      <c r="HW325" s="4550"/>
      <c r="HX325" s="4550"/>
      <c r="HY325" s="4550"/>
      <c r="HZ325" s="4550"/>
      <c r="IA325" s="4550"/>
      <c r="IB325" s="4550"/>
      <c r="IC325" s="4550"/>
      <c r="ID325" s="4550"/>
      <c r="IE325" s="4550"/>
    </row>
    <row r="326" spans="1:239" s="4549" customFormat="1" ht="13.5" customHeight="1">
      <c r="A326" s="4762">
        <v>15.3</v>
      </c>
      <c r="B326" s="4637" t="s">
        <v>4222</v>
      </c>
      <c r="C326" s="4677"/>
      <c r="D326" s="4600"/>
      <c r="E326" s="5000"/>
      <c r="F326" s="4969"/>
      <c r="G326" s="4537"/>
      <c r="H326" s="4537"/>
      <c r="I326" s="4537"/>
      <c r="J326" s="4537"/>
      <c r="K326" s="4537"/>
      <c r="L326" s="4537"/>
      <c r="M326" s="4537"/>
      <c r="N326" s="4537"/>
      <c r="O326" s="4537"/>
      <c r="P326" s="4537"/>
      <c r="Q326" s="4537"/>
      <c r="R326" s="4537"/>
      <c r="S326" s="4537"/>
      <c r="T326" s="4537"/>
      <c r="U326" s="4537"/>
      <c r="V326" s="4537"/>
      <c r="W326" s="4537"/>
      <c r="X326" s="4537"/>
      <c r="Y326" s="4537"/>
      <c r="Z326" s="4537"/>
      <c r="AA326" s="4537"/>
      <c r="AB326" s="4537"/>
      <c r="AC326" s="4537"/>
      <c r="AD326" s="4537"/>
      <c r="AE326" s="4537"/>
      <c r="AF326" s="4537"/>
      <c r="AG326" s="4537"/>
      <c r="AH326" s="4537"/>
      <c r="AI326" s="4537"/>
      <c r="AJ326" s="4537"/>
      <c r="AK326" s="4537"/>
      <c r="AL326" s="4537"/>
      <c r="AM326" s="4537"/>
      <c r="AN326" s="4537"/>
      <c r="AO326" s="4537"/>
      <c r="AP326" s="4537"/>
      <c r="AQ326" s="4537"/>
      <c r="AR326" s="4537"/>
      <c r="AS326" s="4550"/>
      <c r="AT326" s="4550"/>
      <c r="AU326" s="4550"/>
      <c r="AV326" s="4550"/>
      <c r="AW326" s="4550"/>
      <c r="AX326" s="4550"/>
      <c r="AY326" s="4550"/>
      <c r="AZ326" s="4550"/>
      <c r="BA326" s="4550"/>
      <c r="BB326" s="4550"/>
      <c r="BC326" s="4550"/>
      <c r="BD326" s="4550"/>
      <c r="BE326" s="4550"/>
      <c r="BF326" s="4550"/>
      <c r="BG326" s="4550"/>
      <c r="BH326" s="4550"/>
      <c r="BI326" s="4550"/>
      <c r="BJ326" s="4550"/>
      <c r="BK326" s="4550"/>
      <c r="BL326" s="4550"/>
      <c r="BM326" s="4550"/>
      <c r="BN326" s="4550"/>
      <c r="BO326" s="4550"/>
      <c r="BP326" s="4550"/>
      <c r="BQ326" s="4550"/>
      <c r="BR326" s="4550"/>
      <c r="BS326" s="4550"/>
      <c r="BT326" s="4550"/>
      <c r="BU326" s="4550"/>
      <c r="BV326" s="4550"/>
      <c r="BW326" s="4550"/>
      <c r="BX326" s="4550"/>
      <c r="BY326" s="4550"/>
      <c r="BZ326" s="4550"/>
      <c r="CA326" s="4550"/>
      <c r="CB326" s="4550"/>
      <c r="CC326" s="4550"/>
      <c r="CD326" s="4550"/>
      <c r="CE326" s="4550"/>
      <c r="CF326" s="4550"/>
      <c r="CG326" s="4550"/>
      <c r="CH326" s="4550"/>
      <c r="CI326" s="4550"/>
      <c r="CJ326" s="4550"/>
      <c r="CK326" s="4550"/>
      <c r="CL326" s="4550"/>
      <c r="CM326" s="4550"/>
      <c r="CN326" s="4550"/>
      <c r="CO326" s="4550"/>
      <c r="CP326" s="4550"/>
      <c r="CQ326" s="4550"/>
      <c r="CR326" s="4550"/>
      <c r="CS326" s="4550"/>
      <c r="CT326" s="4550"/>
      <c r="CU326" s="4550"/>
      <c r="CV326" s="4550"/>
      <c r="CW326" s="4550"/>
      <c r="CX326" s="4550"/>
      <c r="CY326" s="4550"/>
      <c r="CZ326" s="4550"/>
      <c r="DA326" s="4550"/>
      <c r="DB326" s="4550"/>
      <c r="DC326" s="4550"/>
      <c r="DD326" s="4550"/>
      <c r="DE326" s="4550"/>
      <c r="DF326" s="4550"/>
      <c r="DG326" s="4550"/>
      <c r="DH326" s="4550"/>
      <c r="DI326" s="4550"/>
      <c r="DJ326" s="4550"/>
      <c r="DK326" s="4550"/>
      <c r="DL326" s="4550"/>
      <c r="DM326" s="4550"/>
      <c r="DN326" s="4550"/>
      <c r="DO326" s="4550"/>
      <c r="DP326" s="4550"/>
      <c r="DQ326" s="4550"/>
      <c r="DR326" s="4550"/>
      <c r="DS326" s="4550"/>
      <c r="DT326" s="4550"/>
      <c r="DU326" s="4550"/>
      <c r="DV326" s="4550"/>
      <c r="DW326" s="4550"/>
      <c r="DX326" s="4550"/>
      <c r="DY326" s="4550"/>
      <c r="DZ326" s="4550"/>
      <c r="EA326" s="4550"/>
      <c r="EB326" s="4550"/>
      <c r="EC326" s="4550"/>
      <c r="ED326" s="4550"/>
      <c r="EE326" s="4550"/>
      <c r="EF326" s="4550"/>
      <c r="EG326" s="4550"/>
      <c r="EH326" s="4550"/>
      <c r="EI326" s="4550"/>
      <c r="EJ326" s="4550"/>
      <c r="EK326" s="4550"/>
      <c r="EL326" s="4550"/>
      <c r="EM326" s="4550"/>
      <c r="EN326" s="4550"/>
      <c r="EO326" s="4550"/>
      <c r="EP326" s="4550"/>
      <c r="EQ326" s="4550"/>
      <c r="ER326" s="4550"/>
      <c r="ES326" s="4550"/>
      <c r="ET326" s="4550"/>
      <c r="EU326" s="4550"/>
      <c r="EV326" s="4550"/>
      <c r="EW326" s="4550"/>
      <c r="EX326" s="4550"/>
      <c r="EY326" s="4550"/>
      <c r="EZ326" s="4550"/>
      <c r="FA326" s="4550"/>
      <c r="FB326" s="4550"/>
      <c r="FC326" s="4550"/>
      <c r="FD326" s="4550"/>
      <c r="FE326" s="4550"/>
      <c r="FF326" s="4550"/>
      <c r="FG326" s="4550"/>
      <c r="FH326" s="4550"/>
      <c r="FI326" s="4550"/>
      <c r="FJ326" s="4550"/>
      <c r="FK326" s="4550"/>
      <c r="FL326" s="4550"/>
      <c r="FM326" s="4550"/>
      <c r="FN326" s="4550"/>
      <c r="FO326" s="4550"/>
      <c r="FP326" s="4550"/>
      <c r="FQ326" s="4550"/>
      <c r="FR326" s="4550"/>
      <c r="FS326" s="4550"/>
      <c r="FT326" s="4550"/>
      <c r="FU326" s="4550"/>
      <c r="FV326" s="4550"/>
      <c r="FW326" s="4550"/>
      <c r="FX326" s="4550"/>
      <c r="FY326" s="4550"/>
      <c r="FZ326" s="4550"/>
      <c r="GA326" s="4550"/>
      <c r="GB326" s="4550"/>
      <c r="GC326" s="4550"/>
      <c r="GD326" s="4550"/>
      <c r="GE326" s="4550"/>
      <c r="GF326" s="4550"/>
      <c r="GG326" s="4550"/>
      <c r="GH326" s="4550"/>
      <c r="GI326" s="4550"/>
      <c r="GJ326" s="4550"/>
      <c r="GK326" s="4550"/>
      <c r="GL326" s="4550"/>
      <c r="GM326" s="4550"/>
      <c r="GN326" s="4550"/>
      <c r="GO326" s="4550"/>
      <c r="GP326" s="4550"/>
      <c r="GQ326" s="4550"/>
      <c r="GR326" s="4550"/>
      <c r="GS326" s="4550"/>
      <c r="GT326" s="4550"/>
      <c r="GU326" s="4550"/>
      <c r="GV326" s="4550"/>
      <c r="GW326" s="4550"/>
      <c r="GX326" s="4550"/>
      <c r="GY326" s="4550"/>
      <c r="GZ326" s="4550"/>
      <c r="HA326" s="4550"/>
      <c r="HB326" s="4550"/>
      <c r="HC326" s="4550"/>
      <c r="HD326" s="4550"/>
      <c r="HE326" s="4550"/>
      <c r="HF326" s="4550"/>
      <c r="HG326" s="4550"/>
      <c r="HH326" s="4550"/>
      <c r="HI326" s="4550"/>
      <c r="HJ326" s="4550"/>
      <c r="HK326" s="4550"/>
      <c r="HL326" s="4550"/>
      <c r="HM326" s="4550"/>
      <c r="HN326" s="4550"/>
      <c r="HO326" s="4550"/>
      <c r="HP326" s="4550"/>
      <c r="HQ326" s="4550"/>
      <c r="HR326" s="4550"/>
      <c r="HS326" s="4550"/>
      <c r="HT326" s="4550"/>
      <c r="HU326" s="4550"/>
      <c r="HV326" s="4550"/>
      <c r="HW326" s="4550"/>
      <c r="HX326" s="4550"/>
      <c r="HY326" s="4550"/>
      <c r="HZ326" s="4550"/>
      <c r="IA326" s="4550"/>
      <c r="IB326" s="4550"/>
      <c r="IC326" s="4550"/>
      <c r="ID326" s="4550"/>
      <c r="IE326" s="4550"/>
    </row>
    <row r="327" spans="1:239" s="4549" customFormat="1" ht="13.5" customHeight="1">
      <c r="A327" s="4708" t="s">
        <v>3855</v>
      </c>
      <c r="B327" s="4635" t="s">
        <v>4665</v>
      </c>
      <c r="C327" s="4677">
        <v>697.68</v>
      </c>
      <c r="D327" s="4707" t="s">
        <v>2432</v>
      </c>
      <c r="E327" s="5000"/>
      <c r="F327" s="4969">
        <f>ROUND(C327*E327,2)</f>
        <v>0</v>
      </c>
      <c r="G327" s="4537"/>
      <c r="H327" s="4537"/>
      <c r="I327" s="4537"/>
      <c r="J327" s="4537"/>
      <c r="K327" s="4537"/>
      <c r="L327" s="4537"/>
      <c r="M327" s="4537"/>
      <c r="N327" s="4537"/>
      <c r="O327" s="4537"/>
      <c r="P327" s="4537"/>
      <c r="Q327" s="4537"/>
      <c r="R327" s="4537"/>
      <c r="S327" s="4537"/>
      <c r="T327" s="4537"/>
      <c r="U327" s="4537"/>
      <c r="V327" s="4537"/>
      <c r="W327" s="4537"/>
      <c r="X327" s="4537"/>
      <c r="Y327" s="4537"/>
      <c r="Z327" s="4537"/>
      <c r="AA327" s="4537"/>
      <c r="AB327" s="4537"/>
      <c r="AC327" s="4537"/>
      <c r="AD327" s="4537"/>
      <c r="AE327" s="4537"/>
      <c r="AF327" s="4537"/>
      <c r="AG327" s="4537"/>
      <c r="AH327" s="4537"/>
      <c r="AI327" s="4537"/>
      <c r="AJ327" s="4537"/>
      <c r="AK327" s="4537"/>
      <c r="AL327" s="4537"/>
      <c r="AM327" s="4537"/>
      <c r="AN327" s="4537"/>
      <c r="AO327" s="4537"/>
      <c r="AP327" s="4537"/>
      <c r="AQ327" s="4537"/>
      <c r="AR327" s="4537"/>
      <c r="AS327" s="4550"/>
      <c r="AT327" s="4550"/>
      <c r="AU327" s="4550"/>
      <c r="AV327" s="4550"/>
      <c r="AW327" s="4550"/>
      <c r="AX327" s="4550"/>
      <c r="AY327" s="4550"/>
      <c r="AZ327" s="4550"/>
      <c r="BA327" s="4550"/>
      <c r="BB327" s="4550"/>
      <c r="BC327" s="4550"/>
      <c r="BD327" s="4550"/>
      <c r="BE327" s="4550"/>
      <c r="BF327" s="4550"/>
      <c r="BG327" s="4550"/>
      <c r="BH327" s="4550"/>
      <c r="BI327" s="4550"/>
      <c r="BJ327" s="4550"/>
      <c r="BK327" s="4550"/>
      <c r="BL327" s="4550"/>
      <c r="BM327" s="4550"/>
      <c r="BN327" s="4550"/>
      <c r="BO327" s="4550"/>
      <c r="BP327" s="4550"/>
      <c r="BQ327" s="4550"/>
      <c r="BR327" s="4550"/>
      <c r="BS327" s="4550"/>
      <c r="BT327" s="4550"/>
      <c r="BU327" s="4550"/>
      <c r="BV327" s="4550"/>
      <c r="BW327" s="4550"/>
      <c r="BX327" s="4550"/>
      <c r="BY327" s="4550"/>
      <c r="BZ327" s="4550"/>
      <c r="CA327" s="4550"/>
      <c r="CB327" s="4550"/>
      <c r="CC327" s="4550"/>
      <c r="CD327" s="4550"/>
      <c r="CE327" s="4550"/>
      <c r="CF327" s="4550"/>
      <c r="CG327" s="4550"/>
      <c r="CH327" s="4550"/>
      <c r="CI327" s="4550"/>
      <c r="CJ327" s="4550"/>
      <c r="CK327" s="4550"/>
      <c r="CL327" s="4550"/>
      <c r="CM327" s="4550"/>
      <c r="CN327" s="4550"/>
      <c r="CO327" s="4550"/>
      <c r="CP327" s="4550"/>
      <c r="CQ327" s="4550"/>
      <c r="CR327" s="4550"/>
      <c r="CS327" s="4550"/>
      <c r="CT327" s="4550"/>
      <c r="CU327" s="4550"/>
      <c r="CV327" s="4550"/>
      <c r="CW327" s="4550"/>
      <c r="CX327" s="4550"/>
      <c r="CY327" s="4550"/>
      <c r="CZ327" s="4550"/>
      <c r="DA327" s="4550"/>
      <c r="DB327" s="4550"/>
      <c r="DC327" s="4550"/>
      <c r="DD327" s="4550"/>
      <c r="DE327" s="4550"/>
      <c r="DF327" s="4550"/>
      <c r="DG327" s="4550"/>
      <c r="DH327" s="4550"/>
      <c r="DI327" s="4550"/>
      <c r="DJ327" s="4550"/>
      <c r="DK327" s="4550"/>
      <c r="DL327" s="4550"/>
      <c r="DM327" s="4550"/>
      <c r="DN327" s="4550"/>
      <c r="DO327" s="4550"/>
      <c r="DP327" s="4550"/>
      <c r="DQ327" s="4550"/>
      <c r="DR327" s="4550"/>
      <c r="DS327" s="4550"/>
      <c r="DT327" s="4550"/>
      <c r="DU327" s="4550"/>
      <c r="DV327" s="4550"/>
      <c r="DW327" s="4550"/>
      <c r="DX327" s="4550"/>
      <c r="DY327" s="4550"/>
      <c r="DZ327" s="4550"/>
      <c r="EA327" s="4550"/>
      <c r="EB327" s="4550"/>
      <c r="EC327" s="4550"/>
      <c r="ED327" s="4550"/>
      <c r="EE327" s="4550"/>
      <c r="EF327" s="4550"/>
      <c r="EG327" s="4550"/>
      <c r="EH327" s="4550"/>
      <c r="EI327" s="4550"/>
      <c r="EJ327" s="4550"/>
      <c r="EK327" s="4550"/>
      <c r="EL327" s="4550"/>
      <c r="EM327" s="4550"/>
      <c r="EN327" s="4550"/>
      <c r="EO327" s="4550"/>
      <c r="EP327" s="4550"/>
      <c r="EQ327" s="4550"/>
      <c r="ER327" s="4550"/>
      <c r="ES327" s="4550"/>
      <c r="ET327" s="4550"/>
      <c r="EU327" s="4550"/>
      <c r="EV327" s="4550"/>
      <c r="EW327" s="4550"/>
      <c r="EX327" s="4550"/>
      <c r="EY327" s="4550"/>
      <c r="EZ327" s="4550"/>
      <c r="FA327" s="4550"/>
      <c r="FB327" s="4550"/>
      <c r="FC327" s="4550"/>
      <c r="FD327" s="4550"/>
      <c r="FE327" s="4550"/>
      <c r="FF327" s="4550"/>
      <c r="FG327" s="4550"/>
      <c r="FH327" s="4550"/>
      <c r="FI327" s="4550"/>
      <c r="FJ327" s="4550"/>
      <c r="FK327" s="4550"/>
      <c r="FL327" s="4550"/>
      <c r="FM327" s="4550"/>
      <c r="FN327" s="4550"/>
      <c r="FO327" s="4550"/>
      <c r="FP327" s="4550"/>
      <c r="FQ327" s="4550"/>
      <c r="FR327" s="4550"/>
      <c r="FS327" s="4550"/>
      <c r="FT327" s="4550"/>
      <c r="FU327" s="4550"/>
      <c r="FV327" s="4550"/>
      <c r="FW327" s="4550"/>
      <c r="FX327" s="4550"/>
      <c r="FY327" s="4550"/>
      <c r="FZ327" s="4550"/>
      <c r="GA327" s="4550"/>
      <c r="GB327" s="4550"/>
      <c r="GC327" s="4550"/>
      <c r="GD327" s="4550"/>
      <c r="GE327" s="4550"/>
      <c r="GF327" s="4550"/>
      <c r="GG327" s="4550"/>
      <c r="GH327" s="4550"/>
      <c r="GI327" s="4550"/>
      <c r="GJ327" s="4550"/>
      <c r="GK327" s="4550"/>
      <c r="GL327" s="4550"/>
      <c r="GM327" s="4550"/>
      <c r="GN327" s="4550"/>
      <c r="GO327" s="4550"/>
      <c r="GP327" s="4550"/>
      <c r="GQ327" s="4550"/>
      <c r="GR327" s="4550"/>
      <c r="GS327" s="4550"/>
      <c r="GT327" s="4550"/>
      <c r="GU327" s="4550"/>
      <c r="GV327" s="4550"/>
      <c r="GW327" s="4550"/>
      <c r="GX327" s="4550"/>
      <c r="GY327" s="4550"/>
      <c r="GZ327" s="4550"/>
      <c r="HA327" s="4550"/>
      <c r="HB327" s="4550"/>
      <c r="HC327" s="4550"/>
      <c r="HD327" s="4550"/>
      <c r="HE327" s="4550"/>
      <c r="HF327" s="4550"/>
      <c r="HG327" s="4550"/>
      <c r="HH327" s="4550"/>
      <c r="HI327" s="4550"/>
      <c r="HJ327" s="4550"/>
      <c r="HK327" s="4550"/>
      <c r="HL327" s="4550"/>
      <c r="HM327" s="4550"/>
      <c r="HN327" s="4550"/>
      <c r="HO327" s="4550"/>
      <c r="HP327" s="4550"/>
      <c r="HQ327" s="4550"/>
      <c r="HR327" s="4550"/>
      <c r="HS327" s="4550"/>
      <c r="HT327" s="4550"/>
      <c r="HU327" s="4550"/>
      <c r="HV327" s="4550"/>
      <c r="HW327" s="4550"/>
      <c r="HX327" s="4550"/>
      <c r="HY327" s="4550"/>
      <c r="HZ327" s="4550"/>
      <c r="IA327" s="4550"/>
      <c r="IB327" s="4550"/>
      <c r="IC327" s="4550"/>
      <c r="ID327" s="4550"/>
      <c r="IE327" s="4550"/>
    </row>
    <row r="328" spans="1:239" s="4549" customFormat="1" ht="13.5" customHeight="1">
      <c r="A328" s="4708" t="s">
        <v>3915</v>
      </c>
      <c r="B328" s="4635" t="s">
        <v>4666</v>
      </c>
      <c r="C328" s="4677">
        <v>74.78</v>
      </c>
      <c r="D328" s="4593" t="s">
        <v>3970</v>
      </c>
      <c r="E328" s="5000"/>
      <c r="F328" s="4969">
        <f t="shared" si="16"/>
        <v>0</v>
      </c>
      <c r="G328" s="4537"/>
      <c r="H328" s="4537"/>
      <c r="I328" s="4537"/>
      <c r="J328" s="4537"/>
      <c r="K328" s="4537"/>
      <c r="L328" s="4537"/>
      <c r="M328" s="4537"/>
      <c r="N328" s="4537"/>
      <c r="O328" s="4537"/>
      <c r="P328" s="4537"/>
      <c r="Q328" s="4537"/>
      <c r="R328" s="4537"/>
      <c r="S328" s="4537"/>
      <c r="T328" s="4537"/>
      <c r="U328" s="4537"/>
      <c r="V328" s="4537"/>
      <c r="W328" s="4537"/>
      <c r="X328" s="4537"/>
      <c r="Y328" s="4537"/>
      <c r="Z328" s="4537"/>
      <c r="AA328" s="4537"/>
      <c r="AB328" s="4537"/>
      <c r="AC328" s="4537"/>
      <c r="AD328" s="4537"/>
      <c r="AE328" s="4537"/>
      <c r="AF328" s="4537"/>
      <c r="AG328" s="4537"/>
      <c r="AH328" s="4537"/>
      <c r="AI328" s="4537"/>
      <c r="AJ328" s="4537"/>
      <c r="AK328" s="4537"/>
      <c r="AL328" s="4537"/>
      <c r="AM328" s="4537"/>
      <c r="AN328" s="4537"/>
      <c r="AO328" s="4537"/>
      <c r="AP328" s="4537"/>
      <c r="AQ328" s="4537"/>
      <c r="AR328" s="4537"/>
      <c r="AS328" s="4550"/>
      <c r="AT328" s="4550"/>
      <c r="AU328" s="4550"/>
      <c r="AV328" s="4550"/>
      <c r="AW328" s="4550"/>
      <c r="AX328" s="4550"/>
      <c r="AY328" s="4550"/>
      <c r="AZ328" s="4550"/>
      <c r="BA328" s="4550"/>
      <c r="BB328" s="4550"/>
      <c r="BC328" s="4550"/>
      <c r="BD328" s="4550"/>
      <c r="BE328" s="4550"/>
      <c r="BF328" s="4550"/>
      <c r="BG328" s="4550"/>
      <c r="BH328" s="4550"/>
      <c r="BI328" s="4550"/>
      <c r="BJ328" s="4550"/>
      <c r="BK328" s="4550"/>
      <c r="BL328" s="4550"/>
      <c r="BM328" s="4550"/>
      <c r="BN328" s="4550"/>
      <c r="BO328" s="4550"/>
      <c r="BP328" s="4550"/>
      <c r="BQ328" s="4550"/>
      <c r="BR328" s="4550"/>
      <c r="BS328" s="4550"/>
      <c r="BT328" s="4550"/>
      <c r="BU328" s="4550"/>
      <c r="BV328" s="4550"/>
      <c r="BW328" s="4550"/>
      <c r="BX328" s="4550"/>
      <c r="BY328" s="4550"/>
      <c r="BZ328" s="4550"/>
      <c r="CA328" s="4550"/>
      <c r="CB328" s="4550"/>
      <c r="CC328" s="4550"/>
      <c r="CD328" s="4550"/>
      <c r="CE328" s="4550"/>
      <c r="CF328" s="4550"/>
      <c r="CG328" s="4550"/>
      <c r="CH328" s="4550"/>
      <c r="CI328" s="4550"/>
      <c r="CJ328" s="4550"/>
      <c r="CK328" s="4550"/>
      <c r="CL328" s="4550"/>
      <c r="CM328" s="4550"/>
      <c r="CN328" s="4550"/>
      <c r="CO328" s="4550"/>
      <c r="CP328" s="4550"/>
      <c r="CQ328" s="4550"/>
      <c r="CR328" s="4550"/>
      <c r="CS328" s="4550"/>
      <c r="CT328" s="4550"/>
      <c r="CU328" s="4550"/>
      <c r="CV328" s="4550"/>
      <c r="CW328" s="4550"/>
      <c r="CX328" s="4550"/>
      <c r="CY328" s="4550"/>
      <c r="CZ328" s="4550"/>
      <c r="DA328" s="4550"/>
      <c r="DB328" s="4550"/>
      <c r="DC328" s="4550"/>
      <c r="DD328" s="4550"/>
      <c r="DE328" s="4550"/>
      <c r="DF328" s="4550"/>
      <c r="DG328" s="4550"/>
      <c r="DH328" s="4550"/>
      <c r="DI328" s="4550"/>
      <c r="DJ328" s="4550"/>
      <c r="DK328" s="4550"/>
      <c r="DL328" s="4550"/>
      <c r="DM328" s="4550"/>
      <c r="DN328" s="4550"/>
      <c r="DO328" s="4550"/>
      <c r="DP328" s="4550"/>
      <c r="DQ328" s="4550"/>
      <c r="DR328" s="4550"/>
      <c r="DS328" s="4550"/>
      <c r="DT328" s="4550"/>
      <c r="DU328" s="4550"/>
      <c r="DV328" s="4550"/>
      <c r="DW328" s="4550"/>
      <c r="DX328" s="4550"/>
      <c r="DY328" s="4550"/>
      <c r="DZ328" s="4550"/>
      <c r="EA328" s="4550"/>
      <c r="EB328" s="4550"/>
      <c r="EC328" s="4550"/>
      <c r="ED328" s="4550"/>
      <c r="EE328" s="4550"/>
      <c r="EF328" s="4550"/>
      <c r="EG328" s="4550"/>
      <c r="EH328" s="4550"/>
      <c r="EI328" s="4550"/>
      <c r="EJ328" s="4550"/>
      <c r="EK328" s="4550"/>
      <c r="EL328" s="4550"/>
      <c r="EM328" s="4550"/>
      <c r="EN328" s="4550"/>
      <c r="EO328" s="4550"/>
      <c r="EP328" s="4550"/>
      <c r="EQ328" s="4550"/>
      <c r="ER328" s="4550"/>
      <c r="ES328" s="4550"/>
      <c r="ET328" s="4550"/>
      <c r="EU328" s="4550"/>
      <c r="EV328" s="4550"/>
      <c r="EW328" s="4550"/>
      <c r="EX328" s="4550"/>
      <c r="EY328" s="4550"/>
      <c r="EZ328" s="4550"/>
      <c r="FA328" s="4550"/>
      <c r="FB328" s="4550"/>
      <c r="FC328" s="4550"/>
      <c r="FD328" s="4550"/>
      <c r="FE328" s="4550"/>
      <c r="FF328" s="4550"/>
      <c r="FG328" s="4550"/>
      <c r="FH328" s="4550"/>
      <c r="FI328" s="4550"/>
      <c r="FJ328" s="4550"/>
      <c r="FK328" s="4550"/>
      <c r="FL328" s="4550"/>
      <c r="FM328" s="4550"/>
      <c r="FN328" s="4550"/>
      <c r="FO328" s="4550"/>
      <c r="FP328" s="4550"/>
      <c r="FQ328" s="4550"/>
      <c r="FR328" s="4550"/>
      <c r="FS328" s="4550"/>
      <c r="FT328" s="4550"/>
      <c r="FU328" s="4550"/>
      <c r="FV328" s="4550"/>
      <c r="FW328" s="4550"/>
      <c r="FX328" s="4550"/>
      <c r="FY328" s="4550"/>
      <c r="FZ328" s="4550"/>
      <c r="GA328" s="4550"/>
      <c r="GB328" s="4550"/>
      <c r="GC328" s="4550"/>
      <c r="GD328" s="4550"/>
      <c r="GE328" s="4550"/>
      <c r="GF328" s="4550"/>
      <c r="GG328" s="4550"/>
      <c r="GH328" s="4550"/>
      <c r="GI328" s="4550"/>
      <c r="GJ328" s="4550"/>
      <c r="GK328" s="4550"/>
      <c r="GL328" s="4550"/>
      <c r="GM328" s="4550"/>
      <c r="GN328" s="4550"/>
      <c r="GO328" s="4550"/>
      <c r="GP328" s="4550"/>
      <c r="GQ328" s="4550"/>
      <c r="GR328" s="4550"/>
      <c r="GS328" s="4550"/>
      <c r="GT328" s="4550"/>
      <c r="GU328" s="4550"/>
      <c r="GV328" s="4550"/>
      <c r="GW328" s="4550"/>
      <c r="GX328" s="4550"/>
      <c r="GY328" s="4550"/>
      <c r="GZ328" s="4550"/>
      <c r="HA328" s="4550"/>
      <c r="HB328" s="4550"/>
      <c r="HC328" s="4550"/>
      <c r="HD328" s="4550"/>
      <c r="HE328" s="4550"/>
      <c r="HF328" s="4550"/>
      <c r="HG328" s="4550"/>
      <c r="HH328" s="4550"/>
      <c r="HI328" s="4550"/>
      <c r="HJ328" s="4550"/>
      <c r="HK328" s="4550"/>
      <c r="HL328" s="4550"/>
      <c r="HM328" s="4550"/>
      <c r="HN328" s="4550"/>
      <c r="HO328" s="4550"/>
      <c r="HP328" s="4550"/>
      <c r="HQ328" s="4550"/>
      <c r="HR328" s="4550"/>
      <c r="HS328" s="4550"/>
      <c r="HT328" s="4550"/>
      <c r="HU328" s="4550"/>
      <c r="HV328" s="4550"/>
      <c r="HW328" s="4550"/>
      <c r="HX328" s="4550"/>
      <c r="HY328" s="4550"/>
      <c r="HZ328" s="4550"/>
      <c r="IA328" s="4550"/>
      <c r="IB328" s="4550"/>
      <c r="IC328" s="4550"/>
      <c r="ID328" s="4550"/>
      <c r="IE328" s="4550"/>
    </row>
    <row r="329" spans="1:239" s="4549" customFormat="1" ht="7.5" customHeight="1">
      <c r="A329" s="4708"/>
      <c r="B329" s="4734"/>
      <c r="C329" s="4677"/>
      <c r="D329" s="4593"/>
      <c r="E329" s="5000"/>
      <c r="F329" s="4969"/>
      <c r="G329" s="4537"/>
      <c r="H329" s="4537"/>
      <c r="I329" s="4537"/>
      <c r="J329" s="4537"/>
      <c r="K329" s="4537"/>
      <c r="L329" s="4537"/>
      <c r="M329" s="4537"/>
      <c r="N329" s="4537"/>
      <c r="O329" s="4537"/>
      <c r="P329" s="4537"/>
      <c r="Q329" s="4537"/>
      <c r="R329" s="4537"/>
      <c r="S329" s="4537"/>
      <c r="T329" s="4537"/>
      <c r="U329" s="4537"/>
      <c r="V329" s="4537"/>
      <c r="W329" s="4537"/>
      <c r="X329" s="4537"/>
      <c r="Y329" s="4537"/>
      <c r="Z329" s="4537"/>
      <c r="AA329" s="4537"/>
      <c r="AB329" s="4537"/>
      <c r="AC329" s="4537"/>
      <c r="AD329" s="4537"/>
      <c r="AE329" s="4537"/>
      <c r="AF329" s="4537"/>
      <c r="AG329" s="4537"/>
      <c r="AH329" s="4537"/>
      <c r="AI329" s="4537"/>
      <c r="AJ329" s="4537"/>
      <c r="AK329" s="4537"/>
      <c r="AL329" s="4537"/>
      <c r="AM329" s="4537"/>
      <c r="AN329" s="4537"/>
      <c r="AO329" s="4537"/>
      <c r="AP329" s="4537"/>
      <c r="AQ329" s="4537"/>
      <c r="AR329" s="4537"/>
      <c r="AS329" s="4550"/>
      <c r="AT329" s="4550"/>
      <c r="AU329" s="4550"/>
      <c r="AV329" s="4550"/>
      <c r="AW329" s="4550"/>
      <c r="AX329" s="4550"/>
      <c r="AY329" s="4550"/>
      <c r="AZ329" s="4550"/>
      <c r="BA329" s="4550"/>
      <c r="BB329" s="4550"/>
      <c r="BC329" s="4550"/>
      <c r="BD329" s="4550"/>
      <c r="BE329" s="4550"/>
      <c r="BF329" s="4550"/>
      <c r="BG329" s="4550"/>
      <c r="BH329" s="4550"/>
      <c r="BI329" s="4550"/>
      <c r="BJ329" s="4550"/>
      <c r="BK329" s="4550"/>
      <c r="BL329" s="4550"/>
      <c r="BM329" s="4550"/>
      <c r="BN329" s="4550"/>
      <c r="BO329" s="4550"/>
      <c r="BP329" s="4550"/>
      <c r="BQ329" s="4550"/>
      <c r="BR329" s="4550"/>
      <c r="BS329" s="4550"/>
      <c r="BT329" s="4550"/>
      <c r="BU329" s="4550"/>
      <c r="BV329" s="4550"/>
      <c r="BW329" s="4550"/>
      <c r="BX329" s="4550"/>
      <c r="BY329" s="4550"/>
      <c r="BZ329" s="4550"/>
      <c r="CA329" s="4550"/>
      <c r="CB329" s="4550"/>
      <c r="CC329" s="4550"/>
      <c r="CD329" s="4550"/>
      <c r="CE329" s="4550"/>
      <c r="CF329" s="4550"/>
      <c r="CG329" s="4550"/>
      <c r="CH329" s="4550"/>
      <c r="CI329" s="4550"/>
      <c r="CJ329" s="4550"/>
      <c r="CK329" s="4550"/>
      <c r="CL329" s="4550"/>
      <c r="CM329" s="4550"/>
      <c r="CN329" s="4550"/>
      <c r="CO329" s="4550"/>
      <c r="CP329" s="4550"/>
      <c r="CQ329" s="4550"/>
      <c r="CR329" s="4550"/>
      <c r="CS329" s="4550"/>
      <c r="CT329" s="4550"/>
      <c r="CU329" s="4550"/>
      <c r="CV329" s="4550"/>
      <c r="CW329" s="4550"/>
      <c r="CX329" s="4550"/>
      <c r="CY329" s="4550"/>
      <c r="CZ329" s="4550"/>
      <c r="DA329" s="4550"/>
      <c r="DB329" s="4550"/>
      <c r="DC329" s="4550"/>
      <c r="DD329" s="4550"/>
      <c r="DE329" s="4550"/>
      <c r="DF329" s="4550"/>
      <c r="DG329" s="4550"/>
      <c r="DH329" s="4550"/>
      <c r="DI329" s="4550"/>
      <c r="DJ329" s="4550"/>
      <c r="DK329" s="4550"/>
      <c r="DL329" s="4550"/>
      <c r="DM329" s="4550"/>
      <c r="DN329" s="4550"/>
      <c r="DO329" s="4550"/>
      <c r="DP329" s="4550"/>
      <c r="DQ329" s="4550"/>
      <c r="DR329" s="4550"/>
      <c r="DS329" s="4550"/>
      <c r="DT329" s="4550"/>
      <c r="DU329" s="4550"/>
      <c r="DV329" s="4550"/>
      <c r="DW329" s="4550"/>
      <c r="DX329" s="4550"/>
      <c r="DY329" s="4550"/>
      <c r="DZ329" s="4550"/>
      <c r="EA329" s="4550"/>
      <c r="EB329" s="4550"/>
      <c r="EC329" s="4550"/>
      <c r="ED329" s="4550"/>
      <c r="EE329" s="4550"/>
      <c r="EF329" s="4550"/>
      <c r="EG329" s="4550"/>
      <c r="EH329" s="4550"/>
      <c r="EI329" s="4550"/>
      <c r="EJ329" s="4550"/>
      <c r="EK329" s="4550"/>
      <c r="EL329" s="4550"/>
      <c r="EM329" s="4550"/>
      <c r="EN329" s="4550"/>
      <c r="EO329" s="4550"/>
      <c r="EP329" s="4550"/>
      <c r="EQ329" s="4550"/>
      <c r="ER329" s="4550"/>
      <c r="ES329" s="4550"/>
      <c r="ET329" s="4550"/>
      <c r="EU329" s="4550"/>
      <c r="EV329" s="4550"/>
      <c r="EW329" s="4550"/>
      <c r="EX329" s="4550"/>
      <c r="EY329" s="4550"/>
      <c r="EZ329" s="4550"/>
      <c r="FA329" s="4550"/>
      <c r="FB329" s="4550"/>
      <c r="FC329" s="4550"/>
      <c r="FD329" s="4550"/>
      <c r="FE329" s="4550"/>
      <c r="FF329" s="4550"/>
      <c r="FG329" s="4550"/>
      <c r="FH329" s="4550"/>
      <c r="FI329" s="4550"/>
      <c r="FJ329" s="4550"/>
      <c r="FK329" s="4550"/>
      <c r="FL329" s="4550"/>
      <c r="FM329" s="4550"/>
      <c r="FN329" s="4550"/>
      <c r="FO329" s="4550"/>
      <c r="FP329" s="4550"/>
      <c r="FQ329" s="4550"/>
      <c r="FR329" s="4550"/>
      <c r="FS329" s="4550"/>
      <c r="FT329" s="4550"/>
      <c r="FU329" s="4550"/>
      <c r="FV329" s="4550"/>
      <c r="FW329" s="4550"/>
      <c r="FX329" s="4550"/>
      <c r="FY329" s="4550"/>
      <c r="FZ329" s="4550"/>
      <c r="GA329" s="4550"/>
      <c r="GB329" s="4550"/>
      <c r="GC329" s="4550"/>
      <c r="GD329" s="4550"/>
      <c r="GE329" s="4550"/>
      <c r="GF329" s="4550"/>
      <c r="GG329" s="4550"/>
      <c r="GH329" s="4550"/>
      <c r="GI329" s="4550"/>
      <c r="GJ329" s="4550"/>
      <c r="GK329" s="4550"/>
      <c r="GL329" s="4550"/>
      <c r="GM329" s="4550"/>
      <c r="GN329" s="4550"/>
      <c r="GO329" s="4550"/>
      <c r="GP329" s="4550"/>
      <c r="GQ329" s="4550"/>
      <c r="GR329" s="4550"/>
      <c r="GS329" s="4550"/>
      <c r="GT329" s="4550"/>
      <c r="GU329" s="4550"/>
      <c r="GV329" s="4550"/>
      <c r="GW329" s="4550"/>
      <c r="GX329" s="4550"/>
      <c r="GY329" s="4550"/>
      <c r="GZ329" s="4550"/>
      <c r="HA329" s="4550"/>
      <c r="HB329" s="4550"/>
      <c r="HC329" s="4550"/>
      <c r="HD329" s="4550"/>
      <c r="HE329" s="4550"/>
      <c r="HF329" s="4550"/>
      <c r="HG329" s="4550"/>
      <c r="HH329" s="4550"/>
      <c r="HI329" s="4550"/>
      <c r="HJ329" s="4550"/>
      <c r="HK329" s="4550"/>
      <c r="HL329" s="4550"/>
      <c r="HM329" s="4550"/>
      <c r="HN329" s="4550"/>
      <c r="HO329" s="4550"/>
      <c r="HP329" s="4550"/>
      <c r="HQ329" s="4550"/>
      <c r="HR329" s="4550"/>
      <c r="HS329" s="4550"/>
      <c r="HT329" s="4550"/>
      <c r="HU329" s="4550"/>
      <c r="HV329" s="4550"/>
      <c r="HW329" s="4550"/>
      <c r="HX329" s="4550"/>
      <c r="HY329" s="4550"/>
      <c r="HZ329" s="4550"/>
      <c r="IA329" s="4550"/>
      <c r="IB329" s="4550"/>
      <c r="IC329" s="4550"/>
      <c r="ID329" s="4550"/>
      <c r="IE329" s="4550"/>
    </row>
    <row r="330" spans="1:239" s="4549" customFormat="1" ht="8.25" customHeight="1">
      <c r="A330" s="4762"/>
      <c r="B330" s="4763"/>
      <c r="C330" s="4677"/>
      <c r="D330" s="4593"/>
      <c r="E330" s="5000"/>
      <c r="F330" s="5002"/>
      <c r="G330" s="4537"/>
      <c r="H330" s="4537"/>
      <c r="I330" s="4537"/>
      <c r="J330" s="4537"/>
      <c r="K330" s="4537"/>
      <c r="L330" s="4537"/>
      <c r="M330" s="4537"/>
      <c r="N330" s="4537"/>
      <c r="O330" s="4537"/>
      <c r="P330" s="4537"/>
      <c r="Q330" s="4537"/>
      <c r="R330" s="4537"/>
      <c r="S330" s="4537"/>
      <c r="T330" s="4537"/>
      <c r="U330" s="4537"/>
      <c r="V330" s="4537"/>
      <c r="W330" s="4537"/>
      <c r="X330" s="4537"/>
      <c r="Y330" s="4537"/>
      <c r="Z330" s="4537"/>
      <c r="AA330" s="4537"/>
      <c r="AB330" s="4537"/>
      <c r="AC330" s="4537"/>
      <c r="AD330" s="4537"/>
      <c r="AE330" s="4537"/>
      <c r="AF330" s="4537"/>
      <c r="AG330" s="4537"/>
      <c r="AH330" s="4537"/>
      <c r="AI330" s="4537"/>
      <c r="AJ330" s="4537"/>
      <c r="AK330" s="4537"/>
      <c r="AL330" s="4537"/>
      <c r="AM330" s="4537"/>
      <c r="AN330" s="4537"/>
      <c r="AO330" s="4537"/>
      <c r="AP330" s="4537"/>
      <c r="AQ330" s="4537"/>
      <c r="AR330" s="4537"/>
      <c r="AS330" s="4550"/>
      <c r="AT330" s="4550"/>
      <c r="AU330" s="4550"/>
      <c r="AV330" s="4550"/>
      <c r="AW330" s="4550"/>
      <c r="AX330" s="4550"/>
      <c r="AY330" s="4550"/>
      <c r="AZ330" s="4550"/>
      <c r="BA330" s="4550"/>
      <c r="BB330" s="4550"/>
      <c r="BC330" s="4550"/>
      <c r="BD330" s="4550"/>
      <c r="BE330" s="4550"/>
      <c r="BF330" s="4550"/>
      <c r="BG330" s="4550"/>
      <c r="BH330" s="4550"/>
      <c r="BI330" s="4550"/>
      <c r="BJ330" s="4550"/>
      <c r="BK330" s="4550"/>
      <c r="BL330" s="4550"/>
      <c r="BM330" s="4550"/>
      <c r="BN330" s="4550"/>
      <c r="BO330" s="4550"/>
      <c r="BP330" s="4550"/>
      <c r="BQ330" s="4550"/>
      <c r="BR330" s="4550"/>
      <c r="BS330" s="4550"/>
      <c r="BT330" s="4550"/>
      <c r="BU330" s="4550"/>
      <c r="BV330" s="4550"/>
      <c r="BW330" s="4550"/>
      <c r="BX330" s="4550"/>
      <c r="BY330" s="4550"/>
      <c r="BZ330" s="4550"/>
      <c r="CA330" s="4550"/>
      <c r="CB330" s="4550"/>
      <c r="CC330" s="4550"/>
      <c r="CD330" s="4550"/>
      <c r="CE330" s="4550"/>
      <c r="CF330" s="4550"/>
      <c r="CG330" s="4550"/>
      <c r="CH330" s="4550"/>
      <c r="CI330" s="4550"/>
      <c r="CJ330" s="4550"/>
      <c r="CK330" s="4550"/>
      <c r="CL330" s="4550"/>
      <c r="CM330" s="4550"/>
      <c r="CN330" s="4550"/>
      <c r="CO330" s="4550"/>
      <c r="CP330" s="4550"/>
      <c r="CQ330" s="4550"/>
      <c r="CR330" s="4550"/>
      <c r="CS330" s="4550"/>
      <c r="CT330" s="4550"/>
      <c r="CU330" s="4550"/>
      <c r="CV330" s="4550"/>
      <c r="CW330" s="4550"/>
      <c r="CX330" s="4550"/>
      <c r="CY330" s="4550"/>
      <c r="CZ330" s="4550"/>
      <c r="DA330" s="4550"/>
      <c r="DB330" s="4550"/>
      <c r="DC330" s="4550"/>
      <c r="DD330" s="4550"/>
      <c r="DE330" s="4550"/>
      <c r="DF330" s="4550"/>
      <c r="DG330" s="4550"/>
      <c r="DH330" s="4550"/>
      <c r="DI330" s="4550"/>
      <c r="DJ330" s="4550"/>
      <c r="DK330" s="4550"/>
      <c r="DL330" s="4550"/>
      <c r="DM330" s="4550"/>
      <c r="DN330" s="4550"/>
      <c r="DO330" s="4550"/>
      <c r="DP330" s="4550"/>
      <c r="DQ330" s="4550"/>
      <c r="DR330" s="4550"/>
      <c r="DS330" s="4550"/>
      <c r="DT330" s="4550"/>
      <c r="DU330" s="4550"/>
      <c r="DV330" s="4550"/>
      <c r="DW330" s="4550"/>
      <c r="DX330" s="4550"/>
      <c r="DY330" s="4550"/>
      <c r="DZ330" s="4550"/>
      <c r="EA330" s="4550"/>
      <c r="EB330" s="4550"/>
      <c r="EC330" s="4550"/>
      <c r="ED330" s="4550"/>
      <c r="EE330" s="4550"/>
      <c r="EF330" s="4550"/>
      <c r="EG330" s="4550"/>
      <c r="EH330" s="4550"/>
      <c r="EI330" s="4550"/>
      <c r="EJ330" s="4550"/>
      <c r="EK330" s="4550"/>
      <c r="EL330" s="4550"/>
      <c r="EM330" s="4550"/>
      <c r="EN330" s="4550"/>
      <c r="EO330" s="4550"/>
      <c r="EP330" s="4550"/>
      <c r="EQ330" s="4550"/>
      <c r="ER330" s="4550"/>
      <c r="ES330" s="4550"/>
      <c r="ET330" s="4550"/>
      <c r="EU330" s="4550"/>
      <c r="EV330" s="4550"/>
      <c r="EW330" s="4550"/>
      <c r="EX330" s="4550"/>
      <c r="EY330" s="4550"/>
      <c r="EZ330" s="4550"/>
      <c r="FA330" s="4550"/>
      <c r="FB330" s="4550"/>
      <c r="FC330" s="4550"/>
      <c r="FD330" s="4550"/>
      <c r="FE330" s="4550"/>
      <c r="FF330" s="4550"/>
      <c r="FG330" s="4550"/>
      <c r="FH330" s="4550"/>
      <c r="FI330" s="4550"/>
      <c r="FJ330" s="4550"/>
      <c r="FK330" s="4550"/>
      <c r="FL330" s="4550"/>
      <c r="FM330" s="4550"/>
      <c r="FN330" s="4550"/>
      <c r="FO330" s="4550"/>
      <c r="FP330" s="4550"/>
      <c r="FQ330" s="4550"/>
      <c r="FR330" s="4550"/>
      <c r="FS330" s="4550"/>
      <c r="FT330" s="4550"/>
      <c r="FU330" s="4550"/>
      <c r="FV330" s="4550"/>
      <c r="FW330" s="4550"/>
      <c r="FX330" s="4550"/>
      <c r="FY330" s="4550"/>
      <c r="FZ330" s="4550"/>
      <c r="GA330" s="4550"/>
      <c r="GB330" s="4550"/>
      <c r="GC330" s="4550"/>
      <c r="GD330" s="4550"/>
      <c r="GE330" s="4550"/>
      <c r="GF330" s="4550"/>
      <c r="GG330" s="4550"/>
      <c r="GH330" s="4550"/>
      <c r="GI330" s="4550"/>
      <c r="GJ330" s="4550"/>
      <c r="GK330" s="4550"/>
      <c r="GL330" s="4550"/>
      <c r="GM330" s="4550"/>
      <c r="GN330" s="4550"/>
      <c r="GO330" s="4550"/>
      <c r="GP330" s="4550"/>
      <c r="GQ330" s="4550"/>
      <c r="GR330" s="4550"/>
      <c r="GS330" s="4550"/>
      <c r="GT330" s="4550"/>
      <c r="GU330" s="4550"/>
      <c r="GV330" s="4550"/>
      <c r="GW330" s="4550"/>
      <c r="GX330" s="4550"/>
      <c r="GY330" s="4550"/>
      <c r="GZ330" s="4550"/>
      <c r="HA330" s="4550"/>
      <c r="HB330" s="4550"/>
      <c r="HC330" s="4550"/>
      <c r="HD330" s="4550"/>
      <c r="HE330" s="4550"/>
      <c r="HF330" s="4550"/>
      <c r="HG330" s="4550"/>
      <c r="HH330" s="4550"/>
      <c r="HI330" s="4550"/>
      <c r="HJ330" s="4550"/>
      <c r="HK330" s="4550"/>
      <c r="HL330" s="4550"/>
      <c r="HM330" s="4550"/>
      <c r="HN330" s="4550"/>
      <c r="HO330" s="4550"/>
      <c r="HP330" s="4550"/>
      <c r="HQ330" s="4550"/>
      <c r="HR330" s="4550"/>
      <c r="HS330" s="4550"/>
      <c r="HT330" s="4550"/>
      <c r="HU330" s="4550"/>
      <c r="HV330" s="4550"/>
      <c r="HW330" s="4550"/>
      <c r="HX330" s="4550"/>
      <c r="HY330" s="4550"/>
      <c r="HZ330" s="4550"/>
      <c r="IA330" s="4550"/>
      <c r="IB330" s="4550"/>
      <c r="IC330" s="4550"/>
      <c r="ID330" s="4550"/>
      <c r="IE330" s="4550"/>
    </row>
    <row r="331" spans="1:239" s="4549" customFormat="1" ht="16.5" customHeight="1">
      <c r="A331" s="4705">
        <v>16</v>
      </c>
      <c r="B331" s="4635" t="s">
        <v>4223</v>
      </c>
      <c r="C331" s="4677">
        <v>1</v>
      </c>
      <c r="D331" s="4596" t="s">
        <v>2433</v>
      </c>
      <c r="E331" s="5000"/>
      <c r="F331" s="4969">
        <f t="shared" si="16"/>
        <v>0</v>
      </c>
      <c r="G331" s="4537"/>
      <c r="H331" s="4537"/>
      <c r="I331" s="4537"/>
      <c r="J331" s="4537"/>
      <c r="K331" s="4537"/>
      <c r="L331" s="4537"/>
      <c r="M331" s="4537"/>
      <c r="N331" s="4537"/>
      <c r="O331" s="4537"/>
      <c r="P331" s="4537"/>
      <c r="Q331" s="4537"/>
      <c r="R331" s="4537"/>
      <c r="S331" s="4537"/>
      <c r="T331" s="4537"/>
      <c r="U331" s="4537"/>
      <c r="V331" s="4537"/>
      <c r="W331" s="4537"/>
      <c r="X331" s="4537"/>
      <c r="Y331" s="4537"/>
      <c r="Z331" s="4537"/>
      <c r="AA331" s="4537"/>
      <c r="AB331" s="4537"/>
      <c r="AC331" s="4537"/>
      <c r="AD331" s="4537"/>
      <c r="AE331" s="4537"/>
      <c r="AF331" s="4537"/>
      <c r="AG331" s="4537"/>
      <c r="AH331" s="4537"/>
      <c r="AI331" s="4537"/>
      <c r="AJ331" s="4537"/>
      <c r="AK331" s="4537"/>
      <c r="AL331" s="4537"/>
      <c r="AM331" s="4537"/>
      <c r="AN331" s="4537"/>
      <c r="AO331" s="4537"/>
      <c r="AP331" s="4537"/>
      <c r="AQ331" s="4537"/>
      <c r="AR331" s="4537"/>
      <c r="AS331" s="4550"/>
      <c r="AT331" s="4550"/>
      <c r="AU331" s="4550"/>
      <c r="AV331" s="4550"/>
      <c r="AW331" s="4550"/>
      <c r="AX331" s="4550"/>
      <c r="AY331" s="4550"/>
      <c r="AZ331" s="4550"/>
      <c r="BA331" s="4550"/>
      <c r="BB331" s="4550"/>
      <c r="BC331" s="4550"/>
      <c r="BD331" s="4550"/>
      <c r="BE331" s="4550"/>
      <c r="BF331" s="4550"/>
      <c r="BG331" s="4550"/>
      <c r="BH331" s="4550"/>
      <c r="BI331" s="4550"/>
      <c r="BJ331" s="4550"/>
      <c r="BK331" s="4550"/>
      <c r="BL331" s="4550"/>
      <c r="BM331" s="4550"/>
      <c r="BN331" s="4550"/>
      <c r="BO331" s="4550"/>
      <c r="BP331" s="4550"/>
      <c r="BQ331" s="4550"/>
      <c r="BR331" s="4550"/>
      <c r="BS331" s="4550"/>
      <c r="BT331" s="4550"/>
      <c r="BU331" s="4550"/>
      <c r="BV331" s="4550"/>
      <c r="BW331" s="4550"/>
      <c r="BX331" s="4550"/>
      <c r="BY331" s="4550"/>
      <c r="BZ331" s="4550"/>
      <c r="CA331" s="4550"/>
      <c r="CB331" s="4550"/>
      <c r="CC331" s="4550"/>
      <c r="CD331" s="4550"/>
      <c r="CE331" s="4550"/>
      <c r="CF331" s="4550"/>
      <c r="CG331" s="4550"/>
      <c r="CH331" s="4550"/>
      <c r="CI331" s="4550"/>
      <c r="CJ331" s="4550"/>
      <c r="CK331" s="4550"/>
      <c r="CL331" s="4550"/>
      <c r="CM331" s="4550"/>
      <c r="CN331" s="4550"/>
      <c r="CO331" s="4550"/>
      <c r="CP331" s="4550"/>
      <c r="CQ331" s="4550"/>
      <c r="CR331" s="4550"/>
      <c r="CS331" s="4550"/>
      <c r="CT331" s="4550"/>
      <c r="CU331" s="4550"/>
      <c r="CV331" s="4550"/>
      <c r="CW331" s="4550"/>
      <c r="CX331" s="4550"/>
      <c r="CY331" s="4550"/>
      <c r="CZ331" s="4550"/>
      <c r="DA331" s="4550"/>
      <c r="DB331" s="4550"/>
      <c r="DC331" s="4550"/>
      <c r="DD331" s="4550"/>
      <c r="DE331" s="4550"/>
      <c r="DF331" s="4550"/>
      <c r="DG331" s="4550"/>
      <c r="DH331" s="4550"/>
      <c r="DI331" s="4550"/>
      <c r="DJ331" s="4550"/>
      <c r="DK331" s="4550"/>
      <c r="DL331" s="4550"/>
      <c r="DM331" s="4550"/>
      <c r="DN331" s="4550"/>
      <c r="DO331" s="4550"/>
      <c r="DP331" s="4550"/>
      <c r="DQ331" s="4550"/>
      <c r="DR331" s="4550"/>
      <c r="DS331" s="4550"/>
      <c r="DT331" s="4550"/>
      <c r="DU331" s="4550"/>
      <c r="DV331" s="4550"/>
      <c r="DW331" s="4550"/>
      <c r="DX331" s="4550"/>
      <c r="DY331" s="4550"/>
      <c r="DZ331" s="4550"/>
      <c r="EA331" s="4550"/>
      <c r="EB331" s="4550"/>
      <c r="EC331" s="4550"/>
      <c r="ED331" s="4550"/>
      <c r="EE331" s="4550"/>
      <c r="EF331" s="4550"/>
      <c r="EG331" s="4550"/>
      <c r="EH331" s="4550"/>
      <c r="EI331" s="4550"/>
      <c r="EJ331" s="4550"/>
      <c r="EK331" s="4550"/>
      <c r="EL331" s="4550"/>
      <c r="EM331" s="4550"/>
      <c r="EN331" s="4550"/>
      <c r="EO331" s="4550"/>
      <c r="EP331" s="4550"/>
      <c r="EQ331" s="4550"/>
      <c r="ER331" s="4550"/>
      <c r="ES331" s="4550"/>
      <c r="ET331" s="4550"/>
      <c r="EU331" s="4550"/>
      <c r="EV331" s="4550"/>
      <c r="EW331" s="4550"/>
      <c r="EX331" s="4550"/>
      <c r="EY331" s="4550"/>
      <c r="EZ331" s="4550"/>
      <c r="FA331" s="4550"/>
      <c r="FB331" s="4550"/>
      <c r="FC331" s="4550"/>
      <c r="FD331" s="4550"/>
      <c r="FE331" s="4550"/>
      <c r="FF331" s="4550"/>
      <c r="FG331" s="4550"/>
      <c r="FH331" s="4550"/>
      <c r="FI331" s="4550"/>
      <c r="FJ331" s="4550"/>
      <c r="FK331" s="4550"/>
      <c r="FL331" s="4550"/>
      <c r="FM331" s="4550"/>
      <c r="FN331" s="4550"/>
      <c r="FO331" s="4550"/>
      <c r="FP331" s="4550"/>
      <c r="FQ331" s="4550"/>
      <c r="FR331" s="4550"/>
      <c r="FS331" s="4550"/>
      <c r="FT331" s="4550"/>
      <c r="FU331" s="4550"/>
      <c r="FV331" s="4550"/>
      <c r="FW331" s="4550"/>
      <c r="FX331" s="4550"/>
      <c r="FY331" s="4550"/>
      <c r="FZ331" s="4550"/>
      <c r="GA331" s="4550"/>
      <c r="GB331" s="4550"/>
      <c r="GC331" s="4550"/>
      <c r="GD331" s="4550"/>
      <c r="GE331" s="4550"/>
      <c r="GF331" s="4550"/>
      <c r="GG331" s="4550"/>
      <c r="GH331" s="4550"/>
      <c r="GI331" s="4550"/>
      <c r="GJ331" s="4550"/>
      <c r="GK331" s="4550"/>
      <c r="GL331" s="4550"/>
      <c r="GM331" s="4550"/>
      <c r="GN331" s="4550"/>
      <c r="GO331" s="4550"/>
      <c r="GP331" s="4550"/>
      <c r="GQ331" s="4550"/>
      <c r="GR331" s="4550"/>
      <c r="GS331" s="4550"/>
      <c r="GT331" s="4550"/>
      <c r="GU331" s="4550"/>
      <c r="GV331" s="4550"/>
      <c r="GW331" s="4550"/>
      <c r="GX331" s="4550"/>
      <c r="GY331" s="4550"/>
      <c r="GZ331" s="4550"/>
      <c r="HA331" s="4550"/>
      <c r="HB331" s="4550"/>
      <c r="HC331" s="4550"/>
      <c r="HD331" s="4550"/>
      <c r="HE331" s="4550"/>
      <c r="HF331" s="4550"/>
      <c r="HG331" s="4550"/>
      <c r="HH331" s="4550"/>
      <c r="HI331" s="4550"/>
      <c r="HJ331" s="4550"/>
      <c r="HK331" s="4550"/>
      <c r="HL331" s="4550"/>
      <c r="HM331" s="4550"/>
      <c r="HN331" s="4550"/>
      <c r="HO331" s="4550"/>
      <c r="HP331" s="4550"/>
      <c r="HQ331" s="4550"/>
      <c r="HR331" s="4550"/>
      <c r="HS331" s="4550"/>
      <c r="HT331" s="4550"/>
      <c r="HU331" s="4550"/>
      <c r="HV331" s="4550"/>
      <c r="HW331" s="4550"/>
      <c r="HX331" s="4550"/>
      <c r="HY331" s="4550"/>
      <c r="HZ331" s="4550"/>
      <c r="IA331" s="4550"/>
      <c r="IB331" s="4550"/>
      <c r="IC331" s="4550"/>
      <c r="ID331" s="4550"/>
      <c r="IE331" s="4550"/>
    </row>
    <row r="332" spans="1:239" s="4549" customFormat="1" ht="7.5" customHeight="1">
      <c r="A332" s="4705"/>
      <c r="B332" s="4734"/>
      <c r="C332" s="4677"/>
      <c r="D332" s="4596"/>
      <c r="E332" s="5000"/>
      <c r="F332" s="5002"/>
      <c r="G332" s="4537"/>
      <c r="H332" s="4537"/>
      <c r="I332" s="4537"/>
      <c r="J332" s="4537"/>
      <c r="K332" s="4537"/>
      <c r="L332" s="4537"/>
      <c r="M332" s="4537"/>
      <c r="N332" s="4537"/>
      <c r="O332" s="4537"/>
      <c r="P332" s="4537"/>
      <c r="Q332" s="4537"/>
      <c r="R332" s="4537"/>
      <c r="S332" s="4537"/>
      <c r="T332" s="4537"/>
      <c r="U332" s="4537"/>
      <c r="V332" s="4537"/>
      <c r="W332" s="4537"/>
      <c r="X332" s="4537"/>
      <c r="Y332" s="4537"/>
      <c r="Z332" s="4537"/>
      <c r="AA332" s="4537"/>
      <c r="AB332" s="4537"/>
      <c r="AC332" s="4537"/>
      <c r="AD332" s="4537"/>
      <c r="AE332" s="4537"/>
      <c r="AF332" s="4537"/>
      <c r="AG332" s="4537"/>
      <c r="AH332" s="4537"/>
      <c r="AI332" s="4537"/>
      <c r="AJ332" s="4537"/>
      <c r="AK332" s="4537"/>
      <c r="AL332" s="4537"/>
      <c r="AM332" s="4537"/>
      <c r="AN332" s="4537"/>
      <c r="AO332" s="4537"/>
      <c r="AP332" s="4537"/>
      <c r="AQ332" s="4537"/>
      <c r="AR332" s="4537"/>
      <c r="AS332" s="4550"/>
      <c r="AT332" s="4550"/>
      <c r="AU332" s="4550"/>
      <c r="AV332" s="4550"/>
      <c r="AW332" s="4550"/>
      <c r="AX332" s="4550"/>
      <c r="AY332" s="4550"/>
      <c r="AZ332" s="4550"/>
      <c r="BA332" s="4550"/>
      <c r="BB332" s="4550"/>
      <c r="BC332" s="4550"/>
      <c r="BD332" s="4550"/>
      <c r="BE332" s="4550"/>
      <c r="BF332" s="4550"/>
      <c r="BG332" s="4550"/>
      <c r="BH332" s="4550"/>
      <c r="BI332" s="4550"/>
      <c r="BJ332" s="4550"/>
      <c r="BK332" s="4550"/>
      <c r="BL332" s="4550"/>
      <c r="BM332" s="4550"/>
      <c r="BN332" s="4550"/>
      <c r="BO332" s="4550"/>
      <c r="BP332" s="4550"/>
      <c r="BQ332" s="4550"/>
      <c r="BR332" s="4550"/>
      <c r="BS332" s="4550"/>
      <c r="BT332" s="4550"/>
      <c r="BU332" s="4550"/>
      <c r="BV332" s="4550"/>
      <c r="BW332" s="4550"/>
      <c r="BX332" s="4550"/>
      <c r="BY332" s="4550"/>
      <c r="BZ332" s="4550"/>
      <c r="CA332" s="4550"/>
      <c r="CB332" s="4550"/>
      <c r="CC332" s="4550"/>
      <c r="CD332" s="4550"/>
      <c r="CE332" s="4550"/>
      <c r="CF332" s="4550"/>
      <c r="CG332" s="4550"/>
      <c r="CH332" s="4550"/>
      <c r="CI332" s="4550"/>
      <c r="CJ332" s="4550"/>
      <c r="CK332" s="4550"/>
      <c r="CL332" s="4550"/>
      <c r="CM332" s="4550"/>
      <c r="CN332" s="4550"/>
      <c r="CO332" s="4550"/>
      <c r="CP332" s="4550"/>
      <c r="CQ332" s="4550"/>
      <c r="CR332" s="4550"/>
      <c r="CS332" s="4550"/>
      <c r="CT332" s="4550"/>
      <c r="CU332" s="4550"/>
      <c r="CV332" s="4550"/>
      <c r="CW332" s="4550"/>
      <c r="CX332" s="4550"/>
      <c r="CY332" s="4550"/>
      <c r="CZ332" s="4550"/>
      <c r="DA332" s="4550"/>
      <c r="DB332" s="4550"/>
      <c r="DC332" s="4550"/>
      <c r="DD332" s="4550"/>
      <c r="DE332" s="4550"/>
      <c r="DF332" s="4550"/>
      <c r="DG332" s="4550"/>
      <c r="DH332" s="4550"/>
      <c r="DI332" s="4550"/>
      <c r="DJ332" s="4550"/>
      <c r="DK332" s="4550"/>
      <c r="DL332" s="4550"/>
      <c r="DM332" s="4550"/>
      <c r="DN332" s="4550"/>
      <c r="DO332" s="4550"/>
      <c r="DP332" s="4550"/>
      <c r="DQ332" s="4550"/>
      <c r="DR332" s="4550"/>
      <c r="DS332" s="4550"/>
      <c r="DT332" s="4550"/>
      <c r="DU332" s="4550"/>
      <c r="DV332" s="4550"/>
      <c r="DW332" s="4550"/>
      <c r="DX332" s="4550"/>
      <c r="DY332" s="4550"/>
      <c r="DZ332" s="4550"/>
      <c r="EA332" s="4550"/>
      <c r="EB332" s="4550"/>
      <c r="EC332" s="4550"/>
      <c r="ED332" s="4550"/>
      <c r="EE332" s="4550"/>
      <c r="EF332" s="4550"/>
      <c r="EG332" s="4550"/>
      <c r="EH332" s="4550"/>
      <c r="EI332" s="4550"/>
      <c r="EJ332" s="4550"/>
      <c r="EK332" s="4550"/>
      <c r="EL332" s="4550"/>
      <c r="EM332" s="4550"/>
      <c r="EN332" s="4550"/>
      <c r="EO332" s="4550"/>
      <c r="EP332" s="4550"/>
      <c r="EQ332" s="4550"/>
      <c r="ER332" s="4550"/>
      <c r="ES332" s="4550"/>
      <c r="ET332" s="4550"/>
      <c r="EU332" s="4550"/>
      <c r="EV332" s="4550"/>
      <c r="EW332" s="4550"/>
      <c r="EX332" s="4550"/>
      <c r="EY332" s="4550"/>
      <c r="EZ332" s="4550"/>
      <c r="FA332" s="4550"/>
      <c r="FB332" s="4550"/>
      <c r="FC332" s="4550"/>
      <c r="FD332" s="4550"/>
      <c r="FE332" s="4550"/>
      <c r="FF332" s="4550"/>
      <c r="FG332" s="4550"/>
      <c r="FH332" s="4550"/>
      <c r="FI332" s="4550"/>
      <c r="FJ332" s="4550"/>
      <c r="FK332" s="4550"/>
      <c r="FL332" s="4550"/>
      <c r="FM332" s="4550"/>
      <c r="FN332" s="4550"/>
      <c r="FO332" s="4550"/>
      <c r="FP332" s="4550"/>
      <c r="FQ332" s="4550"/>
      <c r="FR332" s="4550"/>
      <c r="FS332" s="4550"/>
      <c r="FT332" s="4550"/>
      <c r="FU332" s="4550"/>
      <c r="FV332" s="4550"/>
      <c r="FW332" s="4550"/>
      <c r="FX332" s="4550"/>
      <c r="FY332" s="4550"/>
      <c r="FZ332" s="4550"/>
      <c r="GA332" s="4550"/>
      <c r="GB332" s="4550"/>
      <c r="GC332" s="4550"/>
      <c r="GD332" s="4550"/>
      <c r="GE332" s="4550"/>
      <c r="GF332" s="4550"/>
      <c r="GG332" s="4550"/>
      <c r="GH332" s="4550"/>
      <c r="GI332" s="4550"/>
      <c r="GJ332" s="4550"/>
      <c r="GK332" s="4550"/>
      <c r="GL332" s="4550"/>
      <c r="GM332" s="4550"/>
      <c r="GN332" s="4550"/>
      <c r="GO332" s="4550"/>
      <c r="GP332" s="4550"/>
      <c r="GQ332" s="4550"/>
      <c r="GR332" s="4550"/>
      <c r="GS332" s="4550"/>
      <c r="GT332" s="4550"/>
      <c r="GU332" s="4550"/>
      <c r="GV332" s="4550"/>
      <c r="GW332" s="4550"/>
      <c r="GX332" s="4550"/>
      <c r="GY332" s="4550"/>
      <c r="GZ332" s="4550"/>
      <c r="HA332" s="4550"/>
      <c r="HB332" s="4550"/>
      <c r="HC332" s="4550"/>
      <c r="HD332" s="4550"/>
      <c r="HE332" s="4550"/>
      <c r="HF332" s="4550"/>
      <c r="HG332" s="4550"/>
      <c r="HH332" s="4550"/>
      <c r="HI332" s="4550"/>
      <c r="HJ332" s="4550"/>
      <c r="HK332" s="4550"/>
      <c r="HL332" s="4550"/>
      <c r="HM332" s="4550"/>
      <c r="HN332" s="4550"/>
      <c r="HO332" s="4550"/>
      <c r="HP332" s="4550"/>
      <c r="HQ332" s="4550"/>
      <c r="HR332" s="4550"/>
      <c r="HS332" s="4550"/>
      <c r="HT332" s="4550"/>
      <c r="HU332" s="4550"/>
      <c r="HV332" s="4550"/>
      <c r="HW332" s="4550"/>
      <c r="HX332" s="4550"/>
      <c r="HY332" s="4550"/>
      <c r="HZ332" s="4550"/>
      <c r="IA332" s="4550"/>
      <c r="IB332" s="4550"/>
      <c r="IC332" s="4550"/>
      <c r="ID332" s="4550"/>
      <c r="IE332" s="4550"/>
    </row>
    <row r="333" spans="1:239" s="4549" customFormat="1" ht="15">
      <c r="A333" s="4705">
        <v>17</v>
      </c>
      <c r="B333" s="4635" t="s">
        <v>4224</v>
      </c>
      <c r="C333" s="4677">
        <v>1</v>
      </c>
      <c r="D333" s="4596" t="s">
        <v>2433</v>
      </c>
      <c r="E333" s="5000"/>
      <c r="F333" s="4969">
        <f t="shared" si="16"/>
        <v>0</v>
      </c>
      <c r="G333" s="4537"/>
      <c r="H333" s="4537"/>
      <c r="I333" s="4537"/>
      <c r="J333" s="4537"/>
      <c r="K333" s="4537"/>
      <c r="L333" s="4537"/>
      <c r="M333" s="4537"/>
      <c r="N333" s="4537"/>
      <c r="O333" s="4537"/>
      <c r="P333" s="4537"/>
      <c r="Q333" s="4537"/>
      <c r="R333" s="4537"/>
      <c r="S333" s="4537"/>
      <c r="T333" s="4537"/>
      <c r="U333" s="4537"/>
      <c r="V333" s="4537"/>
      <c r="W333" s="4537"/>
      <c r="X333" s="4537"/>
      <c r="Y333" s="4537"/>
      <c r="Z333" s="4537"/>
      <c r="AA333" s="4537"/>
      <c r="AB333" s="4537"/>
      <c r="AC333" s="4537"/>
      <c r="AD333" s="4537"/>
      <c r="AE333" s="4537"/>
      <c r="AF333" s="4537"/>
      <c r="AG333" s="4537"/>
      <c r="AH333" s="4537"/>
      <c r="AI333" s="4537"/>
      <c r="AJ333" s="4537"/>
      <c r="AK333" s="4537"/>
      <c r="AL333" s="4537"/>
      <c r="AM333" s="4537"/>
      <c r="AN333" s="4537"/>
      <c r="AO333" s="4537"/>
      <c r="AP333" s="4537"/>
      <c r="AQ333" s="4537"/>
      <c r="AR333" s="4537"/>
      <c r="AS333" s="4550"/>
      <c r="AT333" s="4550"/>
      <c r="AU333" s="4550"/>
      <c r="AV333" s="4550"/>
      <c r="AW333" s="4550"/>
      <c r="AX333" s="4550"/>
      <c r="AY333" s="4550"/>
      <c r="AZ333" s="4550"/>
      <c r="BA333" s="4550"/>
      <c r="BB333" s="4550"/>
      <c r="BC333" s="4550"/>
      <c r="BD333" s="4550"/>
      <c r="BE333" s="4550"/>
      <c r="BF333" s="4550"/>
      <c r="BG333" s="4550"/>
      <c r="BH333" s="4550"/>
      <c r="BI333" s="4550"/>
      <c r="BJ333" s="4550"/>
      <c r="BK333" s="4550"/>
      <c r="BL333" s="4550"/>
      <c r="BM333" s="4550"/>
      <c r="BN333" s="4550"/>
      <c r="BO333" s="4550"/>
      <c r="BP333" s="4550"/>
      <c r="BQ333" s="4550"/>
      <c r="BR333" s="4550"/>
      <c r="BS333" s="4550"/>
      <c r="BT333" s="4550"/>
      <c r="BU333" s="4550"/>
      <c r="BV333" s="4550"/>
      <c r="BW333" s="4550"/>
      <c r="BX333" s="4550"/>
      <c r="BY333" s="4550"/>
      <c r="BZ333" s="4550"/>
      <c r="CA333" s="4550"/>
      <c r="CB333" s="4550"/>
      <c r="CC333" s="4550"/>
      <c r="CD333" s="4550"/>
      <c r="CE333" s="4550"/>
      <c r="CF333" s="4550"/>
      <c r="CG333" s="4550"/>
      <c r="CH333" s="4550"/>
      <c r="CI333" s="4550"/>
      <c r="CJ333" s="4550"/>
      <c r="CK333" s="4550"/>
      <c r="CL333" s="4550"/>
      <c r="CM333" s="4550"/>
      <c r="CN333" s="4550"/>
      <c r="CO333" s="4550"/>
      <c r="CP333" s="4550"/>
      <c r="CQ333" s="4550"/>
      <c r="CR333" s="4550"/>
      <c r="CS333" s="4550"/>
      <c r="CT333" s="4550"/>
      <c r="CU333" s="4550"/>
      <c r="CV333" s="4550"/>
      <c r="CW333" s="4550"/>
      <c r="CX333" s="4550"/>
      <c r="CY333" s="4550"/>
      <c r="CZ333" s="4550"/>
      <c r="DA333" s="4550"/>
      <c r="DB333" s="4550"/>
      <c r="DC333" s="4550"/>
      <c r="DD333" s="4550"/>
      <c r="DE333" s="4550"/>
      <c r="DF333" s="4550"/>
      <c r="DG333" s="4550"/>
      <c r="DH333" s="4550"/>
      <c r="DI333" s="4550"/>
      <c r="DJ333" s="4550"/>
      <c r="DK333" s="4550"/>
      <c r="DL333" s="4550"/>
      <c r="DM333" s="4550"/>
      <c r="DN333" s="4550"/>
      <c r="DO333" s="4550"/>
      <c r="DP333" s="4550"/>
      <c r="DQ333" s="4550"/>
      <c r="DR333" s="4550"/>
      <c r="DS333" s="4550"/>
      <c r="DT333" s="4550"/>
      <c r="DU333" s="4550"/>
      <c r="DV333" s="4550"/>
      <c r="DW333" s="4550"/>
      <c r="DX333" s="4550"/>
      <c r="DY333" s="4550"/>
      <c r="DZ333" s="4550"/>
      <c r="EA333" s="4550"/>
      <c r="EB333" s="4550"/>
      <c r="EC333" s="4550"/>
      <c r="ED333" s="4550"/>
      <c r="EE333" s="4550"/>
      <c r="EF333" s="4550"/>
      <c r="EG333" s="4550"/>
      <c r="EH333" s="4550"/>
      <c r="EI333" s="4550"/>
      <c r="EJ333" s="4550"/>
      <c r="EK333" s="4550"/>
      <c r="EL333" s="4550"/>
      <c r="EM333" s="4550"/>
      <c r="EN333" s="4550"/>
      <c r="EO333" s="4550"/>
      <c r="EP333" s="4550"/>
      <c r="EQ333" s="4550"/>
      <c r="ER333" s="4550"/>
      <c r="ES333" s="4550"/>
      <c r="ET333" s="4550"/>
      <c r="EU333" s="4550"/>
      <c r="EV333" s="4550"/>
      <c r="EW333" s="4550"/>
      <c r="EX333" s="4550"/>
      <c r="EY333" s="4550"/>
      <c r="EZ333" s="4550"/>
      <c r="FA333" s="4550"/>
      <c r="FB333" s="4550"/>
      <c r="FC333" s="4550"/>
      <c r="FD333" s="4550"/>
      <c r="FE333" s="4550"/>
      <c r="FF333" s="4550"/>
      <c r="FG333" s="4550"/>
      <c r="FH333" s="4550"/>
      <c r="FI333" s="4550"/>
      <c r="FJ333" s="4550"/>
      <c r="FK333" s="4550"/>
      <c r="FL333" s="4550"/>
      <c r="FM333" s="4550"/>
      <c r="FN333" s="4550"/>
      <c r="FO333" s="4550"/>
      <c r="FP333" s="4550"/>
      <c r="FQ333" s="4550"/>
      <c r="FR333" s="4550"/>
      <c r="FS333" s="4550"/>
      <c r="FT333" s="4550"/>
      <c r="FU333" s="4550"/>
      <c r="FV333" s="4550"/>
      <c r="FW333" s="4550"/>
      <c r="FX333" s="4550"/>
      <c r="FY333" s="4550"/>
      <c r="FZ333" s="4550"/>
      <c r="GA333" s="4550"/>
      <c r="GB333" s="4550"/>
      <c r="GC333" s="4550"/>
      <c r="GD333" s="4550"/>
      <c r="GE333" s="4550"/>
      <c r="GF333" s="4550"/>
      <c r="GG333" s="4550"/>
      <c r="GH333" s="4550"/>
      <c r="GI333" s="4550"/>
      <c r="GJ333" s="4550"/>
      <c r="GK333" s="4550"/>
      <c r="GL333" s="4550"/>
      <c r="GM333" s="4550"/>
      <c r="GN333" s="4550"/>
      <c r="GO333" s="4550"/>
      <c r="GP333" s="4550"/>
      <c r="GQ333" s="4550"/>
      <c r="GR333" s="4550"/>
      <c r="GS333" s="4550"/>
      <c r="GT333" s="4550"/>
      <c r="GU333" s="4550"/>
      <c r="GV333" s="4550"/>
      <c r="GW333" s="4550"/>
      <c r="GX333" s="4550"/>
      <c r="GY333" s="4550"/>
      <c r="GZ333" s="4550"/>
      <c r="HA333" s="4550"/>
      <c r="HB333" s="4550"/>
      <c r="HC333" s="4550"/>
      <c r="HD333" s="4550"/>
      <c r="HE333" s="4550"/>
      <c r="HF333" s="4550"/>
      <c r="HG333" s="4550"/>
      <c r="HH333" s="4550"/>
      <c r="HI333" s="4550"/>
      <c r="HJ333" s="4550"/>
      <c r="HK333" s="4550"/>
      <c r="HL333" s="4550"/>
      <c r="HM333" s="4550"/>
      <c r="HN333" s="4550"/>
      <c r="HO333" s="4550"/>
      <c r="HP333" s="4550"/>
      <c r="HQ333" s="4550"/>
      <c r="HR333" s="4550"/>
      <c r="HS333" s="4550"/>
      <c r="HT333" s="4550"/>
      <c r="HU333" s="4550"/>
      <c r="HV333" s="4550"/>
      <c r="HW333" s="4550"/>
      <c r="HX333" s="4550"/>
      <c r="HY333" s="4550"/>
      <c r="HZ333" s="4550"/>
      <c r="IA333" s="4550"/>
      <c r="IB333" s="4550"/>
      <c r="IC333" s="4550"/>
      <c r="ID333" s="4550"/>
      <c r="IE333" s="4550"/>
    </row>
    <row r="334" spans="1:239" s="4549" customFormat="1" ht="15">
      <c r="A334" s="4705">
        <v>18</v>
      </c>
      <c r="B334" s="4635" t="s">
        <v>4225</v>
      </c>
      <c r="C334" s="4677">
        <v>1</v>
      </c>
      <c r="D334" s="4596" t="s">
        <v>2433</v>
      </c>
      <c r="E334" s="5000"/>
      <c r="F334" s="4969">
        <f t="shared" si="16"/>
        <v>0</v>
      </c>
      <c r="G334" s="4537"/>
      <c r="H334" s="4537"/>
      <c r="I334" s="4537"/>
      <c r="J334" s="4537"/>
      <c r="K334" s="4537"/>
      <c r="L334" s="4537"/>
      <c r="M334" s="4537"/>
      <c r="N334" s="4537"/>
      <c r="O334" s="4537"/>
      <c r="P334" s="4537"/>
      <c r="Q334" s="4537"/>
      <c r="R334" s="4537"/>
      <c r="S334" s="4537"/>
      <c r="T334" s="4537"/>
      <c r="U334" s="4537"/>
      <c r="V334" s="4537"/>
      <c r="W334" s="4537"/>
      <c r="X334" s="4537"/>
      <c r="Y334" s="4537"/>
      <c r="Z334" s="4537"/>
      <c r="AA334" s="4537"/>
      <c r="AB334" s="4537"/>
      <c r="AC334" s="4537"/>
      <c r="AD334" s="4537"/>
      <c r="AE334" s="4537"/>
      <c r="AF334" s="4537"/>
      <c r="AG334" s="4537"/>
      <c r="AH334" s="4537"/>
      <c r="AI334" s="4537"/>
      <c r="AJ334" s="4537"/>
      <c r="AK334" s="4537"/>
      <c r="AL334" s="4537"/>
      <c r="AM334" s="4537"/>
      <c r="AN334" s="4537"/>
      <c r="AO334" s="4537"/>
      <c r="AP334" s="4537"/>
      <c r="AQ334" s="4537"/>
      <c r="AR334" s="4537"/>
      <c r="AS334" s="4550"/>
      <c r="AT334" s="4550"/>
      <c r="AU334" s="4550"/>
      <c r="AV334" s="4550"/>
      <c r="AW334" s="4550"/>
      <c r="AX334" s="4550"/>
      <c r="AY334" s="4550"/>
      <c r="AZ334" s="4550"/>
      <c r="BA334" s="4550"/>
      <c r="BB334" s="4550"/>
      <c r="BC334" s="4550"/>
      <c r="BD334" s="4550"/>
      <c r="BE334" s="4550"/>
      <c r="BF334" s="4550"/>
      <c r="BG334" s="4550"/>
      <c r="BH334" s="4550"/>
      <c r="BI334" s="4550"/>
      <c r="BJ334" s="4550"/>
      <c r="BK334" s="4550"/>
      <c r="BL334" s="4550"/>
      <c r="BM334" s="4550"/>
      <c r="BN334" s="4550"/>
      <c r="BO334" s="4550"/>
      <c r="BP334" s="4550"/>
      <c r="BQ334" s="4550"/>
      <c r="BR334" s="4550"/>
      <c r="BS334" s="4550"/>
      <c r="BT334" s="4550"/>
      <c r="BU334" s="4550"/>
      <c r="BV334" s="4550"/>
      <c r="BW334" s="4550"/>
      <c r="BX334" s="4550"/>
      <c r="BY334" s="4550"/>
      <c r="BZ334" s="4550"/>
      <c r="CA334" s="4550"/>
      <c r="CB334" s="4550"/>
      <c r="CC334" s="4550"/>
      <c r="CD334" s="4550"/>
      <c r="CE334" s="4550"/>
      <c r="CF334" s="4550"/>
      <c r="CG334" s="4550"/>
      <c r="CH334" s="4550"/>
      <c r="CI334" s="4550"/>
      <c r="CJ334" s="4550"/>
      <c r="CK334" s="4550"/>
      <c r="CL334" s="4550"/>
      <c r="CM334" s="4550"/>
      <c r="CN334" s="4550"/>
      <c r="CO334" s="4550"/>
      <c r="CP334" s="4550"/>
      <c r="CQ334" s="4550"/>
      <c r="CR334" s="4550"/>
      <c r="CS334" s="4550"/>
      <c r="CT334" s="4550"/>
      <c r="CU334" s="4550"/>
      <c r="CV334" s="4550"/>
      <c r="CW334" s="4550"/>
      <c r="CX334" s="4550"/>
      <c r="CY334" s="4550"/>
      <c r="CZ334" s="4550"/>
      <c r="DA334" s="4550"/>
      <c r="DB334" s="4550"/>
      <c r="DC334" s="4550"/>
      <c r="DD334" s="4550"/>
      <c r="DE334" s="4550"/>
      <c r="DF334" s="4550"/>
      <c r="DG334" s="4550"/>
      <c r="DH334" s="4550"/>
      <c r="DI334" s="4550"/>
      <c r="DJ334" s="4550"/>
      <c r="DK334" s="4550"/>
      <c r="DL334" s="4550"/>
      <c r="DM334" s="4550"/>
      <c r="DN334" s="4550"/>
      <c r="DO334" s="4550"/>
      <c r="DP334" s="4550"/>
      <c r="DQ334" s="4550"/>
      <c r="DR334" s="4550"/>
      <c r="DS334" s="4550"/>
      <c r="DT334" s="4550"/>
      <c r="DU334" s="4550"/>
      <c r="DV334" s="4550"/>
      <c r="DW334" s="4550"/>
      <c r="DX334" s="4550"/>
      <c r="DY334" s="4550"/>
      <c r="DZ334" s="4550"/>
      <c r="EA334" s="4550"/>
      <c r="EB334" s="4550"/>
      <c r="EC334" s="4550"/>
      <c r="ED334" s="4550"/>
      <c r="EE334" s="4550"/>
      <c r="EF334" s="4550"/>
      <c r="EG334" s="4550"/>
      <c r="EH334" s="4550"/>
      <c r="EI334" s="4550"/>
      <c r="EJ334" s="4550"/>
      <c r="EK334" s="4550"/>
      <c r="EL334" s="4550"/>
      <c r="EM334" s="4550"/>
      <c r="EN334" s="4550"/>
      <c r="EO334" s="4550"/>
      <c r="EP334" s="4550"/>
      <c r="EQ334" s="4550"/>
      <c r="ER334" s="4550"/>
      <c r="ES334" s="4550"/>
      <c r="ET334" s="4550"/>
      <c r="EU334" s="4550"/>
      <c r="EV334" s="4550"/>
      <c r="EW334" s="4550"/>
      <c r="EX334" s="4550"/>
      <c r="EY334" s="4550"/>
      <c r="EZ334" s="4550"/>
      <c r="FA334" s="4550"/>
      <c r="FB334" s="4550"/>
      <c r="FC334" s="4550"/>
      <c r="FD334" s="4550"/>
      <c r="FE334" s="4550"/>
      <c r="FF334" s="4550"/>
      <c r="FG334" s="4550"/>
      <c r="FH334" s="4550"/>
      <c r="FI334" s="4550"/>
      <c r="FJ334" s="4550"/>
      <c r="FK334" s="4550"/>
      <c r="FL334" s="4550"/>
      <c r="FM334" s="4550"/>
      <c r="FN334" s="4550"/>
      <c r="FO334" s="4550"/>
      <c r="FP334" s="4550"/>
      <c r="FQ334" s="4550"/>
      <c r="FR334" s="4550"/>
      <c r="FS334" s="4550"/>
      <c r="FT334" s="4550"/>
      <c r="FU334" s="4550"/>
      <c r="FV334" s="4550"/>
      <c r="FW334" s="4550"/>
      <c r="FX334" s="4550"/>
      <c r="FY334" s="4550"/>
      <c r="FZ334" s="4550"/>
      <c r="GA334" s="4550"/>
      <c r="GB334" s="4550"/>
      <c r="GC334" s="4550"/>
      <c r="GD334" s="4550"/>
      <c r="GE334" s="4550"/>
      <c r="GF334" s="4550"/>
      <c r="GG334" s="4550"/>
      <c r="GH334" s="4550"/>
      <c r="GI334" s="4550"/>
      <c r="GJ334" s="4550"/>
      <c r="GK334" s="4550"/>
      <c r="GL334" s="4550"/>
      <c r="GM334" s="4550"/>
      <c r="GN334" s="4550"/>
      <c r="GO334" s="4550"/>
      <c r="GP334" s="4550"/>
      <c r="GQ334" s="4550"/>
      <c r="GR334" s="4550"/>
      <c r="GS334" s="4550"/>
      <c r="GT334" s="4550"/>
      <c r="GU334" s="4550"/>
      <c r="GV334" s="4550"/>
      <c r="GW334" s="4550"/>
      <c r="GX334" s="4550"/>
      <c r="GY334" s="4550"/>
      <c r="GZ334" s="4550"/>
      <c r="HA334" s="4550"/>
      <c r="HB334" s="4550"/>
      <c r="HC334" s="4550"/>
      <c r="HD334" s="4550"/>
      <c r="HE334" s="4550"/>
      <c r="HF334" s="4550"/>
      <c r="HG334" s="4550"/>
      <c r="HH334" s="4550"/>
      <c r="HI334" s="4550"/>
      <c r="HJ334" s="4550"/>
      <c r="HK334" s="4550"/>
      <c r="HL334" s="4550"/>
      <c r="HM334" s="4550"/>
      <c r="HN334" s="4550"/>
      <c r="HO334" s="4550"/>
      <c r="HP334" s="4550"/>
      <c r="HQ334" s="4550"/>
      <c r="HR334" s="4550"/>
      <c r="HS334" s="4550"/>
      <c r="HT334" s="4550"/>
      <c r="HU334" s="4550"/>
      <c r="HV334" s="4550"/>
      <c r="HW334" s="4550"/>
      <c r="HX334" s="4550"/>
      <c r="HY334" s="4550"/>
      <c r="HZ334" s="4550"/>
      <c r="IA334" s="4550"/>
      <c r="IB334" s="4550"/>
      <c r="IC334" s="4550"/>
      <c r="ID334" s="4550"/>
      <c r="IE334" s="4550"/>
    </row>
    <row r="335" spans="1:239" s="4538" customFormat="1" ht="16.5" customHeight="1">
      <c r="A335" s="4767"/>
      <c r="B335" s="4768" t="s">
        <v>4377</v>
      </c>
      <c r="C335" s="4769"/>
      <c r="D335" s="4767"/>
      <c r="E335" s="5004"/>
      <c r="F335" s="5005">
        <f>ROUND(SUM(F241:F334),2)</f>
        <v>0</v>
      </c>
      <c r="G335" s="4555"/>
      <c r="H335" s="4555"/>
      <c r="I335" s="4555"/>
      <c r="J335" s="4555"/>
      <c r="K335" s="4555"/>
      <c r="L335" s="4555"/>
      <c r="M335" s="4555"/>
      <c r="N335" s="4555"/>
      <c r="O335" s="4555"/>
      <c r="P335" s="4555"/>
      <c r="Q335" s="4555"/>
      <c r="R335" s="4555"/>
      <c r="S335" s="4555"/>
      <c r="T335" s="4555"/>
      <c r="U335" s="4555"/>
      <c r="V335" s="4555"/>
      <c r="W335" s="4555"/>
      <c r="X335" s="4555"/>
      <c r="Y335" s="4555"/>
      <c r="Z335" s="4555"/>
      <c r="AA335" s="4555"/>
      <c r="AB335" s="4555"/>
      <c r="AC335" s="4555"/>
      <c r="AD335" s="4555"/>
      <c r="AE335" s="4555"/>
      <c r="AF335" s="4555"/>
      <c r="AG335" s="4555"/>
      <c r="AH335" s="4555"/>
      <c r="AI335" s="4555"/>
      <c r="AJ335" s="4555"/>
      <c r="AK335" s="4555"/>
      <c r="AL335" s="4555"/>
      <c r="AM335" s="4555"/>
      <c r="AN335" s="4555"/>
      <c r="AO335" s="4555"/>
      <c r="AP335" s="4555"/>
      <c r="AQ335" s="4555"/>
      <c r="AR335" s="4555"/>
      <c r="AS335" s="4556"/>
      <c r="AT335" s="4556"/>
      <c r="AU335" s="4556"/>
      <c r="AV335" s="4556"/>
      <c r="AW335" s="4556"/>
      <c r="AX335" s="4556"/>
      <c r="AY335" s="4556"/>
      <c r="AZ335" s="4556"/>
      <c r="BA335" s="4556"/>
      <c r="BB335" s="4556"/>
      <c r="BC335" s="4556"/>
      <c r="BD335" s="4556"/>
      <c r="BE335" s="4556"/>
      <c r="BF335" s="4556"/>
      <c r="BG335" s="4556"/>
      <c r="BH335" s="4556"/>
      <c r="BI335" s="4556"/>
      <c r="BJ335" s="4556"/>
      <c r="BK335" s="4556"/>
      <c r="BL335" s="4556"/>
      <c r="BM335" s="4556"/>
      <c r="BN335" s="4556"/>
      <c r="BO335" s="4556"/>
      <c r="BP335" s="4556"/>
      <c r="BQ335" s="4556"/>
      <c r="BR335" s="4556"/>
      <c r="BS335" s="4556"/>
      <c r="BT335" s="4556"/>
      <c r="BU335" s="4556"/>
      <c r="BV335" s="4556"/>
      <c r="BW335" s="4556"/>
      <c r="BX335" s="4556"/>
      <c r="BY335" s="4556"/>
      <c r="BZ335" s="4556"/>
      <c r="CA335" s="4556"/>
      <c r="CB335" s="4556"/>
      <c r="CC335" s="4556"/>
      <c r="CD335" s="4556"/>
      <c r="CE335" s="4556"/>
      <c r="CF335" s="4556"/>
      <c r="CG335" s="4556"/>
      <c r="CH335" s="4556"/>
      <c r="CI335" s="4556"/>
      <c r="CJ335" s="4556"/>
      <c r="CK335" s="4556"/>
      <c r="CL335" s="4556"/>
      <c r="CM335" s="4556"/>
      <c r="CN335" s="4556"/>
      <c r="CO335" s="4556"/>
      <c r="CP335" s="4556"/>
      <c r="CQ335" s="4556"/>
      <c r="CR335" s="4556"/>
      <c r="CS335" s="4556"/>
      <c r="CT335" s="4556"/>
      <c r="CU335" s="4556"/>
      <c r="CV335" s="4556"/>
      <c r="CW335" s="4556"/>
      <c r="CX335" s="4556"/>
      <c r="CY335" s="4556"/>
      <c r="CZ335" s="4556"/>
      <c r="DA335" s="4556"/>
      <c r="DB335" s="4556"/>
      <c r="DC335" s="4556"/>
      <c r="DD335" s="4556"/>
      <c r="DE335" s="4556"/>
      <c r="DF335" s="4556"/>
      <c r="DG335" s="4556"/>
      <c r="DH335" s="4556"/>
      <c r="DI335" s="4556"/>
      <c r="DJ335" s="4556"/>
      <c r="DK335" s="4556"/>
      <c r="DL335" s="4556"/>
      <c r="DM335" s="4556"/>
      <c r="DN335" s="4556"/>
      <c r="DO335" s="4556"/>
      <c r="DP335" s="4556"/>
      <c r="DQ335" s="4556"/>
      <c r="DR335" s="4556"/>
      <c r="DS335" s="4556"/>
      <c r="DT335" s="4556"/>
      <c r="DU335" s="4556"/>
      <c r="DV335" s="4556"/>
      <c r="DW335" s="4556"/>
      <c r="DX335" s="4556"/>
      <c r="DY335" s="4556"/>
      <c r="DZ335" s="4556"/>
      <c r="EA335" s="4556"/>
      <c r="EB335" s="4556"/>
      <c r="EC335" s="4556"/>
      <c r="ED335" s="4556"/>
      <c r="EE335" s="4556"/>
      <c r="EF335" s="4556"/>
      <c r="EG335" s="4556"/>
      <c r="EH335" s="4556"/>
      <c r="EI335" s="4556"/>
      <c r="EJ335" s="4556"/>
      <c r="EK335" s="4556"/>
      <c r="EL335" s="4556"/>
      <c r="EM335" s="4556"/>
      <c r="EN335" s="4556"/>
      <c r="EO335" s="4556"/>
      <c r="EP335" s="4556"/>
      <c r="EQ335" s="4556"/>
      <c r="ER335" s="4556"/>
      <c r="ES335" s="4556"/>
      <c r="ET335" s="4556"/>
      <c r="EU335" s="4556"/>
      <c r="EV335" s="4556"/>
      <c r="EW335" s="4556"/>
      <c r="EX335" s="4556"/>
      <c r="EY335" s="4556"/>
      <c r="EZ335" s="4556"/>
      <c r="FA335" s="4556"/>
      <c r="FB335" s="4556"/>
      <c r="FC335" s="4556"/>
      <c r="FD335" s="4556"/>
      <c r="FE335" s="4556"/>
      <c r="FF335" s="4556"/>
      <c r="FG335" s="4556"/>
      <c r="FH335" s="4556"/>
      <c r="FI335" s="4556"/>
      <c r="FJ335" s="4556"/>
      <c r="FK335" s="4556"/>
      <c r="FL335" s="4556"/>
      <c r="FM335" s="4556"/>
      <c r="FN335" s="4556"/>
      <c r="FO335" s="4556"/>
      <c r="FP335" s="4556"/>
      <c r="FQ335" s="4556"/>
      <c r="FR335" s="4556"/>
      <c r="FS335" s="4556"/>
      <c r="FT335" s="4556"/>
      <c r="FU335" s="4556"/>
      <c r="FV335" s="4556"/>
      <c r="FW335" s="4556"/>
      <c r="FX335" s="4556"/>
      <c r="FY335" s="4556"/>
      <c r="FZ335" s="4556"/>
      <c r="GA335" s="4556"/>
      <c r="GB335" s="4556"/>
      <c r="GC335" s="4556"/>
      <c r="GD335" s="4556"/>
      <c r="GE335" s="4556"/>
      <c r="GF335" s="4556"/>
      <c r="GG335" s="4556"/>
      <c r="GH335" s="4556"/>
      <c r="GI335" s="4556"/>
      <c r="GJ335" s="4556"/>
      <c r="GK335" s="4556"/>
      <c r="GL335" s="4556"/>
      <c r="GM335" s="4556"/>
      <c r="GN335" s="4556"/>
      <c r="GO335" s="4556"/>
      <c r="GP335" s="4556"/>
      <c r="GQ335" s="4556"/>
      <c r="GR335" s="4556"/>
      <c r="GS335" s="4556"/>
      <c r="GT335" s="4556"/>
      <c r="GU335" s="4556"/>
      <c r="GV335" s="4556"/>
      <c r="GW335" s="4556"/>
      <c r="GX335" s="4556"/>
      <c r="GY335" s="4556"/>
      <c r="GZ335" s="4556"/>
      <c r="HA335" s="4556"/>
      <c r="HB335" s="4556"/>
      <c r="HC335" s="4556"/>
      <c r="HD335" s="4556"/>
      <c r="HE335" s="4556"/>
      <c r="HF335" s="4556"/>
      <c r="HG335" s="4556"/>
      <c r="HH335" s="4556"/>
      <c r="HI335" s="4556"/>
      <c r="HJ335" s="4556"/>
      <c r="HK335" s="4556"/>
      <c r="HL335" s="4556"/>
      <c r="HM335" s="4556"/>
      <c r="HN335" s="4556"/>
      <c r="HO335" s="4556"/>
      <c r="HP335" s="4556"/>
      <c r="HQ335" s="4556"/>
      <c r="HR335" s="4556"/>
      <c r="HS335" s="4556"/>
      <c r="HT335" s="4556"/>
      <c r="HU335" s="4556"/>
      <c r="HV335" s="4556"/>
      <c r="HW335" s="4556"/>
      <c r="HX335" s="4556"/>
      <c r="HY335" s="4556"/>
      <c r="HZ335" s="4556"/>
      <c r="IA335" s="4556"/>
      <c r="IB335" s="4556"/>
      <c r="IC335" s="4556"/>
      <c r="ID335" s="4556"/>
      <c r="IE335" s="4556"/>
    </row>
    <row r="336" spans="1:239" s="4538" customFormat="1" ht="6.75" customHeight="1">
      <c r="A336" s="4721"/>
      <c r="B336" s="4770"/>
      <c r="C336" s="4771"/>
      <c r="D336" s="4686"/>
      <c r="E336" s="5006"/>
      <c r="F336" s="5007"/>
      <c r="G336" s="4555"/>
      <c r="H336" s="4555"/>
      <c r="I336" s="4555"/>
      <c r="J336" s="4555"/>
      <c r="K336" s="4555"/>
      <c r="L336" s="4555"/>
      <c r="M336" s="4555"/>
      <c r="N336" s="4555"/>
      <c r="O336" s="4555"/>
      <c r="P336" s="4555"/>
      <c r="Q336" s="4555"/>
      <c r="R336" s="4555"/>
      <c r="S336" s="4555"/>
      <c r="T336" s="4555"/>
      <c r="U336" s="4555"/>
      <c r="V336" s="4555"/>
      <c r="W336" s="4555"/>
      <c r="X336" s="4555"/>
      <c r="Y336" s="4555"/>
      <c r="Z336" s="4555"/>
      <c r="AA336" s="4555"/>
      <c r="AB336" s="4555"/>
      <c r="AC336" s="4555"/>
      <c r="AD336" s="4555"/>
      <c r="AE336" s="4555"/>
      <c r="AF336" s="4555"/>
      <c r="AG336" s="4555"/>
      <c r="AH336" s="4555"/>
      <c r="AI336" s="4555"/>
      <c r="AJ336" s="4555"/>
      <c r="AK336" s="4555"/>
      <c r="AL336" s="4555"/>
      <c r="AM336" s="4555"/>
      <c r="AN336" s="4555"/>
      <c r="AO336" s="4555"/>
      <c r="AP336" s="4555"/>
      <c r="AQ336" s="4555"/>
      <c r="AR336" s="4555"/>
      <c r="AS336" s="4556"/>
      <c r="AT336" s="4556"/>
      <c r="AU336" s="4556"/>
      <c r="AV336" s="4556"/>
      <c r="AW336" s="4556"/>
      <c r="AX336" s="4556"/>
      <c r="AY336" s="4556"/>
      <c r="AZ336" s="4556"/>
      <c r="BA336" s="4556"/>
      <c r="BB336" s="4556"/>
      <c r="BC336" s="4556"/>
      <c r="BD336" s="4556"/>
      <c r="BE336" s="4556"/>
      <c r="BF336" s="4556"/>
      <c r="BG336" s="4556"/>
      <c r="BH336" s="4556"/>
      <c r="BI336" s="4556"/>
      <c r="BJ336" s="4556"/>
      <c r="BK336" s="4556"/>
      <c r="BL336" s="4556"/>
      <c r="BM336" s="4556"/>
      <c r="BN336" s="4556"/>
      <c r="BO336" s="4556"/>
      <c r="BP336" s="4556"/>
      <c r="BQ336" s="4556"/>
      <c r="BR336" s="4556"/>
      <c r="BS336" s="4556"/>
      <c r="BT336" s="4556"/>
      <c r="BU336" s="4556"/>
      <c r="BV336" s="4556"/>
      <c r="BW336" s="4556"/>
      <c r="BX336" s="4556"/>
      <c r="BY336" s="4556"/>
      <c r="BZ336" s="4556"/>
      <c r="CA336" s="4556"/>
      <c r="CB336" s="4556"/>
      <c r="CC336" s="4556"/>
      <c r="CD336" s="4556"/>
      <c r="CE336" s="4556"/>
      <c r="CF336" s="4556"/>
      <c r="CG336" s="4556"/>
      <c r="CH336" s="4556"/>
      <c r="CI336" s="4556"/>
      <c r="CJ336" s="4556"/>
      <c r="CK336" s="4556"/>
      <c r="CL336" s="4556"/>
      <c r="CM336" s="4556"/>
      <c r="CN336" s="4556"/>
      <c r="CO336" s="4556"/>
      <c r="CP336" s="4556"/>
      <c r="CQ336" s="4556"/>
      <c r="CR336" s="4556"/>
      <c r="CS336" s="4556"/>
      <c r="CT336" s="4556"/>
      <c r="CU336" s="4556"/>
      <c r="CV336" s="4556"/>
      <c r="CW336" s="4556"/>
      <c r="CX336" s="4556"/>
      <c r="CY336" s="4556"/>
      <c r="CZ336" s="4556"/>
      <c r="DA336" s="4556"/>
      <c r="DB336" s="4556"/>
      <c r="DC336" s="4556"/>
      <c r="DD336" s="4556"/>
      <c r="DE336" s="4556"/>
      <c r="DF336" s="4556"/>
      <c r="DG336" s="4556"/>
      <c r="DH336" s="4556"/>
      <c r="DI336" s="4556"/>
      <c r="DJ336" s="4556"/>
      <c r="DK336" s="4556"/>
      <c r="DL336" s="4556"/>
      <c r="DM336" s="4556"/>
      <c r="DN336" s="4556"/>
      <c r="DO336" s="4556"/>
      <c r="DP336" s="4556"/>
      <c r="DQ336" s="4556"/>
      <c r="DR336" s="4556"/>
      <c r="DS336" s="4556"/>
      <c r="DT336" s="4556"/>
      <c r="DU336" s="4556"/>
      <c r="DV336" s="4556"/>
      <c r="DW336" s="4556"/>
      <c r="DX336" s="4556"/>
      <c r="DY336" s="4556"/>
      <c r="DZ336" s="4556"/>
      <c r="EA336" s="4556"/>
      <c r="EB336" s="4556"/>
      <c r="EC336" s="4556"/>
      <c r="ED336" s="4556"/>
      <c r="EE336" s="4556"/>
      <c r="EF336" s="4556"/>
      <c r="EG336" s="4556"/>
      <c r="EH336" s="4556"/>
      <c r="EI336" s="4556"/>
      <c r="EJ336" s="4556"/>
      <c r="EK336" s="4556"/>
      <c r="EL336" s="4556"/>
      <c r="EM336" s="4556"/>
      <c r="EN336" s="4556"/>
      <c r="EO336" s="4556"/>
      <c r="EP336" s="4556"/>
      <c r="EQ336" s="4556"/>
      <c r="ER336" s="4556"/>
      <c r="ES336" s="4556"/>
      <c r="ET336" s="4556"/>
      <c r="EU336" s="4556"/>
      <c r="EV336" s="4556"/>
      <c r="EW336" s="4556"/>
      <c r="EX336" s="4556"/>
      <c r="EY336" s="4556"/>
      <c r="EZ336" s="4556"/>
      <c r="FA336" s="4556"/>
      <c r="FB336" s="4556"/>
      <c r="FC336" s="4556"/>
      <c r="FD336" s="4556"/>
      <c r="FE336" s="4556"/>
      <c r="FF336" s="4556"/>
      <c r="FG336" s="4556"/>
      <c r="FH336" s="4556"/>
      <c r="FI336" s="4556"/>
      <c r="FJ336" s="4556"/>
      <c r="FK336" s="4556"/>
      <c r="FL336" s="4556"/>
      <c r="FM336" s="4556"/>
      <c r="FN336" s="4556"/>
      <c r="FO336" s="4556"/>
      <c r="FP336" s="4556"/>
      <c r="FQ336" s="4556"/>
      <c r="FR336" s="4556"/>
      <c r="FS336" s="4556"/>
      <c r="FT336" s="4556"/>
      <c r="FU336" s="4556"/>
      <c r="FV336" s="4556"/>
      <c r="FW336" s="4556"/>
      <c r="FX336" s="4556"/>
      <c r="FY336" s="4556"/>
      <c r="FZ336" s="4556"/>
      <c r="GA336" s="4556"/>
      <c r="GB336" s="4556"/>
      <c r="GC336" s="4556"/>
      <c r="GD336" s="4556"/>
      <c r="GE336" s="4556"/>
      <c r="GF336" s="4556"/>
      <c r="GG336" s="4556"/>
      <c r="GH336" s="4556"/>
      <c r="GI336" s="4556"/>
      <c r="GJ336" s="4556"/>
      <c r="GK336" s="4556"/>
      <c r="GL336" s="4556"/>
      <c r="GM336" s="4556"/>
      <c r="GN336" s="4556"/>
      <c r="GO336" s="4556"/>
      <c r="GP336" s="4556"/>
      <c r="GQ336" s="4556"/>
      <c r="GR336" s="4556"/>
      <c r="GS336" s="4556"/>
      <c r="GT336" s="4556"/>
      <c r="GU336" s="4556"/>
      <c r="GV336" s="4556"/>
      <c r="GW336" s="4556"/>
      <c r="GX336" s="4556"/>
      <c r="GY336" s="4556"/>
      <c r="GZ336" s="4556"/>
      <c r="HA336" s="4556"/>
      <c r="HB336" s="4556"/>
      <c r="HC336" s="4556"/>
      <c r="HD336" s="4556"/>
      <c r="HE336" s="4556"/>
      <c r="HF336" s="4556"/>
      <c r="HG336" s="4556"/>
      <c r="HH336" s="4556"/>
      <c r="HI336" s="4556"/>
      <c r="HJ336" s="4556"/>
      <c r="HK336" s="4556"/>
      <c r="HL336" s="4556"/>
      <c r="HM336" s="4556"/>
      <c r="HN336" s="4556"/>
      <c r="HO336" s="4556"/>
      <c r="HP336" s="4556"/>
      <c r="HQ336" s="4556"/>
      <c r="HR336" s="4556"/>
      <c r="HS336" s="4556"/>
      <c r="HT336" s="4556"/>
      <c r="HU336" s="4556"/>
      <c r="HV336" s="4556"/>
      <c r="HW336" s="4556"/>
      <c r="HX336" s="4556"/>
      <c r="HY336" s="4556"/>
      <c r="HZ336" s="4556"/>
      <c r="IA336" s="4556"/>
      <c r="IB336" s="4556"/>
      <c r="IC336" s="4556"/>
      <c r="ID336" s="4556"/>
      <c r="IE336" s="4556"/>
    </row>
    <row r="337" spans="1:239" s="4538" customFormat="1" ht="15">
      <c r="A337" s="4772" t="s">
        <v>4378</v>
      </c>
      <c r="B337" s="4637" t="s">
        <v>4226</v>
      </c>
      <c r="C337" s="4773"/>
      <c r="D337" s="4774"/>
      <c r="E337" s="5008"/>
      <c r="F337" s="5009"/>
      <c r="G337" s="4555"/>
      <c r="H337" s="4555"/>
      <c r="I337" s="4555"/>
      <c r="J337" s="4555"/>
      <c r="K337" s="4555"/>
      <c r="L337" s="4555"/>
      <c r="M337" s="4555"/>
      <c r="N337" s="4555"/>
      <c r="O337" s="4555"/>
      <c r="P337" s="4555"/>
      <c r="Q337" s="4555"/>
      <c r="R337" s="4555"/>
      <c r="S337" s="4555"/>
      <c r="T337" s="4555"/>
      <c r="U337" s="4555"/>
      <c r="V337" s="4555"/>
      <c r="W337" s="4555"/>
      <c r="X337" s="4555"/>
      <c r="Y337" s="4555"/>
      <c r="Z337" s="4555"/>
      <c r="AA337" s="4555"/>
      <c r="AB337" s="4555"/>
      <c r="AC337" s="4555"/>
      <c r="AD337" s="4555"/>
      <c r="AE337" s="4555"/>
      <c r="AF337" s="4555"/>
      <c r="AG337" s="4555"/>
      <c r="AH337" s="4555"/>
      <c r="AI337" s="4555"/>
      <c r="AJ337" s="4555"/>
      <c r="AK337" s="4555"/>
      <c r="AL337" s="4555"/>
      <c r="AM337" s="4555"/>
      <c r="AN337" s="4555"/>
      <c r="AO337" s="4555"/>
      <c r="AP337" s="4555"/>
      <c r="AQ337" s="4555"/>
      <c r="AR337" s="4555"/>
      <c r="AS337" s="4556"/>
      <c r="AT337" s="4556"/>
      <c r="AU337" s="4556"/>
      <c r="AV337" s="4556"/>
      <c r="AW337" s="4556"/>
      <c r="AX337" s="4556"/>
      <c r="AY337" s="4556"/>
      <c r="AZ337" s="4556"/>
      <c r="BA337" s="4556"/>
      <c r="BB337" s="4556"/>
      <c r="BC337" s="4556"/>
      <c r="BD337" s="4556"/>
      <c r="BE337" s="4556"/>
      <c r="BF337" s="4556"/>
      <c r="BG337" s="4556"/>
      <c r="BH337" s="4556"/>
      <c r="BI337" s="4556"/>
      <c r="BJ337" s="4556"/>
      <c r="BK337" s="4556"/>
      <c r="BL337" s="4556"/>
      <c r="BM337" s="4556"/>
      <c r="BN337" s="4556"/>
      <c r="BO337" s="4556"/>
      <c r="BP337" s="4556"/>
      <c r="BQ337" s="4556"/>
      <c r="BR337" s="4556"/>
      <c r="BS337" s="4556"/>
      <c r="BT337" s="4556"/>
      <c r="BU337" s="4556"/>
      <c r="BV337" s="4556"/>
      <c r="BW337" s="4556"/>
      <c r="BX337" s="4556"/>
      <c r="BY337" s="4556"/>
      <c r="BZ337" s="4556"/>
      <c r="CA337" s="4556"/>
      <c r="CB337" s="4556"/>
      <c r="CC337" s="4556"/>
      <c r="CD337" s="4556"/>
      <c r="CE337" s="4556"/>
      <c r="CF337" s="4556"/>
      <c r="CG337" s="4556"/>
      <c r="CH337" s="4556"/>
      <c r="CI337" s="4556"/>
      <c r="CJ337" s="4556"/>
      <c r="CK337" s="4556"/>
      <c r="CL337" s="4556"/>
      <c r="CM337" s="4556"/>
      <c r="CN337" s="4556"/>
      <c r="CO337" s="4556"/>
      <c r="CP337" s="4556"/>
      <c r="CQ337" s="4556"/>
      <c r="CR337" s="4556"/>
      <c r="CS337" s="4556"/>
      <c r="CT337" s="4556"/>
      <c r="CU337" s="4556"/>
      <c r="CV337" s="4556"/>
      <c r="CW337" s="4556"/>
      <c r="CX337" s="4556"/>
      <c r="CY337" s="4556"/>
      <c r="CZ337" s="4556"/>
      <c r="DA337" s="4556"/>
      <c r="DB337" s="4556"/>
      <c r="DC337" s="4556"/>
      <c r="DD337" s="4556"/>
      <c r="DE337" s="4556"/>
      <c r="DF337" s="4556"/>
      <c r="DG337" s="4556"/>
      <c r="DH337" s="4556"/>
      <c r="DI337" s="4556"/>
      <c r="DJ337" s="4556"/>
      <c r="DK337" s="4556"/>
      <c r="DL337" s="4556"/>
      <c r="DM337" s="4556"/>
      <c r="DN337" s="4556"/>
      <c r="DO337" s="4556"/>
      <c r="DP337" s="4556"/>
      <c r="DQ337" s="4556"/>
      <c r="DR337" s="4556"/>
      <c r="DS337" s="4556"/>
      <c r="DT337" s="4556"/>
      <c r="DU337" s="4556"/>
      <c r="DV337" s="4556"/>
      <c r="DW337" s="4556"/>
      <c r="DX337" s="4556"/>
      <c r="DY337" s="4556"/>
      <c r="DZ337" s="4556"/>
      <c r="EA337" s="4556"/>
      <c r="EB337" s="4556"/>
      <c r="EC337" s="4556"/>
      <c r="ED337" s="4556"/>
      <c r="EE337" s="4556"/>
      <c r="EF337" s="4556"/>
      <c r="EG337" s="4556"/>
      <c r="EH337" s="4556"/>
      <c r="EI337" s="4556"/>
      <c r="EJ337" s="4556"/>
      <c r="EK337" s="4556"/>
      <c r="EL337" s="4556"/>
      <c r="EM337" s="4556"/>
      <c r="EN337" s="4556"/>
      <c r="EO337" s="4556"/>
      <c r="EP337" s="4556"/>
      <c r="EQ337" s="4556"/>
      <c r="ER337" s="4556"/>
      <c r="ES337" s="4556"/>
      <c r="ET337" s="4556"/>
      <c r="EU337" s="4556"/>
      <c r="EV337" s="4556"/>
      <c r="EW337" s="4556"/>
      <c r="EX337" s="4556"/>
      <c r="EY337" s="4556"/>
      <c r="EZ337" s="4556"/>
      <c r="FA337" s="4556"/>
      <c r="FB337" s="4556"/>
      <c r="FC337" s="4556"/>
      <c r="FD337" s="4556"/>
      <c r="FE337" s="4556"/>
      <c r="FF337" s="4556"/>
      <c r="FG337" s="4556"/>
      <c r="FH337" s="4556"/>
      <c r="FI337" s="4556"/>
      <c r="FJ337" s="4556"/>
      <c r="FK337" s="4556"/>
      <c r="FL337" s="4556"/>
      <c r="FM337" s="4556"/>
      <c r="FN337" s="4556"/>
      <c r="FO337" s="4556"/>
      <c r="FP337" s="4556"/>
      <c r="FQ337" s="4556"/>
      <c r="FR337" s="4556"/>
      <c r="FS337" s="4556"/>
      <c r="FT337" s="4556"/>
      <c r="FU337" s="4556"/>
      <c r="FV337" s="4556"/>
      <c r="FW337" s="4556"/>
      <c r="FX337" s="4556"/>
      <c r="FY337" s="4556"/>
      <c r="FZ337" s="4556"/>
      <c r="GA337" s="4556"/>
      <c r="GB337" s="4556"/>
      <c r="GC337" s="4556"/>
      <c r="GD337" s="4556"/>
      <c r="GE337" s="4556"/>
      <c r="GF337" s="4556"/>
      <c r="GG337" s="4556"/>
      <c r="GH337" s="4556"/>
      <c r="GI337" s="4556"/>
      <c r="GJ337" s="4556"/>
      <c r="GK337" s="4556"/>
      <c r="GL337" s="4556"/>
      <c r="GM337" s="4556"/>
      <c r="GN337" s="4556"/>
      <c r="GO337" s="4556"/>
      <c r="GP337" s="4556"/>
      <c r="GQ337" s="4556"/>
      <c r="GR337" s="4556"/>
      <c r="GS337" s="4556"/>
      <c r="GT337" s="4556"/>
      <c r="GU337" s="4556"/>
      <c r="GV337" s="4556"/>
      <c r="GW337" s="4556"/>
      <c r="GX337" s="4556"/>
      <c r="GY337" s="4556"/>
      <c r="GZ337" s="4556"/>
      <c r="HA337" s="4556"/>
      <c r="HB337" s="4556"/>
      <c r="HC337" s="4556"/>
      <c r="HD337" s="4556"/>
      <c r="HE337" s="4556"/>
      <c r="HF337" s="4556"/>
      <c r="HG337" s="4556"/>
      <c r="HH337" s="4556"/>
      <c r="HI337" s="4556"/>
      <c r="HJ337" s="4556"/>
      <c r="HK337" s="4556"/>
      <c r="HL337" s="4556"/>
      <c r="HM337" s="4556"/>
      <c r="HN337" s="4556"/>
      <c r="HO337" s="4556"/>
      <c r="HP337" s="4556"/>
      <c r="HQ337" s="4556"/>
      <c r="HR337" s="4556"/>
      <c r="HS337" s="4556"/>
      <c r="HT337" s="4556"/>
      <c r="HU337" s="4556"/>
      <c r="HV337" s="4556"/>
      <c r="HW337" s="4556"/>
      <c r="HX337" s="4556"/>
      <c r="HY337" s="4556"/>
      <c r="HZ337" s="4556"/>
      <c r="IA337" s="4556"/>
      <c r="IB337" s="4556"/>
      <c r="IC337" s="4556"/>
      <c r="ID337" s="4556"/>
      <c r="IE337" s="4556"/>
    </row>
    <row r="338" spans="1:239" s="4538" customFormat="1" ht="18" customHeight="1">
      <c r="A338" s="4654">
        <v>1</v>
      </c>
      <c r="B338" s="4635" t="s">
        <v>4227</v>
      </c>
      <c r="C338" s="4659">
        <v>102</v>
      </c>
      <c r="D338" s="4775" t="s">
        <v>1</v>
      </c>
      <c r="E338" s="5000"/>
      <c r="F338" s="4589">
        <f>ROUND(C338*E338,2)</f>
        <v>0</v>
      </c>
      <c r="G338" s="4555"/>
      <c r="H338" s="4555"/>
      <c r="I338" s="4555"/>
      <c r="J338" s="4555"/>
      <c r="K338" s="4555"/>
      <c r="L338" s="4555"/>
      <c r="M338" s="4555"/>
      <c r="N338" s="4555"/>
      <c r="O338" s="4555"/>
      <c r="P338" s="4555"/>
      <c r="Q338" s="4555"/>
      <c r="R338" s="4555"/>
      <c r="S338" s="4555"/>
      <c r="T338" s="4555"/>
      <c r="U338" s="4555"/>
      <c r="V338" s="4555"/>
      <c r="W338" s="4555"/>
      <c r="X338" s="4555"/>
      <c r="Y338" s="4555"/>
      <c r="Z338" s="4555"/>
      <c r="AA338" s="4555"/>
      <c r="AB338" s="4555"/>
      <c r="AC338" s="4555"/>
      <c r="AD338" s="4555"/>
      <c r="AE338" s="4555"/>
      <c r="AF338" s="4555"/>
      <c r="AG338" s="4555"/>
      <c r="AH338" s="4555"/>
      <c r="AI338" s="4555"/>
      <c r="AJ338" s="4555"/>
      <c r="AK338" s="4555"/>
      <c r="AL338" s="4555"/>
      <c r="AM338" s="4555"/>
      <c r="AN338" s="4555"/>
      <c r="AO338" s="4555"/>
      <c r="AP338" s="4555"/>
      <c r="AQ338" s="4555"/>
      <c r="AR338" s="4555"/>
      <c r="AS338" s="4556"/>
      <c r="AT338" s="4556"/>
      <c r="AU338" s="4556"/>
      <c r="AV338" s="4556"/>
      <c r="AW338" s="4556"/>
      <c r="AX338" s="4556"/>
      <c r="AY338" s="4556"/>
      <c r="AZ338" s="4556"/>
      <c r="BA338" s="4556"/>
      <c r="BB338" s="4556"/>
      <c r="BC338" s="4556"/>
      <c r="BD338" s="4556"/>
      <c r="BE338" s="4556"/>
      <c r="BF338" s="4556"/>
      <c r="BG338" s="4556"/>
      <c r="BH338" s="4556"/>
      <c r="BI338" s="4556"/>
      <c r="BJ338" s="4556"/>
      <c r="BK338" s="4556"/>
      <c r="BL338" s="4556"/>
      <c r="BM338" s="4556"/>
      <c r="BN338" s="4556"/>
      <c r="BO338" s="4556"/>
      <c r="BP338" s="4556"/>
      <c r="BQ338" s="4556"/>
      <c r="BR338" s="4556"/>
      <c r="BS338" s="4556"/>
      <c r="BT338" s="4556"/>
      <c r="BU338" s="4556"/>
      <c r="BV338" s="4556"/>
      <c r="BW338" s="4556"/>
      <c r="BX338" s="4556"/>
      <c r="BY338" s="4556"/>
      <c r="BZ338" s="4556"/>
      <c r="CA338" s="4556"/>
      <c r="CB338" s="4556"/>
      <c r="CC338" s="4556"/>
      <c r="CD338" s="4556"/>
      <c r="CE338" s="4556"/>
      <c r="CF338" s="4556"/>
      <c r="CG338" s="4556"/>
      <c r="CH338" s="4556"/>
      <c r="CI338" s="4556"/>
      <c r="CJ338" s="4556"/>
      <c r="CK338" s="4556"/>
      <c r="CL338" s="4556"/>
      <c r="CM338" s="4556"/>
      <c r="CN338" s="4556"/>
      <c r="CO338" s="4556"/>
      <c r="CP338" s="4556"/>
      <c r="CQ338" s="4556"/>
      <c r="CR338" s="4556"/>
      <c r="CS338" s="4556"/>
      <c r="CT338" s="4556"/>
      <c r="CU338" s="4556"/>
      <c r="CV338" s="4556"/>
      <c r="CW338" s="4556"/>
      <c r="CX338" s="4556"/>
      <c r="CY338" s="4556"/>
      <c r="CZ338" s="4556"/>
      <c r="DA338" s="4556"/>
      <c r="DB338" s="4556"/>
      <c r="DC338" s="4556"/>
      <c r="DD338" s="4556"/>
      <c r="DE338" s="4556"/>
      <c r="DF338" s="4556"/>
      <c r="DG338" s="4556"/>
      <c r="DH338" s="4556"/>
      <c r="DI338" s="4556"/>
      <c r="DJ338" s="4556"/>
      <c r="DK338" s="4556"/>
      <c r="DL338" s="4556"/>
      <c r="DM338" s="4556"/>
      <c r="DN338" s="4556"/>
      <c r="DO338" s="4556"/>
      <c r="DP338" s="4556"/>
      <c r="DQ338" s="4556"/>
      <c r="DR338" s="4556"/>
      <c r="DS338" s="4556"/>
      <c r="DT338" s="4556"/>
      <c r="DU338" s="4556"/>
      <c r="DV338" s="4556"/>
      <c r="DW338" s="4556"/>
      <c r="DX338" s="4556"/>
      <c r="DY338" s="4556"/>
      <c r="DZ338" s="4556"/>
      <c r="EA338" s="4556"/>
      <c r="EB338" s="4556"/>
      <c r="EC338" s="4556"/>
      <c r="ED338" s="4556"/>
      <c r="EE338" s="4556"/>
      <c r="EF338" s="4556"/>
      <c r="EG338" s="4556"/>
      <c r="EH338" s="4556"/>
      <c r="EI338" s="4556"/>
      <c r="EJ338" s="4556"/>
      <c r="EK338" s="4556"/>
      <c r="EL338" s="4556"/>
      <c r="EM338" s="4556"/>
      <c r="EN338" s="4556"/>
      <c r="EO338" s="4556"/>
      <c r="EP338" s="4556"/>
      <c r="EQ338" s="4556"/>
      <c r="ER338" s="4556"/>
      <c r="ES338" s="4556"/>
      <c r="ET338" s="4556"/>
      <c r="EU338" s="4556"/>
      <c r="EV338" s="4556"/>
      <c r="EW338" s="4556"/>
      <c r="EX338" s="4556"/>
      <c r="EY338" s="4556"/>
      <c r="EZ338" s="4556"/>
      <c r="FA338" s="4556"/>
      <c r="FB338" s="4556"/>
      <c r="FC338" s="4556"/>
      <c r="FD338" s="4556"/>
      <c r="FE338" s="4556"/>
      <c r="FF338" s="4556"/>
      <c r="FG338" s="4556"/>
      <c r="FH338" s="4556"/>
      <c r="FI338" s="4556"/>
      <c r="FJ338" s="4556"/>
      <c r="FK338" s="4556"/>
      <c r="FL338" s="4556"/>
      <c r="FM338" s="4556"/>
      <c r="FN338" s="4556"/>
      <c r="FO338" s="4556"/>
      <c r="FP338" s="4556"/>
      <c r="FQ338" s="4556"/>
      <c r="FR338" s="4556"/>
      <c r="FS338" s="4556"/>
      <c r="FT338" s="4556"/>
      <c r="FU338" s="4556"/>
      <c r="FV338" s="4556"/>
      <c r="FW338" s="4556"/>
      <c r="FX338" s="4556"/>
      <c r="FY338" s="4556"/>
      <c r="FZ338" s="4556"/>
      <c r="GA338" s="4556"/>
      <c r="GB338" s="4556"/>
      <c r="GC338" s="4556"/>
      <c r="GD338" s="4556"/>
      <c r="GE338" s="4556"/>
      <c r="GF338" s="4556"/>
      <c r="GG338" s="4556"/>
      <c r="GH338" s="4556"/>
      <c r="GI338" s="4556"/>
      <c r="GJ338" s="4556"/>
      <c r="GK338" s="4556"/>
      <c r="GL338" s="4556"/>
      <c r="GM338" s="4556"/>
      <c r="GN338" s="4556"/>
      <c r="GO338" s="4556"/>
      <c r="GP338" s="4556"/>
      <c r="GQ338" s="4556"/>
      <c r="GR338" s="4556"/>
      <c r="GS338" s="4556"/>
      <c r="GT338" s="4556"/>
      <c r="GU338" s="4556"/>
      <c r="GV338" s="4556"/>
      <c r="GW338" s="4556"/>
      <c r="GX338" s="4556"/>
      <c r="GY338" s="4556"/>
      <c r="GZ338" s="4556"/>
      <c r="HA338" s="4556"/>
      <c r="HB338" s="4556"/>
      <c r="HC338" s="4556"/>
      <c r="HD338" s="4556"/>
      <c r="HE338" s="4556"/>
      <c r="HF338" s="4556"/>
      <c r="HG338" s="4556"/>
      <c r="HH338" s="4556"/>
      <c r="HI338" s="4556"/>
      <c r="HJ338" s="4556"/>
      <c r="HK338" s="4556"/>
      <c r="HL338" s="4556"/>
      <c r="HM338" s="4556"/>
      <c r="HN338" s="4556"/>
      <c r="HO338" s="4556"/>
      <c r="HP338" s="4556"/>
      <c r="HQ338" s="4556"/>
      <c r="HR338" s="4556"/>
      <c r="HS338" s="4556"/>
      <c r="HT338" s="4556"/>
      <c r="HU338" s="4556"/>
      <c r="HV338" s="4556"/>
      <c r="HW338" s="4556"/>
      <c r="HX338" s="4556"/>
      <c r="HY338" s="4556"/>
      <c r="HZ338" s="4556"/>
      <c r="IA338" s="4556"/>
      <c r="IB338" s="4556"/>
      <c r="IC338" s="4556"/>
      <c r="ID338" s="4556"/>
      <c r="IE338" s="4556"/>
    </row>
    <row r="339" spans="1:239" s="4538" customFormat="1" ht="16.5" customHeight="1">
      <c r="A339" s="4654">
        <v>2</v>
      </c>
      <c r="B339" s="4635" t="s">
        <v>4228</v>
      </c>
      <c r="C339" s="4659">
        <v>6</v>
      </c>
      <c r="D339" s="4775" t="s">
        <v>4052</v>
      </c>
      <c r="E339" s="5000"/>
      <c r="F339" s="4589">
        <f>ROUND(C339*E339,2)</f>
        <v>0</v>
      </c>
      <c r="G339" s="4555"/>
      <c r="H339" s="4555"/>
      <c r="I339" s="4555"/>
      <c r="J339" s="4555"/>
      <c r="K339" s="4555"/>
      <c r="L339" s="4555"/>
      <c r="M339" s="4555"/>
      <c r="N339" s="4555"/>
      <c r="O339" s="4555"/>
      <c r="P339" s="4555"/>
      <c r="Q339" s="4555"/>
      <c r="R339" s="4555"/>
      <c r="S339" s="4555"/>
      <c r="T339" s="4555"/>
      <c r="U339" s="4555"/>
      <c r="V339" s="4555"/>
      <c r="W339" s="4555"/>
      <c r="X339" s="4555"/>
      <c r="Y339" s="4555"/>
      <c r="Z339" s="4555"/>
      <c r="AA339" s="4555"/>
      <c r="AB339" s="4555"/>
      <c r="AC339" s="4555"/>
      <c r="AD339" s="4555"/>
      <c r="AE339" s="4555"/>
      <c r="AF339" s="4555"/>
      <c r="AG339" s="4555"/>
      <c r="AH339" s="4555"/>
      <c r="AI339" s="4555"/>
      <c r="AJ339" s="4555"/>
      <c r="AK339" s="4555"/>
      <c r="AL339" s="4555"/>
      <c r="AM339" s="4555"/>
      <c r="AN339" s="4555"/>
      <c r="AO339" s="4555"/>
      <c r="AP339" s="4555"/>
      <c r="AQ339" s="4555"/>
      <c r="AR339" s="4555"/>
      <c r="AS339" s="4556"/>
      <c r="AT339" s="4556"/>
      <c r="AU339" s="4556"/>
      <c r="AV339" s="4556"/>
      <c r="AW339" s="4556"/>
      <c r="AX339" s="4556"/>
      <c r="AY339" s="4556"/>
      <c r="AZ339" s="4556"/>
      <c r="BA339" s="4556"/>
      <c r="BB339" s="4556"/>
      <c r="BC339" s="4556"/>
      <c r="BD339" s="4556"/>
      <c r="BE339" s="4556"/>
      <c r="BF339" s="4556"/>
      <c r="BG339" s="4556"/>
      <c r="BH339" s="4556"/>
      <c r="BI339" s="4556"/>
      <c r="BJ339" s="4556"/>
      <c r="BK339" s="4556"/>
      <c r="BL339" s="4556"/>
      <c r="BM339" s="4556"/>
      <c r="BN339" s="4556"/>
      <c r="BO339" s="4556"/>
      <c r="BP339" s="4556"/>
      <c r="BQ339" s="4556"/>
      <c r="BR339" s="4556"/>
      <c r="BS339" s="4556"/>
      <c r="BT339" s="4556"/>
      <c r="BU339" s="4556"/>
      <c r="BV339" s="4556"/>
      <c r="BW339" s="4556"/>
      <c r="BX339" s="4556"/>
      <c r="BY339" s="4556"/>
      <c r="BZ339" s="4556"/>
      <c r="CA339" s="4556"/>
      <c r="CB339" s="4556"/>
      <c r="CC339" s="4556"/>
      <c r="CD339" s="4556"/>
      <c r="CE339" s="4556"/>
      <c r="CF339" s="4556"/>
      <c r="CG339" s="4556"/>
      <c r="CH339" s="4556"/>
      <c r="CI339" s="4556"/>
      <c r="CJ339" s="4556"/>
      <c r="CK339" s="4556"/>
      <c r="CL339" s="4556"/>
      <c r="CM339" s="4556"/>
      <c r="CN339" s="4556"/>
      <c r="CO339" s="4556"/>
      <c r="CP339" s="4556"/>
      <c r="CQ339" s="4556"/>
      <c r="CR339" s="4556"/>
      <c r="CS339" s="4556"/>
      <c r="CT339" s="4556"/>
      <c r="CU339" s="4556"/>
      <c r="CV339" s="4556"/>
      <c r="CW339" s="4556"/>
      <c r="CX339" s="4556"/>
      <c r="CY339" s="4556"/>
      <c r="CZ339" s="4556"/>
      <c r="DA339" s="4556"/>
      <c r="DB339" s="4556"/>
      <c r="DC339" s="4556"/>
      <c r="DD339" s="4556"/>
      <c r="DE339" s="4556"/>
      <c r="DF339" s="4556"/>
      <c r="DG339" s="4556"/>
      <c r="DH339" s="4556"/>
      <c r="DI339" s="4556"/>
      <c r="DJ339" s="4556"/>
      <c r="DK339" s="4556"/>
      <c r="DL339" s="4556"/>
      <c r="DM339" s="4556"/>
      <c r="DN339" s="4556"/>
      <c r="DO339" s="4556"/>
      <c r="DP339" s="4556"/>
      <c r="DQ339" s="4556"/>
      <c r="DR339" s="4556"/>
      <c r="DS339" s="4556"/>
      <c r="DT339" s="4556"/>
      <c r="DU339" s="4556"/>
      <c r="DV339" s="4556"/>
      <c r="DW339" s="4556"/>
      <c r="DX339" s="4556"/>
      <c r="DY339" s="4556"/>
      <c r="DZ339" s="4556"/>
      <c r="EA339" s="4556"/>
      <c r="EB339" s="4556"/>
      <c r="EC339" s="4556"/>
      <c r="ED339" s="4556"/>
      <c r="EE339" s="4556"/>
      <c r="EF339" s="4556"/>
      <c r="EG339" s="4556"/>
      <c r="EH339" s="4556"/>
      <c r="EI339" s="4556"/>
      <c r="EJ339" s="4556"/>
      <c r="EK339" s="4556"/>
      <c r="EL339" s="4556"/>
      <c r="EM339" s="4556"/>
      <c r="EN339" s="4556"/>
      <c r="EO339" s="4556"/>
      <c r="EP339" s="4556"/>
      <c r="EQ339" s="4556"/>
      <c r="ER339" s="4556"/>
      <c r="ES339" s="4556"/>
      <c r="ET339" s="4556"/>
      <c r="EU339" s="4556"/>
      <c r="EV339" s="4556"/>
      <c r="EW339" s="4556"/>
      <c r="EX339" s="4556"/>
      <c r="EY339" s="4556"/>
      <c r="EZ339" s="4556"/>
      <c r="FA339" s="4556"/>
      <c r="FB339" s="4556"/>
      <c r="FC339" s="4556"/>
      <c r="FD339" s="4556"/>
      <c r="FE339" s="4556"/>
      <c r="FF339" s="4556"/>
      <c r="FG339" s="4556"/>
      <c r="FH339" s="4556"/>
      <c r="FI339" s="4556"/>
      <c r="FJ339" s="4556"/>
      <c r="FK339" s="4556"/>
      <c r="FL339" s="4556"/>
      <c r="FM339" s="4556"/>
      <c r="FN339" s="4556"/>
      <c r="FO339" s="4556"/>
      <c r="FP339" s="4556"/>
      <c r="FQ339" s="4556"/>
      <c r="FR339" s="4556"/>
      <c r="FS339" s="4556"/>
      <c r="FT339" s="4556"/>
      <c r="FU339" s="4556"/>
      <c r="FV339" s="4556"/>
      <c r="FW339" s="4556"/>
      <c r="FX339" s="4556"/>
      <c r="FY339" s="4556"/>
      <c r="FZ339" s="4556"/>
      <c r="GA339" s="4556"/>
      <c r="GB339" s="4556"/>
      <c r="GC339" s="4556"/>
      <c r="GD339" s="4556"/>
      <c r="GE339" s="4556"/>
      <c r="GF339" s="4556"/>
      <c r="GG339" s="4556"/>
      <c r="GH339" s="4556"/>
      <c r="GI339" s="4556"/>
      <c r="GJ339" s="4556"/>
      <c r="GK339" s="4556"/>
      <c r="GL339" s="4556"/>
      <c r="GM339" s="4556"/>
      <c r="GN339" s="4556"/>
      <c r="GO339" s="4556"/>
      <c r="GP339" s="4556"/>
      <c r="GQ339" s="4556"/>
      <c r="GR339" s="4556"/>
      <c r="GS339" s="4556"/>
      <c r="GT339" s="4556"/>
      <c r="GU339" s="4556"/>
      <c r="GV339" s="4556"/>
      <c r="GW339" s="4556"/>
      <c r="GX339" s="4556"/>
      <c r="GY339" s="4556"/>
      <c r="GZ339" s="4556"/>
      <c r="HA339" s="4556"/>
      <c r="HB339" s="4556"/>
      <c r="HC339" s="4556"/>
      <c r="HD339" s="4556"/>
      <c r="HE339" s="4556"/>
      <c r="HF339" s="4556"/>
      <c r="HG339" s="4556"/>
      <c r="HH339" s="4556"/>
      <c r="HI339" s="4556"/>
      <c r="HJ339" s="4556"/>
      <c r="HK339" s="4556"/>
      <c r="HL339" s="4556"/>
      <c r="HM339" s="4556"/>
      <c r="HN339" s="4556"/>
      <c r="HO339" s="4556"/>
      <c r="HP339" s="4556"/>
      <c r="HQ339" s="4556"/>
      <c r="HR339" s="4556"/>
      <c r="HS339" s="4556"/>
      <c r="HT339" s="4556"/>
      <c r="HU339" s="4556"/>
      <c r="HV339" s="4556"/>
      <c r="HW339" s="4556"/>
      <c r="HX339" s="4556"/>
      <c r="HY339" s="4556"/>
      <c r="HZ339" s="4556"/>
      <c r="IA339" s="4556"/>
      <c r="IB339" s="4556"/>
      <c r="IC339" s="4556"/>
      <c r="ID339" s="4556"/>
      <c r="IE339" s="4556"/>
    </row>
    <row r="340" spans="1:239" s="4538" customFormat="1" ht="5.25" customHeight="1">
      <c r="A340" s="4654"/>
      <c r="B340" s="4675"/>
      <c r="C340" s="4659"/>
      <c r="D340" s="4775"/>
      <c r="E340" s="5000"/>
      <c r="F340" s="4589"/>
      <c r="G340" s="4555"/>
      <c r="H340" s="4555"/>
      <c r="I340" s="4555"/>
      <c r="J340" s="4555"/>
      <c r="K340" s="4555"/>
      <c r="L340" s="4555"/>
      <c r="M340" s="4555"/>
      <c r="N340" s="4555"/>
      <c r="O340" s="4555"/>
      <c r="P340" s="4555"/>
      <c r="Q340" s="4555"/>
      <c r="R340" s="4555"/>
      <c r="S340" s="4555"/>
      <c r="T340" s="4555"/>
      <c r="U340" s="4555"/>
      <c r="V340" s="4555"/>
      <c r="W340" s="4555"/>
      <c r="X340" s="4555"/>
      <c r="Y340" s="4555"/>
      <c r="Z340" s="4555"/>
      <c r="AA340" s="4555"/>
      <c r="AB340" s="4555"/>
      <c r="AC340" s="4555"/>
      <c r="AD340" s="4555"/>
      <c r="AE340" s="4555"/>
      <c r="AF340" s="4555"/>
      <c r="AG340" s="4555"/>
      <c r="AH340" s="4555"/>
      <c r="AI340" s="4555"/>
      <c r="AJ340" s="4555"/>
      <c r="AK340" s="4555"/>
      <c r="AL340" s="4555"/>
      <c r="AM340" s="4555"/>
      <c r="AN340" s="4555"/>
      <c r="AO340" s="4555"/>
      <c r="AP340" s="4555"/>
      <c r="AQ340" s="4555"/>
      <c r="AR340" s="4555"/>
      <c r="AS340" s="4556"/>
      <c r="AT340" s="4556"/>
      <c r="AU340" s="4556"/>
      <c r="AV340" s="4556"/>
      <c r="AW340" s="4556"/>
      <c r="AX340" s="4556"/>
      <c r="AY340" s="4556"/>
      <c r="AZ340" s="4556"/>
      <c r="BA340" s="4556"/>
      <c r="BB340" s="4556"/>
      <c r="BC340" s="4556"/>
      <c r="BD340" s="4556"/>
      <c r="BE340" s="4556"/>
      <c r="BF340" s="4556"/>
      <c r="BG340" s="4556"/>
      <c r="BH340" s="4556"/>
      <c r="BI340" s="4556"/>
      <c r="BJ340" s="4556"/>
      <c r="BK340" s="4556"/>
      <c r="BL340" s="4556"/>
      <c r="BM340" s="4556"/>
      <c r="BN340" s="4556"/>
      <c r="BO340" s="4556"/>
      <c r="BP340" s="4556"/>
      <c r="BQ340" s="4556"/>
      <c r="BR340" s="4556"/>
      <c r="BS340" s="4556"/>
      <c r="BT340" s="4556"/>
      <c r="BU340" s="4556"/>
      <c r="BV340" s="4556"/>
      <c r="BW340" s="4556"/>
      <c r="BX340" s="4556"/>
      <c r="BY340" s="4556"/>
      <c r="BZ340" s="4556"/>
      <c r="CA340" s="4556"/>
      <c r="CB340" s="4556"/>
      <c r="CC340" s="4556"/>
      <c r="CD340" s="4556"/>
      <c r="CE340" s="4556"/>
      <c r="CF340" s="4556"/>
      <c r="CG340" s="4556"/>
      <c r="CH340" s="4556"/>
      <c r="CI340" s="4556"/>
      <c r="CJ340" s="4556"/>
      <c r="CK340" s="4556"/>
      <c r="CL340" s="4556"/>
      <c r="CM340" s="4556"/>
      <c r="CN340" s="4556"/>
      <c r="CO340" s="4556"/>
      <c r="CP340" s="4556"/>
      <c r="CQ340" s="4556"/>
      <c r="CR340" s="4556"/>
      <c r="CS340" s="4556"/>
      <c r="CT340" s="4556"/>
      <c r="CU340" s="4556"/>
      <c r="CV340" s="4556"/>
      <c r="CW340" s="4556"/>
      <c r="CX340" s="4556"/>
      <c r="CY340" s="4556"/>
      <c r="CZ340" s="4556"/>
      <c r="DA340" s="4556"/>
      <c r="DB340" s="4556"/>
      <c r="DC340" s="4556"/>
      <c r="DD340" s="4556"/>
      <c r="DE340" s="4556"/>
      <c r="DF340" s="4556"/>
      <c r="DG340" s="4556"/>
      <c r="DH340" s="4556"/>
      <c r="DI340" s="4556"/>
      <c r="DJ340" s="4556"/>
      <c r="DK340" s="4556"/>
      <c r="DL340" s="4556"/>
      <c r="DM340" s="4556"/>
      <c r="DN340" s="4556"/>
      <c r="DO340" s="4556"/>
      <c r="DP340" s="4556"/>
      <c r="DQ340" s="4556"/>
      <c r="DR340" s="4556"/>
      <c r="DS340" s="4556"/>
      <c r="DT340" s="4556"/>
      <c r="DU340" s="4556"/>
      <c r="DV340" s="4556"/>
      <c r="DW340" s="4556"/>
      <c r="DX340" s="4556"/>
      <c r="DY340" s="4556"/>
      <c r="DZ340" s="4556"/>
      <c r="EA340" s="4556"/>
      <c r="EB340" s="4556"/>
      <c r="EC340" s="4556"/>
      <c r="ED340" s="4556"/>
      <c r="EE340" s="4556"/>
      <c r="EF340" s="4556"/>
      <c r="EG340" s="4556"/>
      <c r="EH340" s="4556"/>
      <c r="EI340" s="4556"/>
      <c r="EJ340" s="4556"/>
      <c r="EK340" s="4556"/>
      <c r="EL340" s="4556"/>
      <c r="EM340" s="4556"/>
      <c r="EN340" s="4556"/>
      <c r="EO340" s="4556"/>
      <c r="EP340" s="4556"/>
      <c r="EQ340" s="4556"/>
      <c r="ER340" s="4556"/>
      <c r="ES340" s="4556"/>
      <c r="ET340" s="4556"/>
      <c r="EU340" s="4556"/>
      <c r="EV340" s="4556"/>
      <c r="EW340" s="4556"/>
      <c r="EX340" s="4556"/>
      <c r="EY340" s="4556"/>
      <c r="EZ340" s="4556"/>
      <c r="FA340" s="4556"/>
      <c r="FB340" s="4556"/>
      <c r="FC340" s="4556"/>
      <c r="FD340" s="4556"/>
      <c r="FE340" s="4556"/>
      <c r="FF340" s="4556"/>
      <c r="FG340" s="4556"/>
      <c r="FH340" s="4556"/>
      <c r="FI340" s="4556"/>
      <c r="FJ340" s="4556"/>
      <c r="FK340" s="4556"/>
      <c r="FL340" s="4556"/>
      <c r="FM340" s="4556"/>
      <c r="FN340" s="4556"/>
      <c r="FO340" s="4556"/>
      <c r="FP340" s="4556"/>
      <c r="FQ340" s="4556"/>
      <c r="FR340" s="4556"/>
      <c r="FS340" s="4556"/>
      <c r="FT340" s="4556"/>
      <c r="FU340" s="4556"/>
      <c r="FV340" s="4556"/>
      <c r="FW340" s="4556"/>
      <c r="FX340" s="4556"/>
      <c r="FY340" s="4556"/>
      <c r="FZ340" s="4556"/>
      <c r="GA340" s="4556"/>
      <c r="GB340" s="4556"/>
      <c r="GC340" s="4556"/>
      <c r="GD340" s="4556"/>
      <c r="GE340" s="4556"/>
      <c r="GF340" s="4556"/>
      <c r="GG340" s="4556"/>
      <c r="GH340" s="4556"/>
      <c r="GI340" s="4556"/>
      <c r="GJ340" s="4556"/>
      <c r="GK340" s="4556"/>
      <c r="GL340" s="4556"/>
      <c r="GM340" s="4556"/>
      <c r="GN340" s="4556"/>
      <c r="GO340" s="4556"/>
      <c r="GP340" s="4556"/>
      <c r="GQ340" s="4556"/>
      <c r="GR340" s="4556"/>
      <c r="GS340" s="4556"/>
      <c r="GT340" s="4556"/>
      <c r="GU340" s="4556"/>
      <c r="GV340" s="4556"/>
      <c r="GW340" s="4556"/>
      <c r="GX340" s="4556"/>
      <c r="GY340" s="4556"/>
      <c r="GZ340" s="4556"/>
      <c r="HA340" s="4556"/>
      <c r="HB340" s="4556"/>
      <c r="HC340" s="4556"/>
      <c r="HD340" s="4556"/>
      <c r="HE340" s="4556"/>
      <c r="HF340" s="4556"/>
      <c r="HG340" s="4556"/>
      <c r="HH340" s="4556"/>
      <c r="HI340" s="4556"/>
      <c r="HJ340" s="4556"/>
      <c r="HK340" s="4556"/>
      <c r="HL340" s="4556"/>
      <c r="HM340" s="4556"/>
      <c r="HN340" s="4556"/>
      <c r="HO340" s="4556"/>
      <c r="HP340" s="4556"/>
      <c r="HQ340" s="4556"/>
      <c r="HR340" s="4556"/>
      <c r="HS340" s="4556"/>
      <c r="HT340" s="4556"/>
      <c r="HU340" s="4556"/>
      <c r="HV340" s="4556"/>
      <c r="HW340" s="4556"/>
      <c r="HX340" s="4556"/>
      <c r="HY340" s="4556"/>
      <c r="HZ340" s="4556"/>
      <c r="IA340" s="4556"/>
      <c r="IB340" s="4556"/>
      <c r="IC340" s="4556"/>
      <c r="ID340" s="4556"/>
      <c r="IE340" s="4556"/>
    </row>
    <row r="341" spans="1:239" s="4538" customFormat="1" ht="13.5" customHeight="1">
      <c r="A341" s="4680">
        <v>3</v>
      </c>
      <c r="B341" s="4637" t="s">
        <v>38</v>
      </c>
      <c r="C341" s="4659"/>
      <c r="D341" s="4775"/>
      <c r="E341" s="5000"/>
      <c r="F341" s="4589"/>
      <c r="G341" s="4555"/>
      <c r="H341" s="4555"/>
      <c r="I341" s="4555"/>
      <c r="J341" s="4555"/>
      <c r="K341" s="4555"/>
      <c r="L341" s="4555"/>
      <c r="M341" s="4555"/>
      <c r="N341" s="4555"/>
      <c r="O341" s="4555"/>
      <c r="P341" s="4555"/>
      <c r="Q341" s="4555"/>
      <c r="R341" s="4555"/>
      <c r="S341" s="4555"/>
      <c r="T341" s="4555"/>
      <c r="U341" s="4555"/>
      <c r="V341" s="4555"/>
      <c r="W341" s="4555"/>
      <c r="X341" s="4555"/>
      <c r="Y341" s="4555"/>
      <c r="Z341" s="4555"/>
      <c r="AA341" s="4555"/>
      <c r="AB341" s="4555"/>
      <c r="AC341" s="4555"/>
      <c r="AD341" s="4555"/>
      <c r="AE341" s="4555"/>
      <c r="AF341" s="4555"/>
      <c r="AG341" s="4555"/>
      <c r="AH341" s="4555"/>
      <c r="AI341" s="4555"/>
      <c r="AJ341" s="4555"/>
      <c r="AK341" s="4555"/>
      <c r="AL341" s="4555"/>
      <c r="AM341" s="4555"/>
      <c r="AN341" s="4555"/>
      <c r="AO341" s="4555"/>
      <c r="AP341" s="4555"/>
      <c r="AQ341" s="4555"/>
      <c r="AR341" s="4555"/>
      <c r="AS341" s="4556"/>
      <c r="AT341" s="4556"/>
      <c r="AU341" s="4556"/>
      <c r="AV341" s="4556"/>
      <c r="AW341" s="4556"/>
      <c r="AX341" s="4556"/>
      <c r="AY341" s="4556"/>
      <c r="AZ341" s="4556"/>
      <c r="BA341" s="4556"/>
      <c r="BB341" s="4556"/>
      <c r="BC341" s="4556"/>
      <c r="BD341" s="4556"/>
      <c r="BE341" s="4556"/>
      <c r="BF341" s="4556"/>
      <c r="BG341" s="4556"/>
      <c r="BH341" s="4556"/>
      <c r="BI341" s="4556"/>
      <c r="BJ341" s="4556"/>
      <c r="BK341" s="4556"/>
      <c r="BL341" s="4556"/>
      <c r="BM341" s="4556"/>
      <c r="BN341" s="4556"/>
      <c r="BO341" s="4556"/>
      <c r="BP341" s="4556"/>
      <c r="BQ341" s="4556"/>
      <c r="BR341" s="4556"/>
      <c r="BS341" s="4556"/>
      <c r="BT341" s="4556"/>
      <c r="BU341" s="4556"/>
      <c r="BV341" s="4556"/>
      <c r="BW341" s="4556"/>
      <c r="BX341" s="4556"/>
      <c r="BY341" s="4556"/>
      <c r="BZ341" s="4556"/>
      <c r="CA341" s="4556"/>
      <c r="CB341" s="4556"/>
      <c r="CC341" s="4556"/>
      <c r="CD341" s="4556"/>
      <c r="CE341" s="4556"/>
      <c r="CF341" s="4556"/>
      <c r="CG341" s="4556"/>
      <c r="CH341" s="4556"/>
      <c r="CI341" s="4556"/>
      <c r="CJ341" s="4556"/>
      <c r="CK341" s="4556"/>
      <c r="CL341" s="4556"/>
      <c r="CM341" s="4556"/>
      <c r="CN341" s="4556"/>
      <c r="CO341" s="4556"/>
      <c r="CP341" s="4556"/>
      <c r="CQ341" s="4556"/>
      <c r="CR341" s="4556"/>
      <c r="CS341" s="4556"/>
      <c r="CT341" s="4556"/>
      <c r="CU341" s="4556"/>
      <c r="CV341" s="4556"/>
      <c r="CW341" s="4556"/>
      <c r="CX341" s="4556"/>
      <c r="CY341" s="4556"/>
      <c r="CZ341" s="4556"/>
      <c r="DA341" s="4556"/>
      <c r="DB341" s="4556"/>
      <c r="DC341" s="4556"/>
      <c r="DD341" s="4556"/>
      <c r="DE341" s="4556"/>
      <c r="DF341" s="4556"/>
      <c r="DG341" s="4556"/>
      <c r="DH341" s="4556"/>
      <c r="DI341" s="4556"/>
      <c r="DJ341" s="4556"/>
      <c r="DK341" s="4556"/>
      <c r="DL341" s="4556"/>
      <c r="DM341" s="4556"/>
      <c r="DN341" s="4556"/>
      <c r="DO341" s="4556"/>
      <c r="DP341" s="4556"/>
      <c r="DQ341" s="4556"/>
      <c r="DR341" s="4556"/>
      <c r="DS341" s="4556"/>
      <c r="DT341" s="4556"/>
      <c r="DU341" s="4556"/>
      <c r="DV341" s="4556"/>
      <c r="DW341" s="4556"/>
      <c r="DX341" s="4556"/>
      <c r="DY341" s="4556"/>
      <c r="DZ341" s="4556"/>
      <c r="EA341" s="4556"/>
      <c r="EB341" s="4556"/>
      <c r="EC341" s="4556"/>
      <c r="ED341" s="4556"/>
      <c r="EE341" s="4556"/>
      <c r="EF341" s="4556"/>
      <c r="EG341" s="4556"/>
      <c r="EH341" s="4556"/>
      <c r="EI341" s="4556"/>
      <c r="EJ341" s="4556"/>
      <c r="EK341" s="4556"/>
      <c r="EL341" s="4556"/>
      <c r="EM341" s="4556"/>
      <c r="EN341" s="4556"/>
      <c r="EO341" s="4556"/>
      <c r="EP341" s="4556"/>
      <c r="EQ341" s="4556"/>
      <c r="ER341" s="4556"/>
      <c r="ES341" s="4556"/>
      <c r="ET341" s="4556"/>
      <c r="EU341" s="4556"/>
      <c r="EV341" s="4556"/>
      <c r="EW341" s="4556"/>
      <c r="EX341" s="4556"/>
      <c r="EY341" s="4556"/>
      <c r="EZ341" s="4556"/>
      <c r="FA341" s="4556"/>
      <c r="FB341" s="4556"/>
      <c r="FC341" s="4556"/>
      <c r="FD341" s="4556"/>
      <c r="FE341" s="4556"/>
      <c r="FF341" s="4556"/>
      <c r="FG341" s="4556"/>
      <c r="FH341" s="4556"/>
      <c r="FI341" s="4556"/>
      <c r="FJ341" s="4556"/>
      <c r="FK341" s="4556"/>
      <c r="FL341" s="4556"/>
      <c r="FM341" s="4556"/>
      <c r="FN341" s="4556"/>
      <c r="FO341" s="4556"/>
      <c r="FP341" s="4556"/>
      <c r="FQ341" s="4556"/>
      <c r="FR341" s="4556"/>
      <c r="FS341" s="4556"/>
      <c r="FT341" s="4556"/>
      <c r="FU341" s="4556"/>
      <c r="FV341" s="4556"/>
      <c r="FW341" s="4556"/>
      <c r="FX341" s="4556"/>
      <c r="FY341" s="4556"/>
      <c r="FZ341" s="4556"/>
      <c r="GA341" s="4556"/>
      <c r="GB341" s="4556"/>
      <c r="GC341" s="4556"/>
      <c r="GD341" s="4556"/>
      <c r="GE341" s="4556"/>
      <c r="GF341" s="4556"/>
      <c r="GG341" s="4556"/>
      <c r="GH341" s="4556"/>
      <c r="GI341" s="4556"/>
      <c r="GJ341" s="4556"/>
      <c r="GK341" s="4556"/>
      <c r="GL341" s="4556"/>
      <c r="GM341" s="4556"/>
      <c r="GN341" s="4556"/>
      <c r="GO341" s="4556"/>
      <c r="GP341" s="4556"/>
      <c r="GQ341" s="4556"/>
      <c r="GR341" s="4556"/>
      <c r="GS341" s="4556"/>
      <c r="GT341" s="4556"/>
      <c r="GU341" s="4556"/>
      <c r="GV341" s="4556"/>
      <c r="GW341" s="4556"/>
      <c r="GX341" s="4556"/>
      <c r="GY341" s="4556"/>
      <c r="GZ341" s="4556"/>
      <c r="HA341" s="4556"/>
      <c r="HB341" s="4556"/>
      <c r="HC341" s="4556"/>
      <c r="HD341" s="4556"/>
      <c r="HE341" s="4556"/>
      <c r="HF341" s="4556"/>
      <c r="HG341" s="4556"/>
      <c r="HH341" s="4556"/>
      <c r="HI341" s="4556"/>
      <c r="HJ341" s="4556"/>
      <c r="HK341" s="4556"/>
      <c r="HL341" s="4556"/>
      <c r="HM341" s="4556"/>
      <c r="HN341" s="4556"/>
      <c r="HO341" s="4556"/>
      <c r="HP341" s="4556"/>
      <c r="HQ341" s="4556"/>
      <c r="HR341" s="4556"/>
      <c r="HS341" s="4556"/>
      <c r="HT341" s="4556"/>
      <c r="HU341" s="4556"/>
      <c r="HV341" s="4556"/>
      <c r="HW341" s="4556"/>
      <c r="HX341" s="4556"/>
      <c r="HY341" s="4556"/>
      <c r="HZ341" s="4556"/>
      <c r="IA341" s="4556"/>
      <c r="IB341" s="4556"/>
      <c r="IC341" s="4556"/>
      <c r="ID341" s="4556"/>
      <c r="IE341" s="4556"/>
    </row>
    <row r="342" spans="1:239" s="4538" customFormat="1" ht="13.5" customHeight="1">
      <c r="A342" s="4654">
        <v>3.1</v>
      </c>
      <c r="B342" s="4635" t="s">
        <v>4229</v>
      </c>
      <c r="C342" s="4721">
        <v>345.18</v>
      </c>
      <c r="D342" s="4600" t="s">
        <v>2430</v>
      </c>
      <c r="E342" s="5000"/>
      <c r="F342" s="4589">
        <f>ROUND(C342*E342,2)</f>
        <v>0</v>
      </c>
      <c r="G342" s="4555"/>
      <c r="H342" s="4555"/>
      <c r="I342" s="4555"/>
      <c r="J342" s="4555"/>
      <c r="K342" s="4555"/>
      <c r="L342" s="4555"/>
      <c r="M342" s="4555"/>
      <c r="N342" s="4555"/>
      <c r="O342" s="4555"/>
      <c r="P342" s="4555"/>
      <c r="Q342" s="4555"/>
      <c r="R342" s="4555"/>
      <c r="S342" s="4555"/>
      <c r="T342" s="4555"/>
      <c r="U342" s="4555"/>
      <c r="V342" s="4555"/>
      <c r="W342" s="4555"/>
      <c r="X342" s="4555"/>
      <c r="Y342" s="4555"/>
      <c r="Z342" s="4555"/>
      <c r="AA342" s="4555"/>
      <c r="AB342" s="4555"/>
      <c r="AC342" s="4555"/>
      <c r="AD342" s="4555"/>
      <c r="AE342" s="4555"/>
      <c r="AF342" s="4555"/>
      <c r="AG342" s="4555"/>
      <c r="AH342" s="4555"/>
      <c r="AI342" s="4555"/>
      <c r="AJ342" s="4555"/>
      <c r="AK342" s="4555"/>
      <c r="AL342" s="4555"/>
      <c r="AM342" s="4555"/>
      <c r="AN342" s="4555"/>
      <c r="AO342" s="4555"/>
      <c r="AP342" s="4555"/>
      <c r="AQ342" s="4555"/>
      <c r="AR342" s="4555"/>
      <c r="AS342" s="4556"/>
      <c r="AT342" s="4556"/>
      <c r="AU342" s="4556"/>
      <c r="AV342" s="4556"/>
      <c r="AW342" s="4556"/>
      <c r="AX342" s="4556"/>
      <c r="AY342" s="4556"/>
      <c r="AZ342" s="4556"/>
      <c r="BA342" s="4556"/>
      <c r="BB342" s="4556"/>
      <c r="BC342" s="4556"/>
      <c r="BD342" s="4556"/>
      <c r="BE342" s="4556"/>
      <c r="BF342" s="4556"/>
      <c r="BG342" s="4556"/>
      <c r="BH342" s="4556"/>
      <c r="BI342" s="4556"/>
      <c r="BJ342" s="4556"/>
      <c r="BK342" s="4556"/>
      <c r="BL342" s="4556"/>
      <c r="BM342" s="4556"/>
      <c r="BN342" s="4556"/>
      <c r="BO342" s="4556"/>
      <c r="BP342" s="4556"/>
      <c r="BQ342" s="4556"/>
      <c r="BR342" s="4556"/>
      <c r="BS342" s="4556"/>
      <c r="BT342" s="4556"/>
      <c r="BU342" s="4556"/>
      <c r="BV342" s="4556"/>
      <c r="BW342" s="4556"/>
      <c r="BX342" s="4556"/>
      <c r="BY342" s="4556"/>
      <c r="BZ342" s="4556"/>
      <c r="CA342" s="4556"/>
      <c r="CB342" s="4556"/>
      <c r="CC342" s="4556"/>
      <c r="CD342" s="4556"/>
      <c r="CE342" s="4556"/>
      <c r="CF342" s="4556"/>
      <c r="CG342" s="4556"/>
      <c r="CH342" s="4556"/>
      <c r="CI342" s="4556"/>
      <c r="CJ342" s="4556"/>
      <c r="CK342" s="4556"/>
      <c r="CL342" s="4556"/>
      <c r="CM342" s="4556"/>
      <c r="CN342" s="4556"/>
      <c r="CO342" s="4556"/>
      <c r="CP342" s="4556"/>
      <c r="CQ342" s="4556"/>
      <c r="CR342" s="4556"/>
      <c r="CS342" s="4556"/>
      <c r="CT342" s="4556"/>
      <c r="CU342" s="4556"/>
      <c r="CV342" s="4556"/>
      <c r="CW342" s="4556"/>
      <c r="CX342" s="4556"/>
      <c r="CY342" s="4556"/>
      <c r="CZ342" s="4556"/>
      <c r="DA342" s="4556"/>
      <c r="DB342" s="4556"/>
      <c r="DC342" s="4556"/>
      <c r="DD342" s="4556"/>
      <c r="DE342" s="4556"/>
      <c r="DF342" s="4556"/>
      <c r="DG342" s="4556"/>
      <c r="DH342" s="4556"/>
      <c r="DI342" s="4556"/>
      <c r="DJ342" s="4556"/>
      <c r="DK342" s="4556"/>
      <c r="DL342" s="4556"/>
      <c r="DM342" s="4556"/>
      <c r="DN342" s="4556"/>
      <c r="DO342" s="4556"/>
      <c r="DP342" s="4556"/>
      <c r="DQ342" s="4556"/>
      <c r="DR342" s="4556"/>
      <c r="DS342" s="4556"/>
      <c r="DT342" s="4556"/>
      <c r="DU342" s="4556"/>
      <c r="DV342" s="4556"/>
      <c r="DW342" s="4556"/>
      <c r="DX342" s="4556"/>
      <c r="DY342" s="4556"/>
      <c r="DZ342" s="4556"/>
      <c r="EA342" s="4556"/>
      <c r="EB342" s="4556"/>
      <c r="EC342" s="4556"/>
      <c r="ED342" s="4556"/>
      <c r="EE342" s="4556"/>
      <c r="EF342" s="4556"/>
      <c r="EG342" s="4556"/>
      <c r="EH342" s="4556"/>
      <c r="EI342" s="4556"/>
      <c r="EJ342" s="4556"/>
      <c r="EK342" s="4556"/>
      <c r="EL342" s="4556"/>
      <c r="EM342" s="4556"/>
      <c r="EN342" s="4556"/>
      <c r="EO342" s="4556"/>
      <c r="EP342" s="4556"/>
      <c r="EQ342" s="4556"/>
      <c r="ER342" s="4556"/>
      <c r="ES342" s="4556"/>
      <c r="ET342" s="4556"/>
      <c r="EU342" s="4556"/>
      <c r="EV342" s="4556"/>
      <c r="EW342" s="4556"/>
      <c r="EX342" s="4556"/>
      <c r="EY342" s="4556"/>
      <c r="EZ342" s="4556"/>
      <c r="FA342" s="4556"/>
      <c r="FB342" s="4556"/>
      <c r="FC342" s="4556"/>
      <c r="FD342" s="4556"/>
      <c r="FE342" s="4556"/>
      <c r="FF342" s="4556"/>
      <c r="FG342" s="4556"/>
      <c r="FH342" s="4556"/>
      <c r="FI342" s="4556"/>
      <c r="FJ342" s="4556"/>
      <c r="FK342" s="4556"/>
      <c r="FL342" s="4556"/>
      <c r="FM342" s="4556"/>
      <c r="FN342" s="4556"/>
      <c r="FO342" s="4556"/>
      <c r="FP342" s="4556"/>
      <c r="FQ342" s="4556"/>
      <c r="FR342" s="4556"/>
      <c r="FS342" s="4556"/>
      <c r="FT342" s="4556"/>
      <c r="FU342" s="4556"/>
      <c r="FV342" s="4556"/>
      <c r="FW342" s="4556"/>
      <c r="FX342" s="4556"/>
      <c r="FY342" s="4556"/>
      <c r="FZ342" s="4556"/>
      <c r="GA342" s="4556"/>
      <c r="GB342" s="4556"/>
      <c r="GC342" s="4556"/>
      <c r="GD342" s="4556"/>
      <c r="GE342" s="4556"/>
      <c r="GF342" s="4556"/>
      <c r="GG342" s="4556"/>
      <c r="GH342" s="4556"/>
      <c r="GI342" s="4556"/>
      <c r="GJ342" s="4556"/>
      <c r="GK342" s="4556"/>
      <c r="GL342" s="4556"/>
      <c r="GM342" s="4556"/>
      <c r="GN342" s="4556"/>
      <c r="GO342" s="4556"/>
      <c r="GP342" s="4556"/>
      <c r="GQ342" s="4556"/>
      <c r="GR342" s="4556"/>
      <c r="GS342" s="4556"/>
      <c r="GT342" s="4556"/>
      <c r="GU342" s="4556"/>
      <c r="GV342" s="4556"/>
      <c r="GW342" s="4556"/>
      <c r="GX342" s="4556"/>
      <c r="GY342" s="4556"/>
      <c r="GZ342" s="4556"/>
      <c r="HA342" s="4556"/>
      <c r="HB342" s="4556"/>
      <c r="HC342" s="4556"/>
      <c r="HD342" s="4556"/>
      <c r="HE342" s="4556"/>
      <c r="HF342" s="4556"/>
      <c r="HG342" s="4556"/>
      <c r="HH342" s="4556"/>
      <c r="HI342" s="4556"/>
      <c r="HJ342" s="4556"/>
      <c r="HK342" s="4556"/>
      <c r="HL342" s="4556"/>
      <c r="HM342" s="4556"/>
      <c r="HN342" s="4556"/>
      <c r="HO342" s="4556"/>
      <c r="HP342" s="4556"/>
      <c r="HQ342" s="4556"/>
      <c r="HR342" s="4556"/>
      <c r="HS342" s="4556"/>
      <c r="HT342" s="4556"/>
      <c r="HU342" s="4556"/>
      <c r="HV342" s="4556"/>
      <c r="HW342" s="4556"/>
      <c r="HX342" s="4556"/>
      <c r="HY342" s="4556"/>
      <c r="HZ342" s="4556"/>
      <c r="IA342" s="4556"/>
      <c r="IB342" s="4556"/>
      <c r="IC342" s="4556"/>
      <c r="ID342" s="4556"/>
      <c r="IE342" s="4556"/>
    </row>
    <row r="343" spans="1:239" s="4538" customFormat="1" ht="13.5" customHeight="1">
      <c r="A343" s="4654">
        <v>3.2</v>
      </c>
      <c r="B343" s="4635" t="s">
        <v>4667</v>
      </c>
      <c r="C343" s="4592">
        <v>124.67</v>
      </c>
      <c r="D343" s="4600" t="s">
        <v>2430</v>
      </c>
      <c r="E343" s="5000"/>
      <c r="F343" s="4589">
        <f>ROUND(C343*E343,2)</f>
        <v>0</v>
      </c>
      <c r="G343" s="4555"/>
      <c r="H343" s="4555"/>
      <c r="I343" s="4555"/>
      <c r="J343" s="4555"/>
      <c r="K343" s="4555"/>
      <c r="L343" s="4555"/>
      <c r="M343" s="4555"/>
      <c r="N343" s="4555"/>
      <c r="O343" s="4555"/>
      <c r="P343" s="4555"/>
      <c r="Q343" s="4555"/>
      <c r="R343" s="4555"/>
      <c r="S343" s="4555"/>
      <c r="T343" s="4555"/>
      <c r="U343" s="4555"/>
      <c r="V343" s="4555"/>
      <c r="W343" s="4555"/>
      <c r="X343" s="4555"/>
      <c r="Y343" s="4555"/>
      <c r="Z343" s="4555"/>
      <c r="AA343" s="4555"/>
      <c r="AB343" s="4555"/>
      <c r="AC343" s="4555"/>
      <c r="AD343" s="4555"/>
      <c r="AE343" s="4555"/>
      <c r="AF343" s="4555"/>
      <c r="AG343" s="4555"/>
      <c r="AH343" s="4555"/>
      <c r="AI343" s="4555"/>
      <c r="AJ343" s="4555"/>
      <c r="AK343" s="4555"/>
      <c r="AL343" s="4555"/>
      <c r="AM343" s="4555"/>
      <c r="AN343" s="4555"/>
      <c r="AO343" s="4555"/>
      <c r="AP343" s="4555"/>
      <c r="AQ343" s="4555"/>
      <c r="AR343" s="4555"/>
      <c r="AS343" s="4556"/>
      <c r="AT343" s="4556"/>
      <c r="AU343" s="4556"/>
      <c r="AV343" s="4556"/>
      <c r="AW343" s="4556"/>
      <c r="AX343" s="4556"/>
      <c r="AY343" s="4556"/>
      <c r="AZ343" s="4556"/>
      <c r="BA343" s="4556"/>
      <c r="BB343" s="4556"/>
      <c r="BC343" s="4556"/>
      <c r="BD343" s="4556"/>
      <c r="BE343" s="4556"/>
      <c r="BF343" s="4556"/>
      <c r="BG343" s="4556"/>
      <c r="BH343" s="4556"/>
      <c r="BI343" s="4556"/>
      <c r="BJ343" s="4556"/>
      <c r="BK343" s="4556"/>
      <c r="BL343" s="4556"/>
      <c r="BM343" s="4556"/>
      <c r="BN343" s="4556"/>
      <c r="BO343" s="4556"/>
      <c r="BP343" s="4556"/>
      <c r="BQ343" s="4556"/>
      <c r="BR343" s="4556"/>
      <c r="BS343" s="4556"/>
      <c r="BT343" s="4556"/>
      <c r="BU343" s="4556"/>
      <c r="BV343" s="4556"/>
      <c r="BW343" s="4556"/>
      <c r="BX343" s="4556"/>
      <c r="BY343" s="4556"/>
      <c r="BZ343" s="4556"/>
      <c r="CA343" s="4556"/>
      <c r="CB343" s="4556"/>
      <c r="CC343" s="4556"/>
      <c r="CD343" s="4556"/>
      <c r="CE343" s="4556"/>
      <c r="CF343" s="4556"/>
      <c r="CG343" s="4556"/>
      <c r="CH343" s="4556"/>
      <c r="CI343" s="4556"/>
      <c r="CJ343" s="4556"/>
      <c r="CK343" s="4556"/>
      <c r="CL343" s="4556"/>
      <c r="CM343" s="4556"/>
      <c r="CN343" s="4556"/>
      <c r="CO343" s="4556"/>
      <c r="CP343" s="4556"/>
      <c r="CQ343" s="4556"/>
      <c r="CR343" s="4556"/>
      <c r="CS343" s="4556"/>
      <c r="CT343" s="4556"/>
      <c r="CU343" s="4556"/>
      <c r="CV343" s="4556"/>
      <c r="CW343" s="4556"/>
      <c r="CX343" s="4556"/>
      <c r="CY343" s="4556"/>
      <c r="CZ343" s="4556"/>
      <c r="DA343" s="4556"/>
      <c r="DB343" s="4556"/>
      <c r="DC343" s="4556"/>
      <c r="DD343" s="4556"/>
      <c r="DE343" s="4556"/>
      <c r="DF343" s="4556"/>
      <c r="DG343" s="4556"/>
      <c r="DH343" s="4556"/>
      <c r="DI343" s="4556"/>
      <c r="DJ343" s="4556"/>
      <c r="DK343" s="4556"/>
      <c r="DL343" s="4556"/>
      <c r="DM343" s="4556"/>
      <c r="DN343" s="4556"/>
      <c r="DO343" s="4556"/>
      <c r="DP343" s="4556"/>
      <c r="DQ343" s="4556"/>
      <c r="DR343" s="4556"/>
      <c r="DS343" s="4556"/>
      <c r="DT343" s="4556"/>
      <c r="DU343" s="4556"/>
      <c r="DV343" s="4556"/>
      <c r="DW343" s="4556"/>
      <c r="DX343" s="4556"/>
      <c r="DY343" s="4556"/>
      <c r="DZ343" s="4556"/>
      <c r="EA343" s="4556"/>
      <c r="EB343" s="4556"/>
      <c r="EC343" s="4556"/>
      <c r="ED343" s="4556"/>
      <c r="EE343" s="4556"/>
      <c r="EF343" s="4556"/>
      <c r="EG343" s="4556"/>
      <c r="EH343" s="4556"/>
      <c r="EI343" s="4556"/>
      <c r="EJ343" s="4556"/>
      <c r="EK343" s="4556"/>
      <c r="EL343" s="4556"/>
      <c r="EM343" s="4556"/>
      <c r="EN343" s="4556"/>
      <c r="EO343" s="4556"/>
      <c r="EP343" s="4556"/>
      <c r="EQ343" s="4556"/>
      <c r="ER343" s="4556"/>
      <c r="ES343" s="4556"/>
      <c r="ET343" s="4556"/>
      <c r="EU343" s="4556"/>
      <c r="EV343" s="4556"/>
      <c r="EW343" s="4556"/>
      <c r="EX343" s="4556"/>
      <c r="EY343" s="4556"/>
      <c r="EZ343" s="4556"/>
      <c r="FA343" s="4556"/>
      <c r="FB343" s="4556"/>
      <c r="FC343" s="4556"/>
      <c r="FD343" s="4556"/>
      <c r="FE343" s="4556"/>
      <c r="FF343" s="4556"/>
      <c r="FG343" s="4556"/>
      <c r="FH343" s="4556"/>
      <c r="FI343" s="4556"/>
      <c r="FJ343" s="4556"/>
      <c r="FK343" s="4556"/>
      <c r="FL343" s="4556"/>
      <c r="FM343" s="4556"/>
      <c r="FN343" s="4556"/>
      <c r="FO343" s="4556"/>
      <c r="FP343" s="4556"/>
      <c r="FQ343" s="4556"/>
      <c r="FR343" s="4556"/>
      <c r="FS343" s="4556"/>
      <c r="FT343" s="4556"/>
      <c r="FU343" s="4556"/>
      <c r="FV343" s="4556"/>
      <c r="FW343" s="4556"/>
      <c r="FX343" s="4556"/>
      <c r="FY343" s="4556"/>
      <c r="FZ343" s="4556"/>
      <c r="GA343" s="4556"/>
      <c r="GB343" s="4556"/>
      <c r="GC343" s="4556"/>
      <c r="GD343" s="4556"/>
      <c r="GE343" s="4556"/>
      <c r="GF343" s="4556"/>
      <c r="GG343" s="4556"/>
      <c r="GH343" s="4556"/>
      <c r="GI343" s="4556"/>
      <c r="GJ343" s="4556"/>
      <c r="GK343" s="4556"/>
      <c r="GL343" s="4556"/>
      <c r="GM343" s="4556"/>
      <c r="GN343" s="4556"/>
      <c r="GO343" s="4556"/>
      <c r="GP343" s="4556"/>
      <c r="GQ343" s="4556"/>
      <c r="GR343" s="4556"/>
      <c r="GS343" s="4556"/>
      <c r="GT343" s="4556"/>
      <c r="GU343" s="4556"/>
      <c r="GV343" s="4556"/>
      <c r="GW343" s="4556"/>
      <c r="GX343" s="4556"/>
      <c r="GY343" s="4556"/>
      <c r="GZ343" s="4556"/>
      <c r="HA343" s="4556"/>
      <c r="HB343" s="4556"/>
      <c r="HC343" s="4556"/>
      <c r="HD343" s="4556"/>
      <c r="HE343" s="4556"/>
      <c r="HF343" s="4556"/>
      <c r="HG343" s="4556"/>
      <c r="HH343" s="4556"/>
      <c r="HI343" s="4556"/>
      <c r="HJ343" s="4556"/>
      <c r="HK343" s="4556"/>
      <c r="HL343" s="4556"/>
      <c r="HM343" s="4556"/>
      <c r="HN343" s="4556"/>
      <c r="HO343" s="4556"/>
      <c r="HP343" s="4556"/>
      <c r="HQ343" s="4556"/>
      <c r="HR343" s="4556"/>
      <c r="HS343" s="4556"/>
      <c r="HT343" s="4556"/>
      <c r="HU343" s="4556"/>
      <c r="HV343" s="4556"/>
      <c r="HW343" s="4556"/>
      <c r="HX343" s="4556"/>
      <c r="HY343" s="4556"/>
      <c r="HZ343" s="4556"/>
      <c r="IA343" s="4556"/>
      <c r="IB343" s="4556"/>
      <c r="IC343" s="4556"/>
      <c r="ID343" s="4556"/>
      <c r="IE343" s="4556"/>
    </row>
    <row r="344" spans="1:239" s="4538" customFormat="1" ht="30" customHeight="1">
      <c r="A344" s="4729">
        <v>3.3</v>
      </c>
      <c r="B344" s="4636" t="s">
        <v>4668</v>
      </c>
      <c r="C344" s="4776">
        <v>264.61</v>
      </c>
      <c r="D344" s="4777" t="s">
        <v>2430</v>
      </c>
      <c r="E344" s="5001"/>
      <c r="F344" s="4648">
        <f>ROUND(C344*E344,2)</f>
        <v>0</v>
      </c>
      <c r="G344" s="4555"/>
      <c r="H344" s="4555"/>
      <c r="I344" s="4555"/>
      <c r="J344" s="4555"/>
      <c r="K344" s="4555"/>
      <c r="L344" s="4555"/>
      <c r="M344" s="4555"/>
      <c r="N344" s="4555"/>
      <c r="O344" s="4555"/>
      <c r="P344" s="4555"/>
      <c r="Q344" s="4555"/>
      <c r="R344" s="4555"/>
      <c r="S344" s="4555"/>
      <c r="T344" s="4555"/>
      <c r="U344" s="4555"/>
      <c r="V344" s="4555"/>
      <c r="W344" s="4555"/>
      <c r="X344" s="4555"/>
      <c r="Y344" s="4555"/>
      <c r="Z344" s="4555"/>
      <c r="AA344" s="4555"/>
      <c r="AB344" s="4555"/>
      <c r="AC344" s="4555"/>
      <c r="AD344" s="4555"/>
      <c r="AE344" s="4555"/>
      <c r="AF344" s="4555"/>
      <c r="AG344" s="4555"/>
      <c r="AH344" s="4555"/>
      <c r="AI344" s="4555"/>
      <c r="AJ344" s="4555"/>
      <c r="AK344" s="4555"/>
      <c r="AL344" s="4555"/>
      <c r="AM344" s="4555"/>
      <c r="AN344" s="4555"/>
      <c r="AO344" s="4555"/>
      <c r="AP344" s="4555"/>
      <c r="AQ344" s="4555"/>
      <c r="AR344" s="4555"/>
      <c r="AS344" s="4556"/>
      <c r="AT344" s="4556"/>
      <c r="AU344" s="4556"/>
      <c r="AV344" s="4556"/>
      <c r="AW344" s="4556"/>
      <c r="AX344" s="4556"/>
      <c r="AY344" s="4556"/>
      <c r="AZ344" s="4556"/>
      <c r="BA344" s="4556"/>
      <c r="BB344" s="4556"/>
      <c r="BC344" s="4556"/>
      <c r="BD344" s="4556"/>
      <c r="BE344" s="4556"/>
      <c r="BF344" s="4556"/>
      <c r="BG344" s="4556"/>
      <c r="BH344" s="4556"/>
      <c r="BI344" s="4556"/>
      <c r="BJ344" s="4556"/>
      <c r="BK344" s="4556"/>
      <c r="BL344" s="4556"/>
      <c r="BM344" s="4556"/>
      <c r="BN344" s="4556"/>
      <c r="BO344" s="4556"/>
      <c r="BP344" s="4556"/>
      <c r="BQ344" s="4556"/>
      <c r="BR344" s="4556"/>
      <c r="BS344" s="4556"/>
      <c r="BT344" s="4556"/>
      <c r="BU344" s="4556"/>
      <c r="BV344" s="4556"/>
      <c r="BW344" s="4556"/>
      <c r="BX344" s="4556"/>
      <c r="BY344" s="4556"/>
      <c r="BZ344" s="4556"/>
      <c r="CA344" s="4556"/>
      <c r="CB344" s="4556"/>
      <c r="CC344" s="4556"/>
      <c r="CD344" s="4556"/>
      <c r="CE344" s="4556"/>
      <c r="CF344" s="4556"/>
      <c r="CG344" s="4556"/>
      <c r="CH344" s="4556"/>
      <c r="CI344" s="4556"/>
      <c r="CJ344" s="4556"/>
      <c r="CK344" s="4556"/>
      <c r="CL344" s="4556"/>
      <c r="CM344" s="4556"/>
      <c r="CN344" s="4556"/>
      <c r="CO344" s="4556"/>
      <c r="CP344" s="4556"/>
      <c r="CQ344" s="4556"/>
      <c r="CR344" s="4556"/>
      <c r="CS344" s="4556"/>
      <c r="CT344" s="4556"/>
      <c r="CU344" s="4556"/>
      <c r="CV344" s="4556"/>
      <c r="CW344" s="4556"/>
      <c r="CX344" s="4556"/>
      <c r="CY344" s="4556"/>
      <c r="CZ344" s="4556"/>
      <c r="DA344" s="4556"/>
      <c r="DB344" s="4556"/>
      <c r="DC344" s="4556"/>
      <c r="DD344" s="4556"/>
      <c r="DE344" s="4556"/>
      <c r="DF344" s="4556"/>
      <c r="DG344" s="4556"/>
      <c r="DH344" s="4556"/>
      <c r="DI344" s="4556"/>
      <c r="DJ344" s="4556"/>
      <c r="DK344" s="4556"/>
      <c r="DL344" s="4556"/>
      <c r="DM344" s="4556"/>
      <c r="DN344" s="4556"/>
      <c r="DO344" s="4556"/>
      <c r="DP344" s="4556"/>
      <c r="DQ344" s="4556"/>
      <c r="DR344" s="4556"/>
      <c r="DS344" s="4556"/>
      <c r="DT344" s="4556"/>
      <c r="DU344" s="4556"/>
      <c r="DV344" s="4556"/>
      <c r="DW344" s="4556"/>
      <c r="DX344" s="4556"/>
      <c r="DY344" s="4556"/>
      <c r="DZ344" s="4556"/>
      <c r="EA344" s="4556"/>
      <c r="EB344" s="4556"/>
      <c r="EC344" s="4556"/>
      <c r="ED344" s="4556"/>
      <c r="EE344" s="4556"/>
      <c r="EF344" s="4556"/>
      <c r="EG344" s="4556"/>
      <c r="EH344" s="4556"/>
      <c r="EI344" s="4556"/>
      <c r="EJ344" s="4556"/>
      <c r="EK344" s="4556"/>
      <c r="EL344" s="4556"/>
      <c r="EM344" s="4556"/>
      <c r="EN344" s="4556"/>
      <c r="EO344" s="4556"/>
      <c r="EP344" s="4556"/>
      <c r="EQ344" s="4556"/>
      <c r="ER344" s="4556"/>
      <c r="ES344" s="4556"/>
      <c r="ET344" s="4556"/>
      <c r="EU344" s="4556"/>
      <c r="EV344" s="4556"/>
      <c r="EW344" s="4556"/>
      <c r="EX344" s="4556"/>
      <c r="EY344" s="4556"/>
      <c r="EZ344" s="4556"/>
      <c r="FA344" s="4556"/>
      <c r="FB344" s="4556"/>
      <c r="FC344" s="4556"/>
      <c r="FD344" s="4556"/>
      <c r="FE344" s="4556"/>
      <c r="FF344" s="4556"/>
      <c r="FG344" s="4556"/>
      <c r="FH344" s="4556"/>
      <c r="FI344" s="4556"/>
      <c r="FJ344" s="4556"/>
      <c r="FK344" s="4556"/>
      <c r="FL344" s="4556"/>
      <c r="FM344" s="4556"/>
      <c r="FN344" s="4556"/>
      <c r="FO344" s="4556"/>
      <c r="FP344" s="4556"/>
      <c r="FQ344" s="4556"/>
      <c r="FR344" s="4556"/>
      <c r="FS344" s="4556"/>
      <c r="FT344" s="4556"/>
      <c r="FU344" s="4556"/>
      <c r="FV344" s="4556"/>
      <c r="FW344" s="4556"/>
      <c r="FX344" s="4556"/>
      <c r="FY344" s="4556"/>
      <c r="FZ344" s="4556"/>
      <c r="GA344" s="4556"/>
      <c r="GB344" s="4556"/>
      <c r="GC344" s="4556"/>
      <c r="GD344" s="4556"/>
      <c r="GE344" s="4556"/>
      <c r="GF344" s="4556"/>
      <c r="GG344" s="4556"/>
      <c r="GH344" s="4556"/>
      <c r="GI344" s="4556"/>
      <c r="GJ344" s="4556"/>
      <c r="GK344" s="4556"/>
      <c r="GL344" s="4556"/>
      <c r="GM344" s="4556"/>
      <c r="GN344" s="4556"/>
      <c r="GO344" s="4556"/>
      <c r="GP344" s="4556"/>
      <c r="GQ344" s="4556"/>
      <c r="GR344" s="4556"/>
      <c r="GS344" s="4556"/>
      <c r="GT344" s="4556"/>
      <c r="GU344" s="4556"/>
      <c r="GV344" s="4556"/>
      <c r="GW344" s="4556"/>
      <c r="GX344" s="4556"/>
      <c r="GY344" s="4556"/>
      <c r="GZ344" s="4556"/>
      <c r="HA344" s="4556"/>
      <c r="HB344" s="4556"/>
      <c r="HC344" s="4556"/>
      <c r="HD344" s="4556"/>
      <c r="HE344" s="4556"/>
      <c r="HF344" s="4556"/>
      <c r="HG344" s="4556"/>
      <c r="HH344" s="4556"/>
      <c r="HI344" s="4556"/>
      <c r="HJ344" s="4556"/>
      <c r="HK344" s="4556"/>
      <c r="HL344" s="4556"/>
      <c r="HM344" s="4556"/>
      <c r="HN344" s="4556"/>
      <c r="HO344" s="4556"/>
      <c r="HP344" s="4556"/>
      <c r="HQ344" s="4556"/>
      <c r="HR344" s="4556"/>
      <c r="HS344" s="4556"/>
      <c r="HT344" s="4556"/>
      <c r="HU344" s="4556"/>
      <c r="HV344" s="4556"/>
      <c r="HW344" s="4556"/>
      <c r="HX344" s="4556"/>
      <c r="HY344" s="4556"/>
      <c r="HZ344" s="4556"/>
      <c r="IA344" s="4556"/>
      <c r="IB344" s="4556"/>
      <c r="IC344" s="4556"/>
      <c r="ID344" s="4556"/>
      <c r="IE344" s="4556"/>
    </row>
    <row r="345" spans="1:239" s="4538" customFormat="1" ht="6" customHeight="1">
      <c r="A345" s="4654"/>
      <c r="B345" s="4660"/>
      <c r="C345" s="4721"/>
      <c r="D345" s="4775"/>
      <c r="E345" s="5000"/>
      <c r="F345" s="4589"/>
      <c r="G345" s="4555"/>
      <c r="H345" s="4555"/>
      <c r="I345" s="4555"/>
      <c r="J345" s="4555"/>
      <c r="K345" s="4555"/>
      <c r="L345" s="4555"/>
      <c r="M345" s="4555"/>
      <c r="N345" s="4555"/>
      <c r="O345" s="4555"/>
      <c r="P345" s="4555"/>
      <c r="Q345" s="4555"/>
      <c r="R345" s="4555"/>
      <c r="S345" s="4555"/>
      <c r="T345" s="4555"/>
      <c r="U345" s="4555"/>
      <c r="V345" s="4555"/>
      <c r="W345" s="4555"/>
      <c r="X345" s="4555"/>
      <c r="Y345" s="4555"/>
      <c r="Z345" s="4555"/>
      <c r="AA345" s="4555"/>
      <c r="AB345" s="4555"/>
      <c r="AC345" s="4555"/>
      <c r="AD345" s="4555"/>
      <c r="AE345" s="4555"/>
      <c r="AF345" s="4555"/>
      <c r="AG345" s="4555"/>
      <c r="AH345" s="4555"/>
      <c r="AI345" s="4555"/>
      <c r="AJ345" s="4555"/>
      <c r="AK345" s="4555"/>
      <c r="AL345" s="4555"/>
      <c r="AM345" s="4555"/>
      <c r="AN345" s="4555"/>
      <c r="AO345" s="4555"/>
      <c r="AP345" s="4555"/>
      <c r="AQ345" s="4555"/>
      <c r="AR345" s="4555"/>
      <c r="AS345" s="4556"/>
      <c r="AT345" s="4556"/>
      <c r="AU345" s="4556"/>
      <c r="AV345" s="4556"/>
      <c r="AW345" s="4556"/>
      <c r="AX345" s="4556"/>
      <c r="AY345" s="4556"/>
      <c r="AZ345" s="4556"/>
      <c r="BA345" s="4556"/>
      <c r="BB345" s="4556"/>
      <c r="BC345" s="4556"/>
      <c r="BD345" s="4556"/>
      <c r="BE345" s="4556"/>
      <c r="BF345" s="4556"/>
      <c r="BG345" s="4556"/>
      <c r="BH345" s="4556"/>
      <c r="BI345" s="4556"/>
      <c r="BJ345" s="4556"/>
      <c r="BK345" s="4556"/>
      <c r="BL345" s="4556"/>
      <c r="BM345" s="4556"/>
      <c r="BN345" s="4556"/>
      <c r="BO345" s="4556"/>
      <c r="BP345" s="4556"/>
      <c r="BQ345" s="4556"/>
      <c r="BR345" s="4556"/>
      <c r="BS345" s="4556"/>
      <c r="BT345" s="4556"/>
      <c r="BU345" s="4556"/>
      <c r="BV345" s="4556"/>
      <c r="BW345" s="4556"/>
      <c r="BX345" s="4556"/>
      <c r="BY345" s="4556"/>
      <c r="BZ345" s="4556"/>
      <c r="CA345" s="4556"/>
      <c r="CB345" s="4556"/>
      <c r="CC345" s="4556"/>
      <c r="CD345" s="4556"/>
      <c r="CE345" s="4556"/>
      <c r="CF345" s="4556"/>
      <c r="CG345" s="4556"/>
      <c r="CH345" s="4556"/>
      <c r="CI345" s="4556"/>
      <c r="CJ345" s="4556"/>
      <c r="CK345" s="4556"/>
      <c r="CL345" s="4556"/>
      <c r="CM345" s="4556"/>
      <c r="CN345" s="4556"/>
      <c r="CO345" s="4556"/>
      <c r="CP345" s="4556"/>
      <c r="CQ345" s="4556"/>
      <c r="CR345" s="4556"/>
      <c r="CS345" s="4556"/>
      <c r="CT345" s="4556"/>
      <c r="CU345" s="4556"/>
      <c r="CV345" s="4556"/>
      <c r="CW345" s="4556"/>
      <c r="CX345" s="4556"/>
      <c r="CY345" s="4556"/>
      <c r="CZ345" s="4556"/>
      <c r="DA345" s="4556"/>
      <c r="DB345" s="4556"/>
      <c r="DC345" s="4556"/>
      <c r="DD345" s="4556"/>
      <c r="DE345" s="4556"/>
      <c r="DF345" s="4556"/>
      <c r="DG345" s="4556"/>
      <c r="DH345" s="4556"/>
      <c r="DI345" s="4556"/>
      <c r="DJ345" s="4556"/>
      <c r="DK345" s="4556"/>
      <c r="DL345" s="4556"/>
      <c r="DM345" s="4556"/>
      <c r="DN345" s="4556"/>
      <c r="DO345" s="4556"/>
      <c r="DP345" s="4556"/>
      <c r="DQ345" s="4556"/>
      <c r="DR345" s="4556"/>
      <c r="DS345" s="4556"/>
      <c r="DT345" s="4556"/>
      <c r="DU345" s="4556"/>
      <c r="DV345" s="4556"/>
      <c r="DW345" s="4556"/>
      <c r="DX345" s="4556"/>
      <c r="DY345" s="4556"/>
      <c r="DZ345" s="4556"/>
      <c r="EA345" s="4556"/>
      <c r="EB345" s="4556"/>
      <c r="EC345" s="4556"/>
      <c r="ED345" s="4556"/>
      <c r="EE345" s="4556"/>
      <c r="EF345" s="4556"/>
      <c r="EG345" s="4556"/>
      <c r="EH345" s="4556"/>
      <c r="EI345" s="4556"/>
      <c r="EJ345" s="4556"/>
      <c r="EK345" s="4556"/>
      <c r="EL345" s="4556"/>
      <c r="EM345" s="4556"/>
      <c r="EN345" s="4556"/>
      <c r="EO345" s="4556"/>
      <c r="EP345" s="4556"/>
      <c r="EQ345" s="4556"/>
      <c r="ER345" s="4556"/>
      <c r="ES345" s="4556"/>
      <c r="ET345" s="4556"/>
      <c r="EU345" s="4556"/>
      <c r="EV345" s="4556"/>
      <c r="EW345" s="4556"/>
      <c r="EX345" s="4556"/>
      <c r="EY345" s="4556"/>
      <c r="EZ345" s="4556"/>
      <c r="FA345" s="4556"/>
      <c r="FB345" s="4556"/>
      <c r="FC345" s="4556"/>
      <c r="FD345" s="4556"/>
      <c r="FE345" s="4556"/>
      <c r="FF345" s="4556"/>
      <c r="FG345" s="4556"/>
      <c r="FH345" s="4556"/>
      <c r="FI345" s="4556"/>
      <c r="FJ345" s="4556"/>
      <c r="FK345" s="4556"/>
      <c r="FL345" s="4556"/>
      <c r="FM345" s="4556"/>
      <c r="FN345" s="4556"/>
      <c r="FO345" s="4556"/>
      <c r="FP345" s="4556"/>
      <c r="FQ345" s="4556"/>
      <c r="FR345" s="4556"/>
      <c r="FS345" s="4556"/>
      <c r="FT345" s="4556"/>
      <c r="FU345" s="4556"/>
      <c r="FV345" s="4556"/>
      <c r="FW345" s="4556"/>
      <c r="FX345" s="4556"/>
      <c r="FY345" s="4556"/>
      <c r="FZ345" s="4556"/>
      <c r="GA345" s="4556"/>
      <c r="GB345" s="4556"/>
      <c r="GC345" s="4556"/>
      <c r="GD345" s="4556"/>
      <c r="GE345" s="4556"/>
      <c r="GF345" s="4556"/>
      <c r="GG345" s="4556"/>
      <c r="GH345" s="4556"/>
      <c r="GI345" s="4556"/>
      <c r="GJ345" s="4556"/>
      <c r="GK345" s="4556"/>
      <c r="GL345" s="4556"/>
      <c r="GM345" s="4556"/>
      <c r="GN345" s="4556"/>
      <c r="GO345" s="4556"/>
      <c r="GP345" s="4556"/>
      <c r="GQ345" s="4556"/>
      <c r="GR345" s="4556"/>
      <c r="GS345" s="4556"/>
      <c r="GT345" s="4556"/>
      <c r="GU345" s="4556"/>
      <c r="GV345" s="4556"/>
      <c r="GW345" s="4556"/>
      <c r="GX345" s="4556"/>
      <c r="GY345" s="4556"/>
      <c r="GZ345" s="4556"/>
      <c r="HA345" s="4556"/>
      <c r="HB345" s="4556"/>
      <c r="HC345" s="4556"/>
      <c r="HD345" s="4556"/>
      <c r="HE345" s="4556"/>
      <c r="HF345" s="4556"/>
      <c r="HG345" s="4556"/>
      <c r="HH345" s="4556"/>
      <c r="HI345" s="4556"/>
      <c r="HJ345" s="4556"/>
      <c r="HK345" s="4556"/>
      <c r="HL345" s="4556"/>
      <c r="HM345" s="4556"/>
      <c r="HN345" s="4556"/>
      <c r="HO345" s="4556"/>
      <c r="HP345" s="4556"/>
      <c r="HQ345" s="4556"/>
      <c r="HR345" s="4556"/>
      <c r="HS345" s="4556"/>
      <c r="HT345" s="4556"/>
      <c r="HU345" s="4556"/>
      <c r="HV345" s="4556"/>
      <c r="HW345" s="4556"/>
      <c r="HX345" s="4556"/>
      <c r="HY345" s="4556"/>
      <c r="HZ345" s="4556"/>
      <c r="IA345" s="4556"/>
      <c r="IB345" s="4556"/>
      <c r="IC345" s="4556"/>
      <c r="ID345" s="4556"/>
      <c r="IE345" s="4556"/>
    </row>
    <row r="346" spans="1:239" s="4538" customFormat="1" ht="27.75" customHeight="1">
      <c r="A346" s="4680">
        <v>4</v>
      </c>
      <c r="B346" s="4637" t="s">
        <v>4230</v>
      </c>
      <c r="C346" s="4778"/>
      <c r="D346" s="4779"/>
      <c r="E346" s="5000"/>
      <c r="F346" s="4589"/>
      <c r="G346" s="4555"/>
      <c r="H346" s="4555"/>
      <c r="I346" s="4555"/>
      <c r="J346" s="4555"/>
      <c r="K346" s="4555"/>
      <c r="L346" s="4555"/>
      <c r="M346" s="4555"/>
      <c r="N346" s="4555"/>
      <c r="O346" s="4555"/>
      <c r="P346" s="4555"/>
      <c r="Q346" s="4555"/>
      <c r="R346" s="4555"/>
      <c r="S346" s="4555"/>
      <c r="T346" s="4555"/>
      <c r="U346" s="4555"/>
      <c r="V346" s="4555"/>
      <c r="W346" s="4555"/>
      <c r="X346" s="4555"/>
      <c r="Y346" s="4555"/>
      <c r="Z346" s="4555"/>
      <c r="AA346" s="4555"/>
      <c r="AB346" s="4555"/>
      <c r="AC346" s="4555"/>
      <c r="AD346" s="4555"/>
      <c r="AE346" s="4555"/>
      <c r="AF346" s="4555"/>
      <c r="AG346" s="4555"/>
      <c r="AH346" s="4555"/>
      <c r="AI346" s="4555"/>
      <c r="AJ346" s="4555"/>
      <c r="AK346" s="4555"/>
      <c r="AL346" s="4555"/>
      <c r="AM346" s="4555"/>
      <c r="AN346" s="4555"/>
      <c r="AO346" s="4555"/>
      <c r="AP346" s="4555"/>
      <c r="AQ346" s="4555"/>
      <c r="AR346" s="4555"/>
      <c r="AS346" s="4556"/>
      <c r="AT346" s="4556"/>
      <c r="AU346" s="4556"/>
      <c r="AV346" s="4556"/>
      <c r="AW346" s="4556"/>
      <c r="AX346" s="4556"/>
      <c r="AY346" s="4556"/>
      <c r="AZ346" s="4556"/>
      <c r="BA346" s="4556"/>
      <c r="BB346" s="4556"/>
      <c r="BC346" s="4556"/>
      <c r="BD346" s="4556"/>
      <c r="BE346" s="4556"/>
      <c r="BF346" s="4556"/>
      <c r="BG346" s="4556"/>
      <c r="BH346" s="4556"/>
      <c r="BI346" s="4556"/>
      <c r="BJ346" s="4556"/>
      <c r="BK346" s="4556"/>
      <c r="BL346" s="4556"/>
      <c r="BM346" s="4556"/>
      <c r="BN346" s="4556"/>
      <c r="BO346" s="4556"/>
      <c r="BP346" s="4556"/>
      <c r="BQ346" s="4556"/>
      <c r="BR346" s="4556"/>
      <c r="BS346" s="4556"/>
      <c r="BT346" s="4556"/>
      <c r="BU346" s="4556"/>
      <c r="BV346" s="4556"/>
      <c r="BW346" s="4556"/>
      <c r="BX346" s="4556"/>
      <c r="BY346" s="4556"/>
      <c r="BZ346" s="4556"/>
      <c r="CA346" s="4556"/>
      <c r="CB346" s="4556"/>
      <c r="CC346" s="4556"/>
      <c r="CD346" s="4556"/>
      <c r="CE346" s="4556"/>
      <c r="CF346" s="4556"/>
      <c r="CG346" s="4556"/>
      <c r="CH346" s="4556"/>
      <c r="CI346" s="4556"/>
      <c r="CJ346" s="4556"/>
      <c r="CK346" s="4556"/>
      <c r="CL346" s="4556"/>
      <c r="CM346" s="4556"/>
      <c r="CN346" s="4556"/>
      <c r="CO346" s="4556"/>
      <c r="CP346" s="4556"/>
      <c r="CQ346" s="4556"/>
      <c r="CR346" s="4556"/>
      <c r="CS346" s="4556"/>
      <c r="CT346" s="4556"/>
      <c r="CU346" s="4556"/>
      <c r="CV346" s="4556"/>
      <c r="CW346" s="4556"/>
      <c r="CX346" s="4556"/>
      <c r="CY346" s="4556"/>
      <c r="CZ346" s="4556"/>
      <c r="DA346" s="4556"/>
      <c r="DB346" s="4556"/>
      <c r="DC346" s="4556"/>
      <c r="DD346" s="4556"/>
      <c r="DE346" s="4556"/>
      <c r="DF346" s="4556"/>
      <c r="DG346" s="4556"/>
      <c r="DH346" s="4556"/>
      <c r="DI346" s="4556"/>
      <c r="DJ346" s="4556"/>
      <c r="DK346" s="4556"/>
      <c r="DL346" s="4556"/>
      <c r="DM346" s="4556"/>
      <c r="DN346" s="4556"/>
      <c r="DO346" s="4556"/>
      <c r="DP346" s="4556"/>
      <c r="DQ346" s="4556"/>
      <c r="DR346" s="4556"/>
      <c r="DS346" s="4556"/>
      <c r="DT346" s="4556"/>
      <c r="DU346" s="4556"/>
      <c r="DV346" s="4556"/>
      <c r="DW346" s="4556"/>
      <c r="DX346" s="4556"/>
      <c r="DY346" s="4556"/>
      <c r="DZ346" s="4556"/>
      <c r="EA346" s="4556"/>
      <c r="EB346" s="4556"/>
      <c r="EC346" s="4556"/>
      <c r="ED346" s="4556"/>
      <c r="EE346" s="4556"/>
      <c r="EF346" s="4556"/>
      <c r="EG346" s="4556"/>
      <c r="EH346" s="4556"/>
      <c r="EI346" s="4556"/>
      <c r="EJ346" s="4556"/>
      <c r="EK346" s="4556"/>
      <c r="EL346" s="4556"/>
      <c r="EM346" s="4556"/>
      <c r="EN346" s="4556"/>
      <c r="EO346" s="4556"/>
      <c r="EP346" s="4556"/>
      <c r="EQ346" s="4556"/>
      <c r="ER346" s="4556"/>
      <c r="ES346" s="4556"/>
      <c r="ET346" s="4556"/>
      <c r="EU346" s="4556"/>
      <c r="EV346" s="4556"/>
      <c r="EW346" s="4556"/>
      <c r="EX346" s="4556"/>
      <c r="EY346" s="4556"/>
      <c r="EZ346" s="4556"/>
      <c r="FA346" s="4556"/>
      <c r="FB346" s="4556"/>
      <c r="FC346" s="4556"/>
      <c r="FD346" s="4556"/>
      <c r="FE346" s="4556"/>
      <c r="FF346" s="4556"/>
      <c r="FG346" s="4556"/>
      <c r="FH346" s="4556"/>
      <c r="FI346" s="4556"/>
      <c r="FJ346" s="4556"/>
      <c r="FK346" s="4556"/>
      <c r="FL346" s="4556"/>
      <c r="FM346" s="4556"/>
      <c r="FN346" s="4556"/>
      <c r="FO346" s="4556"/>
      <c r="FP346" s="4556"/>
      <c r="FQ346" s="4556"/>
      <c r="FR346" s="4556"/>
      <c r="FS346" s="4556"/>
      <c r="FT346" s="4556"/>
      <c r="FU346" s="4556"/>
      <c r="FV346" s="4556"/>
      <c r="FW346" s="4556"/>
      <c r="FX346" s="4556"/>
      <c r="FY346" s="4556"/>
      <c r="FZ346" s="4556"/>
      <c r="GA346" s="4556"/>
      <c r="GB346" s="4556"/>
      <c r="GC346" s="4556"/>
      <c r="GD346" s="4556"/>
      <c r="GE346" s="4556"/>
      <c r="GF346" s="4556"/>
      <c r="GG346" s="4556"/>
      <c r="GH346" s="4556"/>
      <c r="GI346" s="4556"/>
      <c r="GJ346" s="4556"/>
      <c r="GK346" s="4556"/>
      <c r="GL346" s="4556"/>
      <c r="GM346" s="4556"/>
      <c r="GN346" s="4556"/>
      <c r="GO346" s="4556"/>
      <c r="GP346" s="4556"/>
      <c r="GQ346" s="4556"/>
      <c r="GR346" s="4556"/>
      <c r="GS346" s="4556"/>
      <c r="GT346" s="4556"/>
      <c r="GU346" s="4556"/>
      <c r="GV346" s="4556"/>
      <c r="GW346" s="4556"/>
      <c r="GX346" s="4556"/>
      <c r="GY346" s="4556"/>
      <c r="GZ346" s="4556"/>
      <c r="HA346" s="4556"/>
      <c r="HB346" s="4556"/>
      <c r="HC346" s="4556"/>
      <c r="HD346" s="4556"/>
      <c r="HE346" s="4556"/>
      <c r="HF346" s="4556"/>
      <c r="HG346" s="4556"/>
      <c r="HH346" s="4556"/>
      <c r="HI346" s="4556"/>
      <c r="HJ346" s="4556"/>
      <c r="HK346" s="4556"/>
      <c r="HL346" s="4556"/>
      <c r="HM346" s="4556"/>
      <c r="HN346" s="4556"/>
      <c r="HO346" s="4556"/>
      <c r="HP346" s="4556"/>
      <c r="HQ346" s="4556"/>
      <c r="HR346" s="4556"/>
      <c r="HS346" s="4556"/>
      <c r="HT346" s="4556"/>
      <c r="HU346" s="4556"/>
      <c r="HV346" s="4556"/>
      <c r="HW346" s="4556"/>
      <c r="HX346" s="4556"/>
      <c r="HY346" s="4556"/>
      <c r="HZ346" s="4556"/>
      <c r="IA346" s="4556"/>
      <c r="IB346" s="4556"/>
      <c r="IC346" s="4556"/>
      <c r="ID346" s="4556"/>
      <c r="IE346" s="4556"/>
    </row>
    <row r="347" spans="1:239" s="4538" customFormat="1" ht="12.75" customHeight="1">
      <c r="A347" s="4654">
        <v>4.0999999999999996</v>
      </c>
      <c r="B347" s="4635" t="s">
        <v>4231</v>
      </c>
      <c r="C347" s="4592">
        <v>97.92</v>
      </c>
      <c r="D347" s="4600" t="s">
        <v>2430</v>
      </c>
      <c r="E347" s="5000"/>
      <c r="F347" s="4589">
        <f>ROUND(C347*E347,2)</f>
        <v>0</v>
      </c>
      <c r="G347" s="4555"/>
      <c r="H347" s="4555"/>
      <c r="I347" s="4555"/>
      <c r="J347" s="4555"/>
      <c r="K347" s="4555"/>
      <c r="L347" s="4555"/>
      <c r="M347" s="4555"/>
      <c r="N347" s="4555"/>
      <c r="O347" s="4555"/>
      <c r="P347" s="4555"/>
      <c r="Q347" s="4555"/>
      <c r="R347" s="4555"/>
      <c r="S347" s="4555"/>
      <c r="T347" s="4555"/>
      <c r="U347" s="4555"/>
      <c r="V347" s="4555"/>
      <c r="W347" s="4555"/>
      <c r="X347" s="4555"/>
      <c r="Y347" s="4555"/>
      <c r="Z347" s="4555"/>
      <c r="AA347" s="4555"/>
      <c r="AB347" s="4555"/>
      <c r="AC347" s="4555"/>
      <c r="AD347" s="4555"/>
      <c r="AE347" s="4555"/>
      <c r="AF347" s="4555"/>
      <c r="AG347" s="4555"/>
      <c r="AH347" s="4555"/>
      <c r="AI347" s="4555"/>
      <c r="AJ347" s="4555"/>
      <c r="AK347" s="4555"/>
      <c r="AL347" s="4555"/>
      <c r="AM347" s="4555"/>
      <c r="AN347" s="4555"/>
      <c r="AO347" s="4555"/>
      <c r="AP347" s="4555"/>
      <c r="AQ347" s="4555"/>
      <c r="AR347" s="4555"/>
      <c r="AS347" s="4556"/>
      <c r="AT347" s="4556"/>
      <c r="AU347" s="4556"/>
      <c r="AV347" s="4556"/>
      <c r="AW347" s="4556"/>
      <c r="AX347" s="4556"/>
      <c r="AY347" s="4556"/>
      <c r="AZ347" s="4556"/>
      <c r="BA347" s="4556"/>
      <c r="BB347" s="4556"/>
      <c r="BC347" s="4556"/>
      <c r="BD347" s="4556"/>
      <c r="BE347" s="4556"/>
      <c r="BF347" s="4556"/>
      <c r="BG347" s="4556"/>
      <c r="BH347" s="4556"/>
      <c r="BI347" s="4556"/>
      <c r="BJ347" s="4556"/>
      <c r="BK347" s="4556"/>
      <c r="BL347" s="4556"/>
      <c r="BM347" s="4556"/>
      <c r="BN347" s="4556"/>
      <c r="BO347" s="4556"/>
      <c r="BP347" s="4556"/>
      <c r="BQ347" s="4556"/>
      <c r="BR347" s="4556"/>
      <c r="BS347" s="4556"/>
      <c r="BT347" s="4556"/>
      <c r="BU347" s="4556"/>
      <c r="BV347" s="4556"/>
      <c r="BW347" s="4556"/>
      <c r="BX347" s="4556"/>
      <c r="BY347" s="4556"/>
      <c r="BZ347" s="4556"/>
      <c r="CA347" s="4556"/>
      <c r="CB347" s="4556"/>
      <c r="CC347" s="4556"/>
      <c r="CD347" s="4556"/>
      <c r="CE347" s="4556"/>
      <c r="CF347" s="4556"/>
      <c r="CG347" s="4556"/>
      <c r="CH347" s="4556"/>
      <c r="CI347" s="4556"/>
      <c r="CJ347" s="4556"/>
      <c r="CK347" s="4556"/>
      <c r="CL347" s="4556"/>
      <c r="CM347" s="4556"/>
      <c r="CN347" s="4556"/>
      <c r="CO347" s="4556"/>
      <c r="CP347" s="4556"/>
      <c r="CQ347" s="4556"/>
      <c r="CR347" s="4556"/>
      <c r="CS347" s="4556"/>
      <c r="CT347" s="4556"/>
      <c r="CU347" s="4556"/>
      <c r="CV347" s="4556"/>
      <c r="CW347" s="4556"/>
      <c r="CX347" s="4556"/>
      <c r="CY347" s="4556"/>
      <c r="CZ347" s="4556"/>
      <c r="DA347" s="4556"/>
      <c r="DB347" s="4556"/>
      <c r="DC347" s="4556"/>
      <c r="DD347" s="4556"/>
      <c r="DE347" s="4556"/>
      <c r="DF347" s="4556"/>
      <c r="DG347" s="4556"/>
      <c r="DH347" s="4556"/>
      <c r="DI347" s="4556"/>
      <c r="DJ347" s="4556"/>
      <c r="DK347" s="4556"/>
      <c r="DL347" s="4556"/>
      <c r="DM347" s="4556"/>
      <c r="DN347" s="4556"/>
      <c r="DO347" s="4556"/>
      <c r="DP347" s="4556"/>
      <c r="DQ347" s="4556"/>
      <c r="DR347" s="4556"/>
      <c r="DS347" s="4556"/>
      <c r="DT347" s="4556"/>
      <c r="DU347" s="4556"/>
      <c r="DV347" s="4556"/>
      <c r="DW347" s="4556"/>
      <c r="DX347" s="4556"/>
      <c r="DY347" s="4556"/>
      <c r="DZ347" s="4556"/>
      <c r="EA347" s="4556"/>
      <c r="EB347" s="4556"/>
      <c r="EC347" s="4556"/>
      <c r="ED347" s="4556"/>
      <c r="EE347" s="4556"/>
      <c r="EF347" s="4556"/>
      <c r="EG347" s="4556"/>
      <c r="EH347" s="4556"/>
      <c r="EI347" s="4556"/>
      <c r="EJ347" s="4556"/>
      <c r="EK347" s="4556"/>
      <c r="EL347" s="4556"/>
      <c r="EM347" s="4556"/>
      <c r="EN347" s="4556"/>
      <c r="EO347" s="4556"/>
      <c r="EP347" s="4556"/>
      <c r="EQ347" s="4556"/>
      <c r="ER347" s="4556"/>
      <c r="ES347" s="4556"/>
      <c r="ET347" s="4556"/>
      <c r="EU347" s="4556"/>
      <c r="EV347" s="4556"/>
      <c r="EW347" s="4556"/>
      <c r="EX347" s="4556"/>
      <c r="EY347" s="4556"/>
      <c r="EZ347" s="4556"/>
      <c r="FA347" s="4556"/>
      <c r="FB347" s="4556"/>
      <c r="FC347" s="4556"/>
      <c r="FD347" s="4556"/>
      <c r="FE347" s="4556"/>
      <c r="FF347" s="4556"/>
      <c r="FG347" s="4556"/>
      <c r="FH347" s="4556"/>
      <c r="FI347" s="4556"/>
      <c r="FJ347" s="4556"/>
      <c r="FK347" s="4556"/>
      <c r="FL347" s="4556"/>
      <c r="FM347" s="4556"/>
      <c r="FN347" s="4556"/>
      <c r="FO347" s="4556"/>
      <c r="FP347" s="4556"/>
      <c r="FQ347" s="4556"/>
      <c r="FR347" s="4556"/>
      <c r="FS347" s="4556"/>
      <c r="FT347" s="4556"/>
      <c r="FU347" s="4556"/>
      <c r="FV347" s="4556"/>
      <c r="FW347" s="4556"/>
      <c r="FX347" s="4556"/>
      <c r="FY347" s="4556"/>
      <c r="FZ347" s="4556"/>
      <c r="GA347" s="4556"/>
      <c r="GB347" s="4556"/>
      <c r="GC347" s="4556"/>
      <c r="GD347" s="4556"/>
      <c r="GE347" s="4556"/>
      <c r="GF347" s="4556"/>
      <c r="GG347" s="4556"/>
      <c r="GH347" s="4556"/>
      <c r="GI347" s="4556"/>
      <c r="GJ347" s="4556"/>
      <c r="GK347" s="4556"/>
      <c r="GL347" s="4556"/>
      <c r="GM347" s="4556"/>
      <c r="GN347" s="4556"/>
      <c r="GO347" s="4556"/>
      <c r="GP347" s="4556"/>
      <c r="GQ347" s="4556"/>
      <c r="GR347" s="4556"/>
      <c r="GS347" s="4556"/>
      <c r="GT347" s="4556"/>
      <c r="GU347" s="4556"/>
      <c r="GV347" s="4556"/>
      <c r="GW347" s="4556"/>
      <c r="GX347" s="4556"/>
      <c r="GY347" s="4556"/>
      <c r="GZ347" s="4556"/>
      <c r="HA347" s="4556"/>
      <c r="HB347" s="4556"/>
      <c r="HC347" s="4556"/>
      <c r="HD347" s="4556"/>
      <c r="HE347" s="4556"/>
      <c r="HF347" s="4556"/>
      <c r="HG347" s="4556"/>
      <c r="HH347" s="4556"/>
      <c r="HI347" s="4556"/>
      <c r="HJ347" s="4556"/>
      <c r="HK347" s="4556"/>
      <c r="HL347" s="4556"/>
      <c r="HM347" s="4556"/>
      <c r="HN347" s="4556"/>
      <c r="HO347" s="4556"/>
      <c r="HP347" s="4556"/>
      <c r="HQ347" s="4556"/>
      <c r="HR347" s="4556"/>
      <c r="HS347" s="4556"/>
      <c r="HT347" s="4556"/>
      <c r="HU347" s="4556"/>
      <c r="HV347" s="4556"/>
      <c r="HW347" s="4556"/>
      <c r="HX347" s="4556"/>
      <c r="HY347" s="4556"/>
      <c r="HZ347" s="4556"/>
      <c r="IA347" s="4556"/>
      <c r="IB347" s="4556"/>
      <c r="IC347" s="4556"/>
      <c r="ID347" s="4556"/>
      <c r="IE347" s="4556"/>
    </row>
    <row r="348" spans="1:239" s="4538" customFormat="1" ht="15.75" customHeight="1">
      <c r="A348" s="4654">
        <v>4.2</v>
      </c>
      <c r="B348" s="4635" t="s">
        <v>4232</v>
      </c>
      <c r="C348" s="4659">
        <v>97.92</v>
      </c>
      <c r="D348" s="4600" t="s">
        <v>2430</v>
      </c>
      <c r="E348" s="5000"/>
      <c r="F348" s="4589">
        <f>ROUND(C348*E348,2)</f>
        <v>0</v>
      </c>
      <c r="G348" s="4555"/>
      <c r="H348" s="4555"/>
      <c r="I348" s="4555"/>
      <c r="J348" s="4555"/>
      <c r="K348" s="4555"/>
      <c r="L348" s="4555"/>
      <c r="M348" s="4555"/>
      <c r="N348" s="4555"/>
      <c r="O348" s="4555"/>
      <c r="P348" s="4555"/>
      <c r="Q348" s="4555"/>
      <c r="R348" s="4555"/>
      <c r="S348" s="4555"/>
      <c r="T348" s="4555"/>
      <c r="U348" s="4555"/>
      <c r="V348" s="4555"/>
      <c r="W348" s="4555"/>
      <c r="X348" s="4555"/>
      <c r="Y348" s="4555"/>
      <c r="Z348" s="4555"/>
      <c r="AA348" s="4555"/>
      <c r="AB348" s="4555"/>
      <c r="AC348" s="4555"/>
      <c r="AD348" s="4555"/>
      <c r="AE348" s="4555"/>
      <c r="AF348" s="4555"/>
      <c r="AG348" s="4555"/>
      <c r="AH348" s="4555"/>
      <c r="AI348" s="4555"/>
      <c r="AJ348" s="4555"/>
      <c r="AK348" s="4555"/>
      <c r="AL348" s="4555"/>
      <c r="AM348" s="4555"/>
      <c r="AN348" s="4555"/>
      <c r="AO348" s="4555"/>
      <c r="AP348" s="4555"/>
      <c r="AQ348" s="4555"/>
      <c r="AR348" s="4555"/>
      <c r="AS348" s="4556"/>
      <c r="AT348" s="4556"/>
      <c r="AU348" s="4556"/>
      <c r="AV348" s="4556"/>
      <c r="AW348" s="4556"/>
      <c r="AX348" s="4556"/>
      <c r="AY348" s="4556"/>
      <c r="AZ348" s="4556"/>
      <c r="BA348" s="4556"/>
      <c r="BB348" s="4556"/>
      <c r="BC348" s="4556"/>
      <c r="BD348" s="4556"/>
      <c r="BE348" s="4556"/>
      <c r="BF348" s="4556"/>
      <c r="BG348" s="4556"/>
      <c r="BH348" s="4556"/>
      <c r="BI348" s="4556"/>
      <c r="BJ348" s="4556"/>
      <c r="BK348" s="4556"/>
      <c r="BL348" s="4556"/>
      <c r="BM348" s="4556"/>
      <c r="BN348" s="4556"/>
      <c r="BO348" s="4556"/>
      <c r="BP348" s="4556"/>
      <c r="BQ348" s="4556"/>
      <c r="BR348" s="4556"/>
      <c r="BS348" s="4556"/>
      <c r="BT348" s="4556"/>
      <c r="BU348" s="4556"/>
      <c r="BV348" s="4556"/>
      <c r="BW348" s="4556"/>
      <c r="BX348" s="4556"/>
      <c r="BY348" s="4556"/>
      <c r="BZ348" s="4556"/>
      <c r="CA348" s="4556"/>
      <c r="CB348" s="4556"/>
      <c r="CC348" s="4556"/>
      <c r="CD348" s="4556"/>
      <c r="CE348" s="4556"/>
      <c r="CF348" s="4556"/>
      <c r="CG348" s="4556"/>
      <c r="CH348" s="4556"/>
      <c r="CI348" s="4556"/>
      <c r="CJ348" s="4556"/>
      <c r="CK348" s="4556"/>
      <c r="CL348" s="4556"/>
      <c r="CM348" s="4556"/>
      <c r="CN348" s="4556"/>
      <c r="CO348" s="4556"/>
      <c r="CP348" s="4556"/>
      <c r="CQ348" s="4556"/>
      <c r="CR348" s="4556"/>
      <c r="CS348" s="4556"/>
      <c r="CT348" s="4556"/>
      <c r="CU348" s="4556"/>
      <c r="CV348" s="4556"/>
      <c r="CW348" s="4556"/>
      <c r="CX348" s="4556"/>
      <c r="CY348" s="4556"/>
      <c r="CZ348" s="4556"/>
      <c r="DA348" s="4556"/>
      <c r="DB348" s="4556"/>
      <c r="DC348" s="4556"/>
      <c r="DD348" s="4556"/>
      <c r="DE348" s="4556"/>
      <c r="DF348" s="4556"/>
      <c r="DG348" s="4556"/>
      <c r="DH348" s="4556"/>
      <c r="DI348" s="4556"/>
      <c r="DJ348" s="4556"/>
      <c r="DK348" s="4556"/>
      <c r="DL348" s="4556"/>
      <c r="DM348" s="4556"/>
      <c r="DN348" s="4556"/>
      <c r="DO348" s="4556"/>
      <c r="DP348" s="4556"/>
      <c r="DQ348" s="4556"/>
      <c r="DR348" s="4556"/>
      <c r="DS348" s="4556"/>
      <c r="DT348" s="4556"/>
      <c r="DU348" s="4556"/>
      <c r="DV348" s="4556"/>
      <c r="DW348" s="4556"/>
      <c r="DX348" s="4556"/>
      <c r="DY348" s="4556"/>
      <c r="DZ348" s="4556"/>
      <c r="EA348" s="4556"/>
      <c r="EB348" s="4556"/>
      <c r="EC348" s="4556"/>
      <c r="ED348" s="4556"/>
      <c r="EE348" s="4556"/>
      <c r="EF348" s="4556"/>
      <c r="EG348" s="4556"/>
      <c r="EH348" s="4556"/>
      <c r="EI348" s="4556"/>
      <c r="EJ348" s="4556"/>
      <c r="EK348" s="4556"/>
      <c r="EL348" s="4556"/>
      <c r="EM348" s="4556"/>
      <c r="EN348" s="4556"/>
      <c r="EO348" s="4556"/>
      <c r="EP348" s="4556"/>
      <c r="EQ348" s="4556"/>
      <c r="ER348" s="4556"/>
      <c r="ES348" s="4556"/>
      <c r="ET348" s="4556"/>
      <c r="EU348" s="4556"/>
      <c r="EV348" s="4556"/>
      <c r="EW348" s="4556"/>
      <c r="EX348" s="4556"/>
      <c r="EY348" s="4556"/>
      <c r="EZ348" s="4556"/>
      <c r="FA348" s="4556"/>
      <c r="FB348" s="4556"/>
      <c r="FC348" s="4556"/>
      <c r="FD348" s="4556"/>
      <c r="FE348" s="4556"/>
      <c r="FF348" s="4556"/>
      <c r="FG348" s="4556"/>
      <c r="FH348" s="4556"/>
      <c r="FI348" s="4556"/>
      <c r="FJ348" s="4556"/>
      <c r="FK348" s="4556"/>
      <c r="FL348" s="4556"/>
      <c r="FM348" s="4556"/>
      <c r="FN348" s="4556"/>
      <c r="FO348" s="4556"/>
      <c r="FP348" s="4556"/>
      <c r="FQ348" s="4556"/>
      <c r="FR348" s="4556"/>
      <c r="FS348" s="4556"/>
      <c r="FT348" s="4556"/>
      <c r="FU348" s="4556"/>
      <c r="FV348" s="4556"/>
      <c r="FW348" s="4556"/>
      <c r="FX348" s="4556"/>
      <c r="FY348" s="4556"/>
      <c r="FZ348" s="4556"/>
      <c r="GA348" s="4556"/>
      <c r="GB348" s="4556"/>
      <c r="GC348" s="4556"/>
      <c r="GD348" s="4556"/>
      <c r="GE348" s="4556"/>
      <c r="GF348" s="4556"/>
      <c r="GG348" s="4556"/>
      <c r="GH348" s="4556"/>
      <c r="GI348" s="4556"/>
      <c r="GJ348" s="4556"/>
      <c r="GK348" s="4556"/>
      <c r="GL348" s="4556"/>
      <c r="GM348" s="4556"/>
      <c r="GN348" s="4556"/>
      <c r="GO348" s="4556"/>
      <c r="GP348" s="4556"/>
      <c r="GQ348" s="4556"/>
      <c r="GR348" s="4556"/>
      <c r="GS348" s="4556"/>
      <c r="GT348" s="4556"/>
      <c r="GU348" s="4556"/>
      <c r="GV348" s="4556"/>
      <c r="GW348" s="4556"/>
      <c r="GX348" s="4556"/>
      <c r="GY348" s="4556"/>
      <c r="GZ348" s="4556"/>
      <c r="HA348" s="4556"/>
      <c r="HB348" s="4556"/>
      <c r="HC348" s="4556"/>
      <c r="HD348" s="4556"/>
      <c r="HE348" s="4556"/>
      <c r="HF348" s="4556"/>
      <c r="HG348" s="4556"/>
      <c r="HH348" s="4556"/>
      <c r="HI348" s="4556"/>
      <c r="HJ348" s="4556"/>
      <c r="HK348" s="4556"/>
      <c r="HL348" s="4556"/>
      <c r="HM348" s="4556"/>
      <c r="HN348" s="4556"/>
      <c r="HO348" s="4556"/>
      <c r="HP348" s="4556"/>
      <c r="HQ348" s="4556"/>
      <c r="HR348" s="4556"/>
      <c r="HS348" s="4556"/>
      <c r="HT348" s="4556"/>
      <c r="HU348" s="4556"/>
      <c r="HV348" s="4556"/>
      <c r="HW348" s="4556"/>
      <c r="HX348" s="4556"/>
      <c r="HY348" s="4556"/>
      <c r="HZ348" s="4556"/>
      <c r="IA348" s="4556"/>
      <c r="IB348" s="4556"/>
      <c r="IC348" s="4556"/>
      <c r="ID348" s="4556"/>
      <c r="IE348" s="4556"/>
    </row>
    <row r="349" spans="1:239" s="4538" customFormat="1" ht="15.75" customHeight="1">
      <c r="A349" s="4654">
        <v>4.3</v>
      </c>
      <c r="B349" s="4635" t="s">
        <v>4233</v>
      </c>
      <c r="C349" s="4659">
        <v>93.02</v>
      </c>
      <c r="D349" s="4600" t="s">
        <v>2430</v>
      </c>
      <c r="E349" s="5000"/>
      <c r="F349" s="4589">
        <f>ROUND(C349*E349,2)</f>
        <v>0</v>
      </c>
      <c r="G349" s="4555"/>
      <c r="H349" s="4555"/>
      <c r="I349" s="4555"/>
      <c r="J349" s="4555"/>
      <c r="K349" s="4555"/>
      <c r="L349" s="4555"/>
      <c r="M349" s="4555"/>
      <c r="N349" s="4555"/>
      <c r="O349" s="4555"/>
      <c r="P349" s="4555"/>
      <c r="Q349" s="4555"/>
      <c r="R349" s="4555"/>
      <c r="S349" s="4555"/>
      <c r="T349" s="4555"/>
      <c r="U349" s="4555"/>
      <c r="V349" s="4555"/>
      <c r="W349" s="4555"/>
      <c r="X349" s="4555"/>
      <c r="Y349" s="4555"/>
      <c r="Z349" s="4555"/>
      <c r="AA349" s="4555"/>
      <c r="AB349" s="4555"/>
      <c r="AC349" s="4555"/>
      <c r="AD349" s="4555"/>
      <c r="AE349" s="4555"/>
      <c r="AF349" s="4555"/>
      <c r="AG349" s="4555"/>
      <c r="AH349" s="4555"/>
      <c r="AI349" s="4555"/>
      <c r="AJ349" s="4555"/>
      <c r="AK349" s="4555"/>
      <c r="AL349" s="4555"/>
      <c r="AM349" s="4555"/>
      <c r="AN349" s="4555"/>
      <c r="AO349" s="4555"/>
      <c r="AP349" s="4555"/>
      <c r="AQ349" s="4555"/>
      <c r="AR349" s="4555"/>
      <c r="AS349" s="4556"/>
      <c r="AT349" s="4556"/>
      <c r="AU349" s="4556"/>
      <c r="AV349" s="4556"/>
      <c r="AW349" s="4556"/>
      <c r="AX349" s="4556"/>
      <c r="AY349" s="4556"/>
      <c r="AZ349" s="4556"/>
      <c r="BA349" s="4556"/>
      <c r="BB349" s="4556"/>
      <c r="BC349" s="4556"/>
      <c r="BD349" s="4556"/>
      <c r="BE349" s="4556"/>
      <c r="BF349" s="4556"/>
      <c r="BG349" s="4556"/>
      <c r="BH349" s="4556"/>
      <c r="BI349" s="4556"/>
      <c r="BJ349" s="4556"/>
      <c r="BK349" s="4556"/>
      <c r="BL349" s="4556"/>
      <c r="BM349" s="4556"/>
      <c r="BN349" s="4556"/>
      <c r="BO349" s="4556"/>
      <c r="BP349" s="4556"/>
      <c r="BQ349" s="4556"/>
      <c r="BR349" s="4556"/>
      <c r="BS349" s="4556"/>
      <c r="BT349" s="4556"/>
      <c r="BU349" s="4556"/>
      <c r="BV349" s="4556"/>
      <c r="BW349" s="4556"/>
      <c r="BX349" s="4556"/>
      <c r="BY349" s="4556"/>
      <c r="BZ349" s="4556"/>
      <c r="CA349" s="4556"/>
      <c r="CB349" s="4556"/>
      <c r="CC349" s="4556"/>
      <c r="CD349" s="4556"/>
      <c r="CE349" s="4556"/>
      <c r="CF349" s="4556"/>
      <c r="CG349" s="4556"/>
      <c r="CH349" s="4556"/>
      <c r="CI349" s="4556"/>
      <c r="CJ349" s="4556"/>
      <c r="CK349" s="4556"/>
      <c r="CL349" s="4556"/>
      <c r="CM349" s="4556"/>
      <c r="CN349" s="4556"/>
      <c r="CO349" s="4556"/>
      <c r="CP349" s="4556"/>
      <c r="CQ349" s="4556"/>
      <c r="CR349" s="4556"/>
      <c r="CS349" s="4556"/>
      <c r="CT349" s="4556"/>
      <c r="CU349" s="4556"/>
      <c r="CV349" s="4556"/>
      <c r="CW349" s="4556"/>
      <c r="CX349" s="4556"/>
      <c r="CY349" s="4556"/>
      <c r="CZ349" s="4556"/>
      <c r="DA349" s="4556"/>
      <c r="DB349" s="4556"/>
      <c r="DC349" s="4556"/>
      <c r="DD349" s="4556"/>
      <c r="DE349" s="4556"/>
      <c r="DF349" s="4556"/>
      <c r="DG349" s="4556"/>
      <c r="DH349" s="4556"/>
      <c r="DI349" s="4556"/>
      <c r="DJ349" s="4556"/>
      <c r="DK349" s="4556"/>
      <c r="DL349" s="4556"/>
      <c r="DM349" s="4556"/>
      <c r="DN349" s="4556"/>
      <c r="DO349" s="4556"/>
      <c r="DP349" s="4556"/>
      <c r="DQ349" s="4556"/>
      <c r="DR349" s="4556"/>
      <c r="DS349" s="4556"/>
      <c r="DT349" s="4556"/>
      <c r="DU349" s="4556"/>
      <c r="DV349" s="4556"/>
      <c r="DW349" s="4556"/>
      <c r="DX349" s="4556"/>
      <c r="DY349" s="4556"/>
      <c r="DZ349" s="4556"/>
      <c r="EA349" s="4556"/>
      <c r="EB349" s="4556"/>
      <c r="EC349" s="4556"/>
      <c r="ED349" s="4556"/>
      <c r="EE349" s="4556"/>
      <c r="EF349" s="4556"/>
      <c r="EG349" s="4556"/>
      <c r="EH349" s="4556"/>
      <c r="EI349" s="4556"/>
      <c r="EJ349" s="4556"/>
      <c r="EK349" s="4556"/>
      <c r="EL349" s="4556"/>
      <c r="EM349" s="4556"/>
      <c r="EN349" s="4556"/>
      <c r="EO349" s="4556"/>
      <c r="EP349" s="4556"/>
      <c r="EQ349" s="4556"/>
      <c r="ER349" s="4556"/>
      <c r="ES349" s="4556"/>
      <c r="ET349" s="4556"/>
      <c r="EU349" s="4556"/>
      <c r="EV349" s="4556"/>
      <c r="EW349" s="4556"/>
      <c r="EX349" s="4556"/>
      <c r="EY349" s="4556"/>
      <c r="EZ349" s="4556"/>
      <c r="FA349" s="4556"/>
      <c r="FB349" s="4556"/>
      <c r="FC349" s="4556"/>
      <c r="FD349" s="4556"/>
      <c r="FE349" s="4556"/>
      <c r="FF349" s="4556"/>
      <c r="FG349" s="4556"/>
      <c r="FH349" s="4556"/>
      <c r="FI349" s="4556"/>
      <c r="FJ349" s="4556"/>
      <c r="FK349" s="4556"/>
      <c r="FL349" s="4556"/>
      <c r="FM349" s="4556"/>
      <c r="FN349" s="4556"/>
      <c r="FO349" s="4556"/>
      <c r="FP349" s="4556"/>
      <c r="FQ349" s="4556"/>
      <c r="FR349" s="4556"/>
      <c r="FS349" s="4556"/>
      <c r="FT349" s="4556"/>
      <c r="FU349" s="4556"/>
      <c r="FV349" s="4556"/>
      <c r="FW349" s="4556"/>
      <c r="FX349" s="4556"/>
      <c r="FY349" s="4556"/>
      <c r="FZ349" s="4556"/>
      <c r="GA349" s="4556"/>
      <c r="GB349" s="4556"/>
      <c r="GC349" s="4556"/>
      <c r="GD349" s="4556"/>
      <c r="GE349" s="4556"/>
      <c r="GF349" s="4556"/>
      <c r="GG349" s="4556"/>
      <c r="GH349" s="4556"/>
      <c r="GI349" s="4556"/>
      <c r="GJ349" s="4556"/>
      <c r="GK349" s="4556"/>
      <c r="GL349" s="4556"/>
      <c r="GM349" s="4556"/>
      <c r="GN349" s="4556"/>
      <c r="GO349" s="4556"/>
      <c r="GP349" s="4556"/>
      <c r="GQ349" s="4556"/>
      <c r="GR349" s="4556"/>
      <c r="GS349" s="4556"/>
      <c r="GT349" s="4556"/>
      <c r="GU349" s="4556"/>
      <c r="GV349" s="4556"/>
      <c r="GW349" s="4556"/>
      <c r="GX349" s="4556"/>
      <c r="GY349" s="4556"/>
      <c r="GZ349" s="4556"/>
      <c r="HA349" s="4556"/>
      <c r="HB349" s="4556"/>
      <c r="HC349" s="4556"/>
      <c r="HD349" s="4556"/>
      <c r="HE349" s="4556"/>
      <c r="HF349" s="4556"/>
      <c r="HG349" s="4556"/>
      <c r="HH349" s="4556"/>
      <c r="HI349" s="4556"/>
      <c r="HJ349" s="4556"/>
      <c r="HK349" s="4556"/>
      <c r="HL349" s="4556"/>
      <c r="HM349" s="4556"/>
      <c r="HN349" s="4556"/>
      <c r="HO349" s="4556"/>
      <c r="HP349" s="4556"/>
      <c r="HQ349" s="4556"/>
      <c r="HR349" s="4556"/>
      <c r="HS349" s="4556"/>
      <c r="HT349" s="4556"/>
      <c r="HU349" s="4556"/>
      <c r="HV349" s="4556"/>
      <c r="HW349" s="4556"/>
      <c r="HX349" s="4556"/>
      <c r="HY349" s="4556"/>
      <c r="HZ349" s="4556"/>
      <c r="IA349" s="4556"/>
      <c r="IB349" s="4556"/>
      <c r="IC349" s="4556"/>
      <c r="ID349" s="4556"/>
      <c r="IE349" s="4556"/>
    </row>
    <row r="350" spans="1:239" s="4538" customFormat="1" ht="12.75" customHeight="1">
      <c r="A350" s="4654">
        <v>4.4000000000000004</v>
      </c>
      <c r="B350" s="4635" t="s">
        <v>4234</v>
      </c>
      <c r="C350" s="4659">
        <v>102</v>
      </c>
      <c r="D350" s="4775" t="s">
        <v>1</v>
      </c>
      <c r="E350" s="5006"/>
      <c r="F350" s="4589">
        <f>ROUND(C350*E350,2)</f>
        <v>0</v>
      </c>
      <c r="G350" s="4555"/>
      <c r="H350" s="4555"/>
      <c r="I350" s="4555"/>
      <c r="J350" s="4555"/>
      <c r="K350" s="4555"/>
      <c r="L350" s="4555"/>
      <c r="M350" s="4555"/>
      <c r="N350" s="4555"/>
      <c r="O350" s="4555"/>
      <c r="P350" s="4555"/>
      <c r="Q350" s="4555"/>
      <c r="R350" s="4555"/>
      <c r="S350" s="4555"/>
      <c r="T350" s="4555"/>
      <c r="U350" s="4555"/>
      <c r="V350" s="4555"/>
      <c r="W350" s="4555"/>
      <c r="X350" s="4555"/>
      <c r="Y350" s="4555"/>
      <c r="Z350" s="4555"/>
      <c r="AA350" s="4555"/>
      <c r="AB350" s="4555"/>
      <c r="AC350" s="4555"/>
      <c r="AD350" s="4555"/>
      <c r="AE350" s="4555"/>
      <c r="AF350" s="4555"/>
      <c r="AG350" s="4555"/>
      <c r="AH350" s="4555"/>
      <c r="AI350" s="4555"/>
      <c r="AJ350" s="4555"/>
      <c r="AK350" s="4555"/>
      <c r="AL350" s="4555"/>
      <c r="AM350" s="4555"/>
      <c r="AN350" s="4555"/>
      <c r="AO350" s="4555"/>
      <c r="AP350" s="4555"/>
      <c r="AQ350" s="4555"/>
      <c r="AR350" s="4555"/>
      <c r="AS350" s="4556"/>
      <c r="AT350" s="4556"/>
      <c r="AU350" s="4556"/>
      <c r="AV350" s="4556"/>
      <c r="AW350" s="4556"/>
      <c r="AX350" s="4556"/>
      <c r="AY350" s="4556"/>
      <c r="AZ350" s="4556"/>
      <c r="BA350" s="4556"/>
      <c r="BB350" s="4556"/>
      <c r="BC350" s="4556"/>
      <c r="BD350" s="4556"/>
      <c r="BE350" s="4556"/>
      <c r="BF350" s="4556"/>
      <c r="BG350" s="4556"/>
      <c r="BH350" s="4556"/>
      <c r="BI350" s="4556"/>
      <c r="BJ350" s="4556"/>
      <c r="BK350" s="4556"/>
      <c r="BL350" s="4556"/>
      <c r="BM350" s="4556"/>
      <c r="BN350" s="4556"/>
      <c r="BO350" s="4556"/>
      <c r="BP350" s="4556"/>
      <c r="BQ350" s="4556"/>
      <c r="BR350" s="4556"/>
      <c r="BS350" s="4556"/>
      <c r="BT350" s="4556"/>
      <c r="BU350" s="4556"/>
      <c r="BV350" s="4556"/>
      <c r="BW350" s="4556"/>
      <c r="BX350" s="4556"/>
      <c r="BY350" s="4556"/>
      <c r="BZ350" s="4556"/>
      <c r="CA350" s="4556"/>
      <c r="CB350" s="4556"/>
      <c r="CC350" s="4556"/>
      <c r="CD350" s="4556"/>
      <c r="CE350" s="4556"/>
      <c r="CF350" s="4556"/>
      <c r="CG350" s="4556"/>
      <c r="CH350" s="4556"/>
      <c r="CI350" s="4556"/>
      <c r="CJ350" s="4556"/>
      <c r="CK350" s="4556"/>
      <c r="CL350" s="4556"/>
      <c r="CM350" s="4556"/>
      <c r="CN350" s="4556"/>
      <c r="CO350" s="4556"/>
      <c r="CP350" s="4556"/>
      <c r="CQ350" s="4556"/>
      <c r="CR350" s="4556"/>
      <c r="CS350" s="4556"/>
      <c r="CT350" s="4556"/>
      <c r="CU350" s="4556"/>
      <c r="CV350" s="4556"/>
      <c r="CW350" s="4556"/>
      <c r="CX350" s="4556"/>
      <c r="CY350" s="4556"/>
      <c r="CZ350" s="4556"/>
      <c r="DA350" s="4556"/>
      <c r="DB350" s="4556"/>
      <c r="DC350" s="4556"/>
      <c r="DD350" s="4556"/>
      <c r="DE350" s="4556"/>
      <c r="DF350" s="4556"/>
      <c r="DG350" s="4556"/>
      <c r="DH350" s="4556"/>
      <c r="DI350" s="4556"/>
      <c r="DJ350" s="4556"/>
      <c r="DK350" s="4556"/>
      <c r="DL350" s="4556"/>
      <c r="DM350" s="4556"/>
      <c r="DN350" s="4556"/>
      <c r="DO350" s="4556"/>
      <c r="DP350" s="4556"/>
      <c r="DQ350" s="4556"/>
      <c r="DR350" s="4556"/>
      <c r="DS350" s="4556"/>
      <c r="DT350" s="4556"/>
      <c r="DU350" s="4556"/>
      <c r="DV350" s="4556"/>
      <c r="DW350" s="4556"/>
      <c r="DX350" s="4556"/>
      <c r="DY350" s="4556"/>
      <c r="DZ350" s="4556"/>
      <c r="EA350" s="4556"/>
      <c r="EB350" s="4556"/>
      <c r="EC350" s="4556"/>
      <c r="ED350" s="4556"/>
      <c r="EE350" s="4556"/>
      <c r="EF350" s="4556"/>
      <c r="EG350" s="4556"/>
      <c r="EH350" s="4556"/>
      <c r="EI350" s="4556"/>
      <c r="EJ350" s="4556"/>
      <c r="EK350" s="4556"/>
      <c r="EL350" s="4556"/>
      <c r="EM350" s="4556"/>
      <c r="EN350" s="4556"/>
      <c r="EO350" s="4556"/>
      <c r="EP350" s="4556"/>
      <c r="EQ350" s="4556"/>
      <c r="ER350" s="4556"/>
      <c r="ES350" s="4556"/>
      <c r="ET350" s="4556"/>
      <c r="EU350" s="4556"/>
      <c r="EV350" s="4556"/>
      <c r="EW350" s="4556"/>
      <c r="EX350" s="4556"/>
      <c r="EY350" s="4556"/>
      <c r="EZ350" s="4556"/>
      <c r="FA350" s="4556"/>
      <c r="FB350" s="4556"/>
      <c r="FC350" s="4556"/>
      <c r="FD350" s="4556"/>
      <c r="FE350" s="4556"/>
      <c r="FF350" s="4556"/>
      <c r="FG350" s="4556"/>
      <c r="FH350" s="4556"/>
      <c r="FI350" s="4556"/>
      <c r="FJ350" s="4556"/>
      <c r="FK350" s="4556"/>
      <c r="FL350" s="4556"/>
      <c r="FM350" s="4556"/>
      <c r="FN350" s="4556"/>
      <c r="FO350" s="4556"/>
      <c r="FP350" s="4556"/>
      <c r="FQ350" s="4556"/>
      <c r="FR350" s="4556"/>
      <c r="FS350" s="4556"/>
      <c r="FT350" s="4556"/>
      <c r="FU350" s="4556"/>
      <c r="FV350" s="4556"/>
      <c r="FW350" s="4556"/>
      <c r="FX350" s="4556"/>
      <c r="FY350" s="4556"/>
      <c r="FZ350" s="4556"/>
      <c r="GA350" s="4556"/>
      <c r="GB350" s="4556"/>
      <c r="GC350" s="4556"/>
      <c r="GD350" s="4556"/>
      <c r="GE350" s="4556"/>
      <c r="GF350" s="4556"/>
      <c r="GG350" s="4556"/>
      <c r="GH350" s="4556"/>
      <c r="GI350" s="4556"/>
      <c r="GJ350" s="4556"/>
      <c r="GK350" s="4556"/>
      <c r="GL350" s="4556"/>
      <c r="GM350" s="4556"/>
      <c r="GN350" s="4556"/>
      <c r="GO350" s="4556"/>
      <c r="GP350" s="4556"/>
      <c r="GQ350" s="4556"/>
      <c r="GR350" s="4556"/>
      <c r="GS350" s="4556"/>
      <c r="GT350" s="4556"/>
      <c r="GU350" s="4556"/>
      <c r="GV350" s="4556"/>
      <c r="GW350" s="4556"/>
      <c r="GX350" s="4556"/>
      <c r="GY350" s="4556"/>
      <c r="GZ350" s="4556"/>
      <c r="HA350" s="4556"/>
      <c r="HB350" s="4556"/>
      <c r="HC350" s="4556"/>
      <c r="HD350" s="4556"/>
      <c r="HE350" s="4556"/>
      <c r="HF350" s="4556"/>
      <c r="HG350" s="4556"/>
      <c r="HH350" s="4556"/>
      <c r="HI350" s="4556"/>
      <c r="HJ350" s="4556"/>
      <c r="HK350" s="4556"/>
      <c r="HL350" s="4556"/>
      <c r="HM350" s="4556"/>
      <c r="HN350" s="4556"/>
      <c r="HO350" s="4556"/>
      <c r="HP350" s="4556"/>
      <c r="HQ350" s="4556"/>
      <c r="HR350" s="4556"/>
      <c r="HS350" s="4556"/>
      <c r="HT350" s="4556"/>
      <c r="HU350" s="4556"/>
      <c r="HV350" s="4556"/>
      <c r="HW350" s="4556"/>
      <c r="HX350" s="4556"/>
      <c r="HY350" s="4556"/>
      <c r="HZ350" s="4556"/>
      <c r="IA350" s="4556"/>
      <c r="IB350" s="4556"/>
      <c r="IC350" s="4556"/>
      <c r="ID350" s="4556"/>
      <c r="IE350" s="4556"/>
    </row>
    <row r="351" spans="1:239" s="4538" customFormat="1" ht="8.25" customHeight="1">
      <c r="A351" s="4654"/>
      <c r="B351" s="4638"/>
      <c r="C351" s="4659"/>
      <c r="D351" s="4775"/>
      <c r="E351" s="5006"/>
      <c r="F351" s="4589"/>
      <c r="G351" s="4555"/>
      <c r="H351" s="4555"/>
      <c r="I351" s="4555"/>
      <c r="J351" s="4555"/>
      <c r="K351" s="4555"/>
      <c r="L351" s="4555"/>
      <c r="M351" s="4555"/>
      <c r="N351" s="4555"/>
      <c r="O351" s="4555"/>
      <c r="P351" s="4555"/>
      <c r="Q351" s="4555"/>
      <c r="R351" s="4555"/>
      <c r="S351" s="4555"/>
      <c r="T351" s="4555"/>
      <c r="U351" s="4555"/>
      <c r="V351" s="4555"/>
      <c r="W351" s="4555"/>
      <c r="X351" s="4555"/>
      <c r="Y351" s="4555"/>
      <c r="Z351" s="4555"/>
      <c r="AA351" s="4555"/>
      <c r="AB351" s="4555"/>
      <c r="AC351" s="4555"/>
      <c r="AD351" s="4555"/>
      <c r="AE351" s="4555"/>
      <c r="AF351" s="4555"/>
      <c r="AG351" s="4555"/>
      <c r="AH351" s="4555"/>
      <c r="AI351" s="4555"/>
      <c r="AJ351" s="4555"/>
      <c r="AK351" s="4555"/>
      <c r="AL351" s="4555"/>
      <c r="AM351" s="4555"/>
      <c r="AN351" s="4555"/>
      <c r="AO351" s="4555"/>
      <c r="AP351" s="4555"/>
      <c r="AQ351" s="4555"/>
      <c r="AR351" s="4555"/>
      <c r="AS351" s="4556"/>
      <c r="AT351" s="4556"/>
      <c r="AU351" s="4556"/>
      <c r="AV351" s="4556"/>
      <c r="AW351" s="4556"/>
      <c r="AX351" s="4556"/>
      <c r="AY351" s="4556"/>
      <c r="AZ351" s="4556"/>
      <c r="BA351" s="4556"/>
      <c r="BB351" s="4556"/>
      <c r="BC351" s="4556"/>
      <c r="BD351" s="4556"/>
      <c r="BE351" s="4556"/>
      <c r="BF351" s="4556"/>
      <c r="BG351" s="4556"/>
      <c r="BH351" s="4556"/>
      <c r="BI351" s="4556"/>
      <c r="BJ351" s="4556"/>
      <c r="BK351" s="4556"/>
      <c r="BL351" s="4556"/>
      <c r="BM351" s="4556"/>
      <c r="BN351" s="4556"/>
      <c r="BO351" s="4556"/>
      <c r="BP351" s="4556"/>
      <c r="BQ351" s="4556"/>
      <c r="BR351" s="4556"/>
      <c r="BS351" s="4556"/>
      <c r="BT351" s="4556"/>
      <c r="BU351" s="4556"/>
      <c r="BV351" s="4556"/>
      <c r="BW351" s="4556"/>
      <c r="BX351" s="4556"/>
      <c r="BY351" s="4556"/>
      <c r="BZ351" s="4556"/>
      <c r="CA351" s="4556"/>
      <c r="CB351" s="4556"/>
      <c r="CC351" s="4556"/>
      <c r="CD351" s="4556"/>
      <c r="CE351" s="4556"/>
      <c r="CF351" s="4556"/>
      <c r="CG351" s="4556"/>
      <c r="CH351" s="4556"/>
      <c r="CI351" s="4556"/>
      <c r="CJ351" s="4556"/>
      <c r="CK351" s="4556"/>
      <c r="CL351" s="4556"/>
      <c r="CM351" s="4556"/>
      <c r="CN351" s="4556"/>
      <c r="CO351" s="4556"/>
      <c r="CP351" s="4556"/>
      <c r="CQ351" s="4556"/>
      <c r="CR351" s="4556"/>
      <c r="CS351" s="4556"/>
      <c r="CT351" s="4556"/>
      <c r="CU351" s="4556"/>
      <c r="CV351" s="4556"/>
      <c r="CW351" s="4556"/>
      <c r="CX351" s="4556"/>
      <c r="CY351" s="4556"/>
      <c r="CZ351" s="4556"/>
      <c r="DA351" s="4556"/>
      <c r="DB351" s="4556"/>
      <c r="DC351" s="4556"/>
      <c r="DD351" s="4556"/>
      <c r="DE351" s="4556"/>
      <c r="DF351" s="4556"/>
      <c r="DG351" s="4556"/>
      <c r="DH351" s="4556"/>
      <c r="DI351" s="4556"/>
      <c r="DJ351" s="4556"/>
      <c r="DK351" s="4556"/>
      <c r="DL351" s="4556"/>
      <c r="DM351" s="4556"/>
      <c r="DN351" s="4556"/>
      <c r="DO351" s="4556"/>
      <c r="DP351" s="4556"/>
      <c r="DQ351" s="4556"/>
      <c r="DR351" s="4556"/>
      <c r="DS351" s="4556"/>
      <c r="DT351" s="4556"/>
      <c r="DU351" s="4556"/>
      <c r="DV351" s="4556"/>
      <c r="DW351" s="4556"/>
      <c r="DX351" s="4556"/>
      <c r="DY351" s="4556"/>
      <c r="DZ351" s="4556"/>
      <c r="EA351" s="4556"/>
      <c r="EB351" s="4556"/>
      <c r="EC351" s="4556"/>
      <c r="ED351" s="4556"/>
      <c r="EE351" s="4556"/>
      <c r="EF351" s="4556"/>
      <c r="EG351" s="4556"/>
      <c r="EH351" s="4556"/>
      <c r="EI351" s="4556"/>
      <c r="EJ351" s="4556"/>
      <c r="EK351" s="4556"/>
      <c r="EL351" s="4556"/>
      <c r="EM351" s="4556"/>
      <c r="EN351" s="4556"/>
      <c r="EO351" s="4556"/>
      <c r="EP351" s="4556"/>
      <c r="EQ351" s="4556"/>
      <c r="ER351" s="4556"/>
      <c r="ES351" s="4556"/>
      <c r="ET351" s="4556"/>
      <c r="EU351" s="4556"/>
      <c r="EV351" s="4556"/>
      <c r="EW351" s="4556"/>
      <c r="EX351" s="4556"/>
      <c r="EY351" s="4556"/>
      <c r="EZ351" s="4556"/>
      <c r="FA351" s="4556"/>
      <c r="FB351" s="4556"/>
      <c r="FC351" s="4556"/>
      <c r="FD351" s="4556"/>
      <c r="FE351" s="4556"/>
      <c r="FF351" s="4556"/>
      <c r="FG351" s="4556"/>
      <c r="FH351" s="4556"/>
      <c r="FI351" s="4556"/>
      <c r="FJ351" s="4556"/>
      <c r="FK351" s="4556"/>
      <c r="FL351" s="4556"/>
      <c r="FM351" s="4556"/>
      <c r="FN351" s="4556"/>
      <c r="FO351" s="4556"/>
      <c r="FP351" s="4556"/>
      <c r="FQ351" s="4556"/>
      <c r="FR351" s="4556"/>
      <c r="FS351" s="4556"/>
      <c r="FT351" s="4556"/>
      <c r="FU351" s="4556"/>
      <c r="FV351" s="4556"/>
      <c r="FW351" s="4556"/>
      <c r="FX351" s="4556"/>
      <c r="FY351" s="4556"/>
      <c r="FZ351" s="4556"/>
      <c r="GA351" s="4556"/>
      <c r="GB351" s="4556"/>
      <c r="GC351" s="4556"/>
      <c r="GD351" s="4556"/>
      <c r="GE351" s="4556"/>
      <c r="GF351" s="4556"/>
      <c r="GG351" s="4556"/>
      <c r="GH351" s="4556"/>
      <c r="GI351" s="4556"/>
      <c r="GJ351" s="4556"/>
      <c r="GK351" s="4556"/>
      <c r="GL351" s="4556"/>
      <c r="GM351" s="4556"/>
      <c r="GN351" s="4556"/>
      <c r="GO351" s="4556"/>
      <c r="GP351" s="4556"/>
      <c r="GQ351" s="4556"/>
      <c r="GR351" s="4556"/>
      <c r="GS351" s="4556"/>
      <c r="GT351" s="4556"/>
      <c r="GU351" s="4556"/>
      <c r="GV351" s="4556"/>
      <c r="GW351" s="4556"/>
      <c r="GX351" s="4556"/>
      <c r="GY351" s="4556"/>
      <c r="GZ351" s="4556"/>
      <c r="HA351" s="4556"/>
      <c r="HB351" s="4556"/>
      <c r="HC351" s="4556"/>
      <c r="HD351" s="4556"/>
      <c r="HE351" s="4556"/>
      <c r="HF351" s="4556"/>
      <c r="HG351" s="4556"/>
      <c r="HH351" s="4556"/>
      <c r="HI351" s="4556"/>
      <c r="HJ351" s="4556"/>
      <c r="HK351" s="4556"/>
      <c r="HL351" s="4556"/>
      <c r="HM351" s="4556"/>
      <c r="HN351" s="4556"/>
      <c r="HO351" s="4556"/>
      <c r="HP351" s="4556"/>
      <c r="HQ351" s="4556"/>
      <c r="HR351" s="4556"/>
      <c r="HS351" s="4556"/>
      <c r="HT351" s="4556"/>
      <c r="HU351" s="4556"/>
      <c r="HV351" s="4556"/>
      <c r="HW351" s="4556"/>
      <c r="HX351" s="4556"/>
      <c r="HY351" s="4556"/>
      <c r="HZ351" s="4556"/>
      <c r="IA351" s="4556"/>
      <c r="IB351" s="4556"/>
      <c r="IC351" s="4556"/>
      <c r="ID351" s="4556"/>
      <c r="IE351" s="4556"/>
    </row>
    <row r="352" spans="1:239" s="4538" customFormat="1" ht="13.5" customHeight="1">
      <c r="A352" s="4680">
        <v>5</v>
      </c>
      <c r="B352" s="4637" t="s">
        <v>4235</v>
      </c>
      <c r="C352" s="4592"/>
      <c r="D352" s="4775"/>
      <c r="E352" s="5006"/>
      <c r="F352" s="4589"/>
      <c r="G352" s="4555"/>
      <c r="H352" s="4555"/>
      <c r="I352" s="4555"/>
      <c r="J352" s="4555"/>
      <c r="K352" s="4555"/>
      <c r="L352" s="4555"/>
      <c r="M352" s="4555"/>
      <c r="N352" s="4555"/>
      <c r="O352" s="4555"/>
      <c r="P352" s="4555"/>
      <c r="Q352" s="4555"/>
      <c r="R352" s="4555"/>
      <c r="S352" s="4555"/>
      <c r="T352" s="4555"/>
      <c r="U352" s="4555"/>
      <c r="V352" s="4555"/>
      <c r="W352" s="4555"/>
      <c r="X352" s="4555"/>
      <c r="Y352" s="4555"/>
      <c r="Z352" s="4555"/>
      <c r="AA352" s="4555"/>
      <c r="AB352" s="4555"/>
      <c r="AC352" s="4555"/>
      <c r="AD352" s="4555"/>
      <c r="AE352" s="4555"/>
      <c r="AF352" s="4555"/>
      <c r="AG352" s="4555"/>
      <c r="AH352" s="4555"/>
      <c r="AI352" s="4555"/>
      <c r="AJ352" s="4555"/>
      <c r="AK352" s="4555"/>
      <c r="AL352" s="4555"/>
      <c r="AM352" s="4555"/>
      <c r="AN352" s="4555"/>
      <c r="AO352" s="4555"/>
      <c r="AP352" s="4555"/>
      <c r="AQ352" s="4555"/>
      <c r="AR352" s="4555"/>
      <c r="AS352" s="4556"/>
      <c r="AT352" s="4556"/>
      <c r="AU352" s="4556"/>
      <c r="AV352" s="4556"/>
      <c r="AW352" s="4556"/>
      <c r="AX352" s="4556"/>
      <c r="AY352" s="4556"/>
      <c r="AZ352" s="4556"/>
      <c r="BA352" s="4556"/>
      <c r="BB352" s="4556"/>
      <c r="BC352" s="4556"/>
      <c r="BD352" s="4556"/>
      <c r="BE352" s="4556"/>
      <c r="BF352" s="4556"/>
      <c r="BG352" s="4556"/>
      <c r="BH352" s="4556"/>
      <c r="BI352" s="4556"/>
      <c r="BJ352" s="4556"/>
      <c r="BK352" s="4556"/>
      <c r="BL352" s="4556"/>
      <c r="BM352" s="4556"/>
      <c r="BN352" s="4556"/>
      <c r="BO352" s="4556"/>
      <c r="BP352" s="4556"/>
      <c r="BQ352" s="4556"/>
      <c r="BR352" s="4556"/>
      <c r="BS352" s="4556"/>
      <c r="BT352" s="4556"/>
      <c r="BU352" s="4556"/>
      <c r="BV352" s="4556"/>
      <c r="BW352" s="4556"/>
      <c r="BX352" s="4556"/>
      <c r="BY352" s="4556"/>
      <c r="BZ352" s="4556"/>
      <c r="CA352" s="4556"/>
      <c r="CB352" s="4556"/>
      <c r="CC352" s="4556"/>
      <c r="CD352" s="4556"/>
      <c r="CE352" s="4556"/>
      <c r="CF352" s="4556"/>
      <c r="CG352" s="4556"/>
      <c r="CH352" s="4556"/>
      <c r="CI352" s="4556"/>
      <c r="CJ352" s="4556"/>
      <c r="CK352" s="4556"/>
      <c r="CL352" s="4556"/>
      <c r="CM352" s="4556"/>
      <c r="CN352" s="4556"/>
      <c r="CO352" s="4556"/>
      <c r="CP352" s="4556"/>
      <c r="CQ352" s="4556"/>
      <c r="CR352" s="4556"/>
      <c r="CS352" s="4556"/>
      <c r="CT352" s="4556"/>
      <c r="CU352" s="4556"/>
      <c r="CV352" s="4556"/>
      <c r="CW352" s="4556"/>
      <c r="CX352" s="4556"/>
      <c r="CY352" s="4556"/>
      <c r="CZ352" s="4556"/>
      <c r="DA352" s="4556"/>
      <c r="DB352" s="4556"/>
      <c r="DC352" s="4556"/>
      <c r="DD352" s="4556"/>
      <c r="DE352" s="4556"/>
      <c r="DF352" s="4556"/>
      <c r="DG352" s="4556"/>
      <c r="DH352" s="4556"/>
      <c r="DI352" s="4556"/>
      <c r="DJ352" s="4556"/>
      <c r="DK352" s="4556"/>
      <c r="DL352" s="4556"/>
      <c r="DM352" s="4556"/>
      <c r="DN352" s="4556"/>
      <c r="DO352" s="4556"/>
      <c r="DP352" s="4556"/>
      <c r="DQ352" s="4556"/>
      <c r="DR352" s="4556"/>
      <c r="DS352" s="4556"/>
      <c r="DT352" s="4556"/>
      <c r="DU352" s="4556"/>
      <c r="DV352" s="4556"/>
      <c r="DW352" s="4556"/>
      <c r="DX352" s="4556"/>
      <c r="DY352" s="4556"/>
      <c r="DZ352" s="4556"/>
      <c r="EA352" s="4556"/>
      <c r="EB352" s="4556"/>
      <c r="EC352" s="4556"/>
      <c r="ED352" s="4556"/>
      <c r="EE352" s="4556"/>
      <c r="EF352" s="4556"/>
      <c r="EG352" s="4556"/>
      <c r="EH352" s="4556"/>
      <c r="EI352" s="4556"/>
      <c r="EJ352" s="4556"/>
      <c r="EK352" s="4556"/>
      <c r="EL352" s="4556"/>
      <c r="EM352" s="4556"/>
      <c r="EN352" s="4556"/>
      <c r="EO352" s="4556"/>
      <c r="EP352" s="4556"/>
      <c r="EQ352" s="4556"/>
      <c r="ER352" s="4556"/>
      <c r="ES352" s="4556"/>
      <c r="ET352" s="4556"/>
      <c r="EU352" s="4556"/>
      <c r="EV352" s="4556"/>
      <c r="EW352" s="4556"/>
      <c r="EX352" s="4556"/>
      <c r="EY352" s="4556"/>
      <c r="EZ352" s="4556"/>
      <c r="FA352" s="4556"/>
      <c r="FB352" s="4556"/>
      <c r="FC352" s="4556"/>
      <c r="FD352" s="4556"/>
      <c r="FE352" s="4556"/>
      <c r="FF352" s="4556"/>
      <c r="FG352" s="4556"/>
      <c r="FH352" s="4556"/>
      <c r="FI352" s="4556"/>
      <c r="FJ352" s="4556"/>
      <c r="FK352" s="4556"/>
      <c r="FL352" s="4556"/>
      <c r="FM352" s="4556"/>
      <c r="FN352" s="4556"/>
      <c r="FO352" s="4556"/>
      <c r="FP352" s="4556"/>
      <c r="FQ352" s="4556"/>
      <c r="FR352" s="4556"/>
      <c r="FS352" s="4556"/>
      <c r="FT352" s="4556"/>
      <c r="FU352" s="4556"/>
      <c r="FV352" s="4556"/>
      <c r="FW352" s="4556"/>
      <c r="FX352" s="4556"/>
      <c r="FY352" s="4556"/>
      <c r="FZ352" s="4556"/>
      <c r="GA352" s="4556"/>
      <c r="GB352" s="4556"/>
      <c r="GC352" s="4556"/>
      <c r="GD352" s="4556"/>
      <c r="GE352" s="4556"/>
      <c r="GF352" s="4556"/>
      <c r="GG352" s="4556"/>
      <c r="GH352" s="4556"/>
      <c r="GI352" s="4556"/>
      <c r="GJ352" s="4556"/>
      <c r="GK352" s="4556"/>
      <c r="GL352" s="4556"/>
      <c r="GM352" s="4556"/>
      <c r="GN352" s="4556"/>
      <c r="GO352" s="4556"/>
      <c r="GP352" s="4556"/>
      <c r="GQ352" s="4556"/>
      <c r="GR352" s="4556"/>
      <c r="GS352" s="4556"/>
      <c r="GT352" s="4556"/>
      <c r="GU352" s="4556"/>
      <c r="GV352" s="4556"/>
      <c r="GW352" s="4556"/>
      <c r="GX352" s="4556"/>
      <c r="GY352" s="4556"/>
      <c r="GZ352" s="4556"/>
      <c r="HA352" s="4556"/>
      <c r="HB352" s="4556"/>
      <c r="HC352" s="4556"/>
      <c r="HD352" s="4556"/>
      <c r="HE352" s="4556"/>
      <c r="HF352" s="4556"/>
      <c r="HG352" s="4556"/>
      <c r="HH352" s="4556"/>
      <c r="HI352" s="4556"/>
      <c r="HJ352" s="4556"/>
      <c r="HK352" s="4556"/>
      <c r="HL352" s="4556"/>
      <c r="HM352" s="4556"/>
      <c r="HN352" s="4556"/>
      <c r="HO352" s="4556"/>
      <c r="HP352" s="4556"/>
      <c r="HQ352" s="4556"/>
      <c r="HR352" s="4556"/>
      <c r="HS352" s="4556"/>
      <c r="HT352" s="4556"/>
      <c r="HU352" s="4556"/>
      <c r="HV352" s="4556"/>
      <c r="HW352" s="4556"/>
      <c r="HX352" s="4556"/>
      <c r="HY352" s="4556"/>
      <c r="HZ352" s="4556"/>
      <c r="IA352" s="4556"/>
      <c r="IB352" s="4556"/>
      <c r="IC352" s="4556"/>
      <c r="ID352" s="4556"/>
      <c r="IE352" s="4556"/>
    </row>
    <row r="353" spans="1:239" s="4538" customFormat="1" ht="15.75" customHeight="1">
      <c r="A353" s="4654">
        <v>5.0999999999999996</v>
      </c>
      <c r="B353" s="4635" t="s">
        <v>4063</v>
      </c>
      <c r="C353" s="4773">
        <v>102</v>
      </c>
      <c r="D353" s="4774" t="s">
        <v>1</v>
      </c>
      <c r="E353" s="5006"/>
      <c r="F353" s="4589">
        <f>ROUND(C353*E353,2)</f>
        <v>0</v>
      </c>
      <c r="G353" s="4555"/>
      <c r="H353" s="4555"/>
      <c r="I353" s="4555"/>
      <c r="J353" s="4555"/>
      <c r="K353" s="4555"/>
      <c r="L353" s="4555"/>
      <c r="M353" s="4555"/>
      <c r="N353" s="4555"/>
      <c r="O353" s="4555"/>
      <c r="P353" s="4555"/>
      <c r="Q353" s="4555"/>
      <c r="R353" s="4555"/>
      <c r="S353" s="4555"/>
      <c r="T353" s="4555"/>
      <c r="U353" s="4555"/>
      <c r="V353" s="4555"/>
      <c r="W353" s="4555"/>
      <c r="X353" s="4555"/>
      <c r="Y353" s="4555"/>
      <c r="Z353" s="4555"/>
      <c r="AA353" s="4555"/>
      <c r="AB353" s="4555"/>
      <c r="AC353" s="4555"/>
      <c r="AD353" s="4555"/>
      <c r="AE353" s="4555"/>
      <c r="AF353" s="4555"/>
      <c r="AG353" s="4555"/>
      <c r="AH353" s="4555"/>
      <c r="AI353" s="4555"/>
      <c r="AJ353" s="4555"/>
      <c r="AK353" s="4555"/>
      <c r="AL353" s="4555"/>
      <c r="AM353" s="4555"/>
      <c r="AN353" s="4555"/>
      <c r="AO353" s="4555"/>
      <c r="AP353" s="4555"/>
      <c r="AQ353" s="4555"/>
      <c r="AR353" s="4555"/>
      <c r="AS353" s="4556"/>
      <c r="AT353" s="4556"/>
      <c r="AU353" s="4556"/>
      <c r="AV353" s="4556"/>
      <c r="AW353" s="4556"/>
      <c r="AX353" s="4556"/>
      <c r="AY353" s="4556"/>
      <c r="AZ353" s="4556"/>
      <c r="BA353" s="4556"/>
      <c r="BB353" s="4556"/>
      <c r="BC353" s="4556"/>
      <c r="BD353" s="4556"/>
      <c r="BE353" s="4556"/>
      <c r="BF353" s="4556"/>
      <c r="BG353" s="4556"/>
      <c r="BH353" s="4556"/>
      <c r="BI353" s="4556"/>
      <c r="BJ353" s="4556"/>
      <c r="BK353" s="4556"/>
      <c r="BL353" s="4556"/>
      <c r="BM353" s="4556"/>
      <c r="BN353" s="4556"/>
      <c r="BO353" s="4556"/>
      <c r="BP353" s="4556"/>
      <c r="BQ353" s="4556"/>
      <c r="BR353" s="4556"/>
      <c r="BS353" s="4556"/>
      <c r="BT353" s="4556"/>
      <c r="BU353" s="4556"/>
      <c r="BV353" s="4556"/>
      <c r="BW353" s="4556"/>
      <c r="BX353" s="4556"/>
      <c r="BY353" s="4556"/>
      <c r="BZ353" s="4556"/>
      <c r="CA353" s="4556"/>
      <c r="CB353" s="4556"/>
      <c r="CC353" s="4556"/>
      <c r="CD353" s="4556"/>
      <c r="CE353" s="4556"/>
      <c r="CF353" s="4556"/>
      <c r="CG353" s="4556"/>
      <c r="CH353" s="4556"/>
      <c r="CI353" s="4556"/>
      <c r="CJ353" s="4556"/>
      <c r="CK353" s="4556"/>
      <c r="CL353" s="4556"/>
      <c r="CM353" s="4556"/>
      <c r="CN353" s="4556"/>
      <c r="CO353" s="4556"/>
      <c r="CP353" s="4556"/>
      <c r="CQ353" s="4556"/>
      <c r="CR353" s="4556"/>
      <c r="CS353" s="4556"/>
      <c r="CT353" s="4556"/>
      <c r="CU353" s="4556"/>
      <c r="CV353" s="4556"/>
      <c r="CW353" s="4556"/>
      <c r="CX353" s="4556"/>
      <c r="CY353" s="4556"/>
      <c r="CZ353" s="4556"/>
      <c r="DA353" s="4556"/>
      <c r="DB353" s="4556"/>
      <c r="DC353" s="4556"/>
      <c r="DD353" s="4556"/>
      <c r="DE353" s="4556"/>
      <c r="DF353" s="4556"/>
      <c r="DG353" s="4556"/>
      <c r="DH353" s="4556"/>
      <c r="DI353" s="4556"/>
      <c r="DJ353" s="4556"/>
      <c r="DK353" s="4556"/>
      <c r="DL353" s="4556"/>
      <c r="DM353" s="4556"/>
      <c r="DN353" s="4556"/>
      <c r="DO353" s="4556"/>
      <c r="DP353" s="4556"/>
      <c r="DQ353" s="4556"/>
      <c r="DR353" s="4556"/>
      <c r="DS353" s="4556"/>
      <c r="DT353" s="4556"/>
      <c r="DU353" s="4556"/>
      <c r="DV353" s="4556"/>
      <c r="DW353" s="4556"/>
      <c r="DX353" s="4556"/>
      <c r="DY353" s="4556"/>
      <c r="DZ353" s="4556"/>
      <c r="EA353" s="4556"/>
      <c r="EB353" s="4556"/>
      <c r="EC353" s="4556"/>
      <c r="ED353" s="4556"/>
      <c r="EE353" s="4556"/>
      <c r="EF353" s="4556"/>
      <c r="EG353" s="4556"/>
      <c r="EH353" s="4556"/>
      <c r="EI353" s="4556"/>
      <c r="EJ353" s="4556"/>
      <c r="EK353" s="4556"/>
      <c r="EL353" s="4556"/>
      <c r="EM353" s="4556"/>
      <c r="EN353" s="4556"/>
      <c r="EO353" s="4556"/>
      <c r="EP353" s="4556"/>
      <c r="EQ353" s="4556"/>
      <c r="ER353" s="4556"/>
      <c r="ES353" s="4556"/>
      <c r="ET353" s="4556"/>
      <c r="EU353" s="4556"/>
      <c r="EV353" s="4556"/>
      <c r="EW353" s="4556"/>
      <c r="EX353" s="4556"/>
      <c r="EY353" s="4556"/>
      <c r="EZ353" s="4556"/>
      <c r="FA353" s="4556"/>
      <c r="FB353" s="4556"/>
      <c r="FC353" s="4556"/>
      <c r="FD353" s="4556"/>
      <c r="FE353" s="4556"/>
      <c r="FF353" s="4556"/>
      <c r="FG353" s="4556"/>
      <c r="FH353" s="4556"/>
      <c r="FI353" s="4556"/>
      <c r="FJ353" s="4556"/>
      <c r="FK353" s="4556"/>
      <c r="FL353" s="4556"/>
      <c r="FM353" s="4556"/>
      <c r="FN353" s="4556"/>
      <c r="FO353" s="4556"/>
      <c r="FP353" s="4556"/>
      <c r="FQ353" s="4556"/>
      <c r="FR353" s="4556"/>
      <c r="FS353" s="4556"/>
      <c r="FT353" s="4556"/>
      <c r="FU353" s="4556"/>
      <c r="FV353" s="4556"/>
      <c r="FW353" s="4556"/>
      <c r="FX353" s="4556"/>
      <c r="FY353" s="4556"/>
      <c r="FZ353" s="4556"/>
      <c r="GA353" s="4556"/>
      <c r="GB353" s="4556"/>
      <c r="GC353" s="4556"/>
      <c r="GD353" s="4556"/>
      <c r="GE353" s="4556"/>
      <c r="GF353" s="4556"/>
      <c r="GG353" s="4556"/>
      <c r="GH353" s="4556"/>
      <c r="GI353" s="4556"/>
      <c r="GJ353" s="4556"/>
      <c r="GK353" s="4556"/>
      <c r="GL353" s="4556"/>
      <c r="GM353" s="4556"/>
      <c r="GN353" s="4556"/>
      <c r="GO353" s="4556"/>
      <c r="GP353" s="4556"/>
      <c r="GQ353" s="4556"/>
      <c r="GR353" s="4556"/>
      <c r="GS353" s="4556"/>
      <c r="GT353" s="4556"/>
      <c r="GU353" s="4556"/>
      <c r="GV353" s="4556"/>
      <c r="GW353" s="4556"/>
      <c r="GX353" s="4556"/>
      <c r="GY353" s="4556"/>
      <c r="GZ353" s="4556"/>
      <c r="HA353" s="4556"/>
      <c r="HB353" s="4556"/>
      <c r="HC353" s="4556"/>
      <c r="HD353" s="4556"/>
      <c r="HE353" s="4556"/>
      <c r="HF353" s="4556"/>
      <c r="HG353" s="4556"/>
      <c r="HH353" s="4556"/>
      <c r="HI353" s="4556"/>
      <c r="HJ353" s="4556"/>
      <c r="HK353" s="4556"/>
      <c r="HL353" s="4556"/>
      <c r="HM353" s="4556"/>
      <c r="HN353" s="4556"/>
      <c r="HO353" s="4556"/>
      <c r="HP353" s="4556"/>
      <c r="HQ353" s="4556"/>
      <c r="HR353" s="4556"/>
      <c r="HS353" s="4556"/>
      <c r="HT353" s="4556"/>
      <c r="HU353" s="4556"/>
      <c r="HV353" s="4556"/>
      <c r="HW353" s="4556"/>
      <c r="HX353" s="4556"/>
      <c r="HY353" s="4556"/>
      <c r="HZ353" s="4556"/>
      <c r="IA353" s="4556"/>
      <c r="IB353" s="4556"/>
      <c r="IC353" s="4556"/>
      <c r="ID353" s="4556"/>
      <c r="IE353" s="4556"/>
    </row>
    <row r="354" spans="1:239" s="4538" customFormat="1" ht="10.5" customHeight="1">
      <c r="A354" s="4654"/>
      <c r="B354" s="4638"/>
      <c r="C354" s="4659"/>
      <c r="D354" s="4775"/>
      <c r="E354" s="5006"/>
      <c r="F354" s="4589"/>
      <c r="G354" s="4555"/>
      <c r="H354" s="4555"/>
      <c r="I354" s="4555"/>
      <c r="J354" s="4555"/>
      <c r="K354" s="4555"/>
      <c r="L354" s="4555"/>
      <c r="M354" s="4555"/>
      <c r="N354" s="4555"/>
      <c r="O354" s="4555"/>
      <c r="P354" s="4555"/>
      <c r="Q354" s="4555"/>
      <c r="R354" s="4555"/>
      <c r="S354" s="4555"/>
      <c r="T354" s="4555"/>
      <c r="U354" s="4555"/>
      <c r="V354" s="4555"/>
      <c r="W354" s="4555"/>
      <c r="X354" s="4555"/>
      <c r="Y354" s="4555"/>
      <c r="Z354" s="4555"/>
      <c r="AA354" s="4555"/>
      <c r="AB354" s="4555"/>
      <c r="AC354" s="4555"/>
      <c r="AD354" s="4555"/>
      <c r="AE354" s="4555"/>
      <c r="AF354" s="4555"/>
      <c r="AG354" s="4555"/>
      <c r="AH354" s="4555"/>
      <c r="AI354" s="4555"/>
      <c r="AJ354" s="4555"/>
      <c r="AK354" s="4555"/>
      <c r="AL354" s="4555"/>
      <c r="AM354" s="4555"/>
      <c r="AN354" s="4555"/>
      <c r="AO354" s="4555"/>
      <c r="AP354" s="4555"/>
      <c r="AQ354" s="4555"/>
      <c r="AR354" s="4555"/>
      <c r="AS354" s="4556"/>
      <c r="AT354" s="4556"/>
      <c r="AU354" s="4556"/>
      <c r="AV354" s="4556"/>
      <c r="AW354" s="4556"/>
      <c r="AX354" s="4556"/>
      <c r="AY354" s="4556"/>
      <c r="AZ354" s="4556"/>
      <c r="BA354" s="4556"/>
      <c r="BB354" s="4556"/>
      <c r="BC354" s="4556"/>
      <c r="BD354" s="4556"/>
      <c r="BE354" s="4556"/>
      <c r="BF354" s="4556"/>
      <c r="BG354" s="4556"/>
      <c r="BH354" s="4556"/>
      <c r="BI354" s="4556"/>
      <c r="BJ354" s="4556"/>
      <c r="BK354" s="4556"/>
      <c r="BL354" s="4556"/>
      <c r="BM354" s="4556"/>
      <c r="BN354" s="4556"/>
      <c r="BO354" s="4556"/>
      <c r="BP354" s="4556"/>
      <c r="BQ354" s="4556"/>
      <c r="BR354" s="4556"/>
      <c r="BS354" s="4556"/>
      <c r="BT354" s="4556"/>
      <c r="BU354" s="4556"/>
      <c r="BV354" s="4556"/>
      <c r="BW354" s="4556"/>
      <c r="BX354" s="4556"/>
      <c r="BY354" s="4556"/>
      <c r="BZ354" s="4556"/>
      <c r="CA354" s="4556"/>
      <c r="CB354" s="4556"/>
      <c r="CC354" s="4556"/>
      <c r="CD354" s="4556"/>
      <c r="CE354" s="4556"/>
      <c r="CF354" s="4556"/>
      <c r="CG354" s="4556"/>
      <c r="CH354" s="4556"/>
      <c r="CI354" s="4556"/>
      <c r="CJ354" s="4556"/>
      <c r="CK354" s="4556"/>
      <c r="CL354" s="4556"/>
      <c r="CM354" s="4556"/>
      <c r="CN354" s="4556"/>
      <c r="CO354" s="4556"/>
      <c r="CP354" s="4556"/>
      <c r="CQ354" s="4556"/>
      <c r="CR354" s="4556"/>
      <c r="CS354" s="4556"/>
      <c r="CT354" s="4556"/>
      <c r="CU354" s="4556"/>
      <c r="CV354" s="4556"/>
      <c r="CW354" s="4556"/>
      <c r="CX354" s="4556"/>
      <c r="CY354" s="4556"/>
      <c r="CZ354" s="4556"/>
      <c r="DA354" s="4556"/>
      <c r="DB354" s="4556"/>
      <c r="DC354" s="4556"/>
      <c r="DD354" s="4556"/>
      <c r="DE354" s="4556"/>
      <c r="DF354" s="4556"/>
      <c r="DG354" s="4556"/>
      <c r="DH354" s="4556"/>
      <c r="DI354" s="4556"/>
      <c r="DJ354" s="4556"/>
      <c r="DK354" s="4556"/>
      <c r="DL354" s="4556"/>
      <c r="DM354" s="4556"/>
      <c r="DN354" s="4556"/>
      <c r="DO354" s="4556"/>
      <c r="DP354" s="4556"/>
      <c r="DQ354" s="4556"/>
      <c r="DR354" s="4556"/>
      <c r="DS354" s="4556"/>
      <c r="DT354" s="4556"/>
      <c r="DU354" s="4556"/>
      <c r="DV354" s="4556"/>
      <c r="DW354" s="4556"/>
      <c r="DX354" s="4556"/>
      <c r="DY354" s="4556"/>
      <c r="DZ354" s="4556"/>
      <c r="EA354" s="4556"/>
      <c r="EB354" s="4556"/>
      <c r="EC354" s="4556"/>
      <c r="ED354" s="4556"/>
      <c r="EE354" s="4556"/>
      <c r="EF354" s="4556"/>
      <c r="EG354" s="4556"/>
      <c r="EH354" s="4556"/>
      <c r="EI354" s="4556"/>
      <c r="EJ354" s="4556"/>
      <c r="EK354" s="4556"/>
      <c r="EL354" s="4556"/>
      <c r="EM354" s="4556"/>
      <c r="EN354" s="4556"/>
      <c r="EO354" s="4556"/>
      <c r="EP354" s="4556"/>
      <c r="EQ354" s="4556"/>
      <c r="ER354" s="4556"/>
      <c r="ES354" s="4556"/>
      <c r="ET354" s="4556"/>
      <c r="EU354" s="4556"/>
      <c r="EV354" s="4556"/>
      <c r="EW354" s="4556"/>
      <c r="EX354" s="4556"/>
      <c r="EY354" s="4556"/>
      <c r="EZ354" s="4556"/>
      <c r="FA354" s="4556"/>
      <c r="FB354" s="4556"/>
      <c r="FC354" s="4556"/>
      <c r="FD354" s="4556"/>
      <c r="FE354" s="4556"/>
      <c r="FF354" s="4556"/>
      <c r="FG354" s="4556"/>
      <c r="FH354" s="4556"/>
      <c r="FI354" s="4556"/>
      <c r="FJ354" s="4556"/>
      <c r="FK354" s="4556"/>
      <c r="FL354" s="4556"/>
      <c r="FM354" s="4556"/>
      <c r="FN354" s="4556"/>
      <c r="FO354" s="4556"/>
      <c r="FP354" s="4556"/>
      <c r="FQ354" s="4556"/>
      <c r="FR354" s="4556"/>
      <c r="FS354" s="4556"/>
      <c r="FT354" s="4556"/>
      <c r="FU354" s="4556"/>
      <c r="FV354" s="4556"/>
      <c r="FW354" s="4556"/>
      <c r="FX354" s="4556"/>
      <c r="FY354" s="4556"/>
      <c r="FZ354" s="4556"/>
      <c r="GA354" s="4556"/>
      <c r="GB354" s="4556"/>
      <c r="GC354" s="4556"/>
      <c r="GD354" s="4556"/>
      <c r="GE354" s="4556"/>
      <c r="GF354" s="4556"/>
      <c r="GG354" s="4556"/>
      <c r="GH354" s="4556"/>
      <c r="GI354" s="4556"/>
      <c r="GJ354" s="4556"/>
      <c r="GK354" s="4556"/>
      <c r="GL354" s="4556"/>
      <c r="GM354" s="4556"/>
      <c r="GN354" s="4556"/>
      <c r="GO354" s="4556"/>
      <c r="GP354" s="4556"/>
      <c r="GQ354" s="4556"/>
      <c r="GR354" s="4556"/>
      <c r="GS354" s="4556"/>
      <c r="GT354" s="4556"/>
      <c r="GU354" s="4556"/>
      <c r="GV354" s="4556"/>
      <c r="GW354" s="4556"/>
      <c r="GX354" s="4556"/>
      <c r="GY354" s="4556"/>
      <c r="GZ354" s="4556"/>
      <c r="HA354" s="4556"/>
      <c r="HB354" s="4556"/>
      <c r="HC354" s="4556"/>
      <c r="HD354" s="4556"/>
      <c r="HE354" s="4556"/>
      <c r="HF354" s="4556"/>
      <c r="HG354" s="4556"/>
      <c r="HH354" s="4556"/>
      <c r="HI354" s="4556"/>
      <c r="HJ354" s="4556"/>
      <c r="HK354" s="4556"/>
      <c r="HL354" s="4556"/>
      <c r="HM354" s="4556"/>
      <c r="HN354" s="4556"/>
      <c r="HO354" s="4556"/>
      <c r="HP354" s="4556"/>
      <c r="HQ354" s="4556"/>
      <c r="HR354" s="4556"/>
      <c r="HS354" s="4556"/>
      <c r="HT354" s="4556"/>
      <c r="HU354" s="4556"/>
      <c r="HV354" s="4556"/>
      <c r="HW354" s="4556"/>
      <c r="HX354" s="4556"/>
      <c r="HY354" s="4556"/>
      <c r="HZ354" s="4556"/>
      <c r="IA354" s="4556"/>
      <c r="IB354" s="4556"/>
      <c r="IC354" s="4556"/>
      <c r="ID354" s="4556"/>
      <c r="IE354" s="4556"/>
    </row>
    <row r="355" spans="1:239" s="4538" customFormat="1" ht="13.5" customHeight="1">
      <c r="A355" s="4680">
        <v>5.2</v>
      </c>
      <c r="B355" s="4637" t="s">
        <v>4669</v>
      </c>
      <c r="C355" s="4659"/>
      <c r="D355" s="4775"/>
      <c r="E355" s="5006"/>
      <c r="F355" s="4589"/>
      <c r="G355" s="4555"/>
      <c r="H355" s="4555"/>
      <c r="I355" s="4555"/>
      <c r="J355" s="4555"/>
      <c r="K355" s="4555"/>
      <c r="L355" s="4555"/>
      <c r="M355" s="4555"/>
      <c r="N355" s="4555"/>
      <c r="O355" s="4555"/>
      <c r="P355" s="4555"/>
      <c r="Q355" s="4555"/>
      <c r="R355" s="4555"/>
      <c r="S355" s="4555"/>
      <c r="T355" s="4555"/>
      <c r="U355" s="4555"/>
      <c r="V355" s="4555"/>
      <c r="W355" s="4555"/>
      <c r="X355" s="4555"/>
      <c r="Y355" s="4555"/>
      <c r="Z355" s="4555"/>
      <c r="AA355" s="4555"/>
      <c r="AB355" s="4555"/>
      <c r="AC355" s="4555"/>
      <c r="AD355" s="4555"/>
      <c r="AE355" s="4555"/>
      <c r="AF355" s="4555"/>
      <c r="AG355" s="4555"/>
      <c r="AH355" s="4555"/>
      <c r="AI355" s="4555"/>
      <c r="AJ355" s="4555"/>
      <c r="AK355" s="4555"/>
      <c r="AL355" s="4555"/>
      <c r="AM355" s="4555"/>
      <c r="AN355" s="4555"/>
      <c r="AO355" s="4555"/>
      <c r="AP355" s="4555"/>
      <c r="AQ355" s="4555"/>
      <c r="AR355" s="4555"/>
      <c r="AS355" s="4556"/>
      <c r="AT355" s="4556"/>
      <c r="AU355" s="4556"/>
      <c r="AV355" s="4556"/>
      <c r="AW355" s="4556"/>
      <c r="AX355" s="4556"/>
      <c r="AY355" s="4556"/>
      <c r="AZ355" s="4556"/>
      <c r="BA355" s="4556"/>
      <c r="BB355" s="4556"/>
      <c r="BC355" s="4556"/>
      <c r="BD355" s="4556"/>
      <c r="BE355" s="4556"/>
      <c r="BF355" s="4556"/>
      <c r="BG355" s="4556"/>
      <c r="BH355" s="4556"/>
      <c r="BI355" s="4556"/>
      <c r="BJ355" s="4556"/>
      <c r="BK355" s="4556"/>
      <c r="BL355" s="4556"/>
      <c r="BM355" s="4556"/>
      <c r="BN355" s="4556"/>
      <c r="BO355" s="4556"/>
      <c r="BP355" s="4556"/>
      <c r="BQ355" s="4556"/>
      <c r="BR355" s="4556"/>
      <c r="BS355" s="4556"/>
      <c r="BT355" s="4556"/>
      <c r="BU355" s="4556"/>
      <c r="BV355" s="4556"/>
      <c r="BW355" s="4556"/>
      <c r="BX355" s="4556"/>
      <c r="BY355" s="4556"/>
      <c r="BZ355" s="4556"/>
      <c r="CA355" s="4556"/>
      <c r="CB355" s="4556"/>
      <c r="CC355" s="4556"/>
      <c r="CD355" s="4556"/>
      <c r="CE355" s="4556"/>
      <c r="CF355" s="4556"/>
      <c r="CG355" s="4556"/>
      <c r="CH355" s="4556"/>
      <c r="CI355" s="4556"/>
      <c r="CJ355" s="4556"/>
      <c r="CK355" s="4556"/>
      <c r="CL355" s="4556"/>
      <c r="CM355" s="4556"/>
      <c r="CN355" s="4556"/>
      <c r="CO355" s="4556"/>
      <c r="CP355" s="4556"/>
      <c r="CQ355" s="4556"/>
      <c r="CR355" s="4556"/>
      <c r="CS355" s="4556"/>
      <c r="CT355" s="4556"/>
      <c r="CU355" s="4556"/>
      <c r="CV355" s="4556"/>
      <c r="CW355" s="4556"/>
      <c r="CX355" s="4556"/>
      <c r="CY355" s="4556"/>
      <c r="CZ355" s="4556"/>
      <c r="DA355" s="4556"/>
      <c r="DB355" s="4556"/>
      <c r="DC355" s="4556"/>
      <c r="DD355" s="4556"/>
      <c r="DE355" s="4556"/>
      <c r="DF355" s="4556"/>
      <c r="DG355" s="4556"/>
      <c r="DH355" s="4556"/>
      <c r="DI355" s="4556"/>
      <c r="DJ355" s="4556"/>
      <c r="DK355" s="4556"/>
      <c r="DL355" s="4556"/>
      <c r="DM355" s="4556"/>
      <c r="DN355" s="4556"/>
      <c r="DO355" s="4556"/>
      <c r="DP355" s="4556"/>
      <c r="DQ355" s="4556"/>
      <c r="DR355" s="4556"/>
      <c r="DS355" s="4556"/>
      <c r="DT355" s="4556"/>
      <c r="DU355" s="4556"/>
      <c r="DV355" s="4556"/>
      <c r="DW355" s="4556"/>
      <c r="DX355" s="4556"/>
      <c r="DY355" s="4556"/>
      <c r="DZ355" s="4556"/>
      <c r="EA355" s="4556"/>
      <c r="EB355" s="4556"/>
      <c r="EC355" s="4556"/>
      <c r="ED355" s="4556"/>
      <c r="EE355" s="4556"/>
      <c r="EF355" s="4556"/>
      <c r="EG355" s="4556"/>
      <c r="EH355" s="4556"/>
      <c r="EI355" s="4556"/>
      <c r="EJ355" s="4556"/>
      <c r="EK355" s="4556"/>
      <c r="EL355" s="4556"/>
      <c r="EM355" s="4556"/>
      <c r="EN355" s="4556"/>
      <c r="EO355" s="4556"/>
      <c r="EP355" s="4556"/>
      <c r="EQ355" s="4556"/>
      <c r="ER355" s="4556"/>
      <c r="ES355" s="4556"/>
      <c r="ET355" s="4556"/>
      <c r="EU355" s="4556"/>
      <c r="EV355" s="4556"/>
      <c r="EW355" s="4556"/>
      <c r="EX355" s="4556"/>
      <c r="EY355" s="4556"/>
      <c r="EZ355" s="4556"/>
      <c r="FA355" s="4556"/>
      <c r="FB355" s="4556"/>
      <c r="FC355" s="4556"/>
      <c r="FD355" s="4556"/>
      <c r="FE355" s="4556"/>
      <c r="FF355" s="4556"/>
      <c r="FG355" s="4556"/>
      <c r="FH355" s="4556"/>
      <c r="FI355" s="4556"/>
      <c r="FJ355" s="4556"/>
      <c r="FK355" s="4556"/>
      <c r="FL355" s="4556"/>
      <c r="FM355" s="4556"/>
      <c r="FN355" s="4556"/>
      <c r="FO355" s="4556"/>
      <c r="FP355" s="4556"/>
      <c r="FQ355" s="4556"/>
      <c r="FR355" s="4556"/>
      <c r="FS355" s="4556"/>
      <c r="FT355" s="4556"/>
      <c r="FU355" s="4556"/>
      <c r="FV355" s="4556"/>
      <c r="FW355" s="4556"/>
      <c r="FX355" s="4556"/>
      <c r="FY355" s="4556"/>
      <c r="FZ355" s="4556"/>
      <c r="GA355" s="4556"/>
      <c r="GB355" s="4556"/>
      <c r="GC355" s="4556"/>
      <c r="GD355" s="4556"/>
      <c r="GE355" s="4556"/>
      <c r="GF355" s="4556"/>
      <c r="GG355" s="4556"/>
      <c r="GH355" s="4556"/>
      <c r="GI355" s="4556"/>
      <c r="GJ355" s="4556"/>
      <c r="GK355" s="4556"/>
      <c r="GL355" s="4556"/>
      <c r="GM355" s="4556"/>
      <c r="GN355" s="4556"/>
      <c r="GO355" s="4556"/>
      <c r="GP355" s="4556"/>
      <c r="GQ355" s="4556"/>
      <c r="GR355" s="4556"/>
      <c r="GS355" s="4556"/>
      <c r="GT355" s="4556"/>
      <c r="GU355" s="4556"/>
      <c r="GV355" s="4556"/>
      <c r="GW355" s="4556"/>
      <c r="GX355" s="4556"/>
      <c r="GY355" s="4556"/>
      <c r="GZ355" s="4556"/>
      <c r="HA355" s="4556"/>
      <c r="HB355" s="4556"/>
      <c r="HC355" s="4556"/>
      <c r="HD355" s="4556"/>
      <c r="HE355" s="4556"/>
      <c r="HF355" s="4556"/>
      <c r="HG355" s="4556"/>
      <c r="HH355" s="4556"/>
      <c r="HI355" s="4556"/>
      <c r="HJ355" s="4556"/>
      <c r="HK355" s="4556"/>
      <c r="HL355" s="4556"/>
      <c r="HM355" s="4556"/>
      <c r="HN355" s="4556"/>
      <c r="HO355" s="4556"/>
      <c r="HP355" s="4556"/>
      <c r="HQ355" s="4556"/>
      <c r="HR355" s="4556"/>
      <c r="HS355" s="4556"/>
      <c r="HT355" s="4556"/>
      <c r="HU355" s="4556"/>
      <c r="HV355" s="4556"/>
      <c r="HW355" s="4556"/>
      <c r="HX355" s="4556"/>
      <c r="HY355" s="4556"/>
      <c r="HZ355" s="4556"/>
      <c r="IA355" s="4556"/>
      <c r="IB355" s="4556"/>
      <c r="IC355" s="4556"/>
      <c r="ID355" s="4556"/>
      <c r="IE355" s="4556"/>
    </row>
    <row r="356" spans="1:239" s="4538" customFormat="1" ht="13.5" customHeight="1">
      <c r="A356" s="4654" t="s">
        <v>614</v>
      </c>
      <c r="B356" s="4635" t="s">
        <v>4236</v>
      </c>
      <c r="C356" s="4773">
        <v>64.260000000000005</v>
      </c>
      <c r="D356" s="4600" t="s">
        <v>2430</v>
      </c>
      <c r="E356" s="5006"/>
      <c r="F356" s="4589">
        <f>ROUND(C356*E356,2)</f>
        <v>0</v>
      </c>
      <c r="G356" s="4555"/>
      <c r="H356" s="4555"/>
      <c r="I356" s="4555"/>
      <c r="J356" s="4555"/>
      <c r="K356" s="4555"/>
      <c r="L356" s="4555"/>
      <c r="M356" s="4555"/>
      <c r="N356" s="4555"/>
      <c r="O356" s="4555"/>
      <c r="P356" s="4555"/>
      <c r="Q356" s="4555"/>
      <c r="R356" s="4555"/>
      <c r="S356" s="4555"/>
      <c r="T356" s="4555"/>
      <c r="U356" s="4555"/>
      <c r="V356" s="4555"/>
      <c r="W356" s="4555"/>
      <c r="X356" s="4555"/>
      <c r="Y356" s="4555"/>
      <c r="Z356" s="4555"/>
      <c r="AA356" s="4555"/>
      <c r="AB356" s="4555"/>
      <c r="AC356" s="4555"/>
      <c r="AD356" s="4555"/>
      <c r="AE356" s="4555"/>
      <c r="AF356" s="4555"/>
      <c r="AG356" s="4555"/>
      <c r="AH356" s="4555"/>
      <c r="AI356" s="4555"/>
      <c r="AJ356" s="4555"/>
      <c r="AK356" s="4555"/>
      <c r="AL356" s="4555"/>
      <c r="AM356" s="4555"/>
      <c r="AN356" s="4555"/>
      <c r="AO356" s="4555"/>
      <c r="AP356" s="4555"/>
      <c r="AQ356" s="4555"/>
      <c r="AR356" s="4555"/>
      <c r="AS356" s="4556"/>
      <c r="AT356" s="4556"/>
      <c r="AU356" s="4556"/>
      <c r="AV356" s="4556"/>
      <c r="AW356" s="4556"/>
      <c r="AX356" s="4556"/>
      <c r="AY356" s="4556"/>
      <c r="AZ356" s="4556"/>
      <c r="BA356" s="4556"/>
      <c r="BB356" s="4556"/>
      <c r="BC356" s="4556"/>
      <c r="BD356" s="4556"/>
      <c r="BE356" s="4556"/>
      <c r="BF356" s="4556"/>
      <c r="BG356" s="4556"/>
      <c r="BH356" s="4556"/>
      <c r="BI356" s="4556"/>
      <c r="BJ356" s="4556"/>
      <c r="BK356" s="4556"/>
      <c r="BL356" s="4556"/>
      <c r="BM356" s="4556"/>
      <c r="BN356" s="4556"/>
      <c r="BO356" s="4556"/>
      <c r="BP356" s="4556"/>
      <c r="BQ356" s="4556"/>
      <c r="BR356" s="4556"/>
      <c r="BS356" s="4556"/>
      <c r="BT356" s="4556"/>
      <c r="BU356" s="4556"/>
      <c r="BV356" s="4556"/>
      <c r="BW356" s="4556"/>
      <c r="BX356" s="4556"/>
      <c r="BY356" s="4556"/>
      <c r="BZ356" s="4556"/>
      <c r="CA356" s="4556"/>
      <c r="CB356" s="4556"/>
      <c r="CC356" s="4556"/>
      <c r="CD356" s="4556"/>
      <c r="CE356" s="4556"/>
      <c r="CF356" s="4556"/>
      <c r="CG356" s="4556"/>
      <c r="CH356" s="4556"/>
      <c r="CI356" s="4556"/>
      <c r="CJ356" s="4556"/>
      <c r="CK356" s="4556"/>
      <c r="CL356" s="4556"/>
      <c r="CM356" s="4556"/>
      <c r="CN356" s="4556"/>
      <c r="CO356" s="4556"/>
      <c r="CP356" s="4556"/>
      <c r="CQ356" s="4556"/>
      <c r="CR356" s="4556"/>
      <c r="CS356" s="4556"/>
      <c r="CT356" s="4556"/>
      <c r="CU356" s="4556"/>
      <c r="CV356" s="4556"/>
      <c r="CW356" s="4556"/>
      <c r="CX356" s="4556"/>
      <c r="CY356" s="4556"/>
      <c r="CZ356" s="4556"/>
      <c r="DA356" s="4556"/>
      <c r="DB356" s="4556"/>
      <c r="DC356" s="4556"/>
      <c r="DD356" s="4556"/>
      <c r="DE356" s="4556"/>
      <c r="DF356" s="4556"/>
      <c r="DG356" s="4556"/>
      <c r="DH356" s="4556"/>
      <c r="DI356" s="4556"/>
      <c r="DJ356" s="4556"/>
      <c r="DK356" s="4556"/>
      <c r="DL356" s="4556"/>
      <c r="DM356" s="4556"/>
      <c r="DN356" s="4556"/>
      <c r="DO356" s="4556"/>
      <c r="DP356" s="4556"/>
      <c r="DQ356" s="4556"/>
      <c r="DR356" s="4556"/>
      <c r="DS356" s="4556"/>
      <c r="DT356" s="4556"/>
      <c r="DU356" s="4556"/>
      <c r="DV356" s="4556"/>
      <c r="DW356" s="4556"/>
      <c r="DX356" s="4556"/>
      <c r="DY356" s="4556"/>
      <c r="DZ356" s="4556"/>
      <c r="EA356" s="4556"/>
      <c r="EB356" s="4556"/>
      <c r="EC356" s="4556"/>
      <c r="ED356" s="4556"/>
      <c r="EE356" s="4556"/>
      <c r="EF356" s="4556"/>
      <c r="EG356" s="4556"/>
      <c r="EH356" s="4556"/>
      <c r="EI356" s="4556"/>
      <c r="EJ356" s="4556"/>
      <c r="EK356" s="4556"/>
      <c r="EL356" s="4556"/>
      <c r="EM356" s="4556"/>
      <c r="EN356" s="4556"/>
      <c r="EO356" s="4556"/>
      <c r="EP356" s="4556"/>
      <c r="EQ356" s="4556"/>
      <c r="ER356" s="4556"/>
      <c r="ES356" s="4556"/>
      <c r="ET356" s="4556"/>
      <c r="EU356" s="4556"/>
      <c r="EV356" s="4556"/>
      <c r="EW356" s="4556"/>
      <c r="EX356" s="4556"/>
      <c r="EY356" s="4556"/>
      <c r="EZ356" s="4556"/>
      <c r="FA356" s="4556"/>
      <c r="FB356" s="4556"/>
      <c r="FC356" s="4556"/>
      <c r="FD356" s="4556"/>
      <c r="FE356" s="4556"/>
      <c r="FF356" s="4556"/>
      <c r="FG356" s="4556"/>
      <c r="FH356" s="4556"/>
      <c r="FI356" s="4556"/>
      <c r="FJ356" s="4556"/>
      <c r="FK356" s="4556"/>
      <c r="FL356" s="4556"/>
      <c r="FM356" s="4556"/>
      <c r="FN356" s="4556"/>
      <c r="FO356" s="4556"/>
      <c r="FP356" s="4556"/>
      <c r="FQ356" s="4556"/>
      <c r="FR356" s="4556"/>
      <c r="FS356" s="4556"/>
      <c r="FT356" s="4556"/>
      <c r="FU356" s="4556"/>
      <c r="FV356" s="4556"/>
      <c r="FW356" s="4556"/>
      <c r="FX356" s="4556"/>
      <c r="FY356" s="4556"/>
      <c r="FZ356" s="4556"/>
      <c r="GA356" s="4556"/>
      <c r="GB356" s="4556"/>
      <c r="GC356" s="4556"/>
      <c r="GD356" s="4556"/>
      <c r="GE356" s="4556"/>
      <c r="GF356" s="4556"/>
      <c r="GG356" s="4556"/>
      <c r="GH356" s="4556"/>
      <c r="GI356" s="4556"/>
      <c r="GJ356" s="4556"/>
      <c r="GK356" s="4556"/>
      <c r="GL356" s="4556"/>
      <c r="GM356" s="4556"/>
      <c r="GN356" s="4556"/>
      <c r="GO356" s="4556"/>
      <c r="GP356" s="4556"/>
      <c r="GQ356" s="4556"/>
      <c r="GR356" s="4556"/>
      <c r="GS356" s="4556"/>
      <c r="GT356" s="4556"/>
      <c r="GU356" s="4556"/>
      <c r="GV356" s="4556"/>
      <c r="GW356" s="4556"/>
      <c r="GX356" s="4556"/>
      <c r="GY356" s="4556"/>
      <c r="GZ356" s="4556"/>
      <c r="HA356" s="4556"/>
      <c r="HB356" s="4556"/>
      <c r="HC356" s="4556"/>
      <c r="HD356" s="4556"/>
      <c r="HE356" s="4556"/>
      <c r="HF356" s="4556"/>
      <c r="HG356" s="4556"/>
      <c r="HH356" s="4556"/>
      <c r="HI356" s="4556"/>
      <c r="HJ356" s="4556"/>
      <c r="HK356" s="4556"/>
      <c r="HL356" s="4556"/>
      <c r="HM356" s="4556"/>
      <c r="HN356" s="4556"/>
      <c r="HO356" s="4556"/>
      <c r="HP356" s="4556"/>
      <c r="HQ356" s="4556"/>
      <c r="HR356" s="4556"/>
      <c r="HS356" s="4556"/>
      <c r="HT356" s="4556"/>
      <c r="HU356" s="4556"/>
      <c r="HV356" s="4556"/>
      <c r="HW356" s="4556"/>
      <c r="HX356" s="4556"/>
      <c r="HY356" s="4556"/>
      <c r="HZ356" s="4556"/>
      <c r="IA356" s="4556"/>
      <c r="IB356" s="4556"/>
      <c r="IC356" s="4556"/>
      <c r="ID356" s="4556"/>
      <c r="IE356" s="4556"/>
    </row>
    <row r="357" spans="1:239" s="4538" customFormat="1" ht="30" customHeight="1">
      <c r="A357" s="4654" t="s">
        <v>615</v>
      </c>
      <c r="B357" s="4635" t="s">
        <v>4670</v>
      </c>
      <c r="C357" s="4773">
        <v>77.11</v>
      </c>
      <c r="D357" s="4600" t="s">
        <v>2430</v>
      </c>
      <c r="E357" s="5006"/>
      <c r="F357" s="4589">
        <f>ROUND(C357*E357,2)</f>
        <v>0</v>
      </c>
      <c r="G357" s="4555"/>
      <c r="H357" s="4555"/>
      <c r="I357" s="4555"/>
      <c r="J357" s="4555"/>
      <c r="K357" s="4555"/>
      <c r="L357" s="4555"/>
      <c r="M357" s="4555"/>
      <c r="N357" s="4555"/>
      <c r="O357" s="4555"/>
      <c r="P357" s="4555"/>
      <c r="Q357" s="4555"/>
      <c r="R357" s="4555"/>
      <c r="S357" s="4555"/>
      <c r="T357" s="4555"/>
      <c r="U357" s="4555"/>
      <c r="V357" s="4555"/>
      <c r="W357" s="4555"/>
      <c r="X357" s="4555"/>
      <c r="Y357" s="4555"/>
      <c r="Z357" s="4555"/>
      <c r="AA357" s="4555"/>
      <c r="AB357" s="4555"/>
      <c r="AC357" s="4555"/>
      <c r="AD357" s="4555"/>
      <c r="AE357" s="4555"/>
      <c r="AF357" s="4555"/>
      <c r="AG357" s="4555"/>
      <c r="AH357" s="4555"/>
      <c r="AI357" s="4555"/>
      <c r="AJ357" s="4555"/>
      <c r="AK357" s="4555"/>
      <c r="AL357" s="4555"/>
      <c r="AM357" s="4555"/>
      <c r="AN357" s="4555"/>
      <c r="AO357" s="4555"/>
      <c r="AP357" s="4555"/>
      <c r="AQ357" s="4555"/>
      <c r="AR357" s="4555"/>
      <c r="AS357" s="4556"/>
      <c r="AT357" s="4556"/>
      <c r="AU357" s="4556"/>
      <c r="AV357" s="4556"/>
      <c r="AW357" s="4556"/>
      <c r="AX357" s="4556"/>
      <c r="AY357" s="4556"/>
      <c r="AZ357" s="4556"/>
      <c r="BA357" s="4556"/>
      <c r="BB357" s="4556"/>
      <c r="BC357" s="4556"/>
      <c r="BD357" s="4556"/>
      <c r="BE357" s="4556"/>
      <c r="BF357" s="4556"/>
      <c r="BG357" s="4556"/>
      <c r="BH357" s="4556"/>
      <c r="BI357" s="4556"/>
      <c r="BJ357" s="4556"/>
      <c r="BK357" s="4556"/>
      <c r="BL357" s="4556"/>
      <c r="BM357" s="4556"/>
      <c r="BN357" s="4556"/>
      <c r="BO357" s="4556"/>
      <c r="BP357" s="4556"/>
      <c r="BQ357" s="4556"/>
      <c r="BR357" s="4556"/>
      <c r="BS357" s="4556"/>
      <c r="BT357" s="4556"/>
      <c r="BU357" s="4556"/>
      <c r="BV357" s="4556"/>
      <c r="BW357" s="4556"/>
      <c r="BX357" s="4556"/>
      <c r="BY357" s="4556"/>
      <c r="BZ357" s="4556"/>
      <c r="CA357" s="4556"/>
      <c r="CB357" s="4556"/>
      <c r="CC357" s="4556"/>
      <c r="CD357" s="4556"/>
      <c r="CE357" s="4556"/>
      <c r="CF357" s="4556"/>
      <c r="CG357" s="4556"/>
      <c r="CH357" s="4556"/>
      <c r="CI357" s="4556"/>
      <c r="CJ357" s="4556"/>
      <c r="CK357" s="4556"/>
      <c r="CL357" s="4556"/>
      <c r="CM357" s="4556"/>
      <c r="CN357" s="4556"/>
      <c r="CO357" s="4556"/>
      <c r="CP357" s="4556"/>
      <c r="CQ357" s="4556"/>
      <c r="CR357" s="4556"/>
      <c r="CS357" s="4556"/>
      <c r="CT357" s="4556"/>
      <c r="CU357" s="4556"/>
      <c r="CV357" s="4556"/>
      <c r="CW357" s="4556"/>
      <c r="CX357" s="4556"/>
      <c r="CY357" s="4556"/>
      <c r="CZ357" s="4556"/>
      <c r="DA357" s="4556"/>
      <c r="DB357" s="4556"/>
      <c r="DC357" s="4556"/>
      <c r="DD357" s="4556"/>
      <c r="DE357" s="4556"/>
      <c r="DF357" s="4556"/>
      <c r="DG357" s="4556"/>
      <c r="DH357" s="4556"/>
      <c r="DI357" s="4556"/>
      <c r="DJ357" s="4556"/>
      <c r="DK357" s="4556"/>
      <c r="DL357" s="4556"/>
      <c r="DM357" s="4556"/>
      <c r="DN357" s="4556"/>
      <c r="DO357" s="4556"/>
      <c r="DP357" s="4556"/>
      <c r="DQ357" s="4556"/>
      <c r="DR357" s="4556"/>
      <c r="DS357" s="4556"/>
      <c r="DT357" s="4556"/>
      <c r="DU357" s="4556"/>
      <c r="DV357" s="4556"/>
      <c r="DW357" s="4556"/>
      <c r="DX357" s="4556"/>
      <c r="DY357" s="4556"/>
      <c r="DZ357" s="4556"/>
      <c r="EA357" s="4556"/>
      <c r="EB357" s="4556"/>
      <c r="EC357" s="4556"/>
      <c r="ED357" s="4556"/>
      <c r="EE357" s="4556"/>
      <c r="EF357" s="4556"/>
      <c r="EG357" s="4556"/>
      <c r="EH357" s="4556"/>
      <c r="EI357" s="4556"/>
      <c r="EJ357" s="4556"/>
      <c r="EK357" s="4556"/>
      <c r="EL357" s="4556"/>
      <c r="EM357" s="4556"/>
      <c r="EN357" s="4556"/>
      <c r="EO357" s="4556"/>
      <c r="EP357" s="4556"/>
      <c r="EQ357" s="4556"/>
      <c r="ER357" s="4556"/>
      <c r="ES357" s="4556"/>
      <c r="ET357" s="4556"/>
      <c r="EU357" s="4556"/>
      <c r="EV357" s="4556"/>
      <c r="EW357" s="4556"/>
      <c r="EX357" s="4556"/>
      <c r="EY357" s="4556"/>
      <c r="EZ357" s="4556"/>
      <c r="FA357" s="4556"/>
      <c r="FB357" s="4556"/>
      <c r="FC357" s="4556"/>
      <c r="FD357" s="4556"/>
      <c r="FE357" s="4556"/>
      <c r="FF357" s="4556"/>
      <c r="FG357" s="4556"/>
      <c r="FH357" s="4556"/>
      <c r="FI357" s="4556"/>
      <c r="FJ357" s="4556"/>
      <c r="FK357" s="4556"/>
      <c r="FL357" s="4556"/>
      <c r="FM357" s="4556"/>
      <c r="FN357" s="4556"/>
      <c r="FO357" s="4556"/>
      <c r="FP357" s="4556"/>
      <c r="FQ357" s="4556"/>
      <c r="FR357" s="4556"/>
      <c r="FS357" s="4556"/>
      <c r="FT357" s="4556"/>
      <c r="FU357" s="4556"/>
      <c r="FV357" s="4556"/>
      <c r="FW357" s="4556"/>
      <c r="FX357" s="4556"/>
      <c r="FY357" s="4556"/>
      <c r="FZ357" s="4556"/>
      <c r="GA357" s="4556"/>
      <c r="GB357" s="4556"/>
      <c r="GC357" s="4556"/>
      <c r="GD357" s="4556"/>
      <c r="GE357" s="4556"/>
      <c r="GF357" s="4556"/>
      <c r="GG357" s="4556"/>
      <c r="GH357" s="4556"/>
      <c r="GI357" s="4556"/>
      <c r="GJ357" s="4556"/>
      <c r="GK357" s="4556"/>
      <c r="GL357" s="4556"/>
      <c r="GM357" s="4556"/>
      <c r="GN357" s="4556"/>
      <c r="GO357" s="4556"/>
      <c r="GP357" s="4556"/>
      <c r="GQ357" s="4556"/>
      <c r="GR357" s="4556"/>
      <c r="GS357" s="4556"/>
      <c r="GT357" s="4556"/>
      <c r="GU357" s="4556"/>
      <c r="GV357" s="4556"/>
      <c r="GW357" s="4556"/>
      <c r="GX357" s="4556"/>
      <c r="GY357" s="4556"/>
      <c r="GZ357" s="4556"/>
      <c r="HA357" s="4556"/>
      <c r="HB357" s="4556"/>
      <c r="HC357" s="4556"/>
      <c r="HD357" s="4556"/>
      <c r="HE357" s="4556"/>
      <c r="HF357" s="4556"/>
      <c r="HG357" s="4556"/>
      <c r="HH357" s="4556"/>
      <c r="HI357" s="4556"/>
      <c r="HJ357" s="4556"/>
      <c r="HK357" s="4556"/>
      <c r="HL357" s="4556"/>
      <c r="HM357" s="4556"/>
      <c r="HN357" s="4556"/>
      <c r="HO357" s="4556"/>
      <c r="HP357" s="4556"/>
      <c r="HQ357" s="4556"/>
      <c r="HR357" s="4556"/>
      <c r="HS357" s="4556"/>
      <c r="HT357" s="4556"/>
      <c r="HU357" s="4556"/>
      <c r="HV357" s="4556"/>
      <c r="HW357" s="4556"/>
      <c r="HX357" s="4556"/>
      <c r="HY357" s="4556"/>
      <c r="HZ357" s="4556"/>
      <c r="IA357" s="4556"/>
      <c r="IB357" s="4556"/>
      <c r="IC357" s="4556"/>
      <c r="ID357" s="4556"/>
      <c r="IE357" s="4556"/>
    </row>
    <row r="358" spans="1:239" s="4538" customFormat="1" ht="12.75" customHeight="1">
      <c r="A358" s="4654" t="s">
        <v>617</v>
      </c>
      <c r="B358" s="4635" t="s">
        <v>4237</v>
      </c>
      <c r="C358" s="4773">
        <v>16.32</v>
      </c>
      <c r="D358" s="4600" t="s">
        <v>2430</v>
      </c>
      <c r="E358" s="5006"/>
      <c r="F358" s="4589">
        <f>ROUND(C358*E358,2)</f>
        <v>0</v>
      </c>
      <c r="G358" s="4555"/>
      <c r="H358" s="4555"/>
      <c r="I358" s="4555"/>
      <c r="J358" s="4555"/>
      <c r="K358" s="4555"/>
      <c r="L358" s="4555"/>
      <c r="M358" s="4555"/>
      <c r="N358" s="4555"/>
      <c r="O358" s="4555"/>
      <c r="P358" s="4555"/>
      <c r="Q358" s="4555"/>
      <c r="R358" s="4555"/>
      <c r="S358" s="4555"/>
      <c r="T358" s="4555"/>
      <c r="U358" s="4555"/>
      <c r="V358" s="4555"/>
      <c r="W358" s="4555"/>
      <c r="X358" s="4555"/>
      <c r="Y358" s="4555"/>
      <c r="Z358" s="4555"/>
      <c r="AA358" s="4555"/>
      <c r="AB358" s="4555"/>
      <c r="AC358" s="4555"/>
      <c r="AD358" s="4555"/>
      <c r="AE358" s="4555"/>
      <c r="AF358" s="4555"/>
      <c r="AG358" s="4555"/>
      <c r="AH358" s="4555"/>
      <c r="AI358" s="4555"/>
      <c r="AJ358" s="4555"/>
      <c r="AK358" s="4555"/>
      <c r="AL358" s="4555"/>
      <c r="AM358" s="4555"/>
      <c r="AN358" s="4555"/>
      <c r="AO358" s="4555"/>
      <c r="AP358" s="4555"/>
      <c r="AQ358" s="4555"/>
      <c r="AR358" s="4555"/>
      <c r="AS358" s="4556"/>
      <c r="AT358" s="4556"/>
      <c r="AU358" s="4556"/>
      <c r="AV358" s="4556"/>
      <c r="AW358" s="4556"/>
      <c r="AX358" s="4556"/>
      <c r="AY358" s="4556"/>
      <c r="AZ358" s="4556"/>
      <c r="BA358" s="4556"/>
      <c r="BB358" s="4556"/>
      <c r="BC358" s="4556"/>
      <c r="BD358" s="4556"/>
      <c r="BE358" s="4556"/>
      <c r="BF358" s="4556"/>
      <c r="BG358" s="4556"/>
      <c r="BH358" s="4556"/>
      <c r="BI358" s="4556"/>
      <c r="BJ358" s="4556"/>
      <c r="BK358" s="4556"/>
      <c r="BL358" s="4556"/>
      <c r="BM358" s="4556"/>
      <c r="BN358" s="4556"/>
      <c r="BO358" s="4556"/>
      <c r="BP358" s="4556"/>
      <c r="BQ358" s="4556"/>
      <c r="BR358" s="4556"/>
      <c r="BS358" s="4556"/>
      <c r="BT358" s="4556"/>
      <c r="BU358" s="4556"/>
      <c r="BV358" s="4556"/>
      <c r="BW358" s="4556"/>
      <c r="BX358" s="4556"/>
      <c r="BY358" s="4556"/>
      <c r="BZ358" s="4556"/>
      <c r="CA358" s="4556"/>
      <c r="CB358" s="4556"/>
      <c r="CC358" s="4556"/>
      <c r="CD358" s="4556"/>
      <c r="CE358" s="4556"/>
      <c r="CF358" s="4556"/>
      <c r="CG358" s="4556"/>
      <c r="CH358" s="4556"/>
      <c r="CI358" s="4556"/>
      <c r="CJ358" s="4556"/>
      <c r="CK358" s="4556"/>
      <c r="CL358" s="4556"/>
      <c r="CM358" s="4556"/>
      <c r="CN358" s="4556"/>
      <c r="CO358" s="4556"/>
      <c r="CP358" s="4556"/>
      <c r="CQ358" s="4556"/>
      <c r="CR358" s="4556"/>
      <c r="CS358" s="4556"/>
      <c r="CT358" s="4556"/>
      <c r="CU358" s="4556"/>
      <c r="CV358" s="4556"/>
      <c r="CW358" s="4556"/>
      <c r="CX358" s="4556"/>
      <c r="CY358" s="4556"/>
      <c r="CZ358" s="4556"/>
      <c r="DA358" s="4556"/>
      <c r="DB358" s="4556"/>
      <c r="DC358" s="4556"/>
      <c r="DD358" s="4556"/>
      <c r="DE358" s="4556"/>
      <c r="DF358" s="4556"/>
      <c r="DG358" s="4556"/>
      <c r="DH358" s="4556"/>
      <c r="DI358" s="4556"/>
      <c r="DJ358" s="4556"/>
      <c r="DK358" s="4556"/>
      <c r="DL358" s="4556"/>
      <c r="DM358" s="4556"/>
      <c r="DN358" s="4556"/>
      <c r="DO358" s="4556"/>
      <c r="DP358" s="4556"/>
      <c r="DQ358" s="4556"/>
      <c r="DR358" s="4556"/>
      <c r="DS358" s="4556"/>
      <c r="DT358" s="4556"/>
      <c r="DU358" s="4556"/>
      <c r="DV358" s="4556"/>
      <c r="DW358" s="4556"/>
      <c r="DX358" s="4556"/>
      <c r="DY358" s="4556"/>
      <c r="DZ358" s="4556"/>
      <c r="EA358" s="4556"/>
      <c r="EB358" s="4556"/>
      <c r="EC358" s="4556"/>
      <c r="ED358" s="4556"/>
      <c r="EE358" s="4556"/>
      <c r="EF358" s="4556"/>
      <c r="EG358" s="4556"/>
      <c r="EH358" s="4556"/>
      <c r="EI358" s="4556"/>
      <c r="EJ358" s="4556"/>
      <c r="EK358" s="4556"/>
      <c r="EL358" s="4556"/>
      <c r="EM358" s="4556"/>
      <c r="EN358" s="4556"/>
      <c r="EO358" s="4556"/>
      <c r="EP358" s="4556"/>
      <c r="EQ358" s="4556"/>
      <c r="ER358" s="4556"/>
      <c r="ES358" s="4556"/>
      <c r="ET358" s="4556"/>
      <c r="EU358" s="4556"/>
      <c r="EV358" s="4556"/>
      <c r="EW358" s="4556"/>
      <c r="EX358" s="4556"/>
      <c r="EY358" s="4556"/>
      <c r="EZ358" s="4556"/>
      <c r="FA358" s="4556"/>
      <c r="FB358" s="4556"/>
      <c r="FC358" s="4556"/>
      <c r="FD358" s="4556"/>
      <c r="FE358" s="4556"/>
      <c r="FF358" s="4556"/>
      <c r="FG358" s="4556"/>
      <c r="FH358" s="4556"/>
      <c r="FI358" s="4556"/>
      <c r="FJ358" s="4556"/>
      <c r="FK358" s="4556"/>
      <c r="FL358" s="4556"/>
      <c r="FM358" s="4556"/>
      <c r="FN358" s="4556"/>
      <c r="FO358" s="4556"/>
      <c r="FP358" s="4556"/>
      <c r="FQ358" s="4556"/>
      <c r="FR358" s="4556"/>
      <c r="FS358" s="4556"/>
      <c r="FT358" s="4556"/>
      <c r="FU358" s="4556"/>
      <c r="FV358" s="4556"/>
      <c r="FW358" s="4556"/>
      <c r="FX358" s="4556"/>
      <c r="FY358" s="4556"/>
      <c r="FZ358" s="4556"/>
      <c r="GA358" s="4556"/>
      <c r="GB358" s="4556"/>
      <c r="GC358" s="4556"/>
      <c r="GD358" s="4556"/>
      <c r="GE358" s="4556"/>
      <c r="GF358" s="4556"/>
      <c r="GG358" s="4556"/>
      <c r="GH358" s="4556"/>
      <c r="GI358" s="4556"/>
      <c r="GJ358" s="4556"/>
      <c r="GK358" s="4556"/>
      <c r="GL358" s="4556"/>
      <c r="GM358" s="4556"/>
      <c r="GN358" s="4556"/>
      <c r="GO358" s="4556"/>
      <c r="GP358" s="4556"/>
      <c r="GQ358" s="4556"/>
      <c r="GR358" s="4556"/>
      <c r="GS358" s="4556"/>
      <c r="GT358" s="4556"/>
      <c r="GU358" s="4556"/>
      <c r="GV358" s="4556"/>
      <c r="GW358" s="4556"/>
      <c r="GX358" s="4556"/>
      <c r="GY358" s="4556"/>
      <c r="GZ358" s="4556"/>
      <c r="HA358" s="4556"/>
      <c r="HB358" s="4556"/>
      <c r="HC358" s="4556"/>
      <c r="HD358" s="4556"/>
      <c r="HE358" s="4556"/>
      <c r="HF358" s="4556"/>
      <c r="HG358" s="4556"/>
      <c r="HH358" s="4556"/>
      <c r="HI358" s="4556"/>
      <c r="HJ358" s="4556"/>
      <c r="HK358" s="4556"/>
      <c r="HL358" s="4556"/>
      <c r="HM358" s="4556"/>
      <c r="HN358" s="4556"/>
      <c r="HO358" s="4556"/>
      <c r="HP358" s="4556"/>
      <c r="HQ358" s="4556"/>
      <c r="HR358" s="4556"/>
      <c r="HS358" s="4556"/>
      <c r="HT358" s="4556"/>
      <c r="HU358" s="4556"/>
      <c r="HV358" s="4556"/>
      <c r="HW358" s="4556"/>
      <c r="HX358" s="4556"/>
      <c r="HY358" s="4556"/>
      <c r="HZ358" s="4556"/>
      <c r="IA358" s="4556"/>
      <c r="IB358" s="4556"/>
      <c r="IC358" s="4556"/>
      <c r="ID358" s="4556"/>
      <c r="IE358" s="4556"/>
    </row>
    <row r="359" spans="1:239" s="4538" customFormat="1" ht="12.75" customHeight="1">
      <c r="A359" s="4654" t="s">
        <v>4238</v>
      </c>
      <c r="B359" s="4635" t="s">
        <v>4055</v>
      </c>
      <c r="C359" s="4773">
        <v>15.5</v>
      </c>
      <c r="D359" s="4600" t="s">
        <v>2430</v>
      </c>
      <c r="E359" s="5006"/>
      <c r="F359" s="4589">
        <f>ROUND(C359*E359,2)</f>
        <v>0</v>
      </c>
      <c r="G359" s="4555"/>
      <c r="H359" s="4555"/>
      <c r="I359" s="4555"/>
      <c r="J359" s="4555"/>
      <c r="K359" s="4555"/>
      <c r="L359" s="4555"/>
      <c r="M359" s="4555"/>
      <c r="N359" s="4555"/>
      <c r="O359" s="4555"/>
      <c r="P359" s="4555"/>
      <c r="Q359" s="4555"/>
      <c r="R359" s="4555"/>
      <c r="S359" s="4555"/>
      <c r="T359" s="4555"/>
      <c r="U359" s="4555"/>
      <c r="V359" s="4555"/>
      <c r="W359" s="4555"/>
      <c r="X359" s="4555"/>
      <c r="Y359" s="4555"/>
      <c r="Z359" s="4555"/>
      <c r="AA359" s="4555"/>
      <c r="AB359" s="4555"/>
      <c r="AC359" s="4555"/>
      <c r="AD359" s="4555"/>
      <c r="AE359" s="4555"/>
      <c r="AF359" s="4555"/>
      <c r="AG359" s="4555"/>
      <c r="AH359" s="4555"/>
      <c r="AI359" s="4555"/>
      <c r="AJ359" s="4555"/>
      <c r="AK359" s="4555"/>
      <c r="AL359" s="4555"/>
      <c r="AM359" s="4555"/>
      <c r="AN359" s="4555"/>
      <c r="AO359" s="4555"/>
      <c r="AP359" s="4555"/>
      <c r="AQ359" s="4555"/>
      <c r="AR359" s="4555"/>
      <c r="AS359" s="4556"/>
      <c r="AT359" s="4556"/>
      <c r="AU359" s="4556"/>
      <c r="AV359" s="4556"/>
      <c r="AW359" s="4556"/>
      <c r="AX359" s="4556"/>
      <c r="AY359" s="4556"/>
      <c r="AZ359" s="4556"/>
      <c r="BA359" s="4556"/>
      <c r="BB359" s="4556"/>
      <c r="BC359" s="4556"/>
      <c r="BD359" s="4556"/>
      <c r="BE359" s="4556"/>
      <c r="BF359" s="4556"/>
      <c r="BG359" s="4556"/>
      <c r="BH359" s="4556"/>
      <c r="BI359" s="4556"/>
      <c r="BJ359" s="4556"/>
      <c r="BK359" s="4556"/>
      <c r="BL359" s="4556"/>
      <c r="BM359" s="4556"/>
      <c r="BN359" s="4556"/>
      <c r="BO359" s="4556"/>
      <c r="BP359" s="4556"/>
      <c r="BQ359" s="4556"/>
      <c r="BR359" s="4556"/>
      <c r="BS359" s="4556"/>
      <c r="BT359" s="4556"/>
      <c r="BU359" s="4556"/>
      <c r="BV359" s="4556"/>
      <c r="BW359" s="4556"/>
      <c r="BX359" s="4556"/>
      <c r="BY359" s="4556"/>
      <c r="BZ359" s="4556"/>
      <c r="CA359" s="4556"/>
      <c r="CB359" s="4556"/>
      <c r="CC359" s="4556"/>
      <c r="CD359" s="4556"/>
      <c r="CE359" s="4556"/>
      <c r="CF359" s="4556"/>
      <c r="CG359" s="4556"/>
      <c r="CH359" s="4556"/>
      <c r="CI359" s="4556"/>
      <c r="CJ359" s="4556"/>
      <c r="CK359" s="4556"/>
      <c r="CL359" s="4556"/>
      <c r="CM359" s="4556"/>
      <c r="CN359" s="4556"/>
      <c r="CO359" s="4556"/>
      <c r="CP359" s="4556"/>
      <c r="CQ359" s="4556"/>
      <c r="CR359" s="4556"/>
      <c r="CS359" s="4556"/>
      <c r="CT359" s="4556"/>
      <c r="CU359" s="4556"/>
      <c r="CV359" s="4556"/>
      <c r="CW359" s="4556"/>
      <c r="CX359" s="4556"/>
      <c r="CY359" s="4556"/>
      <c r="CZ359" s="4556"/>
      <c r="DA359" s="4556"/>
      <c r="DB359" s="4556"/>
      <c r="DC359" s="4556"/>
      <c r="DD359" s="4556"/>
      <c r="DE359" s="4556"/>
      <c r="DF359" s="4556"/>
      <c r="DG359" s="4556"/>
      <c r="DH359" s="4556"/>
      <c r="DI359" s="4556"/>
      <c r="DJ359" s="4556"/>
      <c r="DK359" s="4556"/>
      <c r="DL359" s="4556"/>
      <c r="DM359" s="4556"/>
      <c r="DN359" s="4556"/>
      <c r="DO359" s="4556"/>
      <c r="DP359" s="4556"/>
      <c r="DQ359" s="4556"/>
      <c r="DR359" s="4556"/>
      <c r="DS359" s="4556"/>
      <c r="DT359" s="4556"/>
      <c r="DU359" s="4556"/>
      <c r="DV359" s="4556"/>
      <c r="DW359" s="4556"/>
      <c r="DX359" s="4556"/>
      <c r="DY359" s="4556"/>
      <c r="DZ359" s="4556"/>
      <c r="EA359" s="4556"/>
      <c r="EB359" s="4556"/>
      <c r="EC359" s="4556"/>
      <c r="ED359" s="4556"/>
      <c r="EE359" s="4556"/>
      <c r="EF359" s="4556"/>
      <c r="EG359" s="4556"/>
      <c r="EH359" s="4556"/>
      <c r="EI359" s="4556"/>
      <c r="EJ359" s="4556"/>
      <c r="EK359" s="4556"/>
      <c r="EL359" s="4556"/>
      <c r="EM359" s="4556"/>
      <c r="EN359" s="4556"/>
      <c r="EO359" s="4556"/>
      <c r="EP359" s="4556"/>
      <c r="EQ359" s="4556"/>
      <c r="ER359" s="4556"/>
      <c r="ES359" s="4556"/>
      <c r="ET359" s="4556"/>
      <c r="EU359" s="4556"/>
      <c r="EV359" s="4556"/>
      <c r="EW359" s="4556"/>
      <c r="EX359" s="4556"/>
      <c r="EY359" s="4556"/>
      <c r="EZ359" s="4556"/>
      <c r="FA359" s="4556"/>
      <c r="FB359" s="4556"/>
      <c r="FC359" s="4556"/>
      <c r="FD359" s="4556"/>
      <c r="FE359" s="4556"/>
      <c r="FF359" s="4556"/>
      <c r="FG359" s="4556"/>
      <c r="FH359" s="4556"/>
      <c r="FI359" s="4556"/>
      <c r="FJ359" s="4556"/>
      <c r="FK359" s="4556"/>
      <c r="FL359" s="4556"/>
      <c r="FM359" s="4556"/>
      <c r="FN359" s="4556"/>
      <c r="FO359" s="4556"/>
      <c r="FP359" s="4556"/>
      <c r="FQ359" s="4556"/>
      <c r="FR359" s="4556"/>
      <c r="FS359" s="4556"/>
      <c r="FT359" s="4556"/>
      <c r="FU359" s="4556"/>
      <c r="FV359" s="4556"/>
      <c r="FW359" s="4556"/>
      <c r="FX359" s="4556"/>
      <c r="FY359" s="4556"/>
      <c r="FZ359" s="4556"/>
      <c r="GA359" s="4556"/>
      <c r="GB359" s="4556"/>
      <c r="GC359" s="4556"/>
      <c r="GD359" s="4556"/>
      <c r="GE359" s="4556"/>
      <c r="GF359" s="4556"/>
      <c r="GG359" s="4556"/>
      <c r="GH359" s="4556"/>
      <c r="GI359" s="4556"/>
      <c r="GJ359" s="4556"/>
      <c r="GK359" s="4556"/>
      <c r="GL359" s="4556"/>
      <c r="GM359" s="4556"/>
      <c r="GN359" s="4556"/>
      <c r="GO359" s="4556"/>
      <c r="GP359" s="4556"/>
      <c r="GQ359" s="4556"/>
      <c r="GR359" s="4556"/>
      <c r="GS359" s="4556"/>
      <c r="GT359" s="4556"/>
      <c r="GU359" s="4556"/>
      <c r="GV359" s="4556"/>
      <c r="GW359" s="4556"/>
      <c r="GX359" s="4556"/>
      <c r="GY359" s="4556"/>
      <c r="GZ359" s="4556"/>
      <c r="HA359" s="4556"/>
      <c r="HB359" s="4556"/>
      <c r="HC359" s="4556"/>
      <c r="HD359" s="4556"/>
      <c r="HE359" s="4556"/>
      <c r="HF359" s="4556"/>
      <c r="HG359" s="4556"/>
      <c r="HH359" s="4556"/>
      <c r="HI359" s="4556"/>
      <c r="HJ359" s="4556"/>
      <c r="HK359" s="4556"/>
      <c r="HL359" s="4556"/>
      <c r="HM359" s="4556"/>
      <c r="HN359" s="4556"/>
      <c r="HO359" s="4556"/>
      <c r="HP359" s="4556"/>
      <c r="HQ359" s="4556"/>
      <c r="HR359" s="4556"/>
      <c r="HS359" s="4556"/>
      <c r="HT359" s="4556"/>
      <c r="HU359" s="4556"/>
      <c r="HV359" s="4556"/>
      <c r="HW359" s="4556"/>
      <c r="HX359" s="4556"/>
      <c r="HY359" s="4556"/>
      <c r="HZ359" s="4556"/>
      <c r="IA359" s="4556"/>
      <c r="IB359" s="4556"/>
      <c r="IC359" s="4556"/>
      <c r="ID359" s="4556"/>
      <c r="IE359" s="4556"/>
    </row>
    <row r="360" spans="1:239" s="4538" customFormat="1" ht="13.5" customHeight="1">
      <c r="A360" s="4654" t="s">
        <v>4239</v>
      </c>
      <c r="B360" s="4635" t="s">
        <v>4240</v>
      </c>
      <c r="C360" s="4773">
        <v>231</v>
      </c>
      <c r="D360" s="4707" t="s">
        <v>2432</v>
      </c>
      <c r="E360" s="5006"/>
      <c r="F360" s="4589">
        <f>ROUND(C360*E360,2)</f>
        <v>0</v>
      </c>
      <c r="G360" s="4555"/>
      <c r="H360" s="4555"/>
      <c r="I360" s="4555"/>
      <c r="J360" s="4555"/>
      <c r="K360" s="4555"/>
      <c r="L360" s="4555"/>
      <c r="M360" s="4555"/>
      <c r="N360" s="4555"/>
      <c r="O360" s="4555"/>
      <c r="P360" s="4555"/>
      <c r="Q360" s="4555"/>
      <c r="R360" s="4555"/>
      <c r="S360" s="4555"/>
      <c r="T360" s="4555"/>
      <c r="U360" s="4555"/>
      <c r="V360" s="4555"/>
      <c r="W360" s="4555"/>
      <c r="X360" s="4555"/>
      <c r="Y360" s="4555"/>
      <c r="Z360" s="4555"/>
      <c r="AA360" s="4555"/>
      <c r="AB360" s="4555"/>
      <c r="AC360" s="4555"/>
      <c r="AD360" s="4555"/>
      <c r="AE360" s="4555"/>
      <c r="AF360" s="4555"/>
      <c r="AG360" s="4555"/>
      <c r="AH360" s="4555"/>
      <c r="AI360" s="4555"/>
      <c r="AJ360" s="4555"/>
      <c r="AK360" s="4555"/>
      <c r="AL360" s="4555"/>
      <c r="AM360" s="4555"/>
      <c r="AN360" s="4555"/>
      <c r="AO360" s="4555"/>
      <c r="AP360" s="4555"/>
      <c r="AQ360" s="4555"/>
      <c r="AR360" s="4555"/>
      <c r="AS360" s="4556"/>
      <c r="AT360" s="4556"/>
      <c r="AU360" s="4556"/>
      <c r="AV360" s="4556"/>
      <c r="AW360" s="4556"/>
      <c r="AX360" s="4556"/>
      <c r="AY360" s="4556"/>
      <c r="AZ360" s="4556"/>
      <c r="BA360" s="4556"/>
      <c r="BB360" s="4556"/>
      <c r="BC360" s="4556"/>
      <c r="BD360" s="4556"/>
      <c r="BE360" s="4556"/>
      <c r="BF360" s="4556"/>
      <c r="BG360" s="4556"/>
      <c r="BH360" s="4556"/>
      <c r="BI360" s="4556"/>
      <c r="BJ360" s="4556"/>
      <c r="BK360" s="4556"/>
      <c r="BL360" s="4556"/>
      <c r="BM360" s="4556"/>
      <c r="BN360" s="4556"/>
      <c r="BO360" s="4556"/>
      <c r="BP360" s="4556"/>
      <c r="BQ360" s="4556"/>
      <c r="BR360" s="4556"/>
      <c r="BS360" s="4556"/>
      <c r="BT360" s="4556"/>
      <c r="BU360" s="4556"/>
      <c r="BV360" s="4556"/>
      <c r="BW360" s="4556"/>
      <c r="BX360" s="4556"/>
      <c r="BY360" s="4556"/>
      <c r="BZ360" s="4556"/>
      <c r="CA360" s="4556"/>
      <c r="CB360" s="4556"/>
      <c r="CC360" s="4556"/>
      <c r="CD360" s="4556"/>
      <c r="CE360" s="4556"/>
      <c r="CF360" s="4556"/>
      <c r="CG360" s="4556"/>
      <c r="CH360" s="4556"/>
      <c r="CI360" s="4556"/>
      <c r="CJ360" s="4556"/>
      <c r="CK360" s="4556"/>
      <c r="CL360" s="4556"/>
      <c r="CM360" s="4556"/>
      <c r="CN360" s="4556"/>
      <c r="CO360" s="4556"/>
      <c r="CP360" s="4556"/>
      <c r="CQ360" s="4556"/>
      <c r="CR360" s="4556"/>
      <c r="CS360" s="4556"/>
      <c r="CT360" s="4556"/>
      <c r="CU360" s="4556"/>
      <c r="CV360" s="4556"/>
      <c r="CW360" s="4556"/>
      <c r="CX360" s="4556"/>
      <c r="CY360" s="4556"/>
      <c r="CZ360" s="4556"/>
      <c r="DA360" s="4556"/>
      <c r="DB360" s="4556"/>
      <c r="DC360" s="4556"/>
      <c r="DD360" s="4556"/>
      <c r="DE360" s="4556"/>
      <c r="DF360" s="4556"/>
      <c r="DG360" s="4556"/>
      <c r="DH360" s="4556"/>
      <c r="DI360" s="4556"/>
      <c r="DJ360" s="4556"/>
      <c r="DK360" s="4556"/>
      <c r="DL360" s="4556"/>
      <c r="DM360" s="4556"/>
      <c r="DN360" s="4556"/>
      <c r="DO360" s="4556"/>
      <c r="DP360" s="4556"/>
      <c r="DQ360" s="4556"/>
      <c r="DR360" s="4556"/>
      <c r="DS360" s="4556"/>
      <c r="DT360" s="4556"/>
      <c r="DU360" s="4556"/>
      <c r="DV360" s="4556"/>
      <c r="DW360" s="4556"/>
      <c r="DX360" s="4556"/>
      <c r="DY360" s="4556"/>
      <c r="DZ360" s="4556"/>
      <c r="EA360" s="4556"/>
      <c r="EB360" s="4556"/>
      <c r="EC360" s="4556"/>
      <c r="ED360" s="4556"/>
      <c r="EE360" s="4556"/>
      <c r="EF360" s="4556"/>
      <c r="EG360" s="4556"/>
      <c r="EH360" s="4556"/>
      <c r="EI360" s="4556"/>
      <c r="EJ360" s="4556"/>
      <c r="EK360" s="4556"/>
      <c r="EL360" s="4556"/>
      <c r="EM360" s="4556"/>
      <c r="EN360" s="4556"/>
      <c r="EO360" s="4556"/>
      <c r="EP360" s="4556"/>
      <c r="EQ360" s="4556"/>
      <c r="ER360" s="4556"/>
      <c r="ES360" s="4556"/>
      <c r="ET360" s="4556"/>
      <c r="EU360" s="4556"/>
      <c r="EV360" s="4556"/>
      <c r="EW360" s="4556"/>
      <c r="EX360" s="4556"/>
      <c r="EY360" s="4556"/>
      <c r="EZ360" s="4556"/>
      <c r="FA360" s="4556"/>
      <c r="FB360" s="4556"/>
      <c r="FC360" s="4556"/>
      <c r="FD360" s="4556"/>
      <c r="FE360" s="4556"/>
      <c r="FF360" s="4556"/>
      <c r="FG360" s="4556"/>
      <c r="FH360" s="4556"/>
      <c r="FI360" s="4556"/>
      <c r="FJ360" s="4556"/>
      <c r="FK360" s="4556"/>
      <c r="FL360" s="4556"/>
      <c r="FM360" s="4556"/>
      <c r="FN360" s="4556"/>
      <c r="FO360" s="4556"/>
      <c r="FP360" s="4556"/>
      <c r="FQ360" s="4556"/>
      <c r="FR360" s="4556"/>
      <c r="FS360" s="4556"/>
      <c r="FT360" s="4556"/>
      <c r="FU360" s="4556"/>
      <c r="FV360" s="4556"/>
      <c r="FW360" s="4556"/>
      <c r="FX360" s="4556"/>
      <c r="FY360" s="4556"/>
      <c r="FZ360" s="4556"/>
      <c r="GA360" s="4556"/>
      <c r="GB360" s="4556"/>
      <c r="GC360" s="4556"/>
      <c r="GD360" s="4556"/>
      <c r="GE360" s="4556"/>
      <c r="GF360" s="4556"/>
      <c r="GG360" s="4556"/>
      <c r="GH360" s="4556"/>
      <c r="GI360" s="4556"/>
      <c r="GJ360" s="4556"/>
      <c r="GK360" s="4556"/>
      <c r="GL360" s="4556"/>
      <c r="GM360" s="4556"/>
      <c r="GN360" s="4556"/>
      <c r="GO360" s="4556"/>
      <c r="GP360" s="4556"/>
      <c r="GQ360" s="4556"/>
      <c r="GR360" s="4556"/>
      <c r="GS360" s="4556"/>
      <c r="GT360" s="4556"/>
      <c r="GU360" s="4556"/>
      <c r="GV360" s="4556"/>
      <c r="GW360" s="4556"/>
      <c r="GX360" s="4556"/>
      <c r="GY360" s="4556"/>
      <c r="GZ360" s="4556"/>
      <c r="HA360" s="4556"/>
      <c r="HB360" s="4556"/>
      <c r="HC360" s="4556"/>
      <c r="HD360" s="4556"/>
      <c r="HE360" s="4556"/>
      <c r="HF360" s="4556"/>
      <c r="HG360" s="4556"/>
      <c r="HH360" s="4556"/>
      <c r="HI360" s="4556"/>
      <c r="HJ360" s="4556"/>
      <c r="HK360" s="4556"/>
      <c r="HL360" s="4556"/>
      <c r="HM360" s="4556"/>
      <c r="HN360" s="4556"/>
      <c r="HO360" s="4556"/>
      <c r="HP360" s="4556"/>
      <c r="HQ360" s="4556"/>
      <c r="HR360" s="4556"/>
      <c r="HS360" s="4556"/>
      <c r="HT360" s="4556"/>
      <c r="HU360" s="4556"/>
      <c r="HV360" s="4556"/>
      <c r="HW360" s="4556"/>
      <c r="HX360" s="4556"/>
      <c r="HY360" s="4556"/>
      <c r="HZ360" s="4556"/>
      <c r="IA360" s="4556"/>
      <c r="IB360" s="4556"/>
      <c r="IC360" s="4556"/>
      <c r="ID360" s="4556"/>
      <c r="IE360" s="4556"/>
    </row>
    <row r="361" spans="1:239" s="4538" customFormat="1" ht="7.5" customHeight="1">
      <c r="A361" s="4654"/>
      <c r="B361" s="4531"/>
      <c r="C361" s="4773"/>
      <c r="D361" s="4775"/>
      <c r="E361" s="5006"/>
      <c r="F361" s="4589"/>
      <c r="G361" s="4555"/>
      <c r="H361" s="4555"/>
      <c r="I361" s="4555"/>
      <c r="J361" s="4555"/>
      <c r="K361" s="4555"/>
      <c r="L361" s="4555"/>
      <c r="M361" s="4555"/>
      <c r="N361" s="4555"/>
      <c r="O361" s="4555"/>
      <c r="P361" s="4555"/>
      <c r="Q361" s="4555"/>
      <c r="R361" s="4555"/>
      <c r="S361" s="4555"/>
      <c r="T361" s="4555"/>
      <c r="U361" s="4555"/>
      <c r="V361" s="4555"/>
      <c r="W361" s="4555"/>
      <c r="X361" s="4555"/>
      <c r="Y361" s="4555"/>
      <c r="Z361" s="4555"/>
      <c r="AA361" s="4555"/>
      <c r="AB361" s="4555"/>
      <c r="AC361" s="4555"/>
      <c r="AD361" s="4555"/>
      <c r="AE361" s="4555"/>
      <c r="AF361" s="4555"/>
      <c r="AG361" s="4555"/>
      <c r="AH361" s="4555"/>
      <c r="AI361" s="4555"/>
      <c r="AJ361" s="4555"/>
      <c r="AK361" s="4555"/>
      <c r="AL361" s="4555"/>
      <c r="AM361" s="4555"/>
      <c r="AN361" s="4555"/>
      <c r="AO361" s="4555"/>
      <c r="AP361" s="4555"/>
      <c r="AQ361" s="4555"/>
      <c r="AR361" s="4555"/>
      <c r="AS361" s="4556"/>
      <c r="AT361" s="4556"/>
      <c r="AU361" s="4556"/>
      <c r="AV361" s="4556"/>
      <c r="AW361" s="4556"/>
      <c r="AX361" s="4556"/>
      <c r="AY361" s="4556"/>
      <c r="AZ361" s="4556"/>
      <c r="BA361" s="4556"/>
      <c r="BB361" s="4556"/>
      <c r="BC361" s="4556"/>
      <c r="BD361" s="4556"/>
      <c r="BE361" s="4556"/>
      <c r="BF361" s="4556"/>
      <c r="BG361" s="4556"/>
      <c r="BH361" s="4556"/>
      <c r="BI361" s="4556"/>
      <c r="BJ361" s="4556"/>
      <c r="BK361" s="4556"/>
      <c r="BL361" s="4556"/>
      <c r="BM361" s="4556"/>
      <c r="BN361" s="4556"/>
      <c r="BO361" s="4556"/>
      <c r="BP361" s="4556"/>
      <c r="BQ361" s="4556"/>
      <c r="BR361" s="4556"/>
      <c r="BS361" s="4556"/>
      <c r="BT361" s="4556"/>
      <c r="BU361" s="4556"/>
      <c r="BV361" s="4556"/>
      <c r="BW361" s="4556"/>
      <c r="BX361" s="4556"/>
      <c r="BY361" s="4556"/>
      <c r="BZ361" s="4556"/>
      <c r="CA361" s="4556"/>
      <c r="CB361" s="4556"/>
      <c r="CC361" s="4556"/>
      <c r="CD361" s="4556"/>
      <c r="CE361" s="4556"/>
      <c r="CF361" s="4556"/>
      <c r="CG361" s="4556"/>
      <c r="CH361" s="4556"/>
      <c r="CI361" s="4556"/>
      <c r="CJ361" s="4556"/>
      <c r="CK361" s="4556"/>
      <c r="CL361" s="4556"/>
      <c r="CM361" s="4556"/>
      <c r="CN361" s="4556"/>
      <c r="CO361" s="4556"/>
      <c r="CP361" s="4556"/>
      <c r="CQ361" s="4556"/>
      <c r="CR361" s="4556"/>
      <c r="CS361" s="4556"/>
      <c r="CT361" s="4556"/>
      <c r="CU361" s="4556"/>
      <c r="CV361" s="4556"/>
      <c r="CW361" s="4556"/>
      <c r="CX361" s="4556"/>
      <c r="CY361" s="4556"/>
      <c r="CZ361" s="4556"/>
      <c r="DA361" s="4556"/>
      <c r="DB361" s="4556"/>
      <c r="DC361" s="4556"/>
      <c r="DD361" s="4556"/>
      <c r="DE361" s="4556"/>
      <c r="DF361" s="4556"/>
      <c r="DG361" s="4556"/>
      <c r="DH361" s="4556"/>
      <c r="DI361" s="4556"/>
      <c r="DJ361" s="4556"/>
      <c r="DK361" s="4556"/>
      <c r="DL361" s="4556"/>
      <c r="DM361" s="4556"/>
      <c r="DN361" s="4556"/>
      <c r="DO361" s="4556"/>
      <c r="DP361" s="4556"/>
      <c r="DQ361" s="4556"/>
      <c r="DR361" s="4556"/>
      <c r="DS361" s="4556"/>
      <c r="DT361" s="4556"/>
      <c r="DU361" s="4556"/>
      <c r="DV361" s="4556"/>
      <c r="DW361" s="4556"/>
      <c r="DX361" s="4556"/>
      <c r="DY361" s="4556"/>
      <c r="DZ361" s="4556"/>
      <c r="EA361" s="4556"/>
      <c r="EB361" s="4556"/>
      <c r="EC361" s="4556"/>
      <c r="ED361" s="4556"/>
      <c r="EE361" s="4556"/>
      <c r="EF361" s="4556"/>
      <c r="EG361" s="4556"/>
      <c r="EH361" s="4556"/>
      <c r="EI361" s="4556"/>
      <c r="EJ361" s="4556"/>
      <c r="EK361" s="4556"/>
      <c r="EL361" s="4556"/>
      <c r="EM361" s="4556"/>
      <c r="EN361" s="4556"/>
      <c r="EO361" s="4556"/>
      <c r="EP361" s="4556"/>
      <c r="EQ361" s="4556"/>
      <c r="ER361" s="4556"/>
      <c r="ES361" s="4556"/>
      <c r="ET361" s="4556"/>
      <c r="EU361" s="4556"/>
      <c r="EV361" s="4556"/>
      <c r="EW361" s="4556"/>
      <c r="EX361" s="4556"/>
      <c r="EY361" s="4556"/>
      <c r="EZ361" s="4556"/>
      <c r="FA361" s="4556"/>
      <c r="FB361" s="4556"/>
      <c r="FC361" s="4556"/>
      <c r="FD361" s="4556"/>
      <c r="FE361" s="4556"/>
      <c r="FF361" s="4556"/>
      <c r="FG361" s="4556"/>
      <c r="FH361" s="4556"/>
      <c r="FI361" s="4556"/>
      <c r="FJ361" s="4556"/>
      <c r="FK361" s="4556"/>
      <c r="FL361" s="4556"/>
      <c r="FM361" s="4556"/>
      <c r="FN361" s="4556"/>
      <c r="FO361" s="4556"/>
      <c r="FP361" s="4556"/>
      <c r="FQ361" s="4556"/>
      <c r="FR361" s="4556"/>
      <c r="FS361" s="4556"/>
      <c r="FT361" s="4556"/>
      <c r="FU361" s="4556"/>
      <c r="FV361" s="4556"/>
      <c r="FW361" s="4556"/>
      <c r="FX361" s="4556"/>
      <c r="FY361" s="4556"/>
      <c r="FZ361" s="4556"/>
      <c r="GA361" s="4556"/>
      <c r="GB361" s="4556"/>
      <c r="GC361" s="4556"/>
      <c r="GD361" s="4556"/>
      <c r="GE361" s="4556"/>
      <c r="GF361" s="4556"/>
      <c r="GG361" s="4556"/>
      <c r="GH361" s="4556"/>
      <c r="GI361" s="4556"/>
      <c r="GJ361" s="4556"/>
      <c r="GK361" s="4556"/>
      <c r="GL361" s="4556"/>
      <c r="GM361" s="4556"/>
      <c r="GN361" s="4556"/>
      <c r="GO361" s="4556"/>
      <c r="GP361" s="4556"/>
      <c r="GQ361" s="4556"/>
      <c r="GR361" s="4556"/>
      <c r="GS361" s="4556"/>
      <c r="GT361" s="4556"/>
      <c r="GU361" s="4556"/>
      <c r="GV361" s="4556"/>
      <c r="GW361" s="4556"/>
      <c r="GX361" s="4556"/>
      <c r="GY361" s="4556"/>
      <c r="GZ361" s="4556"/>
      <c r="HA361" s="4556"/>
      <c r="HB361" s="4556"/>
      <c r="HC361" s="4556"/>
      <c r="HD361" s="4556"/>
      <c r="HE361" s="4556"/>
      <c r="HF361" s="4556"/>
      <c r="HG361" s="4556"/>
      <c r="HH361" s="4556"/>
      <c r="HI361" s="4556"/>
      <c r="HJ361" s="4556"/>
      <c r="HK361" s="4556"/>
      <c r="HL361" s="4556"/>
      <c r="HM361" s="4556"/>
      <c r="HN361" s="4556"/>
      <c r="HO361" s="4556"/>
      <c r="HP361" s="4556"/>
      <c r="HQ361" s="4556"/>
      <c r="HR361" s="4556"/>
      <c r="HS361" s="4556"/>
      <c r="HT361" s="4556"/>
      <c r="HU361" s="4556"/>
      <c r="HV361" s="4556"/>
      <c r="HW361" s="4556"/>
      <c r="HX361" s="4556"/>
      <c r="HY361" s="4556"/>
      <c r="HZ361" s="4556"/>
      <c r="IA361" s="4556"/>
      <c r="IB361" s="4556"/>
      <c r="IC361" s="4556"/>
      <c r="ID361" s="4556"/>
      <c r="IE361" s="4556"/>
    </row>
    <row r="362" spans="1:239" s="4538" customFormat="1" ht="12.75" customHeight="1">
      <c r="A362" s="4680">
        <v>6</v>
      </c>
      <c r="B362" s="4637" t="s">
        <v>2284</v>
      </c>
      <c r="C362" s="4773"/>
      <c r="D362" s="4775"/>
      <c r="E362" s="5006"/>
      <c r="F362" s="4589"/>
      <c r="G362" s="4555"/>
      <c r="H362" s="4555"/>
      <c r="I362" s="4555"/>
      <c r="J362" s="4555"/>
      <c r="K362" s="4555"/>
      <c r="L362" s="4555"/>
      <c r="M362" s="4555"/>
      <c r="N362" s="4555"/>
      <c r="O362" s="4555"/>
      <c r="P362" s="4555"/>
      <c r="Q362" s="4555"/>
      <c r="R362" s="4555"/>
      <c r="S362" s="4555"/>
      <c r="T362" s="4555"/>
      <c r="U362" s="4555"/>
      <c r="V362" s="4555"/>
      <c r="W362" s="4555"/>
      <c r="X362" s="4555"/>
      <c r="Y362" s="4555"/>
      <c r="Z362" s="4555"/>
      <c r="AA362" s="4555"/>
      <c r="AB362" s="4555"/>
      <c r="AC362" s="4555"/>
      <c r="AD362" s="4555"/>
      <c r="AE362" s="4555"/>
      <c r="AF362" s="4555"/>
      <c r="AG362" s="4555"/>
      <c r="AH362" s="4555"/>
      <c r="AI362" s="4555"/>
      <c r="AJ362" s="4555"/>
      <c r="AK362" s="4555"/>
      <c r="AL362" s="4555"/>
      <c r="AM362" s="4555"/>
      <c r="AN362" s="4555"/>
      <c r="AO362" s="4555"/>
      <c r="AP362" s="4555"/>
      <c r="AQ362" s="4555"/>
      <c r="AR362" s="4555"/>
      <c r="AS362" s="4556"/>
      <c r="AT362" s="4556"/>
      <c r="AU362" s="4556"/>
      <c r="AV362" s="4556"/>
      <c r="AW362" s="4556"/>
      <c r="AX362" s="4556"/>
      <c r="AY362" s="4556"/>
      <c r="AZ362" s="4556"/>
      <c r="BA362" s="4556"/>
      <c r="BB362" s="4556"/>
      <c r="BC362" s="4556"/>
      <c r="BD362" s="4556"/>
      <c r="BE362" s="4556"/>
      <c r="BF362" s="4556"/>
      <c r="BG362" s="4556"/>
      <c r="BH362" s="4556"/>
      <c r="BI362" s="4556"/>
      <c r="BJ362" s="4556"/>
      <c r="BK362" s="4556"/>
      <c r="BL362" s="4556"/>
      <c r="BM362" s="4556"/>
      <c r="BN362" s="4556"/>
      <c r="BO362" s="4556"/>
      <c r="BP362" s="4556"/>
      <c r="BQ362" s="4556"/>
      <c r="BR362" s="4556"/>
      <c r="BS362" s="4556"/>
      <c r="BT362" s="4556"/>
      <c r="BU362" s="4556"/>
      <c r="BV362" s="4556"/>
      <c r="BW362" s="4556"/>
      <c r="BX362" s="4556"/>
      <c r="BY362" s="4556"/>
      <c r="BZ362" s="4556"/>
      <c r="CA362" s="4556"/>
      <c r="CB362" s="4556"/>
      <c r="CC362" s="4556"/>
      <c r="CD362" s="4556"/>
      <c r="CE362" s="4556"/>
      <c r="CF362" s="4556"/>
      <c r="CG362" s="4556"/>
      <c r="CH362" s="4556"/>
      <c r="CI362" s="4556"/>
      <c r="CJ362" s="4556"/>
      <c r="CK362" s="4556"/>
      <c r="CL362" s="4556"/>
      <c r="CM362" s="4556"/>
      <c r="CN362" s="4556"/>
      <c r="CO362" s="4556"/>
      <c r="CP362" s="4556"/>
      <c r="CQ362" s="4556"/>
      <c r="CR362" s="4556"/>
      <c r="CS362" s="4556"/>
      <c r="CT362" s="4556"/>
      <c r="CU362" s="4556"/>
      <c r="CV362" s="4556"/>
      <c r="CW362" s="4556"/>
      <c r="CX362" s="4556"/>
      <c r="CY362" s="4556"/>
      <c r="CZ362" s="4556"/>
      <c r="DA362" s="4556"/>
      <c r="DB362" s="4556"/>
      <c r="DC362" s="4556"/>
      <c r="DD362" s="4556"/>
      <c r="DE362" s="4556"/>
      <c r="DF362" s="4556"/>
      <c r="DG362" s="4556"/>
      <c r="DH362" s="4556"/>
      <c r="DI362" s="4556"/>
      <c r="DJ362" s="4556"/>
      <c r="DK362" s="4556"/>
      <c r="DL362" s="4556"/>
      <c r="DM362" s="4556"/>
      <c r="DN362" s="4556"/>
      <c r="DO362" s="4556"/>
      <c r="DP362" s="4556"/>
      <c r="DQ362" s="4556"/>
      <c r="DR362" s="4556"/>
      <c r="DS362" s="4556"/>
      <c r="DT362" s="4556"/>
      <c r="DU362" s="4556"/>
      <c r="DV362" s="4556"/>
      <c r="DW362" s="4556"/>
      <c r="DX362" s="4556"/>
      <c r="DY362" s="4556"/>
      <c r="DZ362" s="4556"/>
      <c r="EA362" s="4556"/>
      <c r="EB362" s="4556"/>
      <c r="EC362" s="4556"/>
      <c r="ED362" s="4556"/>
      <c r="EE362" s="4556"/>
      <c r="EF362" s="4556"/>
      <c r="EG362" s="4556"/>
      <c r="EH362" s="4556"/>
      <c r="EI362" s="4556"/>
      <c r="EJ362" s="4556"/>
      <c r="EK362" s="4556"/>
      <c r="EL362" s="4556"/>
      <c r="EM362" s="4556"/>
      <c r="EN362" s="4556"/>
      <c r="EO362" s="4556"/>
      <c r="EP362" s="4556"/>
      <c r="EQ362" s="4556"/>
      <c r="ER362" s="4556"/>
      <c r="ES362" s="4556"/>
      <c r="ET362" s="4556"/>
      <c r="EU362" s="4556"/>
      <c r="EV362" s="4556"/>
      <c r="EW362" s="4556"/>
      <c r="EX362" s="4556"/>
      <c r="EY362" s="4556"/>
      <c r="EZ362" s="4556"/>
      <c r="FA362" s="4556"/>
      <c r="FB362" s="4556"/>
      <c r="FC362" s="4556"/>
      <c r="FD362" s="4556"/>
      <c r="FE362" s="4556"/>
      <c r="FF362" s="4556"/>
      <c r="FG362" s="4556"/>
      <c r="FH362" s="4556"/>
      <c r="FI362" s="4556"/>
      <c r="FJ362" s="4556"/>
      <c r="FK362" s="4556"/>
      <c r="FL362" s="4556"/>
      <c r="FM362" s="4556"/>
      <c r="FN362" s="4556"/>
      <c r="FO362" s="4556"/>
      <c r="FP362" s="4556"/>
      <c r="FQ362" s="4556"/>
      <c r="FR362" s="4556"/>
      <c r="FS362" s="4556"/>
      <c r="FT362" s="4556"/>
      <c r="FU362" s="4556"/>
      <c r="FV362" s="4556"/>
      <c r="FW362" s="4556"/>
      <c r="FX362" s="4556"/>
      <c r="FY362" s="4556"/>
      <c r="FZ362" s="4556"/>
      <c r="GA362" s="4556"/>
      <c r="GB362" s="4556"/>
      <c r="GC362" s="4556"/>
      <c r="GD362" s="4556"/>
      <c r="GE362" s="4556"/>
      <c r="GF362" s="4556"/>
      <c r="GG362" s="4556"/>
      <c r="GH362" s="4556"/>
      <c r="GI362" s="4556"/>
      <c r="GJ362" s="4556"/>
      <c r="GK362" s="4556"/>
      <c r="GL362" s="4556"/>
      <c r="GM362" s="4556"/>
      <c r="GN362" s="4556"/>
      <c r="GO362" s="4556"/>
      <c r="GP362" s="4556"/>
      <c r="GQ362" s="4556"/>
      <c r="GR362" s="4556"/>
      <c r="GS362" s="4556"/>
      <c r="GT362" s="4556"/>
      <c r="GU362" s="4556"/>
      <c r="GV362" s="4556"/>
      <c r="GW362" s="4556"/>
      <c r="GX362" s="4556"/>
      <c r="GY362" s="4556"/>
      <c r="GZ362" s="4556"/>
      <c r="HA362" s="4556"/>
      <c r="HB362" s="4556"/>
      <c r="HC362" s="4556"/>
      <c r="HD362" s="4556"/>
      <c r="HE362" s="4556"/>
      <c r="HF362" s="4556"/>
      <c r="HG362" s="4556"/>
      <c r="HH362" s="4556"/>
      <c r="HI362" s="4556"/>
      <c r="HJ362" s="4556"/>
      <c r="HK362" s="4556"/>
      <c r="HL362" s="4556"/>
      <c r="HM362" s="4556"/>
      <c r="HN362" s="4556"/>
      <c r="HO362" s="4556"/>
      <c r="HP362" s="4556"/>
      <c r="HQ362" s="4556"/>
      <c r="HR362" s="4556"/>
      <c r="HS362" s="4556"/>
      <c r="HT362" s="4556"/>
      <c r="HU362" s="4556"/>
      <c r="HV362" s="4556"/>
      <c r="HW362" s="4556"/>
      <c r="HX362" s="4556"/>
      <c r="HY362" s="4556"/>
      <c r="HZ362" s="4556"/>
      <c r="IA362" s="4556"/>
      <c r="IB362" s="4556"/>
      <c r="IC362" s="4556"/>
      <c r="ID362" s="4556"/>
      <c r="IE362" s="4556"/>
    </row>
    <row r="363" spans="1:239" s="4538" customFormat="1" ht="13.5" customHeight="1">
      <c r="A363" s="4654">
        <v>6.1</v>
      </c>
      <c r="B363" s="4635" t="s">
        <v>4241</v>
      </c>
      <c r="C363" s="4773">
        <v>408</v>
      </c>
      <c r="D363" s="4707" t="s">
        <v>2432</v>
      </c>
      <c r="E363" s="5006"/>
      <c r="F363" s="4589">
        <f>ROUND(C363*E363,2)</f>
        <v>0</v>
      </c>
      <c r="G363" s="4555"/>
      <c r="H363" s="4555"/>
      <c r="I363" s="4555"/>
      <c r="J363" s="4555"/>
      <c r="K363" s="4555"/>
      <c r="L363" s="4555"/>
      <c r="M363" s="4555"/>
      <c r="N363" s="4555"/>
      <c r="O363" s="4555"/>
      <c r="P363" s="4555"/>
      <c r="Q363" s="4555"/>
      <c r="R363" s="4555"/>
      <c r="S363" s="4555"/>
      <c r="T363" s="4555"/>
      <c r="U363" s="4555"/>
      <c r="V363" s="4555"/>
      <c r="W363" s="4555"/>
      <c r="X363" s="4555"/>
      <c r="Y363" s="4555"/>
      <c r="Z363" s="4555"/>
      <c r="AA363" s="4555"/>
      <c r="AB363" s="4555"/>
      <c r="AC363" s="4555"/>
      <c r="AD363" s="4555"/>
      <c r="AE363" s="4555"/>
      <c r="AF363" s="4555"/>
      <c r="AG363" s="4555"/>
      <c r="AH363" s="4555"/>
      <c r="AI363" s="4555"/>
      <c r="AJ363" s="4555"/>
      <c r="AK363" s="4555"/>
      <c r="AL363" s="4555"/>
      <c r="AM363" s="4555"/>
      <c r="AN363" s="4555"/>
      <c r="AO363" s="4555"/>
      <c r="AP363" s="4555"/>
      <c r="AQ363" s="4555"/>
      <c r="AR363" s="4555"/>
      <c r="AS363" s="4556"/>
      <c r="AT363" s="4556"/>
      <c r="AU363" s="4556"/>
      <c r="AV363" s="4556"/>
      <c r="AW363" s="4556"/>
      <c r="AX363" s="4556"/>
      <c r="AY363" s="4556"/>
      <c r="AZ363" s="4556"/>
      <c r="BA363" s="4556"/>
      <c r="BB363" s="4556"/>
      <c r="BC363" s="4556"/>
      <c r="BD363" s="4556"/>
      <c r="BE363" s="4556"/>
      <c r="BF363" s="4556"/>
      <c r="BG363" s="4556"/>
      <c r="BH363" s="4556"/>
      <c r="BI363" s="4556"/>
      <c r="BJ363" s="4556"/>
      <c r="BK363" s="4556"/>
      <c r="BL363" s="4556"/>
      <c r="BM363" s="4556"/>
      <c r="BN363" s="4556"/>
      <c r="BO363" s="4556"/>
      <c r="BP363" s="4556"/>
      <c r="BQ363" s="4556"/>
      <c r="BR363" s="4556"/>
      <c r="BS363" s="4556"/>
      <c r="BT363" s="4556"/>
      <c r="BU363" s="4556"/>
      <c r="BV363" s="4556"/>
      <c r="BW363" s="4556"/>
      <c r="BX363" s="4556"/>
      <c r="BY363" s="4556"/>
      <c r="BZ363" s="4556"/>
      <c r="CA363" s="4556"/>
      <c r="CB363" s="4556"/>
      <c r="CC363" s="4556"/>
      <c r="CD363" s="4556"/>
      <c r="CE363" s="4556"/>
      <c r="CF363" s="4556"/>
      <c r="CG363" s="4556"/>
      <c r="CH363" s="4556"/>
      <c r="CI363" s="4556"/>
      <c r="CJ363" s="4556"/>
      <c r="CK363" s="4556"/>
      <c r="CL363" s="4556"/>
      <c r="CM363" s="4556"/>
      <c r="CN363" s="4556"/>
      <c r="CO363" s="4556"/>
      <c r="CP363" s="4556"/>
      <c r="CQ363" s="4556"/>
      <c r="CR363" s="4556"/>
      <c r="CS363" s="4556"/>
      <c r="CT363" s="4556"/>
      <c r="CU363" s="4556"/>
      <c r="CV363" s="4556"/>
      <c r="CW363" s="4556"/>
      <c r="CX363" s="4556"/>
      <c r="CY363" s="4556"/>
      <c r="CZ363" s="4556"/>
      <c r="DA363" s="4556"/>
      <c r="DB363" s="4556"/>
      <c r="DC363" s="4556"/>
      <c r="DD363" s="4556"/>
      <c r="DE363" s="4556"/>
      <c r="DF363" s="4556"/>
      <c r="DG363" s="4556"/>
      <c r="DH363" s="4556"/>
      <c r="DI363" s="4556"/>
      <c r="DJ363" s="4556"/>
      <c r="DK363" s="4556"/>
      <c r="DL363" s="4556"/>
      <c r="DM363" s="4556"/>
      <c r="DN363" s="4556"/>
      <c r="DO363" s="4556"/>
      <c r="DP363" s="4556"/>
      <c r="DQ363" s="4556"/>
      <c r="DR363" s="4556"/>
      <c r="DS363" s="4556"/>
      <c r="DT363" s="4556"/>
      <c r="DU363" s="4556"/>
      <c r="DV363" s="4556"/>
      <c r="DW363" s="4556"/>
      <c r="DX363" s="4556"/>
      <c r="DY363" s="4556"/>
      <c r="DZ363" s="4556"/>
      <c r="EA363" s="4556"/>
      <c r="EB363" s="4556"/>
      <c r="EC363" s="4556"/>
      <c r="ED363" s="4556"/>
      <c r="EE363" s="4556"/>
      <c r="EF363" s="4556"/>
      <c r="EG363" s="4556"/>
      <c r="EH363" s="4556"/>
      <c r="EI363" s="4556"/>
      <c r="EJ363" s="4556"/>
      <c r="EK363" s="4556"/>
      <c r="EL363" s="4556"/>
      <c r="EM363" s="4556"/>
      <c r="EN363" s="4556"/>
      <c r="EO363" s="4556"/>
      <c r="EP363" s="4556"/>
      <c r="EQ363" s="4556"/>
      <c r="ER363" s="4556"/>
      <c r="ES363" s="4556"/>
      <c r="ET363" s="4556"/>
      <c r="EU363" s="4556"/>
      <c r="EV363" s="4556"/>
      <c r="EW363" s="4556"/>
      <c r="EX363" s="4556"/>
      <c r="EY363" s="4556"/>
      <c r="EZ363" s="4556"/>
      <c r="FA363" s="4556"/>
      <c r="FB363" s="4556"/>
      <c r="FC363" s="4556"/>
      <c r="FD363" s="4556"/>
      <c r="FE363" s="4556"/>
      <c r="FF363" s="4556"/>
      <c r="FG363" s="4556"/>
      <c r="FH363" s="4556"/>
      <c r="FI363" s="4556"/>
      <c r="FJ363" s="4556"/>
      <c r="FK363" s="4556"/>
      <c r="FL363" s="4556"/>
      <c r="FM363" s="4556"/>
      <c r="FN363" s="4556"/>
      <c r="FO363" s="4556"/>
      <c r="FP363" s="4556"/>
      <c r="FQ363" s="4556"/>
      <c r="FR363" s="4556"/>
      <c r="FS363" s="4556"/>
      <c r="FT363" s="4556"/>
      <c r="FU363" s="4556"/>
      <c r="FV363" s="4556"/>
      <c r="FW363" s="4556"/>
      <c r="FX363" s="4556"/>
      <c r="FY363" s="4556"/>
      <c r="FZ363" s="4556"/>
      <c r="GA363" s="4556"/>
      <c r="GB363" s="4556"/>
      <c r="GC363" s="4556"/>
      <c r="GD363" s="4556"/>
      <c r="GE363" s="4556"/>
      <c r="GF363" s="4556"/>
      <c r="GG363" s="4556"/>
      <c r="GH363" s="4556"/>
      <c r="GI363" s="4556"/>
      <c r="GJ363" s="4556"/>
      <c r="GK363" s="4556"/>
      <c r="GL363" s="4556"/>
      <c r="GM363" s="4556"/>
      <c r="GN363" s="4556"/>
      <c r="GO363" s="4556"/>
      <c r="GP363" s="4556"/>
      <c r="GQ363" s="4556"/>
      <c r="GR363" s="4556"/>
      <c r="GS363" s="4556"/>
      <c r="GT363" s="4556"/>
      <c r="GU363" s="4556"/>
      <c r="GV363" s="4556"/>
      <c r="GW363" s="4556"/>
      <c r="GX363" s="4556"/>
      <c r="GY363" s="4556"/>
      <c r="GZ363" s="4556"/>
      <c r="HA363" s="4556"/>
      <c r="HB363" s="4556"/>
      <c r="HC363" s="4556"/>
      <c r="HD363" s="4556"/>
      <c r="HE363" s="4556"/>
      <c r="HF363" s="4556"/>
      <c r="HG363" s="4556"/>
      <c r="HH363" s="4556"/>
      <c r="HI363" s="4556"/>
      <c r="HJ363" s="4556"/>
      <c r="HK363" s="4556"/>
      <c r="HL363" s="4556"/>
      <c r="HM363" s="4556"/>
      <c r="HN363" s="4556"/>
      <c r="HO363" s="4556"/>
      <c r="HP363" s="4556"/>
      <c r="HQ363" s="4556"/>
      <c r="HR363" s="4556"/>
      <c r="HS363" s="4556"/>
      <c r="HT363" s="4556"/>
      <c r="HU363" s="4556"/>
      <c r="HV363" s="4556"/>
      <c r="HW363" s="4556"/>
      <c r="HX363" s="4556"/>
      <c r="HY363" s="4556"/>
      <c r="HZ363" s="4556"/>
      <c r="IA363" s="4556"/>
      <c r="IB363" s="4556"/>
      <c r="IC363" s="4556"/>
      <c r="ID363" s="4556"/>
      <c r="IE363" s="4556"/>
    </row>
    <row r="364" spans="1:239" s="4538" customFormat="1" ht="13.5" customHeight="1">
      <c r="A364" s="4708">
        <v>6.2</v>
      </c>
      <c r="B364" s="4635" t="s">
        <v>4671</v>
      </c>
      <c r="C364" s="4773">
        <v>489.6</v>
      </c>
      <c r="D364" s="4707" t="s">
        <v>2432</v>
      </c>
      <c r="E364" s="5006"/>
      <c r="F364" s="4589">
        <f>ROUND(C364*E364,2)</f>
        <v>0</v>
      </c>
      <c r="G364" s="4555"/>
      <c r="H364" s="4555"/>
      <c r="I364" s="4555"/>
      <c r="J364" s="4555"/>
      <c r="K364" s="4555"/>
      <c r="L364" s="4555"/>
      <c r="M364" s="4555"/>
      <c r="N364" s="4555"/>
      <c r="O364" s="4555"/>
      <c r="P364" s="4555"/>
      <c r="Q364" s="4555"/>
      <c r="R364" s="4555"/>
      <c r="S364" s="4555"/>
      <c r="T364" s="4555"/>
      <c r="U364" s="4555"/>
      <c r="V364" s="4555"/>
      <c r="W364" s="4555"/>
      <c r="X364" s="4555"/>
      <c r="Y364" s="4555"/>
      <c r="Z364" s="4555"/>
      <c r="AA364" s="4555"/>
      <c r="AB364" s="4555"/>
      <c r="AC364" s="4555"/>
      <c r="AD364" s="4555"/>
      <c r="AE364" s="4555"/>
      <c r="AF364" s="4555"/>
      <c r="AG364" s="4555"/>
      <c r="AH364" s="4555"/>
      <c r="AI364" s="4555"/>
      <c r="AJ364" s="4555"/>
      <c r="AK364" s="4555"/>
      <c r="AL364" s="4555"/>
      <c r="AM364" s="4555"/>
      <c r="AN364" s="4555"/>
      <c r="AO364" s="4555"/>
      <c r="AP364" s="4555"/>
      <c r="AQ364" s="4555"/>
      <c r="AR364" s="4555"/>
      <c r="AS364" s="4556"/>
      <c r="AT364" s="4556"/>
      <c r="AU364" s="4556"/>
      <c r="AV364" s="4556"/>
      <c r="AW364" s="4556"/>
      <c r="AX364" s="4556"/>
      <c r="AY364" s="4556"/>
      <c r="AZ364" s="4556"/>
      <c r="BA364" s="4556"/>
      <c r="BB364" s="4556"/>
      <c r="BC364" s="4556"/>
      <c r="BD364" s="4556"/>
      <c r="BE364" s="4556"/>
      <c r="BF364" s="4556"/>
      <c r="BG364" s="4556"/>
      <c r="BH364" s="4556"/>
      <c r="BI364" s="4556"/>
      <c r="BJ364" s="4556"/>
      <c r="BK364" s="4556"/>
      <c r="BL364" s="4556"/>
      <c r="BM364" s="4556"/>
      <c r="BN364" s="4556"/>
      <c r="BO364" s="4556"/>
      <c r="BP364" s="4556"/>
      <c r="BQ364" s="4556"/>
      <c r="BR364" s="4556"/>
      <c r="BS364" s="4556"/>
      <c r="BT364" s="4556"/>
      <c r="BU364" s="4556"/>
      <c r="BV364" s="4556"/>
      <c r="BW364" s="4556"/>
      <c r="BX364" s="4556"/>
      <c r="BY364" s="4556"/>
      <c r="BZ364" s="4556"/>
      <c r="CA364" s="4556"/>
      <c r="CB364" s="4556"/>
      <c r="CC364" s="4556"/>
      <c r="CD364" s="4556"/>
      <c r="CE364" s="4556"/>
      <c r="CF364" s="4556"/>
      <c r="CG364" s="4556"/>
      <c r="CH364" s="4556"/>
      <c r="CI364" s="4556"/>
      <c r="CJ364" s="4556"/>
      <c r="CK364" s="4556"/>
      <c r="CL364" s="4556"/>
      <c r="CM364" s="4556"/>
      <c r="CN364" s="4556"/>
      <c r="CO364" s="4556"/>
      <c r="CP364" s="4556"/>
      <c r="CQ364" s="4556"/>
      <c r="CR364" s="4556"/>
      <c r="CS364" s="4556"/>
      <c r="CT364" s="4556"/>
      <c r="CU364" s="4556"/>
      <c r="CV364" s="4556"/>
      <c r="CW364" s="4556"/>
      <c r="CX364" s="4556"/>
      <c r="CY364" s="4556"/>
      <c r="CZ364" s="4556"/>
      <c r="DA364" s="4556"/>
      <c r="DB364" s="4556"/>
      <c r="DC364" s="4556"/>
      <c r="DD364" s="4556"/>
      <c r="DE364" s="4556"/>
      <c r="DF364" s="4556"/>
      <c r="DG364" s="4556"/>
      <c r="DH364" s="4556"/>
      <c r="DI364" s="4556"/>
      <c r="DJ364" s="4556"/>
      <c r="DK364" s="4556"/>
      <c r="DL364" s="4556"/>
      <c r="DM364" s="4556"/>
      <c r="DN364" s="4556"/>
      <c r="DO364" s="4556"/>
      <c r="DP364" s="4556"/>
      <c r="DQ364" s="4556"/>
      <c r="DR364" s="4556"/>
      <c r="DS364" s="4556"/>
      <c r="DT364" s="4556"/>
      <c r="DU364" s="4556"/>
      <c r="DV364" s="4556"/>
      <c r="DW364" s="4556"/>
      <c r="DX364" s="4556"/>
      <c r="DY364" s="4556"/>
      <c r="DZ364" s="4556"/>
      <c r="EA364" s="4556"/>
      <c r="EB364" s="4556"/>
      <c r="EC364" s="4556"/>
      <c r="ED364" s="4556"/>
      <c r="EE364" s="4556"/>
      <c r="EF364" s="4556"/>
      <c r="EG364" s="4556"/>
      <c r="EH364" s="4556"/>
      <c r="EI364" s="4556"/>
      <c r="EJ364" s="4556"/>
      <c r="EK364" s="4556"/>
      <c r="EL364" s="4556"/>
      <c r="EM364" s="4556"/>
      <c r="EN364" s="4556"/>
      <c r="EO364" s="4556"/>
      <c r="EP364" s="4556"/>
      <c r="EQ364" s="4556"/>
      <c r="ER364" s="4556"/>
      <c r="ES364" s="4556"/>
      <c r="ET364" s="4556"/>
      <c r="EU364" s="4556"/>
      <c r="EV364" s="4556"/>
      <c r="EW364" s="4556"/>
      <c r="EX364" s="4556"/>
      <c r="EY364" s="4556"/>
      <c r="EZ364" s="4556"/>
      <c r="FA364" s="4556"/>
      <c r="FB364" s="4556"/>
      <c r="FC364" s="4556"/>
      <c r="FD364" s="4556"/>
      <c r="FE364" s="4556"/>
      <c r="FF364" s="4556"/>
      <c r="FG364" s="4556"/>
      <c r="FH364" s="4556"/>
      <c r="FI364" s="4556"/>
      <c r="FJ364" s="4556"/>
      <c r="FK364" s="4556"/>
      <c r="FL364" s="4556"/>
      <c r="FM364" s="4556"/>
      <c r="FN364" s="4556"/>
      <c r="FO364" s="4556"/>
      <c r="FP364" s="4556"/>
      <c r="FQ364" s="4556"/>
      <c r="FR364" s="4556"/>
      <c r="FS364" s="4556"/>
      <c r="FT364" s="4556"/>
      <c r="FU364" s="4556"/>
      <c r="FV364" s="4556"/>
      <c r="FW364" s="4556"/>
      <c r="FX364" s="4556"/>
      <c r="FY364" s="4556"/>
      <c r="FZ364" s="4556"/>
      <c r="GA364" s="4556"/>
      <c r="GB364" s="4556"/>
      <c r="GC364" s="4556"/>
      <c r="GD364" s="4556"/>
      <c r="GE364" s="4556"/>
      <c r="GF364" s="4556"/>
      <c r="GG364" s="4556"/>
      <c r="GH364" s="4556"/>
      <c r="GI364" s="4556"/>
      <c r="GJ364" s="4556"/>
      <c r="GK364" s="4556"/>
      <c r="GL364" s="4556"/>
      <c r="GM364" s="4556"/>
      <c r="GN364" s="4556"/>
      <c r="GO364" s="4556"/>
      <c r="GP364" s="4556"/>
      <c r="GQ364" s="4556"/>
      <c r="GR364" s="4556"/>
      <c r="GS364" s="4556"/>
      <c r="GT364" s="4556"/>
      <c r="GU364" s="4556"/>
      <c r="GV364" s="4556"/>
      <c r="GW364" s="4556"/>
      <c r="GX364" s="4556"/>
      <c r="GY364" s="4556"/>
      <c r="GZ364" s="4556"/>
      <c r="HA364" s="4556"/>
      <c r="HB364" s="4556"/>
      <c r="HC364" s="4556"/>
      <c r="HD364" s="4556"/>
      <c r="HE364" s="4556"/>
      <c r="HF364" s="4556"/>
      <c r="HG364" s="4556"/>
      <c r="HH364" s="4556"/>
      <c r="HI364" s="4556"/>
      <c r="HJ364" s="4556"/>
      <c r="HK364" s="4556"/>
      <c r="HL364" s="4556"/>
      <c r="HM364" s="4556"/>
      <c r="HN364" s="4556"/>
      <c r="HO364" s="4556"/>
      <c r="HP364" s="4556"/>
      <c r="HQ364" s="4556"/>
      <c r="HR364" s="4556"/>
      <c r="HS364" s="4556"/>
      <c r="HT364" s="4556"/>
      <c r="HU364" s="4556"/>
      <c r="HV364" s="4556"/>
      <c r="HW364" s="4556"/>
      <c r="HX364" s="4556"/>
      <c r="HY364" s="4556"/>
      <c r="HZ364" s="4556"/>
      <c r="IA364" s="4556"/>
      <c r="IB364" s="4556"/>
      <c r="IC364" s="4556"/>
      <c r="ID364" s="4556"/>
      <c r="IE364" s="4556"/>
    </row>
    <row r="365" spans="1:239" s="4538" customFormat="1" ht="13.5" customHeight="1">
      <c r="A365" s="4708">
        <v>6.3</v>
      </c>
      <c r="B365" s="4635" t="s">
        <v>4242</v>
      </c>
      <c r="C365" s="4773">
        <v>1468.8</v>
      </c>
      <c r="D365" s="4686" t="s">
        <v>4243</v>
      </c>
      <c r="E365" s="5006"/>
      <c r="F365" s="4589">
        <f>ROUND(C365*E365,2)</f>
        <v>0</v>
      </c>
      <c r="G365" s="4555"/>
      <c r="H365" s="4555"/>
      <c r="I365" s="4555"/>
      <c r="J365" s="4555"/>
      <c r="K365" s="4555"/>
      <c r="L365" s="4555"/>
      <c r="M365" s="4555"/>
      <c r="N365" s="4555"/>
      <c r="O365" s="4555"/>
      <c r="P365" s="4555"/>
      <c r="Q365" s="4555"/>
      <c r="R365" s="4555"/>
      <c r="S365" s="4555"/>
      <c r="T365" s="4555"/>
      <c r="U365" s="4555"/>
      <c r="V365" s="4555"/>
      <c r="W365" s="4555"/>
      <c r="X365" s="4555"/>
      <c r="Y365" s="4555"/>
      <c r="Z365" s="4555"/>
      <c r="AA365" s="4555"/>
      <c r="AB365" s="4555"/>
      <c r="AC365" s="4555"/>
      <c r="AD365" s="4555"/>
      <c r="AE365" s="4555"/>
      <c r="AF365" s="4555"/>
      <c r="AG365" s="4555"/>
      <c r="AH365" s="4555"/>
      <c r="AI365" s="4555"/>
      <c r="AJ365" s="4555"/>
      <c r="AK365" s="4555"/>
      <c r="AL365" s="4555"/>
      <c r="AM365" s="4555"/>
      <c r="AN365" s="4555"/>
      <c r="AO365" s="4555"/>
      <c r="AP365" s="4555"/>
      <c r="AQ365" s="4555"/>
      <c r="AR365" s="4555"/>
      <c r="AS365" s="4556"/>
      <c r="AT365" s="4556"/>
      <c r="AU365" s="4556"/>
      <c r="AV365" s="4556"/>
      <c r="AW365" s="4556"/>
      <c r="AX365" s="4556"/>
      <c r="AY365" s="4556"/>
      <c r="AZ365" s="4556"/>
      <c r="BA365" s="4556"/>
      <c r="BB365" s="4556"/>
      <c r="BC365" s="4556"/>
      <c r="BD365" s="4556"/>
      <c r="BE365" s="4556"/>
      <c r="BF365" s="4556"/>
      <c r="BG365" s="4556"/>
      <c r="BH365" s="4556"/>
      <c r="BI365" s="4556"/>
      <c r="BJ365" s="4556"/>
      <c r="BK365" s="4556"/>
      <c r="BL365" s="4556"/>
      <c r="BM365" s="4556"/>
      <c r="BN365" s="4556"/>
      <c r="BO365" s="4556"/>
      <c r="BP365" s="4556"/>
      <c r="BQ365" s="4556"/>
      <c r="BR365" s="4556"/>
      <c r="BS365" s="4556"/>
      <c r="BT365" s="4556"/>
      <c r="BU365" s="4556"/>
      <c r="BV365" s="4556"/>
      <c r="BW365" s="4556"/>
      <c r="BX365" s="4556"/>
      <c r="BY365" s="4556"/>
      <c r="BZ365" s="4556"/>
      <c r="CA365" s="4556"/>
      <c r="CB365" s="4556"/>
      <c r="CC365" s="4556"/>
      <c r="CD365" s="4556"/>
      <c r="CE365" s="4556"/>
      <c r="CF365" s="4556"/>
      <c r="CG365" s="4556"/>
      <c r="CH365" s="4556"/>
      <c r="CI365" s="4556"/>
      <c r="CJ365" s="4556"/>
      <c r="CK365" s="4556"/>
      <c r="CL365" s="4556"/>
      <c r="CM365" s="4556"/>
      <c r="CN365" s="4556"/>
      <c r="CO365" s="4556"/>
      <c r="CP365" s="4556"/>
      <c r="CQ365" s="4556"/>
      <c r="CR365" s="4556"/>
      <c r="CS365" s="4556"/>
      <c r="CT365" s="4556"/>
      <c r="CU365" s="4556"/>
      <c r="CV365" s="4556"/>
      <c r="CW365" s="4556"/>
      <c r="CX365" s="4556"/>
      <c r="CY365" s="4556"/>
      <c r="CZ365" s="4556"/>
      <c r="DA365" s="4556"/>
      <c r="DB365" s="4556"/>
      <c r="DC365" s="4556"/>
      <c r="DD365" s="4556"/>
      <c r="DE365" s="4556"/>
      <c r="DF365" s="4556"/>
      <c r="DG365" s="4556"/>
      <c r="DH365" s="4556"/>
      <c r="DI365" s="4556"/>
      <c r="DJ365" s="4556"/>
      <c r="DK365" s="4556"/>
      <c r="DL365" s="4556"/>
      <c r="DM365" s="4556"/>
      <c r="DN365" s="4556"/>
      <c r="DO365" s="4556"/>
      <c r="DP365" s="4556"/>
      <c r="DQ365" s="4556"/>
      <c r="DR365" s="4556"/>
      <c r="DS365" s="4556"/>
      <c r="DT365" s="4556"/>
      <c r="DU365" s="4556"/>
      <c r="DV365" s="4556"/>
      <c r="DW365" s="4556"/>
      <c r="DX365" s="4556"/>
      <c r="DY365" s="4556"/>
      <c r="DZ365" s="4556"/>
      <c r="EA365" s="4556"/>
      <c r="EB365" s="4556"/>
      <c r="EC365" s="4556"/>
      <c r="ED365" s="4556"/>
      <c r="EE365" s="4556"/>
      <c r="EF365" s="4556"/>
      <c r="EG365" s="4556"/>
      <c r="EH365" s="4556"/>
      <c r="EI365" s="4556"/>
      <c r="EJ365" s="4556"/>
      <c r="EK365" s="4556"/>
      <c r="EL365" s="4556"/>
      <c r="EM365" s="4556"/>
      <c r="EN365" s="4556"/>
      <c r="EO365" s="4556"/>
      <c r="EP365" s="4556"/>
      <c r="EQ365" s="4556"/>
      <c r="ER365" s="4556"/>
      <c r="ES365" s="4556"/>
      <c r="ET365" s="4556"/>
      <c r="EU365" s="4556"/>
      <c r="EV365" s="4556"/>
      <c r="EW365" s="4556"/>
      <c r="EX365" s="4556"/>
      <c r="EY365" s="4556"/>
      <c r="EZ365" s="4556"/>
      <c r="FA365" s="4556"/>
      <c r="FB365" s="4556"/>
      <c r="FC365" s="4556"/>
      <c r="FD365" s="4556"/>
      <c r="FE365" s="4556"/>
      <c r="FF365" s="4556"/>
      <c r="FG365" s="4556"/>
      <c r="FH365" s="4556"/>
      <c r="FI365" s="4556"/>
      <c r="FJ365" s="4556"/>
      <c r="FK365" s="4556"/>
      <c r="FL365" s="4556"/>
      <c r="FM365" s="4556"/>
      <c r="FN365" s="4556"/>
      <c r="FO365" s="4556"/>
      <c r="FP365" s="4556"/>
      <c r="FQ365" s="4556"/>
      <c r="FR365" s="4556"/>
      <c r="FS365" s="4556"/>
      <c r="FT365" s="4556"/>
      <c r="FU365" s="4556"/>
      <c r="FV365" s="4556"/>
      <c r="FW365" s="4556"/>
      <c r="FX365" s="4556"/>
      <c r="FY365" s="4556"/>
      <c r="FZ365" s="4556"/>
      <c r="GA365" s="4556"/>
      <c r="GB365" s="4556"/>
      <c r="GC365" s="4556"/>
      <c r="GD365" s="4556"/>
      <c r="GE365" s="4556"/>
      <c r="GF365" s="4556"/>
      <c r="GG365" s="4556"/>
      <c r="GH365" s="4556"/>
      <c r="GI365" s="4556"/>
      <c r="GJ365" s="4556"/>
      <c r="GK365" s="4556"/>
      <c r="GL365" s="4556"/>
      <c r="GM365" s="4556"/>
      <c r="GN365" s="4556"/>
      <c r="GO365" s="4556"/>
      <c r="GP365" s="4556"/>
      <c r="GQ365" s="4556"/>
      <c r="GR365" s="4556"/>
      <c r="GS365" s="4556"/>
      <c r="GT365" s="4556"/>
      <c r="GU365" s="4556"/>
      <c r="GV365" s="4556"/>
      <c r="GW365" s="4556"/>
      <c r="GX365" s="4556"/>
      <c r="GY365" s="4556"/>
      <c r="GZ365" s="4556"/>
      <c r="HA365" s="4556"/>
      <c r="HB365" s="4556"/>
      <c r="HC365" s="4556"/>
      <c r="HD365" s="4556"/>
      <c r="HE365" s="4556"/>
      <c r="HF365" s="4556"/>
      <c r="HG365" s="4556"/>
      <c r="HH365" s="4556"/>
      <c r="HI365" s="4556"/>
      <c r="HJ365" s="4556"/>
      <c r="HK365" s="4556"/>
      <c r="HL365" s="4556"/>
      <c r="HM365" s="4556"/>
      <c r="HN365" s="4556"/>
      <c r="HO365" s="4556"/>
      <c r="HP365" s="4556"/>
      <c r="HQ365" s="4556"/>
      <c r="HR365" s="4556"/>
      <c r="HS365" s="4556"/>
      <c r="HT365" s="4556"/>
      <c r="HU365" s="4556"/>
      <c r="HV365" s="4556"/>
      <c r="HW365" s="4556"/>
      <c r="HX365" s="4556"/>
      <c r="HY365" s="4556"/>
      <c r="HZ365" s="4556"/>
      <c r="IA365" s="4556"/>
      <c r="IB365" s="4556"/>
      <c r="IC365" s="4556"/>
      <c r="ID365" s="4556"/>
      <c r="IE365" s="4556"/>
    </row>
    <row r="366" spans="1:239" s="4538" customFormat="1" ht="13.5" customHeight="1">
      <c r="A366" s="4708"/>
      <c r="B366" s="4635"/>
      <c r="C366" s="4773"/>
      <c r="D366" s="4686"/>
      <c r="E366" s="5006"/>
      <c r="F366" s="4589"/>
      <c r="G366" s="4555"/>
      <c r="H366" s="4555"/>
      <c r="I366" s="4555"/>
      <c r="J366" s="4555"/>
      <c r="K366" s="4555"/>
      <c r="L366" s="4555"/>
      <c r="M366" s="4555"/>
      <c r="N366" s="4555"/>
      <c r="O366" s="4555"/>
      <c r="P366" s="4555"/>
      <c r="Q366" s="4555"/>
      <c r="R366" s="4555"/>
      <c r="S366" s="4555"/>
      <c r="T366" s="4555"/>
      <c r="U366" s="4555"/>
      <c r="V366" s="4555"/>
      <c r="W366" s="4555"/>
      <c r="X366" s="4555"/>
      <c r="Y366" s="4555"/>
      <c r="Z366" s="4555"/>
      <c r="AA366" s="4555"/>
      <c r="AB366" s="4555"/>
      <c r="AC366" s="4555"/>
      <c r="AD366" s="4555"/>
      <c r="AE366" s="4555"/>
      <c r="AF366" s="4555"/>
      <c r="AG366" s="4555"/>
      <c r="AH366" s="4555"/>
      <c r="AI366" s="4555"/>
      <c r="AJ366" s="4555"/>
      <c r="AK366" s="4555"/>
      <c r="AL366" s="4555"/>
      <c r="AM366" s="4555"/>
      <c r="AN366" s="4555"/>
      <c r="AO366" s="4555"/>
      <c r="AP366" s="4555"/>
      <c r="AQ366" s="4555"/>
      <c r="AR366" s="4555"/>
      <c r="AS366" s="4556"/>
      <c r="AT366" s="4556"/>
      <c r="AU366" s="4556"/>
      <c r="AV366" s="4556"/>
      <c r="AW366" s="4556"/>
      <c r="AX366" s="4556"/>
      <c r="AY366" s="4556"/>
      <c r="AZ366" s="4556"/>
      <c r="BA366" s="4556"/>
      <c r="BB366" s="4556"/>
      <c r="BC366" s="4556"/>
      <c r="BD366" s="4556"/>
      <c r="BE366" s="4556"/>
      <c r="BF366" s="4556"/>
      <c r="BG366" s="4556"/>
      <c r="BH366" s="4556"/>
      <c r="BI366" s="4556"/>
      <c r="BJ366" s="4556"/>
      <c r="BK366" s="4556"/>
      <c r="BL366" s="4556"/>
      <c r="BM366" s="4556"/>
      <c r="BN366" s="4556"/>
      <c r="BO366" s="4556"/>
      <c r="BP366" s="4556"/>
      <c r="BQ366" s="4556"/>
      <c r="BR366" s="4556"/>
      <c r="BS366" s="4556"/>
      <c r="BT366" s="4556"/>
      <c r="BU366" s="4556"/>
      <c r="BV366" s="4556"/>
      <c r="BW366" s="4556"/>
      <c r="BX366" s="4556"/>
      <c r="BY366" s="4556"/>
      <c r="BZ366" s="4556"/>
      <c r="CA366" s="4556"/>
      <c r="CB366" s="4556"/>
      <c r="CC366" s="4556"/>
      <c r="CD366" s="4556"/>
      <c r="CE366" s="4556"/>
      <c r="CF366" s="4556"/>
      <c r="CG366" s="4556"/>
      <c r="CH366" s="4556"/>
      <c r="CI366" s="4556"/>
      <c r="CJ366" s="4556"/>
      <c r="CK366" s="4556"/>
      <c r="CL366" s="4556"/>
      <c r="CM366" s="4556"/>
      <c r="CN366" s="4556"/>
      <c r="CO366" s="4556"/>
      <c r="CP366" s="4556"/>
      <c r="CQ366" s="4556"/>
      <c r="CR366" s="4556"/>
      <c r="CS366" s="4556"/>
      <c r="CT366" s="4556"/>
      <c r="CU366" s="4556"/>
      <c r="CV366" s="4556"/>
      <c r="CW366" s="4556"/>
      <c r="CX366" s="4556"/>
      <c r="CY366" s="4556"/>
      <c r="CZ366" s="4556"/>
      <c r="DA366" s="4556"/>
      <c r="DB366" s="4556"/>
      <c r="DC366" s="4556"/>
      <c r="DD366" s="4556"/>
      <c r="DE366" s="4556"/>
      <c r="DF366" s="4556"/>
      <c r="DG366" s="4556"/>
      <c r="DH366" s="4556"/>
      <c r="DI366" s="4556"/>
      <c r="DJ366" s="4556"/>
      <c r="DK366" s="4556"/>
      <c r="DL366" s="4556"/>
      <c r="DM366" s="4556"/>
      <c r="DN366" s="4556"/>
      <c r="DO366" s="4556"/>
      <c r="DP366" s="4556"/>
      <c r="DQ366" s="4556"/>
      <c r="DR366" s="4556"/>
      <c r="DS366" s="4556"/>
      <c r="DT366" s="4556"/>
      <c r="DU366" s="4556"/>
      <c r="DV366" s="4556"/>
      <c r="DW366" s="4556"/>
      <c r="DX366" s="4556"/>
      <c r="DY366" s="4556"/>
      <c r="DZ366" s="4556"/>
      <c r="EA366" s="4556"/>
      <c r="EB366" s="4556"/>
      <c r="EC366" s="4556"/>
      <c r="ED366" s="4556"/>
      <c r="EE366" s="4556"/>
      <c r="EF366" s="4556"/>
      <c r="EG366" s="4556"/>
      <c r="EH366" s="4556"/>
      <c r="EI366" s="4556"/>
      <c r="EJ366" s="4556"/>
      <c r="EK366" s="4556"/>
      <c r="EL366" s="4556"/>
      <c r="EM366" s="4556"/>
      <c r="EN366" s="4556"/>
      <c r="EO366" s="4556"/>
      <c r="EP366" s="4556"/>
      <c r="EQ366" s="4556"/>
      <c r="ER366" s="4556"/>
      <c r="ES366" s="4556"/>
      <c r="ET366" s="4556"/>
      <c r="EU366" s="4556"/>
      <c r="EV366" s="4556"/>
      <c r="EW366" s="4556"/>
      <c r="EX366" s="4556"/>
      <c r="EY366" s="4556"/>
      <c r="EZ366" s="4556"/>
      <c r="FA366" s="4556"/>
      <c r="FB366" s="4556"/>
      <c r="FC366" s="4556"/>
      <c r="FD366" s="4556"/>
      <c r="FE366" s="4556"/>
      <c r="FF366" s="4556"/>
      <c r="FG366" s="4556"/>
      <c r="FH366" s="4556"/>
      <c r="FI366" s="4556"/>
      <c r="FJ366" s="4556"/>
      <c r="FK366" s="4556"/>
      <c r="FL366" s="4556"/>
      <c r="FM366" s="4556"/>
      <c r="FN366" s="4556"/>
      <c r="FO366" s="4556"/>
      <c r="FP366" s="4556"/>
      <c r="FQ366" s="4556"/>
      <c r="FR366" s="4556"/>
      <c r="FS366" s="4556"/>
      <c r="FT366" s="4556"/>
      <c r="FU366" s="4556"/>
      <c r="FV366" s="4556"/>
      <c r="FW366" s="4556"/>
      <c r="FX366" s="4556"/>
      <c r="FY366" s="4556"/>
      <c r="FZ366" s="4556"/>
      <c r="GA366" s="4556"/>
      <c r="GB366" s="4556"/>
      <c r="GC366" s="4556"/>
      <c r="GD366" s="4556"/>
      <c r="GE366" s="4556"/>
      <c r="GF366" s="4556"/>
      <c r="GG366" s="4556"/>
      <c r="GH366" s="4556"/>
      <c r="GI366" s="4556"/>
      <c r="GJ366" s="4556"/>
      <c r="GK366" s="4556"/>
      <c r="GL366" s="4556"/>
      <c r="GM366" s="4556"/>
      <c r="GN366" s="4556"/>
      <c r="GO366" s="4556"/>
      <c r="GP366" s="4556"/>
      <c r="GQ366" s="4556"/>
      <c r="GR366" s="4556"/>
      <c r="GS366" s="4556"/>
      <c r="GT366" s="4556"/>
      <c r="GU366" s="4556"/>
      <c r="GV366" s="4556"/>
      <c r="GW366" s="4556"/>
      <c r="GX366" s="4556"/>
      <c r="GY366" s="4556"/>
      <c r="GZ366" s="4556"/>
      <c r="HA366" s="4556"/>
      <c r="HB366" s="4556"/>
      <c r="HC366" s="4556"/>
      <c r="HD366" s="4556"/>
      <c r="HE366" s="4556"/>
      <c r="HF366" s="4556"/>
      <c r="HG366" s="4556"/>
      <c r="HH366" s="4556"/>
      <c r="HI366" s="4556"/>
      <c r="HJ366" s="4556"/>
      <c r="HK366" s="4556"/>
      <c r="HL366" s="4556"/>
      <c r="HM366" s="4556"/>
      <c r="HN366" s="4556"/>
      <c r="HO366" s="4556"/>
      <c r="HP366" s="4556"/>
      <c r="HQ366" s="4556"/>
      <c r="HR366" s="4556"/>
      <c r="HS366" s="4556"/>
      <c r="HT366" s="4556"/>
      <c r="HU366" s="4556"/>
      <c r="HV366" s="4556"/>
      <c r="HW366" s="4556"/>
      <c r="HX366" s="4556"/>
      <c r="HY366" s="4556"/>
      <c r="HZ366" s="4556"/>
      <c r="IA366" s="4556"/>
      <c r="IB366" s="4556"/>
      <c r="IC366" s="4556"/>
      <c r="ID366" s="4556"/>
      <c r="IE366" s="4556"/>
    </row>
    <row r="367" spans="1:239" s="4616" customFormat="1" ht="12.75" customHeight="1">
      <c r="A367" s="4767"/>
      <c r="B367" s="4780" t="s">
        <v>4379</v>
      </c>
      <c r="C367" s="4769"/>
      <c r="D367" s="4781"/>
      <c r="E367" s="5004"/>
      <c r="F367" s="5005">
        <f>SUM(F337:F365)</f>
        <v>0</v>
      </c>
      <c r="G367" s="4615"/>
      <c r="H367" s="4615"/>
      <c r="I367" s="4615"/>
      <c r="J367" s="4615"/>
      <c r="K367" s="4615"/>
      <c r="L367" s="4615"/>
      <c r="M367" s="4615"/>
      <c r="N367" s="4615"/>
      <c r="O367" s="4615"/>
      <c r="P367" s="4615"/>
      <c r="Q367" s="4615"/>
      <c r="R367" s="4615"/>
      <c r="S367" s="4615"/>
      <c r="T367" s="4615"/>
      <c r="U367" s="4615"/>
      <c r="V367" s="4615"/>
      <c r="W367" s="4615"/>
      <c r="X367" s="4615"/>
      <c r="Y367" s="4615"/>
      <c r="Z367" s="4615"/>
      <c r="AA367" s="4615"/>
      <c r="AB367" s="4615"/>
      <c r="AC367" s="4615"/>
      <c r="AD367" s="4615"/>
      <c r="AE367" s="4615"/>
      <c r="AF367" s="4615"/>
      <c r="AG367" s="4615"/>
      <c r="AH367" s="4615"/>
      <c r="AI367" s="4615"/>
      <c r="AJ367" s="4615"/>
      <c r="AK367" s="4615"/>
      <c r="AL367" s="4615"/>
      <c r="AM367" s="4615"/>
      <c r="AN367" s="4615"/>
      <c r="AO367" s="4615"/>
      <c r="AP367" s="4615"/>
      <c r="AQ367" s="4615"/>
      <c r="AR367" s="4615"/>
      <c r="AS367" s="4615"/>
      <c r="AT367" s="4615"/>
      <c r="AU367" s="4615"/>
      <c r="AV367" s="4615"/>
      <c r="AW367" s="4615"/>
      <c r="AX367" s="4615"/>
      <c r="AY367" s="4615"/>
      <c r="AZ367" s="4615"/>
      <c r="BA367" s="4615"/>
      <c r="BB367" s="4615"/>
      <c r="BC367" s="4615"/>
      <c r="BD367" s="4615"/>
      <c r="BE367" s="4615"/>
      <c r="BF367" s="4615"/>
      <c r="BG367" s="4615"/>
      <c r="BH367" s="4615"/>
      <c r="BI367" s="4615"/>
      <c r="BJ367" s="4615"/>
      <c r="BK367" s="4615"/>
      <c r="BL367" s="4615"/>
      <c r="BM367" s="4615"/>
      <c r="BN367" s="4615"/>
      <c r="BO367" s="4615"/>
      <c r="BP367" s="4615"/>
      <c r="BQ367" s="4615"/>
      <c r="BR367" s="4615"/>
      <c r="BS367" s="4615"/>
      <c r="BT367" s="4615"/>
      <c r="BU367" s="4615"/>
      <c r="BV367" s="4615"/>
      <c r="BW367" s="4615"/>
      <c r="BX367" s="4615"/>
      <c r="BY367" s="4615"/>
      <c r="BZ367" s="4615"/>
      <c r="CA367" s="4615"/>
      <c r="CB367" s="4615"/>
      <c r="CC367" s="4615"/>
      <c r="CD367" s="4615"/>
      <c r="CE367" s="4615"/>
      <c r="CF367" s="4615"/>
      <c r="CG367" s="4615"/>
      <c r="CH367" s="4615"/>
      <c r="CI367" s="4615"/>
      <c r="CJ367" s="4615"/>
      <c r="CK367" s="4615"/>
      <c r="CL367" s="4615"/>
      <c r="CM367" s="4615"/>
      <c r="CN367" s="4615"/>
      <c r="CO367" s="4615"/>
      <c r="CP367" s="4615"/>
      <c r="CQ367" s="4615"/>
      <c r="CR367" s="4615"/>
      <c r="CS367" s="4615"/>
      <c r="CT367" s="4615"/>
      <c r="CU367" s="4615"/>
      <c r="CV367" s="4615"/>
      <c r="CW367" s="4615"/>
      <c r="CX367" s="4615"/>
      <c r="CY367" s="4615"/>
      <c r="CZ367" s="4615"/>
      <c r="DA367" s="4615"/>
      <c r="DB367" s="4615"/>
      <c r="DC367" s="4615"/>
      <c r="DD367" s="4615"/>
      <c r="DE367" s="4615"/>
      <c r="DF367" s="4615"/>
      <c r="DG367" s="4615"/>
      <c r="DH367" s="4615"/>
      <c r="DI367" s="4615"/>
      <c r="DJ367" s="4615"/>
      <c r="DK367" s="4615"/>
      <c r="DL367" s="4615"/>
      <c r="DM367" s="4615"/>
      <c r="DN367" s="4615"/>
      <c r="DO367" s="4615"/>
      <c r="DP367" s="4615"/>
      <c r="DQ367" s="4615"/>
      <c r="DR367" s="4615"/>
      <c r="DS367" s="4615"/>
      <c r="DT367" s="4615"/>
      <c r="DU367" s="4615"/>
      <c r="DV367" s="4615"/>
      <c r="DW367" s="4615"/>
      <c r="DX367" s="4615"/>
      <c r="DY367" s="4615"/>
      <c r="DZ367" s="4615"/>
      <c r="EA367" s="4615"/>
      <c r="EB367" s="4615"/>
      <c r="EC367" s="4615"/>
      <c r="ED367" s="4615"/>
      <c r="EE367" s="4615"/>
      <c r="EF367" s="4615"/>
      <c r="EG367" s="4615"/>
      <c r="EH367" s="4615"/>
      <c r="EI367" s="4615"/>
      <c r="EJ367" s="4615"/>
      <c r="EK367" s="4615"/>
      <c r="EL367" s="4615"/>
      <c r="EM367" s="4615"/>
      <c r="EN367" s="4615"/>
      <c r="EO367" s="4615"/>
      <c r="EP367" s="4615"/>
      <c r="EQ367" s="4615"/>
      <c r="ER367" s="4615"/>
      <c r="ES367" s="4615"/>
      <c r="ET367" s="4615"/>
      <c r="EU367" s="4615"/>
      <c r="EV367" s="4615"/>
      <c r="EW367" s="4615"/>
      <c r="EX367" s="4615"/>
      <c r="EY367" s="4615"/>
      <c r="EZ367" s="4615"/>
      <c r="FA367" s="4615"/>
      <c r="FB367" s="4615"/>
      <c r="FC367" s="4615"/>
      <c r="FD367" s="4615"/>
      <c r="FE367" s="4615"/>
      <c r="FF367" s="4615"/>
      <c r="FG367" s="4615"/>
      <c r="FH367" s="4615"/>
      <c r="FI367" s="4615"/>
      <c r="FJ367" s="4615"/>
      <c r="FK367" s="4615"/>
      <c r="FL367" s="4615"/>
      <c r="FM367" s="4615"/>
      <c r="FN367" s="4615"/>
      <c r="FO367" s="4615"/>
      <c r="FP367" s="4615"/>
      <c r="FQ367" s="4615"/>
      <c r="FR367" s="4615"/>
      <c r="FS367" s="4615"/>
      <c r="FT367" s="4615"/>
      <c r="FU367" s="4615"/>
      <c r="FV367" s="4615"/>
      <c r="FW367" s="4615"/>
      <c r="FX367" s="4615"/>
      <c r="FY367" s="4615"/>
      <c r="FZ367" s="4615"/>
      <c r="GA367" s="4615"/>
      <c r="GB367" s="4615"/>
      <c r="GC367" s="4615"/>
      <c r="GD367" s="4615"/>
      <c r="GE367" s="4615"/>
      <c r="GF367" s="4615"/>
      <c r="GG367" s="4615"/>
      <c r="GH367" s="4615"/>
      <c r="GI367" s="4615"/>
      <c r="GJ367" s="4615"/>
      <c r="GK367" s="4615"/>
      <c r="GL367" s="4615"/>
      <c r="GM367" s="4615"/>
      <c r="GN367" s="4615"/>
      <c r="GO367" s="4615"/>
      <c r="GP367" s="4615"/>
      <c r="GQ367" s="4615"/>
      <c r="GR367" s="4615"/>
      <c r="GS367" s="4615"/>
      <c r="GT367" s="4615"/>
      <c r="GU367" s="4615"/>
      <c r="GV367" s="4615"/>
      <c r="GW367" s="4615"/>
      <c r="GX367" s="4615"/>
      <c r="GY367" s="4615"/>
      <c r="GZ367" s="4615"/>
      <c r="HA367" s="4615"/>
      <c r="HB367" s="4615"/>
      <c r="HC367" s="4615"/>
      <c r="HD367" s="4615"/>
      <c r="HE367" s="4615"/>
      <c r="HF367" s="4615"/>
      <c r="HG367" s="4615"/>
      <c r="HH367" s="4615"/>
      <c r="HI367" s="4615"/>
      <c r="HJ367" s="4615"/>
      <c r="HK367" s="4615"/>
      <c r="HL367" s="4615"/>
      <c r="HM367" s="4615"/>
      <c r="HN367" s="4615"/>
      <c r="HO367" s="4615"/>
      <c r="HP367" s="4615"/>
      <c r="HQ367" s="4615"/>
      <c r="HR367" s="4615"/>
      <c r="HS367" s="4615"/>
      <c r="HT367" s="4615"/>
      <c r="HU367" s="4615"/>
      <c r="HV367" s="4615"/>
      <c r="HW367" s="4615"/>
      <c r="HX367" s="4615"/>
      <c r="HY367" s="4615"/>
      <c r="HZ367" s="4615"/>
      <c r="IA367" s="4615"/>
      <c r="IB367" s="4615"/>
      <c r="IC367" s="4615"/>
      <c r="ID367" s="4615"/>
      <c r="IE367" s="4615"/>
    </row>
    <row r="368" spans="1:239" s="4618" customFormat="1" ht="12.75" customHeight="1">
      <c r="A368" s="4782"/>
      <c r="B368" s="4783" t="s">
        <v>4380</v>
      </c>
      <c r="C368" s="4784"/>
      <c r="D368" s="4785"/>
      <c r="E368" s="5010"/>
      <c r="F368" s="5011">
        <f>+F367+F335+F237+F207+F149+F82+F34</f>
        <v>0</v>
      </c>
      <c r="G368" s="4617"/>
      <c r="H368" s="4617"/>
      <c r="I368" s="4617"/>
      <c r="J368" s="4617"/>
      <c r="K368" s="4617"/>
      <c r="L368" s="4617"/>
      <c r="M368" s="4617"/>
      <c r="N368" s="4617"/>
      <c r="O368" s="4617"/>
      <c r="P368" s="4617"/>
      <c r="Q368" s="4617"/>
      <c r="R368" s="4617"/>
      <c r="S368" s="4617"/>
      <c r="T368" s="4617"/>
      <c r="U368" s="4617"/>
      <c r="V368" s="4617"/>
      <c r="W368" s="4617"/>
      <c r="X368" s="4617"/>
      <c r="Y368" s="4617"/>
      <c r="Z368" s="4617"/>
      <c r="AA368" s="4617"/>
      <c r="AB368" s="4617"/>
      <c r="AC368" s="4617"/>
      <c r="AD368" s="4617"/>
      <c r="AE368" s="4617"/>
      <c r="AF368" s="4617"/>
      <c r="AG368" s="4617"/>
      <c r="AH368" s="4617"/>
      <c r="AI368" s="4617"/>
      <c r="AJ368" s="4617"/>
      <c r="AK368" s="4617"/>
      <c r="AL368" s="4617"/>
      <c r="AM368" s="4617"/>
      <c r="AN368" s="4617"/>
      <c r="AO368" s="4617"/>
      <c r="AP368" s="4617"/>
      <c r="AQ368" s="4617"/>
      <c r="AR368" s="4617"/>
      <c r="AS368" s="4617"/>
      <c r="AT368" s="4617"/>
      <c r="AU368" s="4617"/>
      <c r="AV368" s="4617"/>
      <c r="AW368" s="4617"/>
      <c r="AX368" s="4617"/>
      <c r="AY368" s="4617"/>
      <c r="AZ368" s="4617"/>
      <c r="BA368" s="4617"/>
      <c r="BB368" s="4617"/>
      <c r="BC368" s="4617"/>
      <c r="BD368" s="4617"/>
      <c r="BE368" s="4617"/>
      <c r="BF368" s="4617"/>
      <c r="BG368" s="4617"/>
      <c r="BH368" s="4617"/>
      <c r="BI368" s="4617"/>
      <c r="BJ368" s="4617"/>
      <c r="BK368" s="4617"/>
      <c r="BL368" s="4617"/>
      <c r="BM368" s="4617"/>
      <c r="BN368" s="4617"/>
      <c r="BO368" s="4617"/>
      <c r="BP368" s="4617"/>
      <c r="BQ368" s="4617"/>
      <c r="BR368" s="4617"/>
      <c r="BS368" s="4617"/>
      <c r="BT368" s="4617"/>
      <c r="BU368" s="4617"/>
      <c r="BV368" s="4617"/>
      <c r="BW368" s="4617"/>
      <c r="BX368" s="4617"/>
      <c r="BY368" s="4617"/>
      <c r="BZ368" s="4617"/>
      <c r="CA368" s="4617"/>
      <c r="CB368" s="4617"/>
      <c r="CC368" s="4617"/>
      <c r="CD368" s="4617"/>
      <c r="CE368" s="4617"/>
      <c r="CF368" s="4617"/>
      <c r="CG368" s="4617"/>
      <c r="CH368" s="4617"/>
      <c r="CI368" s="4617"/>
      <c r="CJ368" s="4617"/>
      <c r="CK368" s="4617"/>
      <c r="CL368" s="4617"/>
      <c r="CM368" s="4617"/>
      <c r="CN368" s="4617"/>
      <c r="CO368" s="4617"/>
      <c r="CP368" s="4617"/>
      <c r="CQ368" s="4617"/>
      <c r="CR368" s="4617"/>
      <c r="CS368" s="4617"/>
      <c r="CT368" s="4617"/>
      <c r="CU368" s="4617"/>
      <c r="CV368" s="4617"/>
      <c r="CW368" s="4617"/>
      <c r="CX368" s="4617"/>
      <c r="CY368" s="4617"/>
      <c r="CZ368" s="4617"/>
      <c r="DA368" s="4617"/>
      <c r="DB368" s="4617"/>
      <c r="DC368" s="4617"/>
      <c r="DD368" s="4617"/>
      <c r="DE368" s="4617"/>
      <c r="DF368" s="4617"/>
      <c r="DG368" s="4617"/>
      <c r="DH368" s="4617"/>
      <c r="DI368" s="4617"/>
      <c r="DJ368" s="4617"/>
      <c r="DK368" s="4617"/>
      <c r="DL368" s="4617"/>
      <c r="DM368" s="4617"/>
      <c r="DN368" s="4617"/>
      <c r="DO368" s="4617"/>
      <c r="DP368" s="4617"/>
      <c r="DQ368" s="4617"/>
      <c r="DR368" s="4617"/>
      <c r="DS368" s="4617"/>
      <c r="DT368" s="4617"/>
      <c r="DU368" s="4617"/>
      <c r="DV368" s="4617"/>
      <c r="DW368" s="4617"/>
      <c r="DX368" s="4617"/>
      <c r="DY368" s="4617"/>
      <c r="DZ368" s="4617"/>
      <c r="EA368" s="4617"/>
      <c r="EB368" s="4617"/>
      <c r="EC368" s="4617"/>
      <c r="ED368" s="4617"/>
      <c r="EE368" s="4617"/>
      <c r="EF368" s="4617"/>
      <c r="EG368" s="4617"/>
      <c r="EH368" s="4617"/>
      <c r="EI368" s="4617"/>
      <c r="EJ368" s="4617"/>
      <c r="EK368" s="4617"/>
      <c r="EL368" s="4617"/>
      <c r="EM368" s="4617"/>
      <c r="EN368" s="4617"/>
      <c r="EO368" s="4617"/>
      <c r="EP368" s="4617"/>
      <c r="EQ368" s="4617"/>
      <c r="ER368" s="4617"/>
      <c r="ES368" s="4617"/>
      <c r="ET368" s="4617"/>
      <c r="EU368" s="4617"/>
      <c r="EV368" s="4617"/>
      <c r="EW368" s="4617"/>
      <c r="EX368" s="4617"/>
      <c r="EY368" s="4617"/>
      <c r="EZ368" s="4617"/>
      <c r="FA368" s="4617"/>
      <c r="FB368" s="4617"/>
      <c r="FC368" s="4617"/>
      <c r="FD368" s="4617"/>
      <c r="FE368" s="4617"/>
      <c r="FF368" s="4617"/>
      <c r="FG368" s="4617"/>
      <c r="FH368" s="4617"/>
      <c r="FI368" s="4617"/>
      <c r="FJ368" s="4617"/>
      <c r="FK368" s="4617"/>
      <c r="FL368" s="4617"/>
      <c r="FM368" s="4617"/>
      <c r="FN368" s="4617"/>
      <c r="FO368" s="4617"/>
      <c r="FP368" s="4617"/>
      <c r="FQ368" s="4617"/>
      <c r="FR368" s="4617"/>
      <c r="FS368" s="4617"/>
      <c r="FT368" s="4617"/>
      <c r="FU368" s="4617"/>
      <c r="FV368" s="4617"/>
      <c r="FW368" s="4617"/>
      <c r="FX368" s="4617"/>
      <c r="FY368" s="4617"/>
      <c r="FZ368" s="4617"/>
      <c r="GA368" s="4617"/>
      <c r="GB368" s="4617"/>
      <c r="GC368" s="4617"/>
      <c r="GD368" s="4617"/>
      <c r="GE368" s="4617"/>
      <c r="GF368" s="4617"/>
      <c r="GG368" s="4617"/>
      <c r="GH368" s="4617"/>
      <c r="GI368" s="4617"/>
      <c r="GJ368" s="4617"/>
      <c r="GK368" s="4617"/>
      <c r="GL368" s="4617"/>
      <c r="GM368" s="4617"/>
      <c r="GN368" s="4617"/>
      <c r="GO368" s="4617"/>
      <c r="GP368" s="4617"/>
      <c r="GQ368" s="4617"/>
      <c r="GR368" s="4617"/>
      <c r="GS368" s="4617"/>
      <c r="GT368" s="4617"/>
      <c r="GU368" s="4617"/>
      <c r="GV368" s="4617"/>
      <c r="GW368" s="4617"/>
      <c r="GX368" s="4617"/>
      <c r="GY368" s="4617"/>
      <c r="GZ368" s="4617"/>
      <c r="HA368" s="4617"/>
      <c r="HB368" s="4617"/>
      <c r="HC368" s="4617"/>
      <c r="HD368" s="4617"/>
      <c r="HE368" s="4617"/>
      <c r="HF368" s="4617"/>
      <c r="HG368" s="4617"/>
      <c r="HH368" s="4617"/>
      <c r="HI368" s="4617"/>
      <c r="HJ368" s="4617"/>
      <c r="HK368" s="4617"/>
      <c r="HL368" s="4617"/>
      <c r="HM368" s="4617"/>
      <c r="HN368" s="4617"/>
      <c r="HO368" s="4617"/>
      <c r="HP368" s="4617"/>
      <c r="HQ368" s="4617"/>
      <c r="HR368" s="4617"/>
      <c r="HS368" s="4617"/>
      <c r="HT368" s="4617"/>
      <c r="HU368" s="4617"/>
      <c r="HV368" s="4617"/>
      <c r="HW368" s="4617"/>
      <c r="HX368" s="4617"/>
      <c r="HY368" s="4617"/>
      <c r="HZ368" s="4617"/>
      <c r="IA368" s="4617"/>
      <c r="IB368" s="4617"/>
      <c r="IC368" s="4617"/>
      <c r="ID368" s="4617"/>
      <c r="IE368" s="4617"/>
    </row>
    <row r="369" spans="1:239" s="4538" customFormat="1" ht="13.5" customHeight="1">
      <c r="A369" s="4708"/>
      <c r="B369" s="4635"/>
      <c r="C369" s="4773"/>
      <c r="D369" s="4686"/>
      <c r="E369" s="5006"/>
      <c r="F369" s="4589"/>
      <c r="G369" s="4555"/>
      <c r="H369" s="4555"/>
      <c r="I369" s="4555"/>
      <c r="J369" s="4555"/>
      <c r="K369" s="4555"/>
      <c r="L369" s="4555"/>
      <c r="M369" s="4555"/>
      <c r="N369" s="4555"/>
      <c r="O369" s="4555"/>
      <c r="P369" s="4555"/>
      <c r="Q369" s="4555"/>
      <c r="R369" s="4555"/>
      <c r="S369" s="4555"/>
      <c r="T369" s="4555"/>
      <c r="U369" s="4555"/>
      <c r="V369" s="4555"/>
      <c r="W369" s="4555"/>
      <c r="X369" s="4555"/>
      <c r="Y369" s="4555"/>
      <c r="Z369" s="4555"/>
      <c r="AA369" s="4555"/>
      <c r="AB369" s="4555"/>
      <c r="AC369" s="4555"/>
      <c r="AD369" s="4555"/>
      <c r="AE369" s="4555"/>
      <c r="AF369" s="4555"/>
      <c r="AG369" s="4555"/>
      <c r="AH369" s="4555"/>
      <c r="AI369" s="4555"/>
      <c r="AJ369" s="4555"/>
      <c r="AK369" s="4555"/>
      <c r="AL369" s="4555"/>
      <c r="AM369" s="4555"/>
      <c r="AN369" s="4555"/>
      <c r="AO369" s="4555"/>
      <c r="AP369" s="4555"/>
      <c r="AQ369" s="4555"/>
      <c r="AR369" s="4555"/>
      <c r="AS369" s="4556"/>
      <c r="AT369" s="4556"/>
      <c r="AU369" s="4556"/>
      <c r="AV369" s="4556"/>
      <c r="AW369" s="4556"/>
      <c r="AX369" s="4556"/>
      <c r="AY369" s="4556"/>
      <c r="AZ369" s="4556"/>
      <c r="BA369" s="4556"/>
      <c r="BB369" s="4556"/>
      <c r="BC369" s="4556"/>
      <c r="BD369" s="4556"/>
      <c r="BE369" s="4556"/>
      <c r="BF369" s="4556"/>
      <c r="BG369" s="4556"/>
      <c r="BH369" s="4556"/>
      <c r="BI369" s="4556"/>
      <c r="BJ369" s="4556"/>
      <c r="BK369" s="4556"/>
      <c r="BL369" s="4556"/>
      <c r="BM369" s="4556"/>
      <c r="BN369" s="4556"/>
      <c r="BO369" s="4556"/>
      <c r="BP369" s="4556"/>
      <c r="BQ369" s="4556"/>
      <c r="BR369" s="4556"/>
      <c r="BS369" s="4556"/>
      <c r="BT369" s="4556"/>
      <c r="BU369" s="4556"/>
      <c r="BV369" s="4556"/>
      <c r="BW369" s="4556"/>
      <c r="BX369" s="4556"/>
      <c r="BY369" s="4556"/>
      <c r="BZ369" s="4556"/>
      <c r="CA369" s="4556"/>
      <c r="CB369" s="4556"/>
      <c r="CC369" s="4556"/>
      <c r="CD369" s="4556"/>
      <c r="CE369" s="4556"/>
      <c r="CF369" s="4556"/>
      <c r="CG369" s="4556"/>
      <c r="CH369" s="4556"/>
      <c r="CI369" s="4556"/>
      <c r="CJ369" s="4556"/>
      <c r="CK369" s="4556"/>
      <c r="CL369" s="4556"/>
      <c r="CM369" s="4556"/>
      <c r="CN369" s="4556"/>
      <c r="CO369" s="4556"/>
      <c r="CP369" s="4556"/>
      <c r="CQ369" s="4556"/>
      <c r="CR369" s="4556"/>
      <c r="CS369" s="4556"/>
      <c r="CT369" s="4556"/>
      <c r="CU369" s="4556"/>
      <c r="CV369" s="4556"/>
      <c r="CW369" s="4556"/>
      <c r="CX369" s="4556"/>
      <c r="CY369" s="4556"/>
      <c r="CZ369" s="4556"/>
      <c r="DA369" s="4556"/>
      <c r="DB369" s="4556"/>
      <c r="DC369" s="4556"/>
      <c r="DD369" s="4556"/>
      <c r="DE369" s="4556"/>
      <c r="DF369" s="4556"/>
      <c r="DG369" s="4556"/>
      <c r="DH369" s="4556"/>
      <c r="DI369" s="4556"/>
      <c r="DJ369" s="4556"/>
      <c r="DK369" s="4556"/>
      <c r="DL369" s="4556"/>
      <c r="DM369" s="4556"/>
      <c r="DN369" s="4556"/>
      <c r="DO369" s="4556"/>
      <c r="DP369" s="4556"/>
      <c r="DQ369" s="4556"/>
      <c r="DR369" s="4556"/>
      <c r="DS369" s="4556"/>
      <c r="DT369" s="4556"/>
      <c r="DU369" s="4556"/>
      <c r="DV369" s="4556"/>
      <c r="DW369" s="4556"/>
      <c r="DX369" s="4556"/>
      <c r="DY369" s="4556"/>
      <c r="DZ369" s="4556"/>
      <c r="EA369" s="4556"/>
      <c r="EB369" s="4556"/>
      <c r="EC369" s="4556"/>
      <c r="ED369" s="4556"/>
      <c r="EE369" s="4556"/>
      <c r="EF369" s="4556"/>
      <c r="EG369" s="4556"/>
      <c r="EH369" s="4556"/>
      <c r="EI369" s="4556"/>
      <c r="EJ369" s="4556"/>
      <c r="EK369" s="4556"/>
      <c r="EL369" s="4556"/>
      <c r="EM369" s="4556"/>
      <c r="EN369" s="4556"/>
      <c r="EO369" s="4556"/>
      <c r="EP369" s="4556"/>
      <c r="EQ369" s="4556"/>
      <c r="ER369" s="4556"/>
      <c r="ES369" s="4556"/>
      <c r="ET369" s="4556"/>
      <c r="EU369" s="4556"/>
      <c r="EV369" s="4556"/>
      <c r="EW369" s="4556"/>
      <c r="EX369" s="4556"/>
      <c r="EY369" s="4556"/>
      <c r="EZ369" s="4556"/>
      <c r="FA369" s="4556"/>
      <c r="FB369" s="4556"/>
      <c r="FC369" s="4556"/>
      <c r="FD369" s="4556"/>
      <c r="FE369" s="4556"/>
      <c r="FF369" s="4556"/>
      <c r="FG369" s="4556"/>
      <c r="FH369" s="4556"/>
      <c r="FI369" s="4556"/>
      <c r="FJ369" s="4556"/>
      <c r="FK369" s="4556"/>
      <c r="FL369" s="4556"/>
      <c r="FM369" s="4556"/>
      <c r="FN369" s="4556"/>
      <c r="FO369" s="4556"/>
      <c r="FP369" s="4556"/>
      <c r="FQ369" s="4556"/>
      <c r="FR369" s="4556"/>
      <c r="FS369" s="4556"/>
      <c r="FT369" s="4556"/>
      <c r="FU369" s="4556"/>
      <c r="FV369" s="4556"/>
      <c r="FW369" s="4556"/>
      <c r="FX369" s="4556"/>
      <c r="FY369" s="4556"/>
      <c r="FZ369" s="4556"/>
      <c r="GA369" s="4556"/>
      <c r="GB369" s="4556"/>
      <c r="GC369" s="4556"/>
      <c r="GD369" s="4556"/>
      <c r="GE369" s="4556"/>
      <c r="GF369" s="4556"/>
      <c r="GG369" s="4556"/>
      <c r="GH369" s="4556"/>
      <c r="GI369" s="4556"/>
      <c r="GJ369" s="4556"/>
      <c r="GK369" s="4556"/>
      <c r="GL369" s="4556"/>
      <c r="GM369" s="4556"/>
      <c r="GN369" s="4556"/>
      <c r="GO369" s="4556"/>
      <c r="GP369" s="4556"/>
      <c r="GQ369" s="4556"/>
      <c r="GR369" s="4556"/>
      <c r="GS369" s="4556"/>
      <c r="GT369" s="4556"/>
      <c r="GU369" s="4556"/>
      <c r="GV369" s="4556"/>
      <c r="GW369" s="4556"/>
      <c r="GX369" s="4556"/>
      <c r="GY369" s="4556"/>
      <c r="GZ369" s="4556"/>
      <c r="HA369" s="4556"/>
      <c r="HB369" s="4556"/>
      <c r="HC369" s="4556"/>
      <c r="HD369" s="4556"/>
      <c r="HE369" s="4556"/>
      <c r="HF369" s="4556"/>
      <c r="HG369" s="4556"/>
      <c r="HH369" s="4556"/>
      <c r="HI369" s="4556"/>
      <c r="HJ369" s="4556"/>
      <c r="HK369" s="4556"/>
      <c r="HL369" s="4556"/>
      <c r="HM369" s="4556"/>
      <c r="HN369" s="4556"/>
      <c r="HO369" s="4556"/>
      <c r="HP369" s="4556"/>
      <c r="HQ369" s="4556"/>
      <c r="HR369" s="4556"/>
      <c r="HS369" s="4556"/>
      <c r="HT369" s="4556"/>
      <c r="HU369" s="4556"/>
      <c r="HV369" s="4556"/>
      <c r="HW369" s="4556"/>
      <c r="HX369" s="4556"/>
      <c r="HY369" s="4556"/>
      <c r="HZ369" s="4556"/>
      <c r="IA369" s="4556"/>
      <c r="IB369" s="4556"/>
      <c r="IC369" s="4556"/>
      <c r="ID369" s="4556"/>
      <c r="IE369" s="4556"/>
    </row>
    <row r="370" spans="1:239" s="4639" customFormat="1" ht="25.5">
      <c r="A370" s="4786" t="s">
        <v>9</v>
      </c>
      <c r="B370" s="4787" t="s">
        <v>4579</v>
      </c>
      <c r="C370" s="4367"/>
      <c r="D370" s="4669"/>
      <c r="E370" s="4961"/>
      <c r="F370" s="4961"/>
      <c r="G370" s="4536"/>
    </row>
    <row r="371" spans="1:239" s="4639" customFormat="1" ht="25.5">
      <c r="A371" s="4786" t="s">
        <v>4381</v>
      </c>
      <c r="B371" s="4787" t="s">
        <v>4562</v>
      </c>
      <c r="C371" s="4367"/>
      <c r="D371" s="4669"/>
      <c r="E371" s="4961"/>
      <c r="F371" s="4961"/>
    </row>
    <row r="372" spans="1:239">
      <c r="A372" s="4666"/>
      <c r="B372" s="4788"/>
      <c r="C372" s="4367"/>
      <c r="D372" s="4669"/>
      <c r="E372" s="4961"/>
      <c r="F372" s="4961"/>
    </row>
    <row r="373" spans="1:239">
      <c r="A373" s="4789">
        <v>1</v>
      </c>
      <c r="B373" s="4787" t="s">
        <v>2165</v>
      </c>
      <c r="C373" s="4367"/>
      <c r="D373" s="4669"/>
      <c r="E373" s="4961"/>
      <c r="F373" s="4961"/>
    </row>
    <row r="374" spans="1:239" ht="28.5">
      <c r="A374" s="4666">
        <v>1.01</v>
      </c>
      <c r="B374" s="4788" t="s">
        <v>3926</v>
      </c>
      <c r="C374" s="4367">
        <v>12</v>
      </c>
      <c r="D374" s="4669" t="s">
        <v>4045</v>
      </c>
      <c r="E374" s="4365"/>
      <c r="F374" s="4961">
        <f>IF(C374&gt;0,(ROUND((E374*C374),2))," ")</f>
        <v>0</v>
      </c>
    </row>
    <row r="375" spans="1:239">
      <c r="A375" s="4666"/>
      <c r="B375" s="4788"/>
      <c r="C375" s="4367"/>
      <c r="D375" s="4669"/>
      <c r="E375" s="4365"/>
      <c r="F375" s="4961"/>
    </row>
    <row r="376" spans="1:239">
      <c r="A376" s="4789">
        <v>2</v>
      </c>
      <c r="B376" s="4787" t="s">
        <v>1250</v>
      </c>
      <c r="C376" s="4367"/>
      <c r="D376" s="4669"/>
      <c r="E376" s="4961"/>
      <c r="F376" s="4961" t="str">
        <f t="shared" ref="F376:F439" si="17">IF(C376&gt;0,(ROUND((E376*C376),2))," ")</f>
        <v xml:space="preserve"> </v>
      </c>
    </row>
    <row r="377" spans="1:239">
      <c r="A377" s="4790">
        <v>2.1</v>
      </c>
      <c r="B377" s="4787" t="s">
        <v>3799</v>
      </c>
      <c r="C377" s="4668"/>
      <c r="D377" s="4669"/>
      <c r="E377" s="4961"/>
      <c r="F377" s="4961" t="str">
        <f t="shared" si="17"/>
        <v xml:space="preserve"> </v>
      </c>
    </row>
    <row r="378" spans="1:239" s="4557" customFormat="1">
      <c r="A378" s="4666" t="s">
        <v>1182</v>
      </c>
      <c r="B378" s="4791" t="s">
        <v>4672</v>
      </c>
      <c r="C378" s="4367">
        <v>4880.78</v>
      </c>
      <c r="D378" s="4600" t="s">
        <v>3157</v>
      </c>
      <c r="E378" s="4318"/>
      <c r="F378" s="4318">
        <f t="shared" si="17"/>
        <v>0</v>
      </c>
    </row>
    <row r="379" spans="1:239" s="4557" customFormat="1" ht="28.5">
      <c r="A379" s="4735" t="s">
        <v>1183</v>
      </c>
      <c r="B379" s="4734" t="s">
        <v>2970</v>
      </c>
      <c r="C379" s="4367">
        <v>6100.98</v>
      </c>
      <c r="D379" s="4600" t="s">
        <v>2525</v>
      </c>
      <c r="E379" s="4318"/>
      <c r="F379" s="4318">
        <f t="shared" si="17"/>
        <v>0</v>
      </c>
    </row>
    <row r="380" spans="1:239" ht="15">
      <c r="A380" s="4666"/>
      <c r="B380" s="4792"/>
      <c r="C380" s="4367"/>
      <c r="D380" s="4669"/>
      <c r="E380" s="4961"/>
      <c r="F380" s="4961" t="str">
        <f t="shared" si="17"/>
        <v xml:space="preserve"> </v>
      </c>
    </row>
    <row r="381" spans="1:239" s="4256" customFormat="1">
      <c r="A381" s="4789">
        <v>3</v>
      </c>
      <c r="B381" s="4787" t="s">
        <v>38</v>
      </c>
      <c r="C381" s="4793"/>
      <c r="D381" s="4794"/>
      <c r="E381" s="5012"/>
      <c r="F381" s="4961" t="str">
        <f t="shared" si="17"/>
        <v xml:space="preserve"> </v>
      </c>
    </row>
    <row r="382" spans="1:239">
      <c r="A382" s="4795">
        <v>3.1</v>
      </c>
      <c r="B382" s="4796" t="s">
        <v>3586</v>
      </c>
      <c r="C382" s="4367">
        <v>638.83000000000004</v>
      </c>
      <c r="D382" s="4669" t="s">
        <v>3157</v>
      </c>
      <c r="E382" s="4365"/>
      <c r="F382" s="4961">
        <f t="shared" si="17"/>
        <v>0</v>
      </c>
    </row>
    <row r="383" spans="1:239">
      <c r="A383" s="4795">
        <v>3.2</v>
      </c>
      <c r="B383" s="4796" t="s">
        <v>2971</v>
      </c>
      <c r="C383" s="4367">
        <v>70.62</v>
      </c>
      <c r="D383" s="4669" t="s">
        <v>2431</v>
      </c>
      <c r="E383" s="4365"/>
      <c r="F383" s="4961">
        <f t="shared" si="17"/>
        <v>0</v>
      </c>
    </row>
    <row r="384" spans="1:239" ht="28.5">
      <c r="A384" s="4795">
        <v>3.3</v>
      </c>
      <c r="B384" s="4788" t="s">
        <v>2342</v>
      </c>
      <c r="C384" s="4367">
        <v>852.32</v>
      </c>
      <c r="D384" s="4669" t="s">
        <v>2525</v>
      </c>
      <c r="E384" s="4365"/>
      <c r="F384" s="4961">
        <f t="shared" si="17"/>
        <v>0</v>
      </c>
    </row>
    <row r="385" spans="1:6" ht="15">
      <c r="A385" s="4797"/>
      <c r="B385" s="4792"/>
      <c r="C385" s="4367"/>
      <c r="D385" s="4669"/>
      <c r="E385" s="4961"/>
      <c r="F385" s="4961" t="str">
        <f t="shared" si="17"/>
        <v xml:space="preserve"> </v>
      </c>
    </row>
    <row r="386" spans="1:6" s="4256" customFormat="1">
      <c r="A386" s="4789">
        <v>4</v>
      </c>
      <c r="B386" s="4787" t="s">
        <v>2973</v>
      </c>
      <c r="C386" s="4793"/>
      <c r="D386" s="4794"/>
      <c r="E386" s="5012"/>
      <c r="F386" s="4961" t="str">
        <f t="shared" si="17"/>
        <v xml:space="preserve"> </v>
      </c>
    </row>
    <row r="387" spans="1:6" s="4256" customFormat="1" ht="17.25">
      <c r="A387" s="4185">
        <v>4.0999999999999996</v>
      </c>
      <c r="B387" s="4787" t="s">
        <v>4561</v>
      </c>
      <c r="C387" s="4793"/>
      <c r="D387" s="4794"/>
      <c r="E387" s="5012"/>
      <c r="F387" s="4961" t="str">
        <f t="shared" si="17"/>
        <v xml:space="preserve"> </v>
      </c>
    </row>
    <row r="388" spans="1:6">
      <c r="A388" s="4666" t="s">
        <v>592</v>
      </c>
      <c r="B388" s="4798" t="s">
        <v>2974</v>
      </c>
      <c r="C388" s="4367">
        <v>0.65</v>
      </c>
      <c r="D388" s="4669" t="s">
        <v>2430</v>
      </c>
      <c r="E388" s="4961"/>
      <c r="F388" s="4961">
        <f t="shared" si="17"/>
        <v>0</v>
      </c>
    </row>
    <row r="389" spans="1:6">
      <c r="A389" s="4666" t="s">
        <v>594</v>
      </c>
      <c r="B389" s="4798" t="s">
        <v>2975</v>
      </c>
      <c r="C389" s="4367">
        <v>0.28999999999999998</v>
      </c>
      <c r="D389" s="4669" t="s">
        <v>2430</v>
      </c>
      <c r="E389" s="4961"/>
      <c r="F389" s="4961">
        <f t="shared" si="17"/>
        <v>0</v>
      </c>
    </row>
    <row r="390" spans="1:6" ht="15">
      <c r="A390" s="4797"/>
      <c r="B390" s="4792"/>
      <c r="C390" s="4367"/>
      <c r="D390" s="4669"/>
      <c r="E390" s="4961"/>
      <c r="F390" s="4961" t="str">
        <f t="shared" si="17"/>
        <v xml:space="preserve"> </v>
      </c>
    </row>
    <row r="391" spans="1:6">
      <c r="A391" s="4185">
        <v>4.2</v>
      </c>
      <c r="B391" s="4787" t="s">
        <v>2976</v>
      </c>
      <c r="C391" s="4367"/>
      <c r="D391" s="4669"/>
      <c r="E391" s="4961"/>
      <c r="F391" s="4961" t="str">
        <f t="shared" si="17"/>
        <v xml:space="preserve"> </v>
      </c>
    </row>
    <row r="392" spans="1:6">
      <c r="A392" s="4799" t="s">
        <v>601</v>
      </c>
      <c r="B392" s="4798" t="s">
        <v>2977</v>
      </c>
      <c r="C392" s="4367">
        <v>5.72</v>
      </c>
      <c r="D392" s="4669" t="s">
        <v>2432</v>
      </c>
      <c r="E392" s="4961"/>
      <c r="F392" s="4961">
        <f>IF(C392&gt;0,(ROUND((E392*C392),2))," ")</f>
        <v>0</v>
      </c>
    </row>
    <row r="393" spans="1:6" ht="15">
      <c r="A393" s="4800"/>
      <c r="B393" s="4801"/>
      <c r="C393" s="4802"/>
      <c r="D393" s="4803"/>
      <c r="E393" s="5013"/>
      <c r="F393" s="5013" t="str">
        <f t="shared" si="17"/>
        <v xml:space="preserve"> </v>
      </c>
    </row>
    <row r="394" spans="1:6">
      <c r="A394" s="4185">
        <v>4.3</v>
      </c>
      <c r="B394" s="4787" t="s">
        <v>3720</v>
      </c>
      <c r="C394" s="4367"/>
      <c r="D394" s="4669"/>
      <c r="E394" s="4961"/>
      <c r="F394" s="4961" t="str">
        <f t="shared" si="17"/>
        <v xml:space="preserve"> </v>
      </c>
    </row>
    <row r="395" spans="1:6">
      <c r="A395" s="4799" t="s">
        <v>3800</v>
      </c>
      <c r="B395" s="4798" t="s">
        <v>2435</v>
      </c>
      <c r="C395" s="4367">
        <v>1.2</v>
      </c>
      <c r="D395" s="4669" t="s">
        <v>2432</v>
      </c>
      <c r="E395" s="4961"/>
      <c r="F395" s="4961">
        <f t="shared" si="17"/>
        <v>0</v>
      </c>
    </row>
    <row r="396" spans="1:6">
      <c r="A396" s="4799" t="s">
        <v>3801</v>
      </c>
      <c r="B396" s="4798" t="s">
        <v>2344</v>
      </c>
      <c r="C396" s="4367">
        <v>4.4000000000000004</v>
      </c>
      <c r="D396" s="4669" t="s">
        <v>2432</v>
      </c>
      <c r="E396" s="4961"/>
      <c r="F396" s="4961">
        <f t="shared" si="17"/>
        <v>0</v>
      </c>
    </row>
    <row r="397" spans="1:6">
      <c r="A397" s="4799" t="s">
        <v>3802</v>
      </c>
      <c r="B397" s="4798" t="s">
        <v>2345</v>
      </c>
      <c r="C397" s="4367">
        <v>5.04</v>
      </c>
      <c r="D397" s="4669" t="s">
        <v>2432</v>
      </c>
      <c r="E397" s="4961"/>
      <c r="F397" s="4961">
        <f t="shared" si="17"/>
        <v>0</v>
      </c>
    </row>
    <row r="398" spans="1:6">
      <c r="A398" s="4799" t="s">
        <v>3803</v>
      </c>
      <c r="B398" s="4798" t="s">
        <v>1548</v>
      </c>
      <c r="C398" s="4367">
        <v>14</v>
      </c>
      <c r="D398" s="4669" t="s">
        <v>1</v>
      </c>
      <c r="E398" s="4961"/>
      <c r="F398" s="4961">
        <f t="shared" si="17"/>
        <v>0</v>
      </c>
    </row>
    <row r="399" spans="1:6" ht="15">
      <c r="A399" s="4797"/>
      <c r="B399" s="4792"/>
      <c r="C399" s="4367"/>
      <c r="D399" s="4669"/>
      <c r="E399" s="4961"/>
      <c r="F399" s="4961" t="str">
        <f t="shared" si="17"/>
        <v xml:space="preserve"> </v>
      </c>
    </row>
    <row r="400" spans="1:6" s="4256" customFormat="1">
      <c r="A400" s="4789">
        <v>5</v>
      </c>
      <c r="B400" s="4787" t="s">
        <v>2978</v>
      </c>
      <c r="C400" s="4793"/>
      <c r="D400" s="4794"/>
      <c r="E400" s="5012"/>
      <c r="F400" s="4961" t="str">
        <f t="shared" si="17"/>
        <v xml:space="preserve"> </v>
      </c>
    </row>
    <row r="401" spans="1:6" s="4256" customFormat="1">
      <c r="A401" s="4185">
        <v>5.0999999999999996</v>
      </c>
      <c r="B401" s="4787" t="s">
        <v>3826</v>
      </c>
      <c r="C401" s="4793"/>
      <c r="D401" s="4794"/>
      <c r="E401" s="5012"/>
      <c r="F401" s="4961" t="str">
        <f t="shared" si="17"/>
        <v xml:space="preserve"> </v>
      </c>
    </row>
    <row r="402" spans="1:6">
      <c r="A402" s="4666" t="s">
        <v>608</v>
      </c>
      <c r="B402" s="4798" t="s">
        <v>2974</v>
      </c>
      <c r="C402" s="4367">
        <v>0.67</v>
      </c>
      <c r="D402" s="4669" t="s">
        <v>2430</v>
      </c>
      <c r="E402" s="4961"/>
      <c r="F402" s="4961">
        <f t="shared" si="17"/>
        <v>0</v>
      </c>
    </row>
    <row r="403" spans="1:6">
      <c r="A403" s="4666" t="s">
        <v>610</v>
      </c>
      <c r="B403" s="4798" t="s">
        <v>2975</v>
      </c>
      <c r="C403" s="4367">
        <v>0.37</v>
      </c>
      <c r="D403" s="4669" t="s">
        <v>2430</v>
      </c>
      <c r="E403" s="4961"/>
      <c r="F403" s="4961">
        <f t="shared" si="17"/>
        <v>0</v>
      </c>
    </row>
    <row r="404" spans="1:6" ht="15">
      <c r="A404" s="4797"/>
      <c r="B404" s="4792"/>
      <c r="C404" s="4367"/>
      <c r="D404" s="4669"/>
      <c r="E404" s="4961"/>
      <c r="F404" s="4961" t="str">
        <f t="shared" si="17"/>
        <v xml:space="preserve"> </v>
      </c>
    </row>
    <row r="405" spans="1:6">
      <c r="A405" s="4185">
        <v>5.2</v>
      </c>
      <c r="B405" s="4787" t="s">
        <v>2976</v>
      </c>
      <c r="C405" s="4367"/>
      <c r="D405" s="4669"/>
      <c r="E405" s="4961"/>
      <c r="F405" s="4961" t="str">
        <f t="shared" si="17"/>
        <v xml:space="preserve"> </v>
      </c>
    </row>
    <row r="406" spans="1:6">
      <c r="A406" s="4799" t="s">
        <v>614</v>
      </c>
      <c r="B406" s="4798" t="s">
        <v>2977</v>
      </c>
      <c r="C406" s="4367">
        <v>4.8</v>
      </c>
      <c r="D406" s="4669" t="s">
        <v>2432</v>
      </c>
      <c r="E406" s="4961"/>
      <c r="F406" s="4961">
        <f>IF(C406&gt;0,(ROUND((E406*C406),2))," ")</f>
        <v>0</v>
      </c>
    </row>
    <row r="407" spans="1:6" ht="15">
      <c r="A407" s="4797"/>
      <c r="B407" s="4792"/>
      <c r="C407" s="4367"/>
      <c r="D407" s="4669"/>
      <c r="E407" s="4961"/>
      <c r="F407" s="4961" t="str">
        <f t="shared" si="17"/>
        <v xml:space="preserve"> </v>
      </c>
    </row>
    <row r="408" spans="1:6">
      <c r="A408" s="4185">
        <v>5.3</v>
      </c>
      <c r="B408" s="4787" t="s">
        <v>3720</v>
      </c>
      <c r="C408" s="4367"/>
      <c r="D408" s="4669"/>
      <c r="E408" s="4961"/>
      <c r="F408" s="4961" t="str">
        <f t="shared" si="17"/>
        <v xml:space="preserve"> </v>
      </c>
    </row>
    <row r="409" spans="1:6">
      <c r="A409" s="4799" t="s">
        <v>3804</v>
      </c>
      <c r="B409" s="4798" t="s">
        <v>2435</v>
      </c>
      <c r="C409" s="4367">
        <v>1.6</v>
      </c>
      <c r="D409" s="4669" t="s">
        <v>2432</v>
      </c>
      <c r="E409" s="4961"/>
      <c r="F409" s="4961">
        <f t="shared" si="17"/>
        <v>0</v>
      </c>
    </row>
    <row r="410" spans="1:6">
      <c r="A410" s="4799" t="s">
        <v>3805</v>
      </c>
      <c r="B410" s="4798" t="s">
        <v>2344</v>
      </c>
      <c r="C410" s="4367">
        <v>5.2</v>
      </c>
      <c r="D410" s="4669" t="s">
        <v>2432</v>
      </c>
      <c r="E410" s="4961"/>
      <c r="F410" s="4961">
        <f t="shared" si="17"/>
        <v>0</v>
      </c>
    </row>
    <row r="411" spans="1:6">
      <c r="A411" s="4799" t="s">
        <v>3806</v>
      </c>
      <c r="B411" s="4798" t="s">
        <v>2345</v>
      </c>
      <c r="C411" s="4367">
        <v>6.4</v>
      </c>
      <c r="D411" s="4669" t="s">
        <v>2432</v>
      </c>
      <c r="E411" s="4961"/>
      <c r="F411" s="4961">
        <f t="shared" si="17"/>
        <v>0</v>
      </c>
    </row>
    <row r="412" spans="1:6">
      <c r="A412" s="4799" t="s">
        <v>3807</v>
      </c>
      <c r="B412" s="4798" t="s">
        <v>1548</v>
      </c>
      <c r="C412" s="4367">
        <v>15.6</v>
      </c>
      <c r="D412" s="4669" t="s">
        <v>1</v>
      </c>
      <c r="E412" s="4961"/>
      <c r="F412" s="4961">
        <f t="shared" si="17"/>
        <v>0</v>
      </c>
    </row>
    <row r="413" spans="1:6" ht="15">
      <c r="A413" s="4797"/>
      <c r="B413" s="4792"/>
      <c r="C413" s="4367"/>
      <c r="D413" s="4669"/>
      <c r="E413" s="4961"/>
      <c r="F413" s="4961" t="str">
        <f t="shared" si="17"/>
        <v xml:space="preserve"> </v>
      </c>
    </row>
    <row r="414" spans="1:6">
      <c r="A414" s="4185">
        <v>6</v>
      </c>
      <c r="B414" s="4787" t="s">
        <v>4632</v>
      </c>
      <c r="C414" s="4668"/>
      <c r="D414" s="4669"/>
      <c r="E414" s="4961"/>
      <c r="F414" s="4961" t="str">
        <f t="shared" si="17"/>
        <v xml:space="preserve"> </v>
      </c>
    </row>
    <row r="415" spans="1:6">
      <c r="A415" s="4795">
        <v>6.1</v>
      </c>
      <c r="B415" s="4788" t="s">
        <v>4538</v>
      </c>
      <c r="C415" s="4367">
        <v>0.33</v>
      </c>
      <c r="D415" s="4669" t="s">
        <v>2430</v>
      </c>
      <c r="E415" s="4961"/>
      <c r="F415" s="4961">
        <f t="shared" si="17"/>
        <v>0</v>
      </c>
    </row>
    <row r="416" spans="1:6" ht="16.5">
      <c r="A416" s="4795">
        <v>6.2</v>
      </c>
      <c r="B416" s="4788" t="s">
        <v>4539</v>
      </c>
      <c r="C416" s="4367">
        <v>2.93</v>
      </c>
      <c r="D416" s="4669" t="s">
        <v>2430</v>
      </c>
      <c r="E416" s="4961"/>
      <c r="F416" s="4961">
        <f t="shared" si="17"/>
        <v>0</v>
      </c>
    </row>
    <row r="417" spans="1:6" ht="16.5">
      <c r="A417" s="4795">
        <v>6.3</v>
      </c>
      <c r="B417" s="4788" t="s">
        <v>4540</v>
      </c>
      <c r="C417" s="4367">
        <v>3.69</v>
      </c>
      <c r="D417" s="4669" t="s">
        <v>2430</v>
      </c>
      <c r="E417" s="4961"/>
      <c r="F417" s="4961">
        <f t="shared" si="17"/>
        <v>0</v>
      </c>
    </row>
    <row r="418" spans="1:6" ht="16.5">
      <c r="A418" s="4795">
        <v>6.4</v>
      </c>
      <c r="B418" s="4788" t="s">
        <v>4541</v>
      </c>
      <c r="C418" s="4367">
        <v>226.2</v>
      </c>
      <c r="D418" s="4669" t="s">
        <v>2430</v>
      </c>
      <c r="E418" s="4961"/>
      <c r="F418" s="4961">
        <f t="shared" si="17"/>
        <v>0</v>
      </c>
    </row>
    <row r="419" spans="1:6" ht="16.5">
      <c r="A419" s="4795">
        <v>6.5</v>
      </c>
      <c r="B419" s="4788" t="s">
        <v>4542</v>
      </c>
      <c r="C419" s="4367">
        <v>1.79</v>
      </c>
      <c r="D419" s="4669" t="s">
        <v>2430</v>
      </c>
      <c r="E419" s="4961"/>
      <c r="F419" s="4961">
        <f t="shared" si="17"/>
        <v>0</v>
      </c>
    </row>
    <row r="420" spans="1:6" ht="16.5">
      <c r="A420" s="4795">
        <v>6.6</v>
      </c>
      <c r="B420" s="4788" t="s">
        <v>4543</v>
      </c>
      <c r="C420" s="4367">
        <v>15.46</v>
      </c>
      <c r="D420" s="4669" t="s">
        <v>2430</v>
      </c>
      <c r="E420" s="4961"/>
      <c r="F420" s="4961">
        <f t="shared" si="17"/>
        <v>0</v>
      </c>
    </row>
    <row r="421" spans="1:6" ht="16.5">
      <c r="A421" s="4795">
        <v>6.7</v>
      </c>
      <c r="B421" s="4788" t="s">
        <v>4544</v>
      </c>
      <c r="C421" s="4367">
        <v>4.9000000000000004</v>
      </c>
      <c r="D421" s="4669" t="s">
        <v>2430</v>
      </c>
      <c r="E421" s="4961"/>
      <c r="F421" s="4961">
        <f t="shared" si="17"/>
        <v>0</v>
      </c>
    </row>
    <row r="422" spans="1:6" ht="16.5">
      <c r="A422" s="4795">
        <v>6.8</v>
      </c>
      <c r="B422" s="4788" t="s">
        <v>4545</v>
      </c>
      <c r="C422" s="4367">
        <v>7.32</v>
      </c>
      <c r="D422" s="4669" t="s">
        <v>2430</v>
      </c>
      <c r="E422" s="4961"/>
      <c r="F422" s="4961">
        <f t="shared" si="17"/>
        <v>0</v>
      </c>
    </row>
    <row r="423" spans="1:6" ht="16.5">
      <c r="A423" s="4795">
        <v>6.9</v>
      </c>
      <c r="B423" s="4788" t="s">
        <v>4546</v>
      </c>
      <c r="C423" s="4367">
        <v>7.4</v>
      </c>
      <c r="D423" s="4669" t="s">
        <v>2430</v>
      </c>
      <c r="E423" s="4961"/>
      <c r="F423" s="4961">
        <f t="shared" si="17"/>
        <v>0</v>
      </c>
    </row>
    <row r="424" spans="1:6" ht="16.5">
      <c r="A424" s="4666">
        <v>6.1</v>
      </c>
      <c r="B424" s="4788" t="s">
        <v>4547</v>
      </c>
      <c r="C424" s="4367">
        <v>2.93</v>
      </c>
      <c r="D424" s="4669" t="s">
        <v>2430</v>
      </c>
      <c r="E424" s="4961"/>
      <c r="F424" s="4961">
        <f t="shared" si="17"/>
        <v>0</v>
      </c>
    </row>
    <row r="425" spans="1:6" ht="16.5">
      <c r="A425" s="4666">
        <v>6.11</v>
      </c>
      <c r="B425" s="4788" t="s">
        <v>4548</v>
      </c>
      <c r="C425" s="4367">
        <v>10.78</v>
      </c>
      <c r="D425" s="4669" t="s">
        <v>2430</v>
      </c>
      <c r="E425" s="4961"/>
      <c r="F425" s="4961">
        <f>IF(C425&gt;0,(ROUND((E425*C425),2))," ")</f>
        <v>0</v>
      </c>
    </row>
    <row r="426" spans="1:6" ht="16.5">
      <c r="A426" s="4666">
        <v>6.12</v>
      </c>
      <c r="B426" s="4788" t="s">
        <v>4549</v>
      </c>
      <c r="C426" s="4367">
        <v>2.92</v>
      </c>
      <c r="D426" s="4669" t="s">
        <v>2430</v>
      </c>
      <c r="E426" s="4961"/>
      <c r="F426" s="4961">
        <f t="shared" si="17"/>
        <v>0</v>
      </c>
    </row>
    <row r="427" spans="1:6" ht="16.5">
      <c r="A427" s="4666">
        <v>6.13</v>
      </c>
      <c r="B427" s="4788" t="s">
        <v>4550</v>
      </c>
      <c r="C427" s="4367">
        <v>0.04</v>
      </c>
      <c r="D427" s="4669" t="s">
        <v>2430</v>
      </c>
      <c r="E427" s="4961"/>
      <c r="F427" s="4961">
        <f t="shared" si="17"/>
        <v>0</v>
      </c>
    </row>
    <row r="428" spans="1:6" ht="16.5">
      <c r="A428" s="4666">
        <v>6.14</v>
      </c>
      <c r="B428" s="4788" t="s">
        <v>4551</v>
      </c>
      <c r="C428" s="4367">
        <v>87.63</v>
      </c>
      <c r="D428" s="4669" t="s">
        <v>2430</v>
      </c>
      <c r="E428" s="4961"/>
      <c r="F428" s="4961">
        <f t="shared" si="17"/>
        <v>0</v>
      </c>
    </row>
    <row r="429" spans="1:6" ht="16.5">
      <c r="A429" s="4666">
        <v>6.15</v>
      </c>
      <c r="B429" s="4788" t="s">
        <v>4552</v>
      </c>
      <c r="C429" s="4367">
        <v>5.59</v>
      </c>
      <c r="D429" s="4669" t="s">
        <v>2430</v>
      </c>
      <c r="E429" s="4961"/>
      <c r="F429" s="4961">
        <f t="shared" si="17"/>
        <v>0</v>
      </c>
    </row>
    <row r="430" spans="1:6" ht="16.5">
      <c r="A430" s="4666">
        <v>6.16</v>
      </c>
      <c r="B430" s="4788" t="s">
        <v>4553</v>
      </c>
      <c r="C430" s="4367">
        <v>1.1299999999999999</v>
      </c>
      <c r="D430" s="4669" t="s">
        <v>2430</v>
      </c>
      <c r="E430" s="4961"/>
      <c r="F430" s="4961">
        <f t="shared" si="17"/>
        <v>0</v>
      </c>
    </row>
    <row r="431" spans="1:6" ht="16.5">
      <c r="A431" s="4666">
        <v>6.17</v>
      </c>
      <c r="B431" s="4788" t="s">
        <v>4554</v>
      </c>
      <c r="C431" s="4367">
        <v>0.86</v>
      </c>
      <c r="D431" s="4669" t="s">
        <v>2430</v>
      </c>
      <c r="E431" s="4961"/>
      <c r="F431" s="4961">
        <f t="shared" si="17"/>
        <v>0</v>
      </c>
    </row>
    <row r="432" spans="1:6" ht="16.5">
      <c r="A432" s="4666">
        <v>6.18</v>
      </c>
      <c r="B432" s="4788" t="s">
        <v>4555</v>
      </c>
      <c r="C432" s="4367">
        <v>6.6</v>
      </c>
      <c r="D432" s="4669" t="s">
        <v>2430</v>
      </c>
      <c r="E432" s="4961"/>
      <c r="F432" s="4961">
        <f t="shared" si="17"/>
        <v>0</v>
      </c>
    </row>
    <row r="433" spans="1:6" ht="16.5">
      <c r="A433" s="4666">
        <v>6.19</v>
      </c>
      <c r="B433" s="4788" t="s">
        <v>4556</v>
      </c>
      <c r="C433" s="4367">
        <v>0.75</v>
      </c>
      <c r="D433" s="4669" t="s">
        <v>2430</v>
      </c>
      <c r="E433" s="4961"/>
      <c r="F433" s="4961">
        <f t="shared" si="17"/>
        <v>0</v>
      </c>
    </row>
    <row r="434" spans="1:6" ht="16.5">
      <c r="A434" s="4666">
        <v>6.2</v>
      </c>
      <c r="B434" s="4788" t="s">
        <v>4557</v>
      </c>
      <c r="C434" s="4367">
        <v>0.54</v>
      </c>
      <c r="D434" s="4669" t="s">
        <v>2430</v>
      </c>
      <c r="E434" s="4961"/>
      <c r="F434" s="4961">
        <f t="shared" si="17"/>
        <v>0</v>
      </c>
    </row>
    <row r="435" spans="1:6" ht="16.5">
      <c r="A435" s="4666">
        <v>6.21</v>
      </c>
      <c r="B435" s="4788" t="s">
        <v>4558</v>
      </c>
      <c r="C435" s="4367">
        <v>0.66</v>
      </c>
      <c r="D435" s="4669" t="s">
        <v>2430</v>
      </c>
      <c r="E435" s="4961"/>
      <c r="F435" s="4961">
        <f t="shared" si="17"/>
        <v>0</v>
      </c>
    </row>
    <row r="436" spans="1:6" ht="16.5">
      <c r="A436" s="4666">
        <v>6.22</v>
      </c>
      <c r="B436" s="4788" t="s">
        <v>4559</v>
      </c>
      <c r="C436" s="4367">
        <v>7.16</v>
      </c>
      <c r="D436" s="4669" t="s">
        <v>2430</v>
      </c>
      <c r="E436" s="4961"/>
      <c r="F436" s="4961">
        <f t="shared" si="17"/>
        <v>0</v>
      </c>
    </row>
    <row r="437" spans="1:6" ht="16.5">
      <c r="A437" s="4666">
        <v>6.23</v>
      </c>
      <c r="B437" s="4788" t="s">
        <v>4560</v>
      </c>
      <c r="C437" s="4668">
        <v>0.56999999999999995</v>
      </c>
      <c r="D437" s="4669" t="s">
        <v>2430</v>
      </c>
      <c r="E437" s="4961"/>
      <c r="F437" s="4961">
        <f t="shared" si="17"/>
        <v>0</v>
      </c>
    </row>
    <row r="438" spans="1:6">
      <c r="A438" s="4666"/>
      <c r="B438" s="4788"/>
      <c r="C438" s="4367"/>
      <c r="D438" s="4669"/>
      <c r="E438" s="4961"/>
      <c r="F438" s="4961" t="str">
        <f t="shared" si="17"/>
        <v xml:space="preserve"> </v>
      </c>
    </row>
    <row r="439" spans="1:6">
      <c r="A439" s="4789">
        <v>7</v>
      </c>
      <c r="B439" s="4787" t="s">
        <v>3552</v>
      </c>
      <c r="C439" s="4367"/>
      <c r="D439" s="4669"/>
      <c r="E439" s="4961"/>
      <c r="F439" s="4961" t="str">
        <f t="shared" si="17"/>
        <v xml:space="preserve"> </v>
      </c>
    </row>
    <row r="440" spans="1:6">
      <c r="A440" s="4795">
        <v>7.1</v>
      </c>
      <c r="B440" s="4788" t="s">
        <v>2568</v>
      </c>
      <c r="C440" s="4367">
        <v>1098.31</v>
      </c>
      <c r="D440" s="4669" t="s">
        <v>2432</v>
      </c>
      <c r="E440" s="4961"/>
      <c r="F440" s="4961">
        <f t="shared" ref="F440:F503" si="18">IF(C440&gt;0,(ROUND((E440*C440),2))," ")</f>
        <v>0</v>
      </c>
    </row>
    <row r="441" spans="1:6">
      <c r="A441" s="4795">
        <v>7.2</v>
      </c>
      <c r="B441" s="4788" t="s">
        <v>2557</v>
      </c>
      <c r="C441" s="4367">
        <v>340.74</v>
      </c>
      <c r="D441" s="4669" t="s">
        <v>2432</v>
      </c>
      <c r="E441" s="4961"/>
      <c r="F441" s="4961">
        <f t="shared" si="18"/>
        <v>0</v>
      </c>
    </row>
    <row r="442" spans="1:6">
      <c r="A442" s="4795">
        <v>7.3</v>
      </c>
      <c r="B442" s="4788" t="s">
        <v>2343</v>
      </c>
      <c r="C442" s="4367">
        <v>51.58</v>
      </c>
      <c r="D442" s="4669" t="s">
        <v>2432</v>
      </c>
      <c r="E442" s="4961"/>
      <c r="F442" s="4961">
        <f t="shared" si="18"/>
        <v>0</v>
      </c>
    </row>
    <row r="443" spans="1:6">
      <c r="A443" s="4795">
        <v>7.4</v>
      </c>
      <c r="B443" s="4788" t="s">
        <v>2344</v>
      </c>
      <c r="C443" s="4367">
        <v>609</v>
      </c>
      <c r="D443" s="4669" t="s">
        <v>2432</v>
      </c>
      <c r="E443" s="4961"/>
      <c r="F443" s="4961">
        <f t="shared" si="18"/>
        <v>0</v>
      </c>
    </row>
    <row r="444" spans="1:6">
      <c r="A444" s="4805">
        <v>7.5</v>
      </c>
      <c r="B444" s="4806" t="s">
        <v>2345</v>
      </c>
      <c r="C444" s="4807">
        <v>489.31</v>
      </c>
      <c r="D444" s="4808" t="s">
        <v>2432</v>
      </c>
      <c r="E444" s="5014"/>
      <c r="F444" s="5014">
        <f t="shared" si="18"/>
        <v>0</v>
      </c>
    </row>
    <row r="445" spans="1:6">
      <c r="A445" s="4795">
        <v>7.6</v>
      </c>
      <c r="B445" s="4788" t="s">
        <v>1548</v>
      </c>
      <c r="C445" s="4367">
        <v>344.67</v>
      </c>
      <c r="D445" s="4669" t="s">
        <v>1</v>
      </c>
      <c r="E445" s="4961"/>
      <c r="F445" s="4961">
        <f t="shared" si="18"/>
        <v>0</v>
      </c>
    </row>
    <row r="446" spans="1:6" s="4557" customFormat="1" ht="28.5">
      <c r="A446" s="4795">
        <v>7.7</v>
      </c>
      <c r="B446" s="4809" t="s">
        <v>3167</v>
      </c>
      <c r="C446" s="4367">
        <v>163.38</v>
      </c>
      <c r="D446" s="4600" t="s">
        <v>1</v>
      </c>
      <c r="E446" s="4318"/>
      <c r="F446" s="4318">
        <f>IF(C446&gt;0,(ROUND((E446*C446),2))," ")</f>
        <v>0</v>
      </c>
    </row>
    <row r="447" spans="1:6">
      <c r="A447" s="4666"/>
      <c r="B447" s="4788"/>
      <c r="C447" s="4367"/>
      <c r="D447" s="4669"/>
      <c r="E447" s="4961"/>
      <c r="F447" s="4961" t="str">
        <f t="shared" si="18"/>
        <v xml:space="preserve"> </v>
      </c>
    </row>
    <row r="448" spans="1:6">
      <c r="A448" s="4789">
        <v>8</v>
      </c>
      <c r="B448" s="4787" t="s">
        <v>3828</v>
      </c>
      <c r="C448" s="4367"/>
      <c r="D448" s="4669"/>
      <c r="E448" s="4961"/>
      <c r="F448" s="4961" t="str">
        <f t="shared" si="18"/>
        <v xml:space="preserve"> </v>
      </c>
    </row>
    <row r="449" spans="1:6">
      <c r="A449" s="4790">
        <v>8.1</v>
      </c>
      <c r="B449" s="4787" t="s">
        <v>3829</v>
      </c>
      <c r="C449" s="4367"/>
      <c r="D449" s="4669"/>
      <c r="E449" s="4961"/>
      <c r="F449" s="4961" t="str">
        <f t="shared" si="18"/>
        <v xml:space="preserve"> </v>
      </c>
    </row>
    <row r="450" spans="1:6">
      <c r="A450" s="4666" t="s">
        <v>493</v>
      </c>
      <c r="B450" s="4788" t="s">
        <v>2353</v>
      </c>
      <c r="C450" s="4367">
        <v>35.39</v>
      </c>
      <c r="D450" s="4669" t="s">
        <v>1</v>
      </c>
      <c r="E450" s="4961"/>
      <c r="F450" s="4961">
        <f t="shared" si="18"/>
        <v>0</v>
      </c>
    </row>
    <row r="451" spans="1:6">
      <c r="A451" s="4666" t="s">
        <v>494</v>
      </c>
      <c r="B451" s="4788" t="s">
        <v>2982</v>
      </c>
      <c r="C451" s="4367">
        <v>39.28</v>
      </c>
      <c r="D451" s="4669" t="s">
        <v>1</v>
      </c>
      <c r="E451" s="4961"/>
      <c r="F451" s="4961">
        <f t="shared" si="18"/>
        <v>0</v>
      </c>
    </row>
    <row r="452" spans="1:6">
      <c r="A452" s="4666" t="s">
        <v>495</v>
      </c>
      <c r="B452" s="4788" t="s">
        <v>2983</v>
      </c>
      <c r="C452" s="4367">
        <v>33.39</v>
      </c>
      <c r="D452" s="4669" t="s">
        <v>2432</v>
      </c>
      <c r="E452" s="4961"/>
      <c r="F452" s="4961">
        <f t="shared" si="18"/>
        <v>0</v>
      </c>
    </row>
    <row r="453" spans="1:6" ht="13.5" customHeight="1">
      <c r="A453" s="4666" t="s">
        <v>496</v>
      </c>
      <c r="B453" s="4788" t="s">
        <v>2984</v>
      </c>
      <c r="C453" s="4367">
        <v>32.01</v>
      </c>
      <c r="D453" s="4669" t="s">
        <v>2431</v>
      </c>
      <c r="E453" s="4961"/>
      <c r="F453" s="4961">
        <f t="shared" si="18"/>
        <v>0</v>
      </c>
    </row>
    <row r="454" spans="1:6" ht="28.5">
      <c r="A454" s="4666" t="s">
        <v>497</v>
      </c>
      <c r="B454" s="4788" t="s">
        <v>2985</v>
      </c>
      <c r="C454" s="4367">
        <v>9.09</v>
      </c>
      <c r="D454" s="4669" t="s">
        <v>2525</v>
      </c>
      <c r="E454" s="4961"/>
      <c r="F454" s="4961">
        <f t="shared" si="18"/>
        <v>0</v>
      </c>
    </row>
    <row r="455" spans="1:6" ht="15">
      <c r="A455" s="4797"/>
      <c r="B455" s="4792"/>
      <c r="C455" s="4367"/>
      <c r="D455" s="4669"/>
      <c r="E455" s="4961"/>
      <c r="F455" s="4961" t="str">
        <f t="shared" si="18"/>
        <v xml:space="preserve"> </v>
      </c>
    </row>
    <row r="456" spans="1:6">
      <c r="A456" s="4790">
        <v>8.1999999999999993</v>
      </c>
      <c r="B456" s="4787" t="s">
        <v>3599</v>
      </c>
      <c r="C456" s="4367"/>
      <c r="D456" s="4669"/>
      <c r="E456" s="4961"/>
      <c r="F456" s="4961" t="str">
        <f t="shared" si="18"/>
        <v xml:space="preserve"> </v>
      </c>
    </row>
    <row r="457" spans="1:6" ht="28.5">
      <c r="A457" s="4666" t="s">
        <v>506</v>
      </c>
      <c r="B457" s="4810" t="s">
        <v>2440</v>
      </c>
      <c r="C457" s="4367">
        <v>39.26</v>
      </c>
      <c r="D457" s="4669" t="s">
        <v>1</v>
      </c>
      <c r="E457" s="4961"/>
      <c r="F457" s="4961">
        <f t="shared" si="18"/>
        <v>0</v>
      </c>
    </row>
    <row r="458" spans="1:6" s="4639" customFormat="1" ht="28.5">
      <c r="A458" s="4666" t="s">
        <v>507</v>
      </c>
      <c r="B458" s="4810" t="s">
        <v>4537</v>
      </c>
      <c r="C458" s="4367">
        <v>2</v>
      </c>
      <c r="D458" s="4669" t="s">
        <v>2433</v>
      </c>
      <c r="E458" s="4961"/>
      <c r="F458" s="4961">
        <f t="shared" si="18"/>
        <v>0</v>
      </c>
    </row>
    <row r="459" spans="1:6" ht="28.5">
      <c r="A459" s="4666" t="s">
        <v>508</v>
      </c>
      <c r="B459" s="4810" t="s">
        <v>2439</v>
      </c>
      <c r="C459" s="4367">
        <v>4</v>
      </c>
      <c r="D459" s="4669" t="s">
        <v>2433</v>
      </c>
      <c r="E459" s="4961"/>
      <c r="F459" s="4961">
        <f t="shared" si="18"/>
        <v>0</v>
      </c>
    </row>
    <row r="460" spans="1:6" ht="28.5">
      <c r="A460" s="4666" t="s">
        <v>509</v>
      </c>
      <c r="B460" s="4810" t="s">
        <v>2441</v>
      </c>
      <c r="C460" s="4367">
        <v>1</v>
      </c>
      <c r="D460" s="4669" t="s">
        <v>2433</v>
      </c>
      <c r="E460" s="4961"/>
      <c r="F460" s="4961">
        <f t="shared" si="18"/>
        <v>0</v>
      </c>
    </row>
    <row r="461" spans="1:6" ht="28.5">
      <c r="A461" s="4666" t="s">
        <v>510</v>
      </c>
      <c r="B461" s="4810" t="s">
        <v>3598</v>
      </c>
      <c r="C461" s="4367">
        <v>2</v>
      </c>
      <c r="D461" s="4669" t="s">
        <v>2433</v>
      </c>
      <c r="E461" s="4961"/>
      <c r="F461" s="4961">
        <f t="shared" si="18"/>
        <v>0</v>
      </c>
    </row>
    <row r="462" spans="1:6">
      <c r="A462" s="4666" t="s">
        <v>511</v>
      </c>
      <c r="B462" s="4788" t="s">
        <v>4536</v>
      </c>
      <c r="C462" s="4367">
        <v>2</v>
      </c>
      <c r="D462" s="4669" t="s">
        <v>2433</v>
      </c>
      <c r="E462" s="4961"/>
      <c r="F462" s="4961">
        <f t="shared" si="18"/>
        <v>0</v>
      </c>
    </row>
    <row r="463" spans="1:6">
      <c r="A463" s="4666" t="s">
        <v>512</v>
      </c>
      <c r="B463" s="4788" t="s">
        <v>3587</v>
      </c>
      <c r="C463" s="4367">
        <v>2</v>
      </c>
      <c r="D463" s="4669" t="s">
        <v>2433</v>
      </c>
      <c r="E463" s="4961"/>
      <c r="F463" s="4961">
        <f t="shared" si="18"/>
        <v>0</v>
      </c>
    </row>
    <row r="464" spans="1:6">
      <c r="A464" s="4666"/>
      <c r="B464" s="4788"/>
      <c r="C464" s="4367"/>
      <c r="D464" s="4669"/>
      <c r="E464" s="4961"/>
      <c r="F464" s="4961"/>
    </row>
    <row r="465" spans="1:6">
      <c r="A465" s="4789">
        <v>9</v>
      </c>
      <c r="B465" s="4787" t="s">
        <v>607</v>
      </c>
      <c r="C465" s="4367"/>
      <c r="D465" s="4669"/>
      <c r="E465" s="4961"/>
      <c r="F465" s="4961" t="str">
        <f t="shared" si="18"/>
        <v xml:space="preserve"> </v>
      </c>
    </row>
    <row r="466" spans="1:6">
      <c r="A466" s="4790">
        <v>9.1</v>
      </c>
      <c r="B466" s="4787" t="s">
        <v>3599</v>
      </c>
      <c r="C466" s="4367"/>
      <c r="D466" s="4669"/>
      <c r="E466" s="4961"/>
      <c r="F466" s="4961"/>
    </row>
    <row r="467" spans="1:6" s="4639" customFormat="1" ht="57">
      <c r="A467" s="4666" t="s">
        <v>541</v>
      </c>
      <c r="B467" s="4811" t="s">
        <v>3752</v>
      </c>
      <c r="C467" s="4367">
        <v>1</v>
      </c>
      <c r="D467" s="4669" t="s">
        <v>2433</v>
      </c>
      <c r="E467" s="4961"/>
      <c r="F467" s="4961">
        <f t="shared" si="18"/>
        <v>0</v>
      </c>
    </row>
    <row r="468" spans="1:6" ht="57">
      <c r="A468" s="4666" t="s">
        <v>542</v>
      </c>
      <c r="B468" s="4811" t="s">
        <v>3751</v>
      </c>
      <c r="C468" s="4367">
        <v>1</v>
      </c>
      <c r="D468" s="4669" t="s">
        <v>2433</v>
      </c>
      <c r="E468" s="4961"/>
      <c r="F468" s="4961">
        <f t="shared" si="18"/>
        <v>0</v>
      </c>
    </row>
    <row r="469" spans="1:6" ht="45.75" customHeight="1">
      <c r="A469" s="4666" t="s">
        <v>3173</v>
      </c>
      <c r="B469" s="4788" t="s">
        <v>2556</v>
      </c>
      <c r="C469" s="4367">
        <v>3295.28</v>
      </c>
      <c r="D469" s="4669" t="s">
        <v>2602</v>
      </c>
      <c r="E469" s="4961"/>
      <c r="F469" s="4961">
        <f t="shared" si="18"/>
        <v>0</v>
      </c>
    </row>
    <row r="470" spans="1:6">
      <c r="A470" s="4666"/>
      <c r="B470" s="4788"/>
      <c r="C470" s="4367"/>
      <c r="D470" s="4669"/>
      <c r="E470" s="4961"/>
      <c r="F470" s="4961" t="str">
        <f t="shared" si="18"/>
        <v xml:space="preserve"> </v>
      </c>
    </row>
    <row r="471" spans="1:6" ht="25.5">
      <c r="A471" s="4790">
        <v>9.1999999999999993</v>
      </c>
      <c r="B471" s="4787" t="s">
        <v>4535</v>
      </c>
      <c r="C471" s="4367"/>
      <c r="D471" s="4669"/>
      <c r="E471" s="4961"/>
      <c r="F471" s="4961" t="str">
        <f t="shared" si="18"/>
        <v xml:space="preserve"> </v>
      </c>
    </row>
    <row r="472" spans="1:6" ht="75.75" customHeight="1">
      <c r="A472" s="4666" t="s">
        <v>543</v>
      </c>
      <c r="B472" s="4812" t="s">
        <v>4030</v>
      </c>
      <c r="C472" s="4367">
        <v>1</v>
      </c>
      <c r="D472" s="4669" t="s">
        <v>2433</v>
      </c>
      <c r="E472" s="4961"/>
      <c r="F472" s="4961">
        <f t="shared" si="18"/>
        <v>0</v>
      </c>
    </row>
    <row r="473" spans="1:6" s="4557" customFormat="1">
      <c r="A473" s="4813" t="s">
        <v>544</v>
      </c>
      <c r="B473" s="4734" t="s">
        <v>3589</v>
      </c>
      <c r="C473" s="4727">
        <v>2.8</v>
      </c>
      <c r="D473" s="4600" t="s">
        <v>1</v>
      </c>
      <c r="E473" s="4318"/>
      <c r="F473" s="5015">
        <f t="shared" ref="F473:F475" si="19">+ROUND((E473*C473),2)</f>
        <v>0</v>
      </c>
    </row>
    <row r="474" spans="1:6" s="4557" customFormat="1">
      <c r="A474" s="4813" t="s">
        <v>545</v>
      </c>
      <c r="B474" s="4734" t="s">
        <v>3590</v>
      </c>
      <c r="C474" s="4727">
        <v>2</v>
      </c>
      <c r="D474" s="4600" t="s">
        <v>2433</v>
      </c>
      <c r="E474" s="4318"/>
      <c r="F474" s="5015">
        <f t="shared" si="19"/>
        <v>0</v>
      </c>
    </row>
    <row r="475" spans="1:6" s="4557" customFormat="1">
      <c r="A475" s="4813" t="s">
        <v>3182</v>
      </c>
      <c r="B475" s="4734" t="s">
        <v>3591</v>
      </c>
      <c r="C475" s="4727">
        <v>2</v>
      </c>
      <c r="D475" s="4600" t="s">
        <v>2433</v>
      </c>
      <c r="E475" s="4318"/>
      <c r="F475" s="5015">
        <f t="shared" si="19"/>
        <v>0</v>
      </c>
    </row>
    <row r="476" spans="1:6" s="4558" customFormat="1">
      <c r="A476" s="4813" t="s">
        <v>3183</v>
      </c>
      <c r="B476" s="4734" t="s">
        <v>3749</v>
      </c>
      <c r="C476" s="4727">
        <v>2</v>
      </c>
      <c r="D476" s="4600" t="s">
        <v>2433</v>
      </c>
      <c r="E476" s="4318"/>
      <c r="F476" s="4318">
        <f>ROUND(E476*C476,2)</f>
        <v>0</v>
      </c>
    </row>
    <row r="477" spans="1:6" s="4557" customFormat="1" ht="15">
      <c r="A477" s="4814" t="s">
        <v>3830</v>
      </c>
      <c r="B477" s="4815" t="s">
        <v>3750</v>
      </c>
      <c r="C477" s="4816">
        <v>1</v>
      </c>
      <c r="D477" s="4817" t="s">
        <v>2433</v>
      </c>
      <c r="E477" s="5016"/>
      <c r="F477" s="5016">
        <f>ROUND(E477*C477,2)</f>
        <v>0</v>
      </c>
    </row>
    <row r="478" spans="1:6">
      <c r="A478" s="4666"/>
      <c r="B478" s="4788"/>
      <c r="C478" s="4367"/>
      <c r="D478" s="4669"/>
      <c r="E478" s="4961"/>
      <c r="F478" s="4961"/>
    </row>
    <row r="479" spans="1:6">
      <c r="A479" s="4789">
        <v>10</v>
      </c>
      <c r="B479" s="4787" t="s">
        <v>642</v>
      </c>
      <c r="C479" s="4367"/>
      <c r="D479" s="4669"/>
      <c r="E479" s="4961"/>
      <c r="F479" s="4961" t="str">
        <f t="shared" si="18"/>
        <v xml:space="preserve"> </v>
      </c>
    </row>
    <row r="480" spans="1:6">
      <c r="A480" s="4818">
        <v>10.1</v>
      </c>
      <c r="B480" s="4787" t="s">
        <v>3599</v>
      </c>
      <c r="C480" s="4727"/>
      <c r="D480" s="4600"/>
      <c r="E480" s="4318"/>
      <c r="F480" s="4318"/>
    </row>
    <row r="481" spans="1:6" ht="42.75">
      <c r="A481" s="4813" t="s">
        <v>667</v>
      </c>
      <c r="B481" s="4812" t="s">
        <v>3592</v>
      </c>
      <c r="C481" s="4727">
        <v>2</v>
      </c>
      <c r="D481" s="4600" t="s">
        <v>2433</v>
      </c>
      <c r="E481" s="5015"/>
      <c r="F481" s="5015">
        <f t="shared" ref="F481" si="20">+ROUND((E481*C481),2)</f>
        <v>0</v>
      </c>
    </row>
    <row r="482" spans="1:6">
      <c r="A482" s="4666"/>
      <c r="B482" s="4788"/>
      <c r="C482" s="4367"/>
      <c r="D482" s="4669"/>
      <c r="E482" s="4961"/>
      <c r="F482" s="4961"/>
    </row>
    <row r="483" spans="1:6">
      <c r="A483" s="4790">
        <v>10.199999999999999</v>
      </c>
      <c r="B483" s="4787" t="s">
        <v>4534</v>
      </c>
      <c r="C483" s="4367"/>
      <c r="D483" s="4669"/>
      <c r="E483" s="4961"/>
      <c r="F483" s="4961" t="str">
        <f t="shared" si="18"/>
        <v xml:space="preserve"> </v>
      </c>
    </row>
    <row r="484" spans="1:6">
      <c r="A484" s="4666" t="s">
        <v>669</v>
      </c>
      <c r="B484" s="4811" t="s">
        <v>3831</v>
      </c>
      <c r="C484" s="4367">
        <v>35.479999999999997</v>
      </c>
      <c r="D484" s="4669" t="s">
        <v>2430</v>
      </c>
      <c r="E484" s="4961"/>
      <c r="F484" s="4961">
        <f>IF(C484&gt;0,(ROUND((E484*C484),2))," ")</f>
        <v>0</v>
      </c>
    </row>
    <row r="485" spans="1:6">
      <c r="A485" s="4666"/>
      <c r="B485" s="4788"/>
      <c r="C485" s="4367"/>
      <c r="D485" s="4669"/>
      <c r="E485" s="4961"/>
      <c r="F485" s="4961" t="str">
        <f t="shared" si="18"/>
        <v xml:space="preserve"> </v>
      </c>
    </row>
    <row r="486" spans="1:6" s="4535" customFormat="1" ht="15">
      <c r="A486" s="4790">
        <v>10.3</v>
      </c>
      <c r="B486" s="4787" t="s">
        <v>648</v>
      </c>
      <c r="C486" s="4819"/>
      <c r="D486" s="4820"/>
      <c r="E486" s="5017"/>
      <c r="F486" s="4961" t="str">
        <f t="shared" si="18"/>
        <v xml:space="preserve"> </v>
      </c>
    </row>
    <row r="487" spans="1:6" ht="28.5">
      <c r="A487" s="4666" t="s">
        <v>3832</v>
      </c>
      <c r="B487" s="4811" t="s">
        <v>2555</v>
      </c>
      <c r="C487" s="4367">
        <v>18.68</v>
      </c>
      <c r="D487" s="4669" t="s">
        <v>1</v>
      </c>
      <c r="E487" s="4961"/>
      <c r="F487" s="4961">
        <f t="shared" si="18"/>
        <v>0</v>
      </c>
    </row>
    <row r="488" spans="1:6">
      <c r="A488" s="4666" t="s">
        <v>3833</v>
      </c>
      <c r="B488" s="4811" t="s">
        <v>3600</v>
      </c>
      <c r="C488" s="4367">
        <v>6</v>
      </c>
      <c r="D488" s="4669" t="s">
        <v>2433</v>
      </c>
      <c r="E488" s="4961"/>
      <c r="F488" s="4961">
        <f t="shared" si="18"/>
        <v>0</v>
      </c>
    </row>
    <row r="489" spans="1:6" ht="117" customHeight="1">
      <c r="A489" s="4666" t="s">
        <v>3834</v>
      </c>
      <c r="B489" s="4812" t="s">
        <v>3594</v>
      </c>
      <c r="C489" s="4367">
        <v>4</v>
      </c>
      <c r="D489" s="4669" t="s">
        <v>2433</v>
      </c>
      <c r="E489" s="5015"/>
      <c r="F489" s="4961">
        <f t="shared" si="18"/>
        <v>0</v>
      </c>
    </row>
    <row r="490" spans="1:6" s="4557" customFormat="1">
      <c r="A490" s="4666" t="s">
        <v>3835</v>
      </c>
      <c r="B490" s="4675" t="s">
        <v>2740</v>
      </c>
      <c r="C490" s="4822">
        <v>12</v>
      </c>
      <c r="D490" s="4600" t="s">
        <v>2433</v>
      </c>
      <c r="E490" s="4318"/>
      <c r="F490" s="4318">
        <f t="shared" si="18"/>
        <v>0</v>
      </c>
    </row>
    <row r="491" spans="1:6" s="4557" customFormat="1">
      <c r="A491" s="4666" t="s">
        <v>3836</v>
      </c>
      <c r="B491" s="4675" t="s">
        <v>3601</v>
      </c>
      <c r="C491" s="4822">
        <v>12</v>
      </c>
      <c r="D491" s="4600" t="s">
        <v>2433</v>
      </c>
      <c r="E491" s="4318"/>
      <c r="F491" s="4318">
        <f t="shared" si="18"/>
        <v>0</v>
      </c>
    </row>
    <row r="492" spans="1:6" s="4557" customFormat="1">
      <c r="A492" s="4666" t="s">
        <v>3837</v>
      </c>
      <c r="B492" s="4734" t="s">
        <v>3595</v>
      </c>
      <c r="C492" s="4822">
        <v>4</v>
      </c>
      <c r="D492" s="4600" t="s">
        <v>2433</v>
      </c>
      <c r="E492" s="4318"/>
      <c r="F492" s="4318">
        <f t="shared" si="18"/>
        <v>0</v>
      </c>
    </row>
    <row r="493" spans="1:6" s="4557" customFormat="1">
      <c r="A493" s="4666" t="s">
        <v>3838</v>
      </c>
      <c r="B493" s="4734" t="s">
        <v>3490</v>
      </c>
      <c r="C493" s="4822">
        <v>31.68</v>
      </c>
      <c r="D493" s="4600" t="s">
        <v>1</v>
      </c>
      <c r="E493" s="4318"/>
      <c r="F493" s="4318">
        <f t="shared" si="18"/>
        <v>0</v>
      </c>
    </row>
    <row r="494" spans="1:6">
      <c r="A494" s="4666" t="s">
        <v>3839</v>
      </c>
      <c r="B494" s="4692" t="s">
        <v>3597</v>
      </c>
      <c r="C494" s="4727">
        <v>12</v>
      </c>
      <c r="D494" s="4600" t="s">
        <v>2433</v>
      </c>
      <c r="E494" s="4318"/>
      <c r="F494" s="4318">
        <f t="shared" ref="F494" si="21">+ROUND((E494*C494),2)</f>
        <v>0</v>
      </c>
    </row>
    <row r="495" spans="1:6" s="4557" customFormat="1">
      <c r="A495" s="4666" t="s">
        <v>3840</v>
      </c>
      <c r="B495" s="4734" t="s">
        <v>3596</v>
      </c>
      <c r="C495" s="4822">
        <v>12</v>
      </c>
      <c r="D495" s="4600" t="s">
        <v>2433</v>
      </c>
      <c r="E495" s="4318"/>
      <c r="F495" s="4318">
        <f>IF(C495&gt;0,(ROUND((E495*C495),2))," ")</f>
        <v>0</v>
      </c>
    </row>
    <row r="496" spans="1:6" s="4557" customFormat="1" ht="71.25">
      <c r="A496" s="4666" t="s">
        <v>3841</v>
      </c>
      <c r="B496" s="4823" t="s">
        <v>3842</v>
      </c>
      <c r="C496" s="4659">
        <v>1777.01</v>
      </c>
      <c r="D496" s="4600" t="s">
        <v>3489</v>
      </c>
      <c r="E496" s="4318"/>
      <c r="F496" s="4318">
        <f t="shared" si="18"/>
        <v>0</v>
      </c>
    </row>
    <row r="497" spans="1:6" s="4557" customFormat="1">
      <c r="A497" s="4735"/>
      <c r="B497" s="4734"/>
      <c r="C497" s="4822"/>
      <c r="D497" s="4600"/>
      <c r="E497" s="4318"/>
      <c r="F497" s="4318"/>
    </row>
    <row r="498" spans="1:6" s="4557" customFormat="1">
      <c r="A498" s="4824">
        <v>11</v>
      </c>
      <c r="B498" s="4787" t="s">
        <v>673</v>
      </c>
      <c r="C498" s="4822"/>
      <c r="D498" s="4600"/>
      <c r="E498" s="4318"/>
      <c r="F498" s="4318" t="str">
        <f t="shared" si="18"/>
        <v xml:space="preserve"> </v>
      </c>
    </row>
    <row r="499" spans="1:6" s="4557" customFormat="1">
      <c r="A499" s="4825">
        <v>11.1</v>
      </c>
      <c r="B499" s="4787" t="s">
        <v>3545</v>
      </c>
      <c r="C499" s="4822"/>
      <c r="D499" s="4600"/>
      <c r="E499" s="4318"/>
      <c r="F499" s="4318" t="str">
        <f t="shared" si="18"/>
        <v xml:space="preserve"> </v>
      </c>
    </row>
    <row r="500" spans="1:6" s="4557" customFormat="1" ht="117" customHeight="1">
      <c r="A500" s="4735" t="s">
        <v>488</v>
      </c>
      <c r="B500" s="4812" t="s">
        <v>3602</v>
      </c>
      <c r="C500" s="4822">
        <v>6</v>
      </c>
      <c r="D500" s="4600" t="s">
        <v>2433</v>
      </c>
      <c r="E500" s="4318"/>
      <c r="F500" s="4318">
        <f t="shared" si="18"/>
        <v>0</v>
      </c>
    </row>
    <row r="501" spans="1:6" s="4557" customFormat="1" ht="128.25">
      <c r="A501" s="4826" t="s">
        <v>489</v>
      </c>
      <c r="B501" s="4827" t="s">
        <v>3603</v>
      </c>
      <c r="C501" s="4828">
        <v>6</v>
      </c>
      <c r="D501" s="4817" t="s">
        <v>2433</v>
      </c>
      <c r="E501" s="5016"/>
      <c r="F501" s="5016">
        <f t="shared" si="18"/>
        <v>0</v>
      </c>
    </row>
    <row r="502" spans="1:6" s="4557" customFormat="1" ht="128.25">
      <c r="A502" s="4735" t="s">
        <v>490</v>
      </c>
      <c r="B502" s="4812" t="s">
        <v>3604</v>
      </c>
      <c r="C502" s="4822">
        <v>1</v>
      </c>
      <c r="D502" s="4600" t="s">
        <v>2433</v>
      </c>
      <c r="E502" s="4318"/>
      <c r="F502" s="4318">
        <f t="shared" si="18"/>
        <v>0</v>
      </c>
    </row>
    <row r="503" spans="1:6" s="4557" customFormat="1" ht="128.25">
      <c r="A503" s="4735" t="s">
        <v>1516</v>
      </c>
      <c r="B503" s="4812" t="s">
        <v>3605</v>
      </c>
      <c r="C503" s="4822">
        <v>6</v>
      </c>
      <c r="D503" s="4600" t="s">
        <v>2433</v>
      </c>
      <c r="E503" s="4318"/>
      <c r="F503" s="4318">
        <f t="shared" si="18"/>
        <v>0</v>
      </c>
    </row>
    <row r="504" spans="1:6" s="4557" customFormat="1" ht="57">
      <c r="A504" s="4735" t="s">
        <v>1517</v>
      </c>
      <c r="B504" s="4812" t="s">
        <v>3606</v>
      </c>
      <c r="C504" s="4822">
        <v>6</v>
      </c>
      <c r="D504" s="4600" t="s">
        <v>2433</v>
      </c>
      <c r="E504" s="4318"/>
      <c r="F504" s="4318">
        <f t="shared" ref="F504:F517" si="22">IF(C504&gt;0,(ROUND((E504*C504),2))," ")</f>
        <v>0</v>
      </c>
    </row>
    <row r="505" spans="1:6" s="4557" customFormat="1" ht="28.5">
      <c r="A505" s="4735" t="s">
        <v>1518</v>
      </c>
      <c r="B505" s="4734" t="s">
        <v>2347</v>
      </c>
      <c r="C505" s="4822">
        <v>231.64</v>
      </c>
      <c r="D505" s="4600" t="s">
        <v>2602</v>
      </c>
      <c r="E505" s="4318"/>
      <c r="F505" s="4318">
        <f>IF(C505&gt;0,(ROUND((E505*C505),2))," ")</f>
        <v>0</v>
      </c>
    </row>
    <row r="506" spans="1:6" s="4557" customFormat="1">
      <c r="A506" s="4735" t="s">
        <v>1519</v>
      </c>
      <c r="B506" s="4734" t="s">
        <v>2436</v>
      </c>
      <c r="C506" s="4822">
        <v>231.64</v>
      </c>
      <c r="D506" s="4600" t="s">
        <v>2602</v>
      </c>
      <c r="E506" s="4318"/>
      <c r="F506" s="4318">
        <f>IF(C506&gt;0,(ROUND((E506*C506),2))," ")</f>
        <v>0</v>
      </c>
    </row>
    <row r="507" spans="1:6">
      <c r="A507" s="4735"/>
      <c r="B507" s="4788"/>
      <c r="C507" s="4367"/>
      <c r="D507" s="4669"/>
      <c r="E507" s="4961"/>
      <c r="F507" s="4961" t="str">
        <f t="shared" si="22"/>
        <v xml:space="preserve"> </v>
      </c>
    </row>
    <row r="508" spans="1:6" ht="15">
      <c r="A508" s="4790">
        <v>11.2</v>
      </c>
      <c r="B508" s="4792" t="s">
        <v>2128</v>
      </c>
      <c r="C508" s="4367"/>
      <c r="D508" s="4669"/>
      <c r="E508" s="4961"/>
      <c r="F508" s="4961" t="str">
        <f t="shared" si="22"/>
        <v xml:space="preserve"> </v>
      </c>
    </row>
    <row r="509" spans="1:6" ht="42.75">
      <c r="A509" s="4666" t="s">
        <v>491</v>
      </c>
      <c r="B509" s="4788" t="s">
        <v>3607</v>
      </c>
      <c r="C509" s="4367">
        <v>1</v>
      </c>
      <c r="D509" s="4669" t="s">
        <v>2433</v>
      </c>
      <c r="E509" s="4961"/>
      <c r="F509" s="4961">
        <f t="shared" si="22"/>
        <v>0</v>
      </c>
    </row>
    <row r="510" spans="1:6" ht="42.75">
      <c r="A510" s="4666" t="s">
        <v>492</v>
      </c>
      <c r="B510" s="4788" t="s">
        <v>2437</v>
      </c>
      <c r="C510" s="4367">
        <v>1</v>
      </c>
      <c r="D510" s="4669" t="s">
        <v>2433</v>
      </c>
      <c r="E510" s="4961"/>
      <c r="F510" s="4961">
        <f t="shared" si="22"/>
        <v>0</v>
      </c>
    </row>
    <row r="511" spans="1:6" s="4557" customFormat="1" ht="15">
      <c r="A511" s="4735"/>
      <c r="B511" s="4763"/>
      <c r="C511" s="4822"/>
      <c r="D511" s="4600"/>
      <c r="E511" s="4318"/>
      <c r="F511" s="4318" t="str">
        <f>IF(C511&gt;0,(ROUND((E511*C511),2))," ")</f>
        <v xml:space="preserve"> </v>
      </c>
    </row>
    <row r="512" spans="1:6" s="4557" customFormat="1">
      <c r="A512" s="4825">
        <v>11.3</v>
      </c>
      <c r="B512" s="4787" t="s">
        <v>690</v>
      </c>
      <c r="C512" s="4822"/>
      <c r="D512" s="4600"/>
      <c r="E512" s="4318"/>
      <c r="F512" s="4318" t="str">
        <f>IF(C512&gt;0,(ROUND((E512*C512),2))," ")</f>
        <v xml:space="preserve"> </v>
      </c>
    </row>
    <row r="513" spans="1:6" s="4557" customFormat="1" ht="28.5">
      <c r="A513" s="4735" t="s">
        <v>1785</v>
      </c>
      <c r="B513" s="4734" t="s">
        <v>2348</v>
      </c>
      <c r="C513" s="4822">
        <v>19</v>
      </c>
      <c r="D513" s="4669" t="s">
        <v>2430</v>
      </c>
      <c r="E513" s="4318"/>
      <c r="F513" s="4318">
        <f>IF(C513&gt;0,(ROUND((E513*C513),2))," ")</f>
        <v>0</v>
      </c>
    </row>
    <row r="514" spans="1:6" s="4557" customFormat="1">
      <c r="A514" s="4735" t="s">
        <v>3843</v>
      </c>
      <c r="B514" s="4734" t="s">
        <v>2606</v>
      </c>
      <c r="C514" s="4822">
        <v>3</v>
      </c>
      <c r="D514" s="4669" t="s">
        <v>2430</v>
      </c>
      <c r="E514" s="4318"/>
      <c r="F514" s="4318">
        <f>IF(C514&gt;0,(ROUND((E514*C514),2))," ")</f>
        <v>0</v>
      </c>
    </row>
    <row r="515" spans="1:6" s="4557" customFormat="1">
      <c r="A515" s="4735" t="s">
        <v>3844</v>
      </c>
      <c r="B515" s="4734" t="s">
        <v>2349</v>
      </c>
      <c r="C515" s="4822">
        <v>22</v>
      </c>
      <c r="D515" s="4669" t="s">
        <v>2430</v>
      </c>
      <c r="E515" s="4318"/>
      <c r="F515" s="4318">
        <f>IF(C515&gt;0,(ROUND((E515*C515),2))," ")</f>
        <v>0</v>
      </c>
    </row>
    <row r="516" spans="1:6" s="4557" customFormat="1">
      <c r="A516" s="4735" t="s">
        <v>3845</v>
      </c>
      <c r="B516" s="4734" t="s">
        <v>2350</v>
      </c>
      <c r="C516" s="4822">
        <v>22</v>
      </c>
      <c r="D516" s="4669" t="s">
        <v>2430</v>
      </c>
      <c r="E516" s="4318"/>
      <c r="F516" s="4318">
        <f t="shared" ref="F516" si="23">IF(C516&gt;0,(ROUND((E516*C516),2))," ")</f>
        <v>0</v>
      </c>
    </row>
    <row r="517" spans="1:6">
      <c r="A517" s="4666"/>
      <c r="B517" s="4788"/>
      <c r="C517" s="4367"/>
      <c r="D517" s="4669"/>
      <c r="E517" s="4961"/>
      <c r="F517" s="4961" t="str">
        <f t="shared" si="22"/>
        <v xml:space="preserve"> </v>
      </c>
    </row>
    <row r="518" spans="1:6" s="4559" customFormat="1" ht="12.75" customHeight="1">
      <c r="A518" s="4818">
        <v>12</v>
      </c>
      <c r="B518" s="4787" t="s">
        <v>3608</v>
      </c>
      <c r="C518" s="4727"/>
      <c r="D518" s="4669"/>
      <c r="E518" s="4318"/>
      <c r="F518" s="4318"/>
    </row>
    <row r="519" spans="1:6" s="4559" customFormat="1" ht="12.75" customHeight="1">
      <c r="A519" s="4813">
        <v>12.1</v>
      </c>
      <c r="B519" s="4829" t="s">
        <v>4046</v>
      </c>
      <c r="C519" s="4727">
        <v>2</v>
      </c>
      <c r="D519" s="4669" t="s">
        <v>2433</v>
      </c>
      <c r="E519" s="4318"/>
      <c r="F519" s="4318">
        <f t="shared" ref="F519:F521" si="24">ROUND(E519*C519,2)</f>
        <v>0</v>
      </c>
    </row>
    <row r="520" spans="1:6" s="4559" customFormat="1" ht="12.75" customHeight="1">
      <c r="A520" s="4813">
        <v>12.2</v>
      </c>
      <c r="B520" s="4759" t="s">
        <v>3610</v>
      </c>
      <c r="C520" s="4727">
        <v>8.75</v>
      </c>
      <c r="D520" s="4669" t="s">
        <v>1</v>
      </c>
      <c r="E520" s="4318"/>
      <c r="F520" s="4318">
        <f t="shared" si="24"/>
        <v>0</v>
      </c>
    </row>
    <row r="521" spans="1:6" s="4559" customFormat="1" ht="15" customHeight="1">
      <c r="A521" s="4813">
        <v>12.3</v>
      </c>
      <c r="B521" s="4829" t="s">
        <v>3611</v>
      </c>
      <c r="C521" s="4727">
        <v>1</v>
      </c>
      <c r="D521" s="4669" t="s">
        <v>42</v>
      </c>
      <c r="E521" s="4318"/>
      <c r="F521" s="4318">
        <f t="shared" si="24"/>
        <v>0</v>
      </c>
    </row>
    <row r="522" spans="1:6">
      <c r="A522" s="4666"/>
      <c r="B522" s="4788"/>
      <c r="C522" s="4367"/>
      <c r="D522" s="4669"/>
      <c r="E522" s="4961"/>
      <c r="F522" s="4961" t="str">
        <f t="shared" ref="F522:F866" si="25">IF(C522&gt;0,(ROUND((E522*C522),2))," ")</f>
        <v xml:space="preserve"> </v>
      </c>
    </row>
    <row r="523" spans="1:6">
      <c r="A523" s="4789">
        <v>13</v>
      </c>
      <c r="B523" s="4787" t="s">
        <v>3030</v>
      </c>
      <c r="C523" s="4367"/>
      <c r="D523" s="4669"/>
      <c r="E523" s="4961"/>
      <c r="F523" s="4961" t="str">
        <f t="shared" si="25"/>
        <v xml:space="preserve"> </v>
      </c>
    </row>
    <row r="524" spans="1:6" ht="71.25">
      <c r="A524" s="4795">
        <v>13.1</v>
      </c>
      <c r="B524" s="4788" t="s">
        <v>2351</v>
      </c>
      <c r="C524" s="4367">
        <v>126.04</v>
      </c>
      <c r="D524" s="4669" t="s">
        <v>1</v>
      </c>
      <c r="E524" s="4961"/>
      <c r="F524" s="4961">
        <f t="shared" si="25"/>
        <v>0</v>
      </c>
    </row>
    <row r="525" spans="1:6" s="4639" customFormat="1" ht="12.75" customHeight="1">
      <c r="A525" s="4795">
        <v>13.2</v>
      </c>
      <c r="B525" s="4788" t="s">
        <v>3613</v>
      </c>
      <c r="C525" s="4367">
        <v>3</v>
      </c>
      <c r="D525" s="4669" t="s">
        <v>2433</v>
      </c>
      <c r="E525" s="4961"/>
      <c r="F525" s="4961">
        <f t="shared" si="25"/>
        <v>0</v>
      </c>
    </row>
    <row r="526" spans="1:6">
      <c r="A526" s="4830">
        <v>13.3</v>
      </c>
      <c r="B526" s="4831" t="s">
        <v>3612</v>
      </c>
      <c r="C526" s="4802">
        <v>2</v>
      </c>
      <c r="D526" s="4803" t="s">
        <v>2433</v>
      </c>
      <c r="E526" s="5013"/>
      <c r="F526" s="5013">
        <f t="shared" si="25"/>
        <v>0</v>
      </c>
    </row>
    <row r="527" spans="1:6">
      <c r="A527" s="4666"/>
      <c r="B527" s="4811"/>
      <c r="C527" s="4367"/>
      <c r="D527" s="4669"/>
      <c r="E527" s="4961"/>
      <c r="F527" s="4961" t="str">
        <f t="shared" si="25"/>
        <v xml:space="preserve"> </v>
      </c>
    </row>
    <row r="528" spans="1:6" s="4559" customFormat="1" ht="28.5" customHeight="1">
      <c r="A528" s="4680">
        <v>14</v>
      </c>
      <c r="B528" s="4787" t="s">
        <v>3614</v>
      </c>
      <c r="C528" s="4832"/>
      <c r="D528" s="4600"/>
      <c r="E528" s="4318"/>
      <c r="F528" s="4992">
        <f t="shared" ref="F528:F532" si="26">ROUND(C528*E528,2)</f>
        <v>0</v>
      </c>
    </row>
    <row r="529" spans="1:6" s="4559" customFormat="1">
      <c r="A529" s="4654">
        <v>14.1</v>
      </c>
      <c r="B529" s="4675" t="s">
        <v>4031</v>
      </c>
      <c r="C529" s="4832">
        <v>4</v>
      </c>
      <c r="D529" s="4600" t="s">
        <v>2433</v>
      </c>
      <c r="E529" s="4318"/>
      <c r="F529" s="4992">
        <f t="shared" si="26"/>
        <v>0</v>
      </c>
    </row>
    <row r="530" spans="1:6" s="4559" customFormat="1">
      <c r="A530" s="4654">
        <v>14.2</v>
      </c>
      <c r="B530" s="4675" t="s">
        <v>3615</v>
      </c>
      <c r="C530" s="4832">
        <v>6</v>
      </c>
      <c r="D530" s="4600" t="s">
        <v>2433</v>
      </c>
      <c r="E530" s="4318"/>
      <c r="F530" s="4992">
        <f t="shared" si="26"/>
        <v>0</v>
      </c>
    </row>
    <row r="531" spans="1:6" s="4559" customFormat="1">
      <c r="A531" s="4654">
        <v>14.3</v>
      </c>
      <c r="B531" s="4675" t="s">
        <v>4032</v>
      </c>
      <c r="C531" s="4832">
        <v>7</v>
      </c>
      <c r="D531" s="4600" t="s">
        <v>2433</v>
      </c>
      <c r="E531" s="4318"/>
      <c r="F531" s="4992">
        <f t="shared" si="26"/>
        <v>0</v>
      </c>
    </row>
    <row r="532" spans="1:6" s="4559" customFormat="1">
      <c r="A532" s="4654">
        <v>14.4</v>
      </c>
      <c r="B532" s="4675" t="s">
        <v>4033</v>
      </c>
      <c r="C532" s="4832">
        <v>6</v>
      </c>
      <c r="D532" s="4600" t="s">
        <v>2433</v>
      </c>
      <c r="E532" s="4318"/>
      <c r="F532" s="4992">
        <f t="shared" si="26"/>
        <v>0</v>
      </c>
    </row>
    <row r="533" spans="1:6">
      <c r="A533" s="4666"/>
      <c r="B533" s="4788"/>
      <c r="C533" s="4367"/>
      <c r="D533" s="4669"/>
      <c r="E533" s="4961"/>
      <c r="F533" s="4961" t="str">
        <f t="shared" si="25"/>
        <v xml:space="preserve"> </v>
      </c>
    </row>
    <row r="534" spans="1:6">
      <c r="A534" s="4789">
        <v>15</v>
      </c>
      <c r="B534" s="4787" t="s">
        <v>764</v>
      </c>
      <c r="C534" s="4367"/>
      <c r="D534" s="4669"/>
      <c r="E534" s="4961"/>
      <c r="F534" s="4961" t="str">
        <f t="shared" si="25"/>
        <v xml:space="preserve"> </v>
      </c>
    </row>
    <row r="535" spans="1:6">
      <c r="A535" s="4795">
        <v>15.1</v>
      </c>
      <c r="B535" s="4788" t="s">
        <v>2352</v>
      </c>
      <c r="C535" s="4367">
        <v>204.75</v>
      </c>
      <c r="D535" s="4669" t="s">
        <v>2432</v>
      </c>
      <c r="E535" s="4961"/>
      <c r="F535" s="4961">
        <f t="shared" si="25"/>
        <v>0</v>
      </c>
    </row>
    <row r="536" spans="1:6">
      <c r="A536" s="4795">
        <v>15.2</v>
      </c>
      <c r="B536" s="4788" t="s">
        <v>2599</v>
      </c>
      <c r="C536" s="4367">
        <v>204.75</v>
      </c>
      <c r="D536" s="4669" t="s">
        <v>2432</v>
      </c>
      <c r="E536" s="4961"/>
      <c r="F536" s="4961">
        <f t="shared" si="25"/>
        <v>0</v>
      </c>
    </row>
    <row r="537" spans="1:6">
      <c r="A537" s="4795">
        <v>15.3</v>
      </c>
      <c r="B537" s="4788" t="s">
        <v>2595</v>
      </c>
      <c r="C537" s="4367">
        <v>1</v>
      </c>
      <c r="D537" s="4669" t="s">
        <v>2433</v>
      </c>
      <c r="E537" s="4961"/>
      <c r="F537" s="4961">
        <f t="shared" si="25"/>
        <v>0</v>
      </c>
    </row>
    <row r="538" spans="1:6" s="4242" customFormat="1" ht="12.75">
      <c r="A538" s="4691"/>
      <c r="B538" s="4742" t="s">
        <v>4382</v>
      </c>
      <c r="C538" s="4743"/>
      <c r="D538" s="4833"/>
      <c r="E538" s="4984"/>
      <c r="F538" s="4984">
        <f>SUM(F373:F537)</f>
        <v>0</v>
      </c>
    </row>
    <row r="539" spans="1:6">
      <c r="A539" s="4666"/>
      <c r="B539" s="4834"/>
      <c r="C539" s="4367"/>
      <c r="D539" s="4835"/>
      <c r="E539" s="4606"/>
      <c r="F539" s="4961" t="str">
        <f t="shared" si="25"/>
        <v xml:space="preserve"> </v>
      </c>
    </row>
    <row r="540" spans="1:6" s="4557" customFormat="1">
      <c r="A540" s="4836" t="s">
        <v>4383</v>
      </c>
      <c r="B540" s="4787" t="s">
        <v>1995</v>
      </c>
      <c r="C540" s="4822"/>
      <c r="D540" s="4600"/>
      <c r="E540" s="4318"/>
      <c r="F540" s="4318" t="str">
        <f>IF(C540&gt;0,(ROUND((E540*C540),2))," ")</f>
        <v xml:space="preserve"> </v>
      </c>
    </row>
    <row r="541" spans="1:6" s="4639" customFormat="1" ht="15" customHeight="1">
      <c r="A541" s="4797"/>
      <c r="B541" s="4792"/>
      <c r="C541" s="4367"/>
      <c r="D541" s="4669"/>
      <c r="E541" s="5017"/>
      <c r="F541" s="4961" t="str">
        <f>IF(C541&gt;0,(ROUND((E541*C541),2))," ")</f>
        <v xml:space="preserve"> </v>
      </c>
    </row>
    <row r="542" spans="1:6" s="4434" customFormat="1" ht="15" customHeight="1">
      <c r="A542" s="4789">
        <v>1</v>
      </c>
      <c r="B542" s="4787" t="s">
        <v>2165</v>
      </c>
      <c r="C542" s="4819"/>
      <c r="D542" s="4820"/>
      <c r="E542" s="5017"/>
      <c r="F542" s="5017" t="str">
        <f>IF(C542&gt;0,(ROUND((E542*C542),2))," ")</f>
        <v xml:space="preserve"> </v>
      </c>
    </row>
    <row r="543" spans="1:6" s="4639" customFormat="1" ht="14.25" customHeight="1">
      <c r="A543" s="4795">
        <v>1.1000000000000001</v>
      </c>
      <c r="B543" s="4788" t="s">
        <v>4042</v>
      </c>
      <c r="C543" s="4367">
        <v>40</v>
      </c>
      <c r="D543" s="4669" t="s">
        <v>1</v>
      </c>
      <c r="E543" s="4961"/>
      <c r="F543" s="4961">
        <f>IF(C543&gt;0,(ROUND((E543*C543),2))," ")</f>
        <v>0</v>
      </c>
    </row>
    <row r="544" spans="1:6" s="4639" customFormat="1" ht="14.25" customHeight="1">
      <c r="A544" s="4666"/>
      <c r="B544" s="4788"/>
      <c r="C544" s="4367"/>
      <c r="D544" s="4669"/>
      <c r="E544" s="4961"/>
      <c r="F544" s="4961"/>
    </row>
    <row r="545" spans="1:6" s="4434" customFormat="1" ht="15" customHeight="1">
      <c r="A545" s="4789">
        <v>2</v>
      </c>
      <c r="B545" s="4787" t="s">
        <v>14</v>
      </c>
      <c r="C545" s="4819"/>
      <c r="D545" s="4820"/>
      <c r="E545" s="5017"/>
      <c r="F545" s="5017" t="str">
        <f t="shared" ref="F545:F608" si="27">IF(C545&gt;0,(ROUND((E545*C545),2))," ")</f>
        <v xml:space="preserve"> </v>
      </c>
    </row>
    <row r="546" spans="1:6" ht="14.25" customHeight="1">
      <c r="A546" s="4795">
        <v>2.1</v>
      </c>
      <c r="B546" s="4788" t="s">
        <v>2398</v>
      </c>
      <c r="C546" s="4367">
        <v>24.53</v>
      </c>
      <c r="D546" s="4669" t="s">
        <v>2430</v>
      </c>
      <c r="E546" s="4961"/>
      <c r="F546" s="4961">
        <f t="shared" si="27"/>
        <v>0</v>
      </c>
    </row>
    <row r="547" spans="1:6" ht="14.25" customHeight="1">
      <c r="A547" s="4795">
        <v>2.2000000000000002</v>
      </c>
      <c r="B547" s="4837" t="s">
        <v>2986</v>
      </c>
      <c r="C547" s="4668">
        <v>16.36</v>
      </c>
      <c r="D547" s="4669" t="s">
        <v>2431</v>
      </c>
      <c r="E547" s="4961"/>
      <c r="F547" s="4961">
        <f t="shared" si="27"/>
        <v>0</v>
      </c>
    </row>
    <row r="548" spans="1:6" ht="28.5" customHeight="1">
      <c r="A548" s="4795">
        <v>2.2999999999999998</v>
      </c>
      <c r="B548" s="4837" t="s">
        <v>3847</v>
      </c>
      <c r="C548" s="4367">
        <v>30.66</v>
      </c>
      <c r="D548" s="4669" t="s">
        <v>2525</v>
      </c>
      <c r="E548" s="4961"/>
      <c r="F548" s="4961">
        <f t="shared" si="27"/>
        <v>0</v>
      </c>
    </row>
    <row r="549" spans="1:6" s="4639" customFormat="1" ht="14.25" customHeight="1">
      <c r="A549" s="4795">
        <v>2.4</v>
      </c>
      <c r="B549" s="4788" t="s">
        <v>3846</v>
      </c>
      <c r="C549" s="4367">
        <v>25.2</v>
      </c>
      <c r="D549" s="4669" t="s">
        <v>2430</v>
      </c>
      <c r="E549" s="4961"/>
      <c r="F549" s="4961">
        <f t="shared" si="27"/>
        <v>0</v>
      </c>
    </row>
    <row r="550" spans="1:6" ht="14.25" customHeight="1">
      <c r="A550" s="4666"/>
      <c r="B550" s="4788"/>
      <c r="C550" s="4367"/>
      <c r="D550" s="4669"/>
      <c r="E550" s="4961"/>
      <c r="F550" s="4961" t="str">
        <f t="shared" si="27"/>
        <v xml:space="preserve"> </v>
      </c>
    </row>
    <row r="551" spans="1:6" s="4639" customFormat="1" ht="15" customHeight="1">
      <c r="A551" s="4789">
        <v>3</v>
      </c>
      <c r="B551" s="4787" t="s">
        <v>4509</v>
      </c>
      <c r="C551" s="4367"/>
      <c r="D551" s="4669"/>
      <c r="E551" s="4961"/>
      <c r="F551" s="4961" t="str">
        <f t="shared" si="27"/>
        <v xml:space="preserve"> </v>
      </c>
    </row>
    <row r="552" spans="1:6" s="4639" customFormat="1" ht="14.25" customHeight="1">
      <c r="A552" s="4795">
        <v>3.1</v>
      </c>
      <c r="B552" s="4834" t="s">
        <v>4510</v>
      </c>
      <c r="C552" s="4367">
        <v>6.57</v>
      </c>
      <c r="D552" s="4669" t="s">
        <v>2430</v>
      </c>
      <c r="E552" s="4961"/>
      <c r="F552" s="4961">
        <f t="shared" si="27"/>
        <v>0</v>
      </c>
    </row>
    <row r="553" spans="1:6" s="4639" customFormat="1" ht="14.25" customHeight="1">
      <c r="A553" s="4795">
        <v>3.2</v>
      </c>
      <c r="B553" s="4834" t="s">
        <v>4511</v>
      </c>
      <c r="C553" s="4367">
        <v>1.5</v>
      </c>
      <c r="D553" s="4669" t="s">
        <v>2430</v>
      </c>
      <c r="E553" s="4961"/>
      <c r="F553" s="4961">
        <f t="shared" si="27"/>
        <v>0</v>
      </c>
    </row>
    <row r="554" spans="1:6" s="4639" customFormat="1" ht="14.25" customHeight="1">
      <c r="A554" s="4795">
        <v>3.3</v>
      </c>
      <c r="B554" s="4834" t="s">
        <v>4512</v>
      </c>
      <c r="C554" s="4367">
        <v>0.19</v>
      </c>
      <c r="D554" s="4669" t="s">
        <v>2430</v>
      </c>
      <c r="E554" s="4961"/>
      <c r="F554" s="4961">
        <f t="shared" si="27"/>
        <v>0</v>
      </c>
    </row>
    <row r="555" spans="1:6" s="4639" customFormat="1" ht="14.25" customHeight="1">
      <c r="A555" s="4795">
        <v>3.4</v>
      </c>
      <c r="B555" s="4788" t="s">
        <v>4513</v>
      </c>
      <c r="C555" s="4367">
        <v>1.1200000000000001</v>
      </c>
      <c r="D555" s="4669" t="s">
        <v>2430</v>
      </c>
      <c r="E555" s="4961"/>
      <c r="F555" s="4961">
        <f t="shared" si="27"/>
        <v>0</v>
      </c>
    </row>
    <row r="556" spans="1:6" s="4639" customFormat="1" ht="14.25" customHeight="1">
      <c r="A556" s="4795">
        <v>3.5</v>
      </c>
      <c r="B556" s="4834" t="s">
        <v>4514</v>
      </c>
      <c r="C556" s="4367">
        <v>2.73</v>
      </c>
      <c r="D556" s="4669" t="s">
        <v>2430</v>
      </c>
      <c r="E556" s="4961"/>
      <c r="F556" s="4961">
        <f t="shared" si="27"/>
        <v>0</v>
      </c>
    </row>
    <row r="557" spans="1:6" s="4639" customFormat="1" ht="14.25" customHeight="1">
      <c r="A557" s="4795">
        <v>3.6</v>
      </c>
      <c r="B557" s="4834" t="s">
        <v>4515</v>
      </c>
      <c r="C557" s="4367">
        <v>1.03</v>
      </c>
      <c r="D557" s="4669" t="s">
        <v>2430</v>
      </c>
      <c r="E557" s="4961"/>
      <c r="F557" s="4961">
        <f t="shared" si="27"/>
        <v>0</v>
      </c>
    </row>
    <row r="558" spans="1:6" s="4639" customFormat="1" ht="14.25" customHeight="1">
      <c r="A558" s="4795">
        <v>3.7</v>
      </c>
      <c r="B558" s="4788" t="s">
        <v>4516</v>
      </c>
      <c r="C558" s="4367">
        <v>0.8</v>
      </c>
      <c r="D558" s="4669" t="s">
        <v>2430</v>
      </c>
      <c r="E558" s="4961"/>
      <c r="F558" s="4961">
        <f t="shared" si="27"/>
        <v>0</v>
      </c>
    </row>
    <row r="559" spans="1:6" s="4639" customFormat="1" ht="14.25" customHeight="1">
      <c r="A559" s="4795">
        <v>3.8</v>
      </c>
      <c r="B559" s="4788" t="s">
        <v>4517</v>
      </c>
      <c r="C559" s="4367">
        <v>1.51</v>
      </c>
      <c r="D559" s="4669" t="s">
        <v>2430</v>
      </c>
      <c r="E559" s="4961"/>
      <c r="F559" s="4961">
        <f t="shared" si="27"/>
        <v>0</v>
      </c>
    </row>
    <row r="560" spans="1:6" s="4639" customFormat="1" ht="14.25" customHeight="1">
      <c r="A560" s="4795">
        <v>3.9</v>
      </c>
      <c r="B560" s="4788" t="s">
        <v>4518</v>
      </c>
      <c r="C560" s="4367">
        <v>1.88</v>
      </c>
      <c r="D560" s="4669" t="s">
        <v>2430</v>
      </c>
      <c r="E560" s="4961"/>
      <c r="F560" s="4961">
        <f t="shared" si="27"/>
        <v>0</v>
      </c>
    </row>
    <row r="561" spans="1:6" s="4639" customFormat="1" ht="14.25" customHeight="1">
      <c r="A561" s="4666">
        <v>3.1</v>
      </c>
      <c r="B561" s="4788" t="s">
        <v>4519</v>
      </c>
      <c r="C561" s="4367">
        <v>1.32</v>
      </c>
      <c r="D561" s="4669" t="s">
        <v>2430</v>
      </c>
      <c r="E561" s="4961"/>
      <c r="F561" s="4961">
        <f t="shared" si="27"/>
        <v>0</v>
      </c>
    </row>
    <row r="562" spans="1:6" s="4639" customFormat="1" ht="14.25" customHeight="1">
      <c r="A562" s="4666">
        <v>3.11</v>
      </c>
      <c r="B562" s="4788" t="s">
        <v>4520</v>
      </c>
      <c r="C562" s="4367">
        <v>12.1</v>
      </c>
      <c r="D562" s="4669" t="s">
        <v>2430</v>
      </c>
      <c r="E562" s="4961"/>
      <c r="F562" s="4961">
        <f t="shared" si="27"/>
        <v>0</v>
      </c>
    </row>
    <row r="563" spans="1:6" s="4639" customFormat="1" ht="14.25" customHeight="1">
      <c r="A563" s="4666">
        <v>3.12</v>
      </c>
      <c r="B563" s="4788" t="s">
        <v>4521</v>
      </c>
      <c r="C563" s="4367">
        <v>1.2</v>
      </c>
      <c r="D563" s="4669" t="s">
        <v>2430</v>
      </c>
      <c r="E563" s="4961"/>
      <c r="F563" s="4961">
        <f t="shared" si="27"/>
        <v>0</v>
      </c>
    </row>
    <row r="564" spans="1:6" s="4639" customFormat="1" ht="14.25" customHeight="1">
      <c r="A564" s="4666">
        <v>3.13</v>
      </c>
      <c r="B564" s="4788" t="s">
        <v>4522</v>
      </c>
      <c r="C564" s="4367">
        <v>1.27</v>
      </c>
      <c r="D564" s="4669" t="s">
        <v>2430</v>
      </c>
      <c r="E564" s="4961"/>
      <c r="F564" s="4961">
        <f t="shared" si="27"/>
        <v>0</v>
      </c>
    </row>
    <row r="565" spans="1:6" s="4639" customFormat="1" ht="14.25" customHeight="1">
      <c r="A565" s="4666">
        <v>3.14</v>
      </c>
      <c r="B565" s="4788" t="s">
        <v>4523</v>
      </c>
      <c r="C565" s="4367">
        <v>0.68</v>
      </c>
      <c r="D565" s="4669" t="s">
        <v>2430</v>
      </c>
      <c r="E565" s="4961"/>
      <c r="F565" s="4961">
        <f t="shared" si="27"/>
        <v>0</v>
      </c>
    </row>
    <row r="566" spans="1:6" s="4639" customFormat="1" ht="14.25" customHeight="1">
      <c r="A566" s="4666">
        <v>3.15</v>
      </c>
      <c r="B566" s="4788" t="s">
        <v>4524</v>
      </c>
      <c r="C566" s="4367">
        <v>1.17</v>
      </c>
      <c r="D566" s="4669" t="s">
        <v>2430</v>
      </c>
      <c r="E566" s="4961"/>
      <c r="F566" s="4961">
        <f t="shared" si="27"/>
        <v>0</v>
      </c>
    </row>
    <row r="567" spans="1:6" s="4639" customFormat="1" ht="14.25" customHeight="1">
      <c r="A567" s="4666">
        <v>3.16</v>
      </c>
      <c r="B567" s="4788" t="s">
        <v>4525</v>
      </c>
      <c r="C567" s="4367">
        <v>1.1200000000000001</v>
      </c>
      <c r="D567" s="4669" t="s">
        <v>2430</v>
      </c>
      <c r="E567" s="4961"/>
      <c r="F567" s="4961">
        <f t="shared" si="27"/>
        <v>0</v>
      </c>
    </row>
    <row r="568" spans="1:6" s="4639" customFormat="1" ht="14.25" customHeight="1">
      <c r="A568" s="4666">
        <v>3.17</v>
      </c>
      <c r="B568" s="4788" t="s">
        <v>4526</v>
      </c>
      <c r="C568" s="4367">
        <v>7.56</v>
      </c>
      <c r="D568" s="4669" t="s">
        <v>2430</v>
      </c>
      <c r="E568" s="4961"/>
      <c r="F568" s="4961">
        <f t="shared" si="27"/>
        <v>0</v>
      </c>
    </row>
    <row r="569" spans="1:6" s="4639" customFormat="1" ht="14.25" customHeight="1">
      <c r="A569" s="4666">
        <v>3.18</v>
      </c>
      <c r="B569" s="4788" t="s">
        <v>4527</v>
      </c>
      <c r="C569" s="4367">
        <v>8.94</v>
      </c>
      <c r="D569" s="4669" t="s">
        <v>2430</v>
      </c>
      <c r="E569" s="4961"/>
      <c r="F569" s="4961">
        <f t="shared" si="27"/>
        <v>0</v>
      </c>
    </row>
    <row r="570" spans="1:6" s="4639" customFormat="1" ht="14.25" customHeight="1">
      <c r="A570" s="4666">
        <v>3.19</v>
      </c>
      <c r="B570" s="4788" t="s">
        <v>4528</v>
      </c>
      <c r="C570" s="4367">
        <v>1.68</v>
      </c>
      <c r="D570" s="4669" t="s">
        <v>2430</v>
      </c>
      <c r="E570" s="4961"/>
      <c r="F570" s="4961">
        <f t="shared" si="27"/>
        <v>0</v>
      </c>
    </row>
    <row r="571" spans="1:6" s="4639" customFormat="1" ht="14.25" customHeight="1">
      <c r="A571" s="4666">
        <v>3.2</v>
      </c>
      <c r="B571" s="4788" t="s">
        <v>3996</v>
      </c>
      <c r="C571" s="4367">
        <v>6.23</v>
      </c>
      <c r="D571" s="4669" t="s">
        <v>2430</v>
      </c>
      <c r="E571" s="4961"/>
      <c r="F571" s="4961">
        <f t="shared" si="27"/>
        <v>0</v>
      </c>
    </row>
    <row r="572" spans="1:6" s="4639" customFormat="1" ht="30.75">
      <c r="A572" s="4666">
        <v>3.21</v>
      </c>
      <c r="B572" s="4788" t="s">
        <v>4529</v>
      </c>
      <c r="C572" s="4367">
        <v>3.94</v>
      </c>
      <c r="D572" s="4669" t="s">
        <v>2430</v>
      </c>
      <c r="E572" s="4961"/>
      <c r="F572" s="4961">
        <f t="shared" si="27"/>
        <v>0</v>
      </c>
    </row>
    <row r="573" spans="1:6" s="4639" customFormat="1" ht="14.25" customHeight="1">
      <c r="A573" s="4666"/>
      <c r="B573" s="4788"/>
      <c r="C573" s="4367"/>
      <c r="D573" s="4669"/>
      <c r="E573" s="4961"/>
      <c r="F573" s="4961"/>
    </row>
    <row r="574" spans="1:6" ht="15" customHeight="1">
      <c r="A574" s="4789">
        <v>4</v>
      </c>
      <c r="B574" s="4787" t="s">
        <v>784</v>
      </c>
      <c r="C574" s="4367"/>
      <c r="D574" s="4669"/>
      <c r="E574" s="4961"/>
      <c r="F574" s="4961" t="str">
        <f t="shared" si="27"/>
        <v xml:space="preserve"> </v>
      </c>
    </row>
    <row r="575" spans="1:6" s="4639" customFormat="1" ht="14.25" customHeight="1">
      <c r="A575" s="4795">
        <v>4.0999999999999996</v>
      </c>
      <c r="B575" s="4184" t="s">
        <v>4530</v>
      </c>
      <c r="C575" s="4448">
        <v>16.399999999999999</v>
      </c>
      <c r="D575" s="4669" t="s">
        <v>2432</v>
      </c>
      <c r="E575" s="4961"/>
      <c r="F575" s="4961">
        <f t="shared" si="27"/>
        <v>0</v>
      </c>
    </row>
    <row r="576" spans="1:6" s="4639" customFormat="1" ht="14.25" customHeight="1">
      <c r="A576" s="4795">
        <v>4.2</v>
      </c>
      <c r="B576" s="4184" t="s">
        <v>4531</v>
      </c>
      <c r="C576" s="4448">
        <v>190.26</v>
      </c>
      <c r="D576" s="4669" t="s">
        <v>2432</v>
      </c>
      <c r="E576" s="4961"/>
      <c r="F576" s="4961">
        <f t="shared" si="27"/>
        <v>0</v>
      </c>
    </row>
    <row r="577" spans="1:6" s="4639" customFormat="1" ht="14.25" customHeight="1">
      <c r="A577" s="4830">
        <v>4.3</v>
      </c>
      <c r="B577" s="4831" t="s">
        <v>4532</v>
      </c>
      <c r="C577" s="4804">
        <v>22.44</v>
      </c>
      <c r="D577" s="4803" t="s">
        <v>2432</v>
      </c>
      <c r="E577" s="5013"/>
      <c r="F577" s="5013">
        <f t="shared" si="27"/>
        <v>0</v>
      </c>
    </row>
    <row r="578" spans="1:6" ht="14.25" customHeight="1">
      <c r="A578" s="4666"/>
      <c r="B578" s="4788"/>
      <c r="C578" s="4367"/>
      <c r="D578" s="4669"/>
      <c r="E578" s="4961"/>
      <c r="F578" s="4961" t="str">
        <f t="shared" si="27"/>
        <v xml:space="preserve"> </v>
      </c>
    </row>
    <row r="579" spans="1:6" ht="15" customHeight="1">
      <c r="A579" s="4789">
        <v>5</v>
      </c>
      <c r="B579" s="4787" t="s">
        <v>787</v>
      </c>
      <c r="C579" s="4367"/>
      <c r="D579" s="4669"/>
      <c r="E579" s="4961"/>
      <c r="F579" s="4961" t="str">
        <f t="shared" si="27"/>
        <v xml:space="preserve"> </v>
      </c>
    </row>
    <row r="580" spans="1:6" ht="14.25" customHeight="1">
      <c r="A580" s="4795">
        <v>5.0999999999999996</v>
      </c>
      <c r="B580" s="4788" t="s">
        <v>2360</v>
      </c>
      <c r="C580" s="4367">
        <v>521.63</v>
      </c>
      <c r="D580" s="4669" t="s">
        <v>2432</v>
      </c>
      <c r="E580" s="4961"/>
      <c r="F580" s="4961">
        <f t="shared" si="27"/>
        <v>0</v>
      </c>
    </row>
    <row r="581" spans="1:6" ht="14.25" customHeight="1">
      <c r="A581" s="4795">
        <v>5.2</v>
      </c>
      <c r="B581" s="4788" t="s">
        <v>2361</v>
      </c>
      <c r="C581" s="4367">
        <v>73.92</v>
      </c>
      <c r="D581" s="4669" t="s">
        <v>2432</v>
      </c>
      <c r="E581" s="4961"/>
      <c r="F581" s="4961">
        <f t="shared" si="27"/>
        <v>0</v>
      </c>
    </row>
    <row r="582" spans="1:6" ht="14.25" customHeight="1">
      <c r="A582" s="4795">
        <v>5.3</v>
      </c>
      <c r="B582" s="4788" t="s">
        <v>3539</v>
      </c>
      <c r="C582" s="4367">
        <v>33.200000000000003</v>
      </c>
      <c r="D582" s="4669" t="s">
        <v>2432</v>
      </c>
      <c r="E582" s="4961"/>
      <c r="F582" s="4961">
        <f t="shared" si="27"/>
        <v>0</v>
      </c>
    </row>
    <row r="583" spans="1:6" ht="14.25" customHeight="1">
      <c r="A583" s="4795">
        <v>5.4</v>
      </c>
      <c r="B583" s="4788" t="s">
        <v>1548</v>
      </c>
      <c r="C583" s="4367">
        <v>478.68</v>
      </c>
      <c r="D583" s="4669" t="s">
        <v>1</v>
      </c>
      <c r="E583" s="4961"/>
      <c r="F583" s="4961">
        <f t="shared" si="27"/>
        <v>0</v>
      </c>
    </row>
    <row r="584" spans="1:6" ht="14.25" customHeight="1">
      <c r="A584" s="4795">
        <v>5.5</v>
      </c>
      <c r="B584" s="4788" t="s">
        <v>2362</v>
      </c>
      <c r="C584" s="4367">
        <v>33.799999999999997</v>
      </c>
      <c r="D584" s="4669" t="s">
        <v>1</v>
      </c>
      <c r="E584" s="4961"/>
      <c r="F584" s="4961">
        <f t="shared" si="27"/>
        <v>0</v>
      </c>
    </row>
    <row r="585" spans="1:6" ht="14.25" customHeight="1">
      <c r="A585" s="4795">
        <v>5.6</v>
      </c>
      <c r="B585" s="4788" t="s">
        <v>2363</v>
      </c>
      <c r="C585" s="4668">
        <v>3.11</v>
      </c>
      <c r="D585" s="4669" t="s">
        <v>2432</v>
      </c>
      <c r="E585" s="4961"/>
      <c r="F585" s="4961">
        <f t="shared" si="27"/>
        <v>0</v>
      </c>
    </row>
    <row r="586" spans="1:6" ht="14.25" customHeight="1">
      <c r="A586" s="4795">
        <v>5.7</v>
      </c>
      <c r="B586" s="4788" t="s">
        <v>2364</v>
      </c>
      <c r="C586" s="4367">
        <v>15.18</v>
      </c>
      <c r="D586" s="4669" t="s">
        <v>2432</v>
      </c>
      <c r="E586" s="4961"/>
      <c r="F586" s="4961">
        <f t="shared" si="27"/>
        <v>0</v>
      </c>
    </row>
    <row r="587" spans="1:6" ht="14.25" customHeight="1">
      <c r="A587" s="4795">
        <v>5.8</v>
      </c>
      <c r="B587" s="4788" t="s">
        <v>2365</v>
      </c>
      <c r="C587" s="4367">
        <v>4.95</v>
      </c>
      <c r="D587" s="4669" t="s">
        <v>2432</v>
      </c>
      <c r="E587" s="4961"/>
      <c r="F587" s="4961">
        <f t="shared" si="27"/>
        <v>0</v>
      </c>
    </row>
    <row r="588" spans="1:6" s="4639" customFormat="1" ht="14.25" customHeight="1">
      <c r="A588" s="4795">
        <v>5.9</v>
      </c>
      <c r="B588" s="4788" t="s">
        <v>2366</v>
      </c>
      <c r="C588" s="4367">
        <v>20.13</v>
      </c>
      <c r="D588" s="4669" t="s">
        <v>2432</v>
      </c>
      <c r="E588" s="4961"/>
      <c r="F588" s="4961">
        <f t="shared" si="27"/>
        <v>0</v>
      </c>
    </row>
    <row r="589" spans="1:6" ht="14.25" customHeight="1">
      <c r="A589" s="4666">
        <v>5.0999999999999996</v>
      </c>
      <c r="B589" s="4788" t="s">
        <v>2367</v>
      </c>
      <c r="C589" s="4367">
        <v>98.88</v>
      </c>
      <c r="D589" s="4669" t="s">
        <v>2432</v>
      </c>
      <c r="E589" s="4961"/>
      <c r="F589" s="4961">
        <f t="shared" si="27"/>
        <v>0</v>
      </c>
    </row>
    <row r="590" spans="1:6" ht="14.25" customHeight="1">
      <c r="A590" s="4666">
        <v>5.1100000000000003</v>
      </c>
      <c r="B590" s="4788" t="s">
        <v>2368</v>
      </c>
      <c r="C590" s="4367">
        <v>77.150000000000006</v>
      </c>
      <c r="D590" s="4669" t="s">
        <v>1</v>
      </c>
      <c r="E590" s="4961"/>
      <c r="F590" s="4961">
        <f t="shared" si="27"/>
        <v>0</v>
      </c>
    </row>
    <row r="591" spans="1:6" ht="14.25" customHeight="1">
      <c r="A591" s="4666">
        <v>5.12</v>
      </c>
      <c r="B591" s="4788" t="s">
        <v>2369</v>
      </c>
      <c r="C591" s="4367">
        <v>598.66</v>
      </c>
      <c r="D591" s="4669" t="s">
        <v>2432</v>
      </c>
      <c r="E591" s="4961"/>
      <c r="F591" s="4961">
        <f t="shared" si="27"/>
        <v>0</v>
      </c>
    </row>
    <row r="592" spans="1:6" ht="14.25" customHeight="1">
      <c r="A592" s="4666">
        <v>5.13</v>
      </c>
      <c r="B592" s="4788" t="s">
        <v>2352</v>
      </c>
      <c r="C592" s="4367">
        <v>598.66</v>
      </c>
      <c r="D592" s="4669" t="s">
        <v>2432</v>
      </c>
      <c r="E592" s="4961"/>
      <c r="F592" s="4961">
        <f t="shared" si="27"/>
        <v>0</v>
      </c>
    </row>
    <row r="593" spans="1:6" ht="14.25" customHeight="1">
      <c r="A593" s="4666">
        <v>5.14</v>
      </c>
      <c r="B593" s="4788" t="s">
        <v>2346</v>
      </c>
      <c r="C593" s="4367">
        <v>27.84</v>
      </c>
      <c r="D593" s="4669" t="s">
        <v>2432</v>
      </c>
      <c r="E593" s="4961"/>
      <c r="F593" s="4961">
        <f t="shared" si="27"/>
        <v>0</v>
      </c>
    </row>
    <row r="594" spans="1:6" ht="14.25" customHeight="1">
      <c r="A594" s="4666"/>
      <c r="B594" s="4788"/>
      <c r="C594" s="4367"/>
      <c r="D594" s="4669"/>
      <c r="E594" s="4961"/>
      <c r="F594" s="4961" t="str">
        <f t="shared" si="27"/>
        <v xml:space="preserve"> </v>
      </c>
    </row>
    <row r="595" spans="1:6" ht="15" customHeight="1">
      <c r="A595" s="4789">
        <v>6</v>
      </c>
      <c r="B595" s="4787" t="s">
        <v>2743</v>
      </c>
      <c r="C595" s="4367"/>
      <c r="D595" s="4669"/>
      <c r="E595" s="4961"/>
      <c r="F595" s="4961" t="str">
        <f t="shared" si="27"/>
        <v xml:space="preserve"> </v>
      </c>
    </row>
    <row r="596" spans="1:6" s="4639" customFormat="1" ht="14.25" customHeight="1">
      <c r="A596" s="4795">
        <v>6.1</v>
      </c>
      <c r="B596" s="4788" t="s">
        <v>2937</v>
      </c>
      <c r="C596" s="4367">
        <v>5</v>
      </c>
      <c r="D596" s="4669" t="s">
        <v>2433</v>
      </c>
      <c r="E596" s="4961"/>
      <c r="F596" s="4961">
        <f t="shared" si="27"/>
        <v>0</v>
      </c>
    </row>
    <row r="597" spans="1:6" s="4639" customFormat="1" ht="14.25" customHeight="1">
      <c r="A597" s="4795">
        <v>6.2</v>
      </c>
      <c r="B597" s="4788" t="s">
        <v>3617</v>
      </c>
      <c r="C597" s="4367">
        <v>1</v>
      </c>
      <c r="D597" s="4669" t="s">
        <v>2433</v>
      </c>
      <c r="E597" s="4961"/>
      <c r="F597" s="4961">
        <f t="shared" si="27"/>
        <v>0</v>
      </c>
    </row>
    <row r="598" spans="1:6" s="4639" customFormat="1" ht="14.25" customHeight="1">
      <c r="A598" s="4795">
        <v>6.3</v>
      </c>
      <c r="B598" s="4692" t="s">
        <v>3618</v>
      </c>
      <c r="C598" s="4668">
        <v>185.26</v>
      </c>
      <c r="D598" s="4669" t="s">
        <v>2602</v>
      </c>
      <c r="E598" s="4961"/>
      <c r="F598" s="4961">
        <f t="shared" si="27"/>
        <v>0</v>
      </c>
    </row>
    <row r="599" spans="1:6" ht="14.25" customHeight="1">
      <c r="A599" s="4666"/>
      <c r="B599" s="4788"/>
      <c r="C599" s="4367"/>
      <c r="D599" s="4669"/>
      <c r="E599" s="4961"/>
      <c r="F599" s="4961" t="str">
        <f t="shared" si="27"/>
        <v xml:space="preserve"> </v>
      </c>
    </row>
    <row r="600" spans="1:6" ht="15" customHeight="1">
      <c r="A600" s="4789">
        <v>7</v>
      </c>
      <c r="B600" s="4787" t="s">
        <v>3722</v>
      </c>
      <c r="C600" s="4367"/>
      <c r="D600" s="4669"/>
      <c r="E600" s="4961"/>
      <c r="F600" s="4961" t="str">
        <f t="shared" si="27"/>
        <v xml:space="preserve"> </v>
      </c>
    </row>
    <row r="601" spans="1:6" s="4639" customFormat="1" ht="14.25" customHeight="1">
      <c r="A601" s="4795">
        <v>7.1</v>
      </c>
      <c r="B601" s="4788" t="s">
        <v>4533</v>
      </c>
      <c r="C601" s="4367">
        <v>3</v>
      </c>
      <c r="D601" s="4669" t="s">
        <v>2433</v>
      </c>
      <c r="E601" s="4365"/>
      <c r="F601" s="4961">
        <f t="shared" si="27"/>
        <v>0</v>
      </c>
    </row>
    <row r="602" spans="1:6" ht="62.25" customHeight="1">
      <c r="A602" s="4795">
        <v>7.2</v>
      </c>
      <c r="B602" s="4812" t="s">
        <v>4001</v>
      </c>
      <c r="C602" s="4367">
        <v>2</v>
      </c>
      <c r="D602" s="4669" t="s">
        <v>2433</v>
      </c>
      <c r="E602" s="5015"/>
      <c r="F602" s="4961">
        <f t="shared" si="27"/>
        <v>0</v>
      </c>
    </row>
    <row r="603" spans="1:6" ht="14.25" customHeight="1">
      <c r="A603" s="4795">
        <v>7.3</v>
      </c>
      <c r="B603" s="4788" t="s">
        <v>2371</v>
      </c>
      <c r="C603" s="4367">
        <v>1</v>
      </c>
      <c r="D603" s="4669" t="s">
        <v>2433</v>
      </c>
      <c r="E603" s="4961"/>
      <c r="F603" s="4961">
        <f t="shared" si="27"/>
        <v>0</v>
      </c>
    </row>
    <row r="604" spans="1:6" s="4639" customFormat="1" ht="57" customHeight="1">
      <c r="A604" s="4795">
        <v>7.4</v>
      </c>
      <c r="B604" s="4812" t="s">
        <v>3619</v>
      </c>
      <c r="C604" s="4367">
        <v>2</v>
      </c>
      <c r="D604" s="4669" t="s">
        <v>2433</v>
      </c>
      <c r="E604" s="4961"/>
      <c r="F604" s="4961">
        <f t="shared" si="27"/>
        <v>0</v>
      </c>
    </row>
    <row r="605" spans="1:6" s="4560" customFormat="1" ht="15.75" customHeight="1">
      <c r="A605" s="4795">
        <v>7.5</v>
      </c>
      <c r="B605" s="4788" t="s">
        <v>3620</v>
      </c>
      <c r="C605" s="4367">
        <v>1</v>
      </c>
      <c r="D605" s="4669" t="s">
        <v>2433</v>
      </c>
      <c r="E605" s="4961"/>
      <c r="F605" s="4961">
        <f t="shared" si="27"/>
        <v>0</v>
      </c>
    </row>
    <row r="606" spans="1:6" s="4560" customFormat="1" ht="28.5" customHeight="1">
      <c r="A606" s="4795">
        <v>7.6</v>
      </c>
      <c r="B606" s="4788" t="s">
        <v>3621</v>
      </c>
      <c r="C606" s="4367">
        <v>1</v>
      </c>
      <c r="D606" s="4669" t="s">
        <v>42</v>
      </c>
      <c r="E606" s="4961"/>
      <c r="F606" s="4961">
        <f t="shared" si="27"/>
        <v>0</v>
      </c>
    </row>
    <row r="607" spans="1:6" s="4639" customFormat="1" ht="14.25" customHeight="1">
      <c r="A607" s="4795">
        <v>7.7</v>
      </c>
      <c r="B607" s="4692" t="s">
        <v>4002</v>
      </c>
      <c r="C607" s="4367">
        <v>1</v>
      </c>
      <c r="D607" s="4669" t="s">
        <v>2433</v>
      </c>
      <c r="E607" s="4961"/>
      <c r="F607" s="4961">
        <f t="shared" si="27"/>
        <v>0</v>
      </c>
    </row>
    <row r="608" spans="1:6" ht="14.25" customHeight="1">
      <c r="A608" s="4666"/>
      <c r="B608" s="4788"/>
      <c r="C608" s="4367"/>
      <c r="D608" s="4669"/>
      <c r="E608" s="4961"/>
      <c r="F608" s="4961" t="str">
        <f t="shared" si="27"/>
        <v xml:space="preserve"> </v>
      </c>
    </row>
    <row r="609" spans="1:6" s="4557" customFormat="1" ht="15">
      <c r="A609" s="4824">
        <v>8</v>
      </c>
      <c r="B609" s="4687" t="s">
        <v>3545</v>
      </c>
      <c r="C609" s="4822"/>
      <c r="D609" s="4600"/>
      <c r="E609" s="5015"/>
      <c r="F609" s="4961" t="str">
        <f t="shared" ref="F609:F613" si="28">IF(C609&gt;0,(ROUND((E609*C609),2))," ")</f>
        <v xml:space="preserve"> </v>
      </c>
    </row>
    <row r="610" spans="1:6" ht="28.5" customHeight="1">
      <c r="A610" s="4838">
        <v>8.1</v>
      </c>
      <c r="B610" s="4734" t="s">
        <v>4683</v>
      </c>
      <c r="C610" s="4727">
        <v>1</v>
      </c>
      <c r="D610" s="4600" t="s">
        <v>2433</v>
      </c>
      <c r="E610" s="5015"/>
      <c r="F610" s="4961">
        <f t="shared" si="28"/>
        <v>0</v>
      </c>
    </row>
    <row r="611" spans="1:6" ht="15" customHeight="1">
      <c r="A611" s="4838">
        <v>8.1999999999999993</v>
      </c>
      <c r="B611" s="4734" t="s">
        <v>4682</v>
      </c>
      <c r="C611" s="4727">
        <v>1</v>
      </c>
      <c r="D611" s="4600" t="s">
        <v>2433</v>
      </c>
      <c r="E611" s="4318"/>
      <c r="F611" s="4961">
        <f t="shared" si="28"/>
        <v>0</v>
      </c>
    </row>
    <row r="612" spans="1:6" ht="15" customHeight="1">
      <c r="A612" s="4839"/>
      <c r="B612" s="4692"/>
      <c r="C612" s="4727"/>
      <c r="D612" s="4600"/>
      <c r="E612" s="4318"/>
      <c r="F612" s="4961" t="str">
        <f t="shared" si="28"/>
        <v xml:space="preserve"> </v>
      </c>
    </row>
    <row r="613" spans="1:6" ht="15" customHeight="1">
      <c r="A613" s="4789">
        <v>9</v>
      </c>
      <c r="B613" s="4787" t="s">
        <v>824</v>
      </c>
      <c r="C613" s="4367"/>
      <c r="D613" s="4669"/>
      <c r="E613" s="4961"/>
      <c r="F613" s="4961" t="str">
        <f t="shared" si="28"/>
        <v xml:space="preserve"> </v>
      </c>
    </row>
    <row r="614" spans="1:6" ht="14.25" customHeight="1">
      <c r="A614" s="4795">
        <v>9.1</v>
      </c>
      <c r="B614" s="4788" t="s">
        <v>2377</v>
      </c>
      <c r="C614" s="4367">
        <v>1.6</v>
      </c>
      <c r="D614" s="4669" t="s">
        <v>1</v>
      </c>
      <c r="E614" s="4961"/>
      <c r="F614" s="4961">
        <f t="shared" ref="F614:F635" si="29">IF(C614&gt;0,(ROUND((E614*C614),2))," ")</f>
        <v>0</v>
      </c>
    </row>
    <row r="615" spans="1:6" ht="14.25" customHeight="1">
      <c r="A615" s="4795">
        <v>9.1999999999999993</v>
      </c>
      <c r="B615" s="4788" t="s">
        <v>2378</v>
      </c>
      <c r="C615" s="4367">
        <v>3</v>
      </c>
      <c r="D615" s="4669" t="s">
        <v>1</v>
      </c>
      <c r="E615" s="4961"/>
      <c r="F615" s="4961">
        <f t="shared" si="29"/>
        <v>0</v>
      </c>
    </row>
    <row r="616" spans="1:6" ht="14.25" customHeight="1">
      <c r="A616" s="4795">
        <v>9.3000000000000007</v>
      </c>
      <c r="B616" s="4788" t="s">
        <v>2379</v>
      </c>
      <c r="C616" s="4367">
        <v>1.8</v>
      </c>
      <c r="D616" s="4669" t="s">
        <v>2432</v>
      </c>
      <c r="E616" s="4961"/>
      <c r="F616" s="4961">
        <f t="shared" si="29"/>
        <v>0</v>
      </c>
    </row>
    <row r="617" spans="1:6" ht="14.25" customHeight="1">
      <c r="A617" s="4666"/>
      <c r="B617" s="4788"/>
      <c r="C617" s="4367"/>
      <c r="D617" s="4669"/>
      <c r="E617" s="4961"/>
      <c r="F617" s="4961" t="str">
        <f t="shared" si="29"/>
        <v xml:space="preserve"> </v>
      </c>
    </row>
    <row r="618" spans="1:6" ht="15" customHeight="1">
      <c r="A618" s="4789">
        <v>10</v>
      </c>
      <c r="B618" s="4787" t="s">
        <v>2065</v>
      </c>
      <c r="C618" s="4367"/>
      <c r="D618" s="4669"/>
      <c r="E618" s="4961"/>
      <c r="F618" s="4961" t="str">
        <f t="shared" si="29"/>
        <v xml:space="preserve"> </v>
      </c>
    </row>
    <row r="619" spans="1:6" ht="14.25" customHeight="1">
      <c r="A619" s="4795">
        <v>10.1</v>
      </c>
      <c r="B619" s="4692" t="s">
        <v>4047</v>
      </c>
      <c r="C619" s="4727">
        <v>1</v>
      </c>
      <c r="D619" s="4600" t="s">
        <v>2433</v>
      </c>
      <c r="E619" s="4318"/>
      <c r="F619" s="4961">
        <f t="shared" si="29"/>
        <v>0</v>
      </c>
    </row>
    <row r="620" spans="1:6" s="4557" customFormat="1" ht="14.25" customHeight="1">
      <c r="A620" s="4840">
        <f>+A619+0.1</f>
        <v>10.199999999999999</v>
      </c>
      <c r="B620" s="4692" t="s">
        <v>4684</v>
      </c>
      <c r="C620" s="4727">
        <v>1</v>
      </c>
      <c r="D620" s="4600" t="s">
        <v>2433</v>
      </c>
      <c r="E620" s="4318"/>
      <c r="F620" s="4318">
        <f t="shared" si="29"/>
        <v>0</v>
      </c>
    </row>
    <row r="621" spans="1:6" ht="14.25" customHeight="1">
      <c r="A621" s="4838">
        <f t="shared" ref="A621:A627" si="30">+A620+0.1</f>
        <v>10.3</v>
      </c>
      <c r="B621" s="4692" t="s">
        <v>3630</v>
      </c>
      <c r="C621" s="4727">
        <v>1</v>
      </c>
      <c r="D621" s="4600" t="s">
        <v>2433</v>
      </c>
      <c r="E621" s="4318"/>
      <c r="F621" s="4961">
        <f t="shared" si="29"/>
        <v>0</v>
      </c>
    </row>
    <row r="622" spans="1:6" ht="14.25" customHeight="1">
      <c r="A622" s="4838">
        <f t="shared" si="30"/>
        <v>10.4</v>
      </c>
      <c r="B622" s="4692" t="s">
        <v>3631</v>
      </c>
      <c r="C622" s="4727">
        <v>1</v>
      </c>
      <c r="D622" s="4600" t="s">
        <v>2433</v>
      </c>
      <c r="E622" s="4318"/>
      <c r="F622" s="4961">
        <f t="shared" si="29"/>
        <v>0</v>
      </c>
    </row>
    <row r="623" spans="1:6" ht="14.25" customHeight="1">
      <c r="A623" s="4838">
        <f t="shared" si="30"/>
        <v>10.5</v>
      </c>
      <c r="B623" s="4692" t="s">
        <v>2380</v>
      </c>
      <c r="C623" s="4727">
        <v>2</v>
      </c>
      <c r="D623" s="4600" t="s">
        <v>2433</v>
      </c>
      <c r="E623" s="4318"/>
      <c r="F623" s="4961">
        <f t="shared" si="29"/>
        <v>0</v>
      </c>
    </row>
    <row r="624" spans="1:6" ht="14.25" customHeight="1">
      <c r="A624" s="4838">
        <f t="shared" si="30"/>
        <v>10.6</v>
      </c>
      <c r="B624" s="4692" t="s">
        <v>3632</v>
      </c>
      <c r="C624" s="4727">
        <v>2</v>
      </c>
      <c r="D624" s="4600" t="s">
        <v>2433</v>
      </c>
      <c r="E624" s="4318"/>
      <c r="F624" s="4961">
        <f t="shared" si="29"/>
        <v>0</v>
      </c>
    </row>
    <row r="625" spans="1:6" ht="14.25" customHeight="1">
      <c r="A625" s="4838">
        <f t="shared" si="30"/>
        <v>10.7</v>
      </c>
      <c r="B625" s="4692" t="s">
        <v>2381</v>
      </c>
      <c r="C625" s="4727">
        <v>12</v>
      </c>
      <c r="D625" s="4600" t="s">
        <v>2433</v>
      </c>
      <c r="E625" s="4318"/>
      <c r="F625" s="4961">
        <f t="shared" si="29"/>
        <v>0</v>
      </c>
    </row>
    <row r="626" spans="1:6" ht="14.25" customHeight="1">
      <c r="A626" s="5053">
        <f t="shared" si="30"/>
        <v>10.8</v>
      </c>
      <c r="B626" s="4915" t="s">
        <v>2382</v>
      </c>
      <c r="C626" s="5054">
        <v>2</v>
      </c>
      <c r="D626" s="4777" t="s">
        <v>2433</v>
      </c>
      <c r="E626" s="4980"/>
      <c r="F626" s="5014">
        <f t="shared" si="29"/>
        <v>0</v>
      </c>
    </row>
    <row r="627" spans="1:6" ht="14.25" customHeight="1">
      <c r="A627" s="4838">
        <f t="shared" si="30"/>
        <v>10.9</v>
      </c>
      <c r="B627" s="4692" t="s">
        <v>2383</v>
      </c>
      <c r="C627" s="4727">
        <v>1</v>
      </c>
      <c r="D627" s="4600" t="s">
        <v>2433</v>
      </c>
      <c r="E627" s="4318"/>
      <c r="F627" s="4961">
        <f t="shared" si="29"/>
        <v>0</v>
      </c>
    </row>
    <row r="628" spans="1:6" ht="13.5" customHeight="1">
      <c r="A628" s="4841">
        <v>10.1</v>
      </c>
      <c r="B628" s="4692" t="s">
        <v>2384</v>
      </c>
      <c r="C628" s="4727">
        <v>1</v>
      </c>
      <c r="D628" s="4600" t="s">
        <v>2433</v>
      </c>
      <c r="E628" s="4318"/>
      <c r="F628" s="4961">
        <f t="shared" si="29"/>
        <v>0</v>
      </c>
    </row>
    <row r="629" spans="1:6" ht="75.75" customHeight="1">
      <c r="A629" s="4841">
        <f>+A628+0.01</f>
        <v>10.11</v>
      </c>
      <c r="B629" s="4812" t="s">
        <v>3957</v>
      </c>
      <c r="C629" s="4727">
        <v>1</v>
      </c>
      <c r="D629" s="4600" t="s">
        <v>2433</v>
      </c>
      <c r="E629" s="4318"/>
      <c r="F629" s="4961">
        <f t="shared" si="29"/>
        <v>0</v>
      </c>
    </row>
    <row r="630" spans="1:6" ht="14.25" customHeight="1">
      <c r="A630" s="4666"/>
      <c r="B630" s="4788"/>
      <c r="C630" s="4367"/>
      <c r="D630" s="4669"/>
      <c r="E630" s="4961"/>
      <c r="F630" s="4961" t="str">
        <f t="shared" si="29"/>
        <v xml:space="preserve"> </v>
      </c>
    </row>
    <row r="631" spans="1:6" ht="15" customHeight="1">
      <c r="A631" s="4789">
        <v>11</v>
      </c>
      <c r="B631" s="4787" t="s">
        <v>833</v>
      </c>
      <c r="C631" s="4367"/>
      <c r="D631" s="4669"/>
      <c r="E631" s="4961"/>
      <c r="F631" s="4961" t="str">
        <f t="shared" si="29"/>
        <v xml:space="preserve"> </v>
      </c>
    </row>
    <row r="632" spans="1:6" ht="14.25" customHeight="1">
      <c r="A632" s="4795">
        <v>11.1</v>
      </c>
      <c r="B632" s="4692" t="s">
        <v>3633</v>
      </c>
      <c r="C632" s="4727">
        <v>3</v>
      </c>
      <c r="D632" s="4600" t="s">
        <v>2433</v>
      </c>
      <c r="E632" s="4318"/>
      <c r="F632" s="4961">
        <f t="shared" si="29"/>
        <v>0</v>
      </c>
    </row>
    <row r="633" spans="1:6" ht="14.25" customHeight="1">
      <c r="A633" s="4795">
        <v>11.2</v>
      </c>
      <c r="B633" s="4692" t="s">
        <v>3634</v>
      </c>
      <c r="C633" s="4727">
        <v>1</v>
      </c>
      <c r="D633" s="4600" t="s">
        <v>2433</v>
      </c>
      <c r="E633" s="4318"/>
      <c r="F633" s="4961">
        <f t="shared" si="29"/>
        <v>0</v>
      </c>
    </row>
    <row r="634" spans="1:6" ht="14.25" customHeight="1">
      <c r="A634" s="4795">
        <v>11.3</v>
      </c>
      <c r="B634" s="4692" t="s">
        <v>3635</v>
      </c>
      <c r="C634" s="4727">
        <v>1</v>
      </c>
      <c r="D634" s="4600" t="s">
        <v>2433</v>
      </c>
      <c r="E634" s="4318"/>
      <c r="F634" s="4961">
        <f t="shared" si="29"/>
        <v>0</v>
      </c>
    </row>
    <row r="635" spans="1:6" ht="14.25" customHeight="1">
      <c r="A635" s="4795">
        <v>11.4</v>
      </c>
      <c r="B635" s="4692" t="s">
        <v>3636</v>
      </c>
      <c r="C635" s="4727">
        <v>2</v>
      </c>
      <c r="D635" s="4600" t="s">
        <v>2433</v>
      </c>
      <c r="E635" s="4318"/>
      <c r="F635" s="4961">
        <f t="shared" si="29"/>
        <v>0</v>
      </c>
    </row>
    <row r="636" spans="1:6" ht="14.25" customHeight="1">
      <c r="A636" s="4666"/>
      <c r="B636" s="4692"/>
      <c r="C636" s="4727"/>
      <c r="D636" s="4600"/>
      <c r="E636" s="4318"/>
      <c r="F636" s="4961"/>
    </row>
    <row r="637" spans="1:6" ht="15" customHeight="1">
      <c r="A637" s="4789">
        <v>12</v>
      </c>
      <c r="B637" s="4787" t="s">
        <v>2073</v>
      </c>
      <c r="C637" s="4367"/>
      <c r="D637" s="4669"/>
      <c r="E637" s="4961"/>
      <c r="F637" s="4961" t="str">
        <f t="shared" ref="F637:F657" si="31">IF(C637&gt;0,(ROUND((E637*C637),2))," ")</f>
        <v xml:space="preserve"> </v>
      </c>
    </row>
    <row r="638" spans="1:6" ht="14.25" customHeight="1">
      <c r="A638" s="4795">
        <v>12.1</v>
      </c>
      <c r="B638" s="4734" t="s">
        <v>2385</v>
      </c>
      <c r="C638" s="4842">
        <v>2</v>
      </c>
      <c r="D638" s="4843" t="s">
        <v>2433</v>
      </c>
      <c r="E638" s="4318"/>
      <c r="F638" s="4961">
        <f t="shared" si="31"/>
        <v>0</v>
      </c>
    </row>
    <row r="639" spans="1:6" ht="14.25" customHeight="1">
      <c r="A639" s="4795">
        <v>12.2</v>
      </c>
      <c r="B639" s="4734" t="s">
        <v>2386</v>
      </c>
      <c r="C639" s="4842">
        <v>4</v>
      </c>
      <c r="D639" s="4843" t="s">
        <v>2433</v>
      </c>
      <c r="E639" s="4318"/>
      <c r="F639" s="4961">
        <f t="shared" si="31"/>
        <v>0</v>
      </c>
    </row>
    <row r="640" spans="1:6" ht="14.25" customHeight="1">
      <c r="A640" s="4795">
        <v>12.3</v>
      </c>
      <c r="B640" s="4734" t="s">
        <v>2387</v>
      </c>
      <c r="C640" s="4842">
        <v>4</v>
      </c>
      <c r="D640" s="4843" t="s">
        <v>2433</v>
      </c>
      <c r="E640" s="4318"/>
      <c r="F640" s="4961">
        <f t="shared" si="31"/>
        <v>0</v>
      </c>
    </row>
    <row r="641" spans="1:6" ht="14.25" customHeight="1">
      <c r="A641" s="4795">
        <v>12.4</v>
      </c>
      <c r="B641" s="4734" t="s">
        <v>3637</v>
      </c>
      <c r="C641" s="4842">
        <v>2</v>
      </c>
      <c r="D641" s="4843" t="s">
        <v>2433</v>
      </c>
      <c r="E641" s="4318"/>
      <c r="F641" s="4961">
        <f t="shared" si="31"/>
        <v>0</v>
      </c>
    </row>
    <row r="642" spans="1:6" ht="14.25" customHeight="1">
      <c r="A642" s="4795">
        <v>12.5</v>
      </c>
      <c r="B642" s="4734" t="s">
        <v>2388</v>
      </c>
      <c r="C642" s="4842">
        <v>2</v>
      </c>
      <c r="D642" s="4843" t="s">
        <v>2433</v>
      </c>
      <c r="E642" s="4318"/>
      <c r="F642" s="4961">
        <f t="shared" si="31"/>
        <v>0</v>
      </c>
    </row>
    <row r="643" spans="1:6" ht="14.25" customHeight="1">
      <c r="A643" s="4795">
        <v>12.6</v>
      </c>
      <c r="B643" s="4734" t="s">
        <v>2389</v>
      </c>
      <c r="C643" s="4842">
        <v>2</v>
      </c>
      <c r="D643" s="4843" t="s">
        <v>2433</v>
      </c>
      <c r="E643" s="4318"/>
      <c r="F643" s="4961">
        <f t="shared" si="31"/>
        <v>0</v>
      </c>
    </row>
    <row r="644" spans="1:6" ht="14.25" customHeight="1">
      <c r="A644" s="4795">
        <v>12.7</v>
      </c>
      <c r="B644" s="4734" t="s">
        <v>2390</v>
      </c>
      <c r="C644" s="4842">
        <v>1</v>
      </c>
      <c r="D644" s="4843" t="s">
        <v>2433</v>
      </c>
      <c r="E644" s="4318"/>
      <c r="F644" s="4961">
        <f t="shared" si="31"/>
        <v>0</v>
      </c>
    </row>
    <row r="645" spans="1:6" ht="14.25" customHeight="1">
      <c r="A645" s="4795">
        <v>12.8</v>
      </c>
      <c r="B645" s="4734" t="s">
        <v>3638</v>
      </c>
      <c r="C645" s="4842">
        <v>2</v>
      </c>
      <c r="D645" s="4843" t="s">
        <v>2433</v>
      </c>
      <c r="E645" s="4318"/>
      <c r="F645" s="4961">
        <f t="shared" si="31"/>
        <v>0</v>
      </c>
    </row>
    <row r="646" spans="1:6" ht="14.25" customHeight="1">
      <c r="A646" s="4795">
        <v>12.9</v>
      </c>
      <c r="B646" s="4734" t="s">
        <v>4034</v>
      </c>
      <c r="C646" s="4842">
        <v>2</v>
      </c>
      <c r="D646" s="4843" t="s">
        <v>2433</v>
      </c>
      <c r="E646" s="4318"/>
      <c r="F646" s="4961">
        <f t="shared" si="31"/>
        <v>0</v>
      </c>
    </row>
    <row r="647" spans="1:6" ht="14.25" customHeight="1">
      <c r="A647" s="4666">
        <v>12.1</v>
      </c>
      <c r="B647" s="4734" t="s">
        <v>2391</v>
      </c>
      <c r="C647" s="4842">
        <v>1</v>
      </c>
      <c r="D647" s="4843" t="s">
        <v>2960</v>
      </c>
      <c r="E647" s="4318"/>
      <c r="F647" s="4961">
        <f t="shared" si="31"/>
        <v>0</v>
      </c>
    </row>
    <row r="648" spans="1:6" ht="14.25" customHeight="1">
      <c r="A648" s="4666">
        <v>12.11</v>
      </c>
      <c r="B648" s="4734" t="s">
        <v>2392</v>
      </c>
      <c r="C648" s="4842">
        <v>2</v>
      </c>
      <c r="D648" s="4843" t="s">
        <v>2433</v>
      </c>
      <c r="E648" s="4318"/>
      <c r="F648" s="4961">
        <f t="shared" si="31"/>
        <v>0</v>
      </c>
    </row>
    <row r="649" spans="1:6" ht="14.25" customHeight="1">
      <c r="A649" s="4666">
        <v>12.13</v>
      </c>
      <c r="B649" s="4734" t="s">
        <v>2393</v>
      </c>
      <c r="C649" s="4842">
        <v>2</v>
      </c>
      <c r="D649" s="4843" t="s">
        <v>2433</v>
      </c>
      <c r="E649" s="4318"/>
      <c r="F649" s="4961">
        <f t="shared" si="31"/>
        <v>0</v>
      </c>
    </row>
    <row r="650" spans="1:6" ht="14.25" customHeight="1">
      <c r="A650" s="4666">
        <v>12.4</v>
      </c>
      <c r="B650" s="4734" t="s">
        <v>3639</v>
      </c>
      <c r="C650" s="4842">
        <v>2</v>
      </c>
      <c r="D650" s="4843" t="s">
        <v>2433</v>
      </c>
      <c r="E650" s="4318"/>
      <c r="F650" s="4961">
        <f t="shared" si="31"/>
        <v>0</v>
      </c>
    </row>
    <row r="651" spans="1:6" ht="14.25" customHeight="1">
      <c r="A651" s="4666"/>
      <c r="B651" s="4788"/>
      <c r="C651" s="4367"/>
      <c r="D651" s="4669"/>
      <c r="E651" s="4961"/>
      <c r="F651" s="4961" t="str">
        <f t="shared" si="31"/>
        <v xml:space="preserve"> </v>
      </c>
    </row>
    <row r="652" spans="1:6" s="4639" customFormat="1" ht="15" customHeight="1">
      <c r="A652" s="4789">
        <v>13</v>
      </c>
      <c r="B652" s="4787" t="s">
        <v>819</v>
      </c>
      <c r="C652" s="4367"/>
      <c r="D652" s="4669"/>
      <c r="E652" s="4961"/>
      <c r="F652" s="4961" t="str">
        <f t="shared" si="31"/>
        <v xml:space="preserve"> </v>
      </c>
    </row>
    <row r="653" spans="1:6" s="4639" customFormat="1" ht="14.25" customHeight="1">
      <c r="A653" s="4795">
        <v>13.1</v>
      </c>
      <c r="B653" s="4788" t="s">
        <v>4021</v>
      </c>
      <c r="C653" s="4844">
        <v>19</v>
      </c>
      <c r="D653" s="4669" t="s">
        <v>2433</v>
      </c>
      <c r="E653" s="4961"/>
      <c r="F653" s="4961">
        <f t="shared" si="31"/>
        <v>0</v>
      </c>
    </row>
    <row r="654" spans="1:6" s="4639" customFormat="1" ht="14.25" customHeight="1">
      <c r="A654" s="4795">
        <v>13.2</v>
      </c>
      <c r="B654" s="4788" t="s">
        <v>4022</v>
      </c>
      <c r="C654" s="4844">
        <v>10</v>
      </c>
      <c r="D654" s="4669" t="s">
        <v>2433</v>
      </c>
      <c r="E654" s="4961"/>
      <c r="F654" s="4961">
        <f t="shared" si="31"/>
        <v>0</v>
      </c>
    </row>
    <row r="655" spans="1:6" s="4639" customFormat="1" ht="14.25" customHeight="1">
      <c r="A655" s="4795">
        <v>13.3</v>
      </c>
      <c r="B655" s="4788" t="s">
        <v>4023</v>
      </c>
      <c r="C655" s="4844">
        <v>4</v>
      </c>
      <c r="D655" s="4669" t="s">
        <v>2433</v>
      </c>
      <c r="E655" s="4961"/>
      <c r="F655" s="4961">
        <f t="shared" si="31"/>
        <v>0</v>
      </c>
    </row>
    <row r="656" spans="1:6" s="4639" customFormat="1" ht="14.25" customHeight="1">
      <c r="A656" s="4795">
        <v>13.4</v>
      </c>
      <c r="B656" s="4788" t="s">
        <v>4024</v>
      </c>
      <c r="C656" s="4844">
        <v>1</v>
      </c>
      <c r="D656" s="4669" t="s">
        <v>2433</v>
      </c>
      <c r="E656" s="4961"/>
      <c r="F656" s="4961">
        <f t="shared" si="31"/>
        <v>0</v>
      </c>
    </row>
    <row r="657" spans="1:6" s="4639" customFormat="1" ht="14.25" customHeight="1">
      <c r="A657" s="4795">
        <v>13.4</v>
      </c>
      <c r="B657" s="4788" t="s">
        <v>4025</v>
      </c>
      <c r="C657" s="4844">
        <v>1</v>
      </c>
      <c r="D657" s="4669" t="s">
        <v>2433</v>
      </c>
      <c r="E657" s="4961"/>
      <c r="F657" s="4961">
        <f t="shared" si="31"/>
        <v>0</v>
      </c>
    </row>
    <row r="658" spans="1:6" s="4557" customFormat="1" ht="14.25" customHeight="1">
      <c r="A658" s="4735"/>
      <c r="B658" s="4734"/>
      <c r="C658" s="4727"/>
      <c r="D658" s="4600"/>
      <c r="E658" s="4318"/>
      <c r="F658" s="4318"/>
    </row>
    <row r="659" spans="1:6" ht="15" customHeight="1">
      <c r="A659" s="4789">
        <v>14</v>
      </c>
      <c r="B659" s="4787" t="s">
        <v>810</v>
      </c>
      <c r="C659" s="4367"/>
      <c r="D659" s="4669"/>
      <c r="E659" s="4961"/>
      <c r="F659" s="4961" t="str">
        <f t="shared" ref="F659:F707" si="32">IF(C659&gt;0,(ROUND((E659*C659),2))," ")</f>
        <v xml:space="preserve"> </v>
      </c>
    </row>
    <row r="660" spans="1:6" ht="14.25" customHeight="1">
      <c r="A660" s="4795">
        <v>14.1</v>
      </c>
      <c r="B660" s="4788" t="s">
        <v>2411</v>
      </c>
      <c r="C660" s="4367">
        <v>1</v>
      </c>
      <c r="D660" s="4669" t="s">
        <v>2433</v>
      </c>
      <c r="E660" s="4961"/>
      <c r="F660" s="4961">
        <f t="shared" si="32"/>
        <v>0</v>
      </c>
    </row>
    <row r="661" spans="1:6" ht="14.25" customHeight="1">
      <c r="A661" s="4795">
        <v>14.2</v>
      </c>
      <c r="B661" s="4788" t="s">
        <v>2410</v>
      </c>
      <c r="C661" s="4367">
        <v>1</v>
      </c>
      <c r="D661" s="4669" t="s">
        <v>2433</v>
      </c>
      <c r="E661" s="4961"/>
      <c r="F661" s="4961">
        <f t="shared" si="32"/>
        <v>0</v>
      </c>
    </row>
    <row r="662" spans="1:6" ht="14.25" customHeight="1">
      <c r="A662" s="4795">
        <v>14.3</v>
      </c>
      <c r="B662" s="4788" t="s">
        <v>2372</v>
      </c>
      <c r="C662" s="4367">
        <v>1</v>
      </c>
      <c r="D662" s="4669" t="s">
        <v>2433</v>
      </c>
      <c r="E662" s="4961"/>
      <c r="F662" s="4961">
        <f t="shared" si="32"/>
        <v>0</v>
      </c>
    </row>
    <row r="663" spans="1:6" ht="14.25" customHeight="1">
      <c r="A663" s="4795">
        <v>14.4</v>
      </c>
      <c r="B663" s="4788" t="s">
        <v>2373</v>
      </c>
      <c r="C663" s="4367">
        <v>1</v>
      </c>
      <c r="D663" s="4669" t="s">
        <v>2433</v>
      </c>
      <c r="E663" s="4961"/>
      <c r="F663" s="4961">
        <f t="shared" si="32"/>
        <v>0</v>
      </c>
    </row>
    <row r="664" spans="1:6" ht="14.25" customHeight="1">
      <c r="A664" s="4795">
        <v>14.5</v>
      </c>
      <c r="B664" s="4788" t="s">
        <v>2374</v>
      </c>
      <c r="C664" s="4367">
        <v>1</v>
      </c>
      <c r="D664" s="4669" t="s">
        <v>2433</v>
      </c>
      <c r="E664" s="4961"/>
      <c r="F664" s="4961">
        <f t="shared" si="32"/>
        <v>0</v>
      </c>
    </row>
    <row r="665" spans="1:6" ht="14.25" customHeight="1">
      <c r="A665" s="4795">
        <v>14.6</v>
      </c>
      <c r="B665" s="4788" t="s">
        <v>2375</v>
      </c>
      <c r="C665" s="4367">
        <v>1</v>
      </c>
      <c r="D665" s="4669" t="s">
        <v>2433</v>
      </c>
      <c r="E665" s="4961"/>
      <c r="F665" s="4961">
        <f t="shared" si="32"/>
        <v>0</v>
      </c>
    </row>
    <row r="666" spans="1:6" ht="14.25" customHeight="1">
      <c r="A666" s="4795">
        <v>14.7</v>
      </c>
      <c r="B666" s="4788" t="s">
        <v>2376</v>
      </c>
      <c r="C666" s="4367">
        <v>1</v>
      </c>
      <c r="D666" s="4669" t="s">
        <v>2433</v>
      </c>
      <c r="E666" s="4961"/>
      <c r="F666" s="4961">
        <f t="shared" si="32"/>
        <v>0</v>
      </c>
    </row>
    <row r="667" spans="1:6" ht="14.25" customHeight="1">
      <c r="A667" s="4795">
        <v>14.8</v>
      </c>
      <c r="B667" s="4788" t="s">
        <v>2940</v>
      </c>
      <c r="C667" s="4367">
        <v>1</v>
      </c>
      <c r="D667" s="4669" t="s">
        <v>2433</v>
      </c>
      <c r="E667" s="4961"/>
      <c r="F667" s="4961">
        <f t="shared" si="32"/>
        <v>0</v>
      </c>
    </row>
    <row r="668" spans="1:6" ht="14.25" customHeight="1">
      <c r="A668" s="4666"/>
      <c r="B668" s="4788"/>
      <c r="C668" s="4367"/>
      <c r="D668" s="4669"/>
      <c r="E668" s="4961"/>
      <c r="F668" s="4961" t="str">
        <f t="shared" si="32"/>
        <v xml:space="preserve"> </v>
      </c>
    </row>
    <row r="669" spans="1:6" ht="15" customHeight="1">
      <c r="A669" s="4789">
        <v>15</v>
      </c>
      <c r="B669" s="4787" t="s">
        <v>3848</v>
      </c>
      <c r="C669" s="4367"/>
      <c r="D669" s="4669"/>
      <c r="E669" s="4961"/>
      <c r="F669" s="4961" t="str">
        <f t="shared" si="32"/>
        <v xml:space="preserve"> </v>
      </c>
    </row>
    <row r="670" spans="1:6" ht="14.25" customHeight="1">
      <c r="A670" s="4795">
        <v>15.1</v>
      </c>
      <c r="B670" s="4788" t="s">
        <v>2394</v>
      </c>
      <c r="C670" s="4367">
        <v>1</v>
      </c>
      <c r="D670" s="4669" t="s">
        <v>42</v>
      </c>
      <c r="E670" s="4961"/>
      <c r="F670" s="4961">
        <f t="shared" si="32"/>
        <v>0</v>
      </c>
    </row>
    <row r="671" spans="1:6" ht="15" customHeight="1">
      <c r="A671" s="4797"/>
      <c r="B671" s="4788"/>
      <c r="C671" s="4367"/>
      <c r="D671" s="4669"/>
      <c r="E671" s="4961"/>
      <c r="F671" s="4961" t="str">
        <f t="shared" si="32"/>
        <v xml:space="preserve"> </v>
      </c>
    </row>
    <row r="672" spans="1:6" ht="27.75" customHeight="1">
      <c r="A672" s="4790">
        <v>15.2</v>
      </c>
      <c r="B672" s="4845" t="s">
        <v>4628</v>
      </c>
      <c r="C672" s="4367">
        <v>1</v>
      </c>
      <c r="D672" s="4669" t="s">
        <v>42</v>
      </c>
      <c r="E672" s="4961"/>
      <c r="F672" s="4961">
        <f t="shared" si="32"/>
        <v>0</v>
      </c>
    </row>
    <row r="673" spans="1:6" ht="15" customHeight="1">
      <c r="A673" s="4797"/>
      <c r="B673" s="4837"/>
      <c r="C673" s="4367"/>
      <c r="D673" s="4669"/>
      <c r="E673" s="4961"/>
      <c r="F673" s="4961" t="str">
        <f t="shared" si="32"/>
        <v xml:space="preserve"> </v>
      </c>
    </row>
    <row r="674" spans="1:6" ht="15" customHeight="1">
      <c r="A674" s="4790">
        <v>15.3</v>
      </c>
      <c r="B674" s="4787" t="s">
        <v>4584</v>
      </c>
      <c r="C674" s="4367"/>
      <c r="D674" s="4669"/>
      <c r="E674" s="4961"/>
      <c r="F674" s="4961" t="str">
        <f t="shared" si="32"/>
        <v xml:space="preserve"> </v>
      </c>
    </row>
    <row r="675" spans="1:6" ht="14.25" customHeight="1">
      <c r="A675" s="4666" t="s">
        <v>3855</v>
      </c>
      <c r="B675" s="4788" t="s">
        <v>4585</v>
      </c>
      <c r="C675" s="4367">
        <v>13.82</v>
      </c>
      <c r="D675" s="4669" t="s">
        <v>1</v>
      </c>
      <c r="E675" s="4961"/>
      <c r="F675" s="4961">
        <f t="shared" si="32"/>
        <v>0</v>
      </c>
    </row>
    <row r="676" spans="1:6" ht="15" customHeight="1">
      <c r="A676" s="4797"/>
      <c r="B676" s="4788"/>
      <c r="C676" s="4367"/>
      <c r="D676" s="4669"/>
      <c r="E676" s="4961"/>
      <c r="F676" s="4961" t="str">
        <f t="shared" si="32"/>
        <v xml:space="preserve"> </v>
      </c>
    </row>
    <row r="677" spans="1:6" ht="15" customHeight="1">
      <c r="A677" s="4790">
        <v>15.4</v>
      </c>
      <c r="B677" s="4787" t="s">
        <v>4586</v>
      </c>
      <c r="C677" s="4367"/>
      <c r="D677" s="4669"/>
      <c r="E677" s="4961"/>
      <c r="F677" s="4961" t="str">
        <f t="shared" si="32"/>
        <v xml:space="preserve"> </v>
      </c>
    </row>
    <row r="678" spans="1:6" ht="14.25" customHeight="1">
      <c r="A678" s="4875" t="s">
        <v>3850</v>
      </c>
      <c r="B678" s="4806" t="s">
        <v>4587</v>
      </c>
      <c r="C678" s="4807">
        <v>13.42</v>
      </c>
      <c r="D678" s="4808" t="s">
        <v>1</v>
      </c>
      <c r="E678" s="5014"/>
      <c r="F678" s="5014">
        <f t="shared" si="32"/>
        <v>0</v>
      </c>
    </row>
    <row r="679" spans="1:6" ht="15" customHeight="1">
      <c r="A679" s="4797"/>
      <c r="B679" s="4788"/>
      <c r="C679" s="4367"/>
      <c r="D679" s="4669"/>
      <c r="E679" s="4961"/>
      <c r="F679" s="4961" t="str">
        <f t="shared" si="32"/>
        <v xml:space="preserve"> </v>
      </c>
    </row>
    <row r="680" spans="1:6" ht="15" customHeight="1">
      <c r="A680" s="4790">
        <v>15.5</v>
      </c>
      <c r="B680" s="4787" t="s">
        <v>3527</v>
      </c>
      <c r="C680" s="4367"/>
      <c r="D680" s="4669"/>
      <c r="E680" s="4961"/>
      <c r="F680" s="4961" t="str">
        <f t="shared" si="32"/>
        <v xml:space="preserve"> </v>
      </c>
    </row>
    <row r="681" spans="1:6" ht="14.25" customHeight="1">
      <c r="A681" s="4666" t="s">
        <v>3856</v>
      </c>
      <c r="B681" s="4788" t="s">
        <v>3653</v>
      </c>
      <c r="C681" s="4367">
        <v>5</v>
      </c>
      <c r="D681" s="4669" t="s">
        <v>2433</v>
      </c>
      <c r="E681" s="4983"/>
      <c r="F681" s="4961">
        <f t="shared" si="32"/>
        <v>0</v>
      </c>
    </row>
    <row r="682" spans="1:6" ht="14.25" customHeight="1">
      <c r="A682" s="4666" t="s">
        <v>3857</v>
      </c>
      <c r="B682" s="4788" t="s">
        <v>3851</v>
      </c>
      <c r="C682" s="4367">
        <v>3</v>
      </c>
      <c r="D682" s="4669" t="s">
        <v>2433</v>
      </c>
      <c r="E682" s="4983"/>
      <c r="F682" s="4961">
        <f t="shared" si="32"/>
        <v>0</v>
      </c>
    </row>
    <row r="683" spans="1:6" ht="14.25" customHeight="1">
      <c r="A683" s="4666" t="s">
        <v>3858</v>
      </c>
      <c r="B683" s="4788" t="s">
        <v>3852</v>
      </c>
      <c r="C683" s="4367">
        <v>1</v>
      </c>
      <c r="D683" s="4669" t="s">
        <v>2433</v>
      </c>
      <c r="E683" s="4983"/>
      <c r="F683" s="4961">
        <f t="shared" si="32"/>
        <v>0</v>
      </c>
    </row>
    <row r="684" spans="1:6" ht="14.25" customHeight="1">
      <c r="A684" s="4666" t="s">
        <v>3859</v>
      </c>
      <c r="B684" s="4788" t="s">
        <v>3565</v>
      </c>
      <c r="C684" s="4367">
        <v>2</v>
      </c>
      <c r="D684" s="4669" t="s">
        <v>2433</v>
      </c>
      <c r="E684" s="4983"/>
      <c r="F684" s="4961">
        <f t="shared" si="32"/>
        <v>0</v>
      </c>
    </row>
    <row r="685" spans="1:6" ht="14.25" customHeight="1">
      <c r="A685" s="4666" t="s">
        <v>3860</v>
      </c>
      <c r="B685" s="4788" t="s">
        <v>3528</v>
      </c>
      <c r="C685" s="4367">
        <v>1</v>
      </c>
      <c r="D685" s="4669" t="s">
        <v>42</v>
      </c>
      <c r="E685" s="4961"/>
      <c r="F685" s="4961">
        <f t="shared" si="32"/>
        <v>0</v>
      </c>
    </row>
    <row r="686" spans="1:6" ht="14.25" customHeight="1">
      <c r="A686" s="4666"/>
      <c r="B686" s="4788"/>
      <c r="C686" s="4367"/>
      <c r="D686" s="4669"/>
      <c r="E686" s="4961"/>
      <c r="F686" s="4961" t="str">
        <f t="shared" si="32"/>
        <v xml:space="preserve"> </v>
      </c>
    </row>
    <row r="687" spans="1:6" s="4639" customFormat="1" ht="15" customHeight="1">
      <c r="A687" s="4790">
        <v>15.6</v>
      </c>
      <c r="B687" s="4787" t="s">
        <v>3551</v>
      </c>
      <c r="C687" s="4367"/>
      <c r="D687" s="4669"/>
      <c r="E687" s="4961"/>
      <c r="F687" s="4961" t="str">
        <f t="shared" si="32"/>
        <v xml:space="preserve"> </v>
      </c>
    </row>
    <row r="688" spans="1:6" s="4639" customFormat="1" ht="14.25" customHeight="1">
      <c r="A688" s="4666" t="s">
        <v>3861</v>
      </c>
      <c r="B688" s="4788" t="s">
        <v>2394</v>
      </c>
      <c r="C688" s="4367">
        <v>1</v>
      </c>
      <c r="D688" s="4669" t="s">
        <v>42</v>
      </c>
      <c r="E688" s="4961"/>
      <c r="F688" s="4961">
        <f>IF(C688&gt;0,(ROUND((E688*C688),2))," ")</f>
        <v>0</v>
      </c>
    </row>
    <row r="689" spans="1:6" s="4639" customFormat="1" ht="15" customHeight="1">
      <c r="A689" s="4797"/>
      <c r="B689" s="4846"/>
      <c r="C689" s="4367"/>
      <c r="D689" s="4669"/>
      <c r="E689" s="4961"/>
      <c r="F689" s="4961" t="str">
        <f t="shared" si="32"/>
        <v xml:space="preserve"> </v>
      </c>
    </row>
    <row r="690" spans="1:6" s="4639" customFormat="1" ht="15" customHeight="1">
      <c r="A690" s="4797" t="s">
        <v>3862</v>
      </c>
      <c r="B690" s="4845" t="s">
        <v>4629</v>
      </c>
      <c r="C690" s="4367">
        <v>1</v>
      </c>
      <c r="D690" s="4669" t="s">
        <v>42</v>
      </c>
      <c r="E690" s="4961"/>
      <c r="F690" s="4961">
        <f t="shared" si="32"/>
        <v>0</v>
      </c>
    </row>
    <row r="691" spans="1:6" s="4639" customFormat="1" ht="15" customHeight="1">
      <c r="A691" s="4797"/>
      <c r="B691" s="4846"/>
      <c r="C691" s="4367"/>
      <c r="D691" s="4669"/>
      <c r="E691" s="4961"/>
      <c r="F691" s="4961" t="str">
        <f t="shared" si="32"/>
        <v xml:space="preserve"> </v>
      </c>
    </row>
    <row r="692" spans="1:6" s="4639" customFormat="1" ht="15" customHeight="1">
      <c r="A692" s="4797" t="s">
        <v>3863</v>
      </c>
      <c r="B692" s="4787" t="s">
        <v>4584</v>
      </c>
      <c r="C692" s="4367"/>
      <c r="D692" s="4669"/>
      <c r="E692" s="4961"/>
      <c r="F692" s="4961" t="str">
        <f t="shared" si="32"/>
        <v xml:space="preserve"> </v>
      </c>
    </row>
    <row r="693" spans="1:6" s="4639" customFormat="1" ht="14.25" customHeight="1">
      <c r="A693" s="4666" t="s">
        <v>3864</v>
      </c>
      <c r="B693" s="4788" t="s">
        <v>4588</v>
      </c>
      <c r="C693" s="4367">
        <v>3.09</v>
      </c>
      <c r="D693" s="4669" t="s">
        <v>1</v>
      </c>
      <c r="E693" s="4961"/>
      <c r="F693" s="4961">
        <f t="shared" si="32"/>
        <v>0</v>
      </c>
    </row>
    <row r="694" spans="1:6" s="4639" customFormat="1" ht="14.25" customHeight="1">
      <c r="A694" s="4666" t="s">
        <v>3865</v>
      </c>
      <c r="B694" s="4788" t="s">
        <v>4589</v>
      </c>
      <c r="C694" s="4367">
        <v>7.28</v>
      </c>
      <c r="D694" s="4669" t="s">
        <v>1</v>
      </c>
      <c r="E694" s="4961"/>
      <c r="F694" s="4961">
        <f t="shared" si="32"/>
        <v>0</v>
      </c>
    </row>
    <row r="695" spans="1:6" s="4639" customFormat="1" ht="15" customHeight="1">
      <c r="A695" s="4797"/>
      <c r="B695" s="4846"/>
      <c r="C695" s="4367"/>
      <c r="D695" s="4669"/>
      <c r="E695" s="4961"/>
      <c r="F695" s="4961" t="str">
        <f t="shared" si="32"/>
        <v xml:space="preserve"> </v>
      </c>
    </row>
    <row r="696" spans="1:6" s="4639" customFormat="1" ht="15" customHeight="1">
      <c r="A696" s="4797" t="s">
        <v>3866</v>
      </c>
      <c r="B696" s="4787" t="s">
        <v>4586</v>
      </c>
      <c r="C696" s="4367"/>
      <c r="D696" s="4669"/>
      <c r="E696" s="4961"/>
      <c r="F696" s="4961" t="str">
        <f t="shared" si="32"/>
        <v xml:space="preserve"> </v>
      </c>
    </row>
    <row r="697" spans="1:6" s="4639" customFormat="1" ht="14.25" customHeight="1">
      <c r="A697" s="4666" t="s">
        <v>3867</v>
      </c>
      <c r="B697" s="4788">
        <v>0</v>
      </c>
      <c r="C697" s="4367">
        <v>3</v>
      </c>
      <c r="D697" s="4669" t="s">
        <v>1</v>
      </c>
      <c r="E697" s="4961"/>
      <c r="F697" s="4961">
        <f t="shared" si="32"/>
        <v>0</v>
      </c>
    </row>
    <row r="698" spans="1:6" s="4639" customFormat="1" ht="14.25" customHeight="1">
      <c r="A698" s="4666" t="s">
        <v>3868</v>
      </c>
      <c r="B698" s="4788" t="s">
        <v>4589</v>
      </c>
      <c r="C698" s="4367">
        <v>7</v>
      </c>
      <c r="D698" s="4669" t="s">
        <v>1</v>
      </c>
      <c r="E698" s="4961"/>
      <c r="F698" s="4961">
        <f t="shared" si="32"/>
        <v>0</v>
      </c>
    </row>
    <row r="699" spans="1:6" s="4639" customFormat="1" ht="15" customHeight="1">
      <c r="A699" s="4797"/>
      <c r="B699" s="4846"/>
      <c r="C699" s="4367"/>
      <c r="D699" s="4669"/>
      <c r="E699" s="4961"/>
      <c r="F699" s="4961" t="str">
        <f t="shared" si="32"/>
        <v xml:space="preserve"> </v>
      </c>
    </row>
    <row r="700" spans="1:6" s="4639" customFormat="1" ht="15" customHeight="1">
      <c r="A700" s="4797" t="s">
        <v>3869</v>
      </c>
      <c r="B700" s="4787" t="s">
        <v>3548</v>
      </c>
      <c r="C700" s="4367"/>
      <c r="D700" s="4669"/>
      <c r="E700" s="4961"/>
      <c r="F700" s="4961" t="str">
        <f t="shared" si="32"/>
        <v xml:space="preserve"> </v>
      </c>
    </row>
    <row r="701" spans="1:6" s="4639" customFormat="1" ht="14.25" customHeight="1">
      <c r="A701" s="4666" t="s">
        <v>3870</v>
      </c>
      <c r="B701" s="4788" t="s">
        <v>3566</v>
      </c>
      <c r="C701" s="4367">
        <v>1</v>
      </c>
      <c r="D701" s="4669" t="s">
        <v>2433</v>
      </c>
      <c r="E701" s="4961"/>
      <c r="F701" s="4961">
        <f t="shared" si="32"/>
        <v>0</v>
      </c>
    </row>
    <row r="702" spans="1:6" s="4639" customFormat="1" ht="14.25" customHeight="1">
      <c r="A702" s="4666" t="s">
        <v>3871</v>
      </c>
      <c r="B702" s="4788" t="s">
        <v>4590</v>
      </c>
      <c r="C702" s="4367">
        <v>1</v>
      </c>
      <c r="D702" s="4669" t="s">
        <v>2433</v>
      </c>
      <c r="E702" s="4961"/>
      <c r="F702" s="4961">
        <f t="shared" si="32"/>
        <v>0</v>
      </c>
    </row>
    <row r="703" spans="1:6" s="4639" customFormat="1" ht="14.25" customHeight="1">
      <c r="A703" s="4666" t="s">
        <v>3872</v>
      </c>
      <c r="B703" s="4788" t="s">
        <v>4591</v>
      </c>
      <c r="C703" s="4367">
        <v>1</v>
      </c>
      <c r="D703" s="4669" t="s">
        <v>2433</v>
      </c>
      <c r="E703" s="4961"/>
      <c r="F703" s="4961">
        <f t="shared" si="32"/>
        <v>0</v>
      </c>
    </row>
    <row r="704" spans="1:6" s="4639" customFormat="1" ht="14.25" customHeight="1">
      <c r="A704" s="4666" t="s">
        <v>3873</v>
      </c>
      <c r="B704" s="4788" t="s">
        <v>3567</v>
      </c>
      <c r="C704" s="4367">
        <v>1</v>
      </c>
      <c r="D704" s="4669" t="s">
        <v>2433</v>
      </c>
      <c r="E704" s="4961"/>
      <c r="F704" s="4961">
        <f t="shared" si="32"/>
        <v>0</v>
      </c>
    </row>
    <row r="705" spans="1:6" s="4639" customFormat="1" ht="14.25" customHeight="1">
      <c r="A705" s="4666" t="s">
        <v>3874</v>
      </c>
      <c r="B705" s="4788" t="s">
        <v>4592</v>
      </c>
      <c r="C705" s="4367">
        <v>1</v>
      </c>
      <c r="D705" s="4669" t="s">
        <v>2433</v>
      </c>
      <c r="E705" s="4961"/>
      <c r="F705" s="4961">
        <f t="shared" si="32"/>
        <v>0</v>
      </c>
    </row>
    <row r="706" spans="1:6" s="4639" customFormat="1" ht="14.25" customHeight="1">
      <c r="A706" s="4666" t="s">
        <v>3875</v>
      </c>
      <c r="B706" s="4788" t="s">
        <v>3853</v>
      </c>
      <c r="C706" s="4367">
        <v>1</v>
      </c>
      <c r="D706" s="4669" t="s">
        <v>42</v>
      </c>
      <c r="E706" s="4961"/>
      <c r="F706" s="4961">
        <f t="shared" si="32"/>
        <v>0</v>
      </c>
    </row>
    <row r="707" spans="1:6" s="4639" customFormat="1" ht="14.25" customHeight="1">
      <c r="A707" s="4666" t="s">
        <v>3876</v>
      </c>
      <c r="B707" s="4788" t="s">
        <v>3854</v>
      </c>
      <c r="C707" s="4367">
        <v>2</v>
      </c>
      <c r="D707" s="4669" t="s">
        <v>2433</v>
      </c>
      <c r="E707" s="4961"/>
      <c r="F707" s="4961">
        <f t="shared" si="32"/>
        <v>0</v>
      </c>
    </row>
    <row r="708" spans="1:6" s="4639" customFormat="1" ht="14.25" customHeight="1">
      <c r="A708" s="4666"/>
      <c r="B708" s="4788"/>
      <c r="C708" s="4367"/>
      <c r="D708" s="4669"/>
      <c r="E708" s="4961"/>
      <c r="F708" s="4961"/>
    </row>
    <row r="709" spans="1:6" ht="14.25" customHeight="1">
      <c r="A709" s="4789">
        <v>16</v>
      </c>
      <c r="B709" s="4788" t="s">
        <v>2596</v>
      </c>
      <c r="C709" s="4367">
        <v>1</v>
      </c>
      <c r="D709" s="4669" t="s">
        <v>2433</v>
      </c>
      <c r="E709" s="4961"/>
      <c r="F709" s="4961">
        <f t="shared" ref="F709" si="33">IF(C709&gt;0,(ROUND((E709*C709),2))," ")</f>
        <v>0</v>
      </c>
    </row>
    <row r="710" spans="1:6" s="4268" customFormat="1" ht="12.75" customHeight="1">
      <c r="A710" s="4847"/>
      <c r="B710" s="4847" t="s">
        <v>4384</v>
      </c>
      <c r="C710" s="4848"/>
      <c r="D710" s="4848"/>
      <c r="E710" s="5018"/>
      <c r="F710" s="5019">
        <f>SUM(F541:F709)</f>
        <v>0</v>
      </c>
    </row>
    <row r="711" spans="1:6" s="4535" customFormat="1" ht="15" customHeight="1">
      <c r="A711" s="4797"/>
      <c r="B711" s="4792"/>
      <c r="C711" s="4821"/>
      <c r="D711" s="4820"/>
      <c r="E711" s="5017"/>
      <c r="F711" s="5017"/>
    </row>
    <row r="712" spans="1:6" s="4268" customFormat="1" ht="12.75">
      <c r="A712" s="4836" t="s">
        <v>4385</v>
      </c>
      <c r="B712" s="4787" t="s">
        <v>4508</v>
      </c>
      <c r="C712" s="4822"/>
      <c r="D712" s="4600"/>
      <c r="E712" s="4318"/>
      <c r="F712" s="4318" t="str">
        <f t="shared" ref="F712:F775" si="34">IF(C712&gt;0,(ROUND((E712*C712),2))," ")</f>
        <v xml:space="preserve"> </v>
      </c>
    </row>
    <row r="713" spans="1:6" ht="15" customHeight="1">
      <c r="A713" s="4666"/>
      <c r="B713" s="4792"/>
      <c r="C713" s="4367"/>
      <c r="D713" s="4669"/>
      <c r="E713" s="4961"/>
      <c r="F713" s="4961" t="str">
        <f t="shared" si="34"/>
        <v xml:space="preserve"> </v>
      </c>
    </row>
    <row r="714" spans="1:6" ht="15" customHeight="1">
      <c r="A714" s="4789">
        <v>1</v>
      </c>
      <c r="B714" s="4787" t="s">
        <v>2165</v>
      </c>
      <c r="C714" s="4367"/>
      <c r="D714" s="4669"/>
      <c r="E714" s="4961"/>
      <c r="F714" s="4961" t="str">
        <f t="shared" si="34"/>
        <v xml:space="preserve"> </v>
      </c>
    </row>
    <row r="715" spans="1:6" ht="14.25" customHeight="1">
      <c r="A715" s="4795">
        <v>1.1000000000000001</v>
      </c>
      <c r="B715" s="4788" t="s">
        <v>4593</v>
      </c>
      <c r="C715" s="4367">
        <v>25.88</v>
      </c>
      <c r="D715" s="4669" t="s">
        <v>2432</v>
      </c>
      <c r="E715" s="4961"/>
      <c r="F715" s="4961">
        <f t="shared" si="34"/>
        <v>0</v>
      </c>
    </row>
    <row r="716" spans="1:6" ht="14.25" customHeight="1">
      <c r="A716" s="4666"/>
      <c r="B716" s="4788"/>
      <c r="C716" s="4367"/>
      <c r="D716" s="4669"/>
      <c r="E716" s="4961"/>
      <c r="F716" s="4961"/>
    </row>
    <row r="717" spans="1:6" s="4557" customFormat="1" ht="12.75" customHeight="1">
      <c r="A717" s="4849">
        <v>2</v>
      </c>
      <c r="B717" s="4787" t="s">
        <v>3766</v>
      </c>
      <c r="C717" s="4850"/>
      <c r="D717" s="4851"/>
      <c r="E717" s="5020"/>
      <c r="F717" s="5021"/>
    </row>
    <row r="718" spans="1:6" s="4639" customFormat="1" ht="14.25" customHeight="1">
      <c r="A718" s="4795">
        <v>2.1</v>
      </c>
      <c r="B718" s="4788" t="s">
        <v>2398</v>
      </c>
      <c r="C718" s="4367">
        <v>14.21</v>
      </c>
      <c r="D718" s="4669" t="s">
        <v>2430</v>
      </c>
      <c r="E718" s="4961"/>
      <c r="F718" s="4961">
        <f t="shared" si="34"/>
        <v>0</v>
      </c>
    </row>
    <row r="719" spans="1:6" s="4639" customFormat="1" ht="14.25" customHeight="1">
      <c r="A719" s="4795">
        <v>2.2000000000000002</v>
      </c>
      <c r="B719" s="4837" t="s">
        <v>3877</v>
      </c>
      <c r="C719" s="4668">
        <v>7.49</v>
      </c>
      <c r="D719" s="4669" t="s">
        <v>2431</v>
      </c>
      <c r="E719" s="4961"/>
      <c r="F719" s="4961">
        <f>IF(C719&gt;0,(ROUND((E719*C719),2))," ")</f>
        <v>0</v>
      </c>
    </row>
    <row r="720" spans="1:6" s="4639" customFormat="1" ht="14.25" customHeight="1">
      <c r="A720" s="4795">
        <v>2.2999999999999998</v>
      </c>
      <c r="B720" s="4788" t="s">
        <v>4035</v>
      </c>
      <c r="C720" s="4367">
        <v>7.49</v>
      </c>
      <c r="D720" s="4669" t="s">
        <v>2430</v>
      </c>
      <c r="E720" s="4961"/>
      <c r="F720" s="4961">
        <f t="shared" si="34"/>
        <v>0</v>
      </c>
    </row>
    <row r="721" spans="1:6" s="4639" customFormat="1" ht="29.25" customHeight="1">
      <c r="A721" s="4795">
        <v>2.4</v>
      </c>
      <c r="B721" s="4837" t="s">
        <v>3847</v>
      </c>
      <c r="C721" s="4367">
        <v>8.73</v>
      </c>
      <c r="D721" s="4669" t="s">
        <v>2525</v>
      </c>
      <c r="E721" s="4961"/>
      <c r="F721" s="4961">
        <f>IF(C721&gt;0,(ROUND((E721*C721),2))," ")</f>
        <v>0</v>
      </c>
    </row>
    <row r="722" spans="1:6" ht="14.25" customHeight="1">
      <c r="A722" s="4666"/>
      <c r="B722" s="4788"/>
      <c r="C722" s="4367"/>
      <c r="D722" s="4669"/>
      <c r="E722" s="4961"/>
      <c r="F722" s="4961" t="str">
        <f t="shared" si="34"/>
        <v xml:space="preserve"> </v>
      </c>
    </row>
    <row r="723" spans="1:6" ht="15" customHeight="1">
      <c r="A723" s="4789">
        <v>3</v>
      </c>
      <c r="B723" s="4853" t="s">
        <v>4594</v>
      </c>
      <c r="C723" s="4367"/>
      <c r="D723" s="4669"/>
      <c r="E723" s="4961"/>
      <c r="F723" s="4961" t="str">
        <f t="shared" si="34"/>
        <v xml:space="preserve"> </v>
      </c>
    </row>
    <row r="724" spans="1:6" ht="14.25" customHeight="1">
      <c r="A724" s="4795">
        <v>3.1</v>
      </c>
      <c r="B724" s="4692" t="s">
        <v>4595</v>
      </c>
      <c r="C724" s="4850">
        <v>1.28</v>
      </c>
      <c r="D724" s="4854" t="s">
        <v>3761</v>
      </c>
      <c r="E724" s="4961"/>
      <c r="F724" s="4961">
        <f t="shared" si="34"/>
        <v>0</v>
      </c>
    </row>
    <row r="725" spans="1:6" ht="14.25" customHeight="1">
      <c r="A725" s="4795">
        <v>3.2</v>
      </c>
      <c r="B725" s="4692" t="s">
        <v>4596</v>
      </c>
      <c r="C725" s="4852">
        <v>2.59</v>
      </c>
      <c r="D725" s="4854" t="s">
        <v>3761</v>
      </c>
      <c r="E725" s="4961"/>
      <c r="F725" s="4961">
        <f t="shared" si="34"/>
        <v>0</v>
      </c>
    </row>
    <row r="726" spans="1:6" ht="14.25" customHeight="1">
      <c r="A726" s="4795">
        <v>3.3</v>
      </c>
      <c r="B726" s="4812" t="s">
        <v>4036</v>
      </c>
      <c r="C726" s="4852">
        <v>2.11</v>
      </c>
      <c r="D726" s="4854" t="s">
        <v>3761</v>
      </c>
      <c r="E726" s="4961"/>
      <c r="F726" s="4961">
        <f t="shared" si="34"/>
        <v>0</v>
      </c>
    </row>
    <row r="727" spans="1:6" ht="14.25" customHeight="1">
      <c r="A727" s="4795">
        <v>3.4</v>
      </c>
      <c r="B727" s="4734" t="s">
        <v>3757</v>
      </c>
      <c r="C727" s="4852">
        <v>0.5</v>
      </c>
      <c r="D727" s="4854" t="s">
        <v>3761</v>
      </c>
      <c r="E727" s="4961"/>
      <c r="F727" s="4961">
        <f t="shared" si="34"/>
        <v>0</v>
      </c>
    </row>
    <row r="728" spans="1:6" ht="14.25" customHeight="1">
      <c r="A728" s="4795">
        <v>3.5</v>
      </c>
      <c r="B728" s="4734" t="s">
        <v>3758</v>
      </c>
      <c r="C728" s="4852">
        <v>0.78</v>
      </c>
      <c r="D728" s="4854" t="s">
        <v>3761</v>
      </c>
      <c r="E728" s="4961"/>
      <c r="F728" s="4961">
        <f t="shared" si="34"/>
        <v>0</v>
      </c>
    </row>
    <row r="729" spans="1:6" ht="14.25" customHeight="1">
      <c r="A729" s="4795">
        <v>3.6</v>
      </c>
      <c r="B729" s="4734" t="s">
        <v>3759</v>
      </c>
      <c r="C729" s="4852">
        <v>0.84</v>
      </c>
      <c r="D729" s="4854" t="s">
        <v>3761</v>
      </c>
      <c r="E729" s="4961"/>
      <c r="F729" s="4961">
        <f t="shared" si="34"/>
        <v>0</v>
      </c>
    </row>
    <row r="730" spans="1:6" ht="14.25" customHeight="1">
      <c r="A730" s="4795">
        <v>3.7</v>
      </c>
      <c r="B730" s="4734" t="s">
        <v>3760</v>
      </c>
      <c r="C730" s="4850">
        <v>2.17</v>
      </c>
      <c r="D730" s="4854" t="s">
        <v>3761</v>
      </c>
      <c r="E730" s="4961"/>
      <c r="F730" s="4961">
        <f t="shared" si="34"/>
        <v>0</v>
      </c>
    </row>
    <row r="731" spans="1:6" ht="14.25" customHeight="1">
      <c r="A731" s="4795">
        <v>3.8</v>
      </c>
      <c r="B731" s="4734" t="s">
        <v>4037</v>
      </c>
      <c r="C731" s="4850">
        <v>3.5</v>
      </c>
      <c r="D731" s="4854" t="s">
        <v>3761</v>
      </c>
      <c r="E731" s="4961"/>
      <c r="F731" s="4961">
        <f t="shared" si="34"/>
        <v>0</v>
      </c>
    </row>
    <row r="732" spans="1:6" ht="14.25" customHeight="1">
      <c r="A732" s="4666"/>
      <c r="B732" s="4788"/>
      <c r="C732" s="4367"/>
      <c r="D732" s="4669"/>
      <c r="E732" s="4961"/>
      <c r="F732" s="4961"/>
    </row>
    <row r="733" spans="1:6" s="4557" customFormat="1" ht="15" customHeight="1">
      <c r="A733" s="4824">
        <v>4</v>
      </c>
      <c r="B733" s="4787" t="s">
        <v>1784</v>
      </c>
      <c r="C733" s="4822"/>
      <c r="D733" s="4600"/>
      <c r="E733" s="4318"/>
      <c r="F733" s="4318" t="str">
        <f t="shared" si="34"/>
        <v xml:space="preserve"> </v>
      </c>
    </row>
    <row r="734" spans="1:6" s="4557" customFormat="1" ht="14.25" customHeight="1">
      <c r="A734" s="4840">
        <v>4.0999999999999996</v>
      </c>
      <c r="B734" s="4692" t="s">
        <v>3753</v>
      </c>
      <c r="C734" s="4659">
        <v>6.97</v>
      </c>
      <c r="D734" s="4600" t="s">
        <v>2432</v>
      </c>
      <c r="E734" s="4318"/>
      <c r="F734" s="4318">
        <f t="shared" si="34"/>
        <v>0</v>
      </c>
    </row>
    <row r="735" spans="1:6" s="4557" customFormat="1" ht="14.25" customHeight="1">
      <c r="A735" s="4840">
        <v>4.2</v>
      </c>
      <c r="B735" s="4692" t="s">
        <v>3754</v>
      </c>
      <c r="C735" s="4822">
        <v>40.700000000000003</v>
      </c>
      <c r="D735" s="4600" t="s">
        <v>2432</v>
      </c>
      <c r="E735" s="4318"/>
      <c r="F735" s="4318">
        <f t="shared" si="34"/>
        <v>0</v>
      </c>
    </row>
    <row r="736" spans="1:6" s="4557" customFormat="1" ht="14.25" customHeight="1">
      <c r="A736" s="5055">
        <v>4.3</v>
      </c>
      <c r="B736" s="4867" t="s">
        <v>2362</v>
      </c>
      <c r="C736" s="5056">
        <v>17.8</v>
      </c>
      <c r="D736" s="4777" t="s">
        <v>1</v>
      </c>
      <c r="E736" s="4980"/>
      <c r="F736" s="4980">
        <f t="shared" si="34"/>
        <v>0</v>
      </c>
    </row>
    <row r="737" spans="1:6" s="4557" customFormat="1" ht="15" customHeight="1">
      <c r="A737" s="4855"/>
      <c r="B737" s="4763"/>
      <c r="C737" s="4822"/>
      <c r="D737" s="4600"/>
      <c r="E737" s="4318"/>
      <c r="F737" s="4318" t="str">
        <f>IF(C737&gt;0,(ROUND((E737*C737),2))," ")</f>
        <v xml:space="preserve"> </v>
      </c>
    </row>
    <row r="738" spans="1:6" s="4557" customFormat="1" ht="15" customHeight="1">
      <c r="A738" s="4824">
        <v>5</v>
      </c>
      <c r="B738" s="4787" t="s">
        <v>859</v>
      </c>
      <c r="C738" s="4822"/>
      <c r="D738" s="4600"/>
      <c r="E738" s="4318"/>
      <c r="F738" s="4318" t="str">
        <f t="shared" si="34"/>
        <v xml:space="preserve"> </v>
      </c>
    </row>
    <row r="739" spans="1:6" s="4557" customFormat="1" ht="14.25" customHeight="1">
      <c r="A739" s="4840">
        <v>5.0999999999999996</v>
      </c>
      <c r="B739" s="4734" t="s">
        <v>2568</v>
      </c>
      <c r="C739" s="4822">
        <v>66.63</v>
      </c>
      <c r="D739" s="4600" t="s">
        <v>2432</v>
      </c>
      <c r="E739" s="4318"/>
      <c r="F739" s="4318">
        <f t="shared" si="34"/>
        <v>0</v>
      </c>
    </row>
    <row r="740" spans="1:6" s="4557" customFormat="1" ht="14.25" customHeight="1">
      <c r="A740" s="4840">
        <v>5.2</v>
      </c>
      <c r="B740" s="4734" t="s">
        <v>2396</v>
      </c>
      <c r="C740" s="4822">
        <v>47.93</v>
      </c>
      <c r="D740" s="4600" t="s">
        <v>2432</v>
      </c>
      <c r="E740" s="4318"/>
      <c r="F740" s="4318">
        <f t="shared" si="34"/>
        <v>0</v>
      </c>
    </row>
    <row r="741" spans="1:6" s="4557" customFormat="1" ht="14.25" customHeight="1">
      <c r="A741" s="4840">
        <v>5.3</v>
      </c>
      <c r="B741" s="4734" t="s">
        <v>2395</v>
      </c>
      <c r="C741" s="4822">
        <v>51.06</v>
      </c>
      <c r="D741" s="4600" t="s">
        <v>2432</v>
      </c>
      <c r="E741" s="4318"/>
      <c r="F741" s="4318">
        <f t="shared" si="34"/>
        <v>0</v>
      </c>
    </row>
    <row r="742" spans="1:6" s="4557" customFormat="1">
      <c r="A742" s="4840">
        <v>5.4</v>
      </c>
      <c r="B742" s="4692" t="s">
        <v>3468</v>
      </c>
      <c r="C742" s="4850">
        <v>26.94</v>
      </c>
      <c r="D742" s="4851" t="s">
        <v>3755</v>
      </c>
      <c r="E742" s="5020"/>
      <c r="F742" s="5022">
        <f t="shared" ref="F742" si="35">ROUND(C742*E742,2)</f>
        <v>0</v>
      </c>
    </row>
    <row r="743" spans="1:6" s="4557" customFormat="1" ht="14.25" customHeight="1">
      <c r="A743" s="4840">
        <v>5.5</v>
      </c>
      <c r="B743" s="4734" t="s">
        <v>2397</v>
      </c>
      <c r="C743" s="4822">
        <v>29.81</v>
      </c>
      <c r="D743" s="4600" t="s">
        <v>2432</v>
      </c>
      <c r="E743" s="4318"/>
      <c r="F743" s="4318">
        <f t="shared" si="34"/>
        <v>0</v>
      </c>
    </row>
    <row r="744" spans="1:6" s="4557" customFormat="1" ht="14.25" customHeight="1">
      <c r="A744" s="4840">
        <v>5.6</v>
      </c>
      <c r="B744" s="4734" t="s">
        <v>1548</v>
      </c>
      <c r="C744" s="4822">
        <v>104</v>
      </c>
      <c r="D744" s="4600" t="s">
        <v>1</v>
      </c>
      <c r="E744" s="4318"/>
      <c r="F744" s="4318">
        <f t="shared" si="34"/>
        <v>0</v>
      </c>
    </row>
    <row r="745" spans="1:6" s="4557" customFormat="1" ht="14.25" customHeight="1">
      <c r="A745" s="4840">
        <v>5.7</v>
      </c>
      <c r="B745" s="4734" t="s">
        <v>3541</v>
      </c>
      <c r="C745" s="4822">
        <v>18.8</v>
      </c>
      <c r="D745" s="4600" t="s">
        <v>1</v>
      </c>
      <c r="E745" s="4318"/>
      <c r="F745" s="4318">
        <f t="shared" si="34"/>
        <v>0</v>
      </c>
    </row>
    <row r="746" spans="1:6" s="4557" customFormat="1" ht="14.25" customHeight="1">
      <c r="A746" s="4840">
        <v>5.8</v>
      </c>
      <c r="B746" s="4734" t="s">
        <v>2352</v>
      </c>
      <c r="C746" s="4822">
        <v>125.93</v>
      </c>
      <c r="D746" s="4600" t="s">
        <v>2432</v>
      </c>
      <c r="E746" s="4318"/>
      <c r="F746" s="4318">
        <f t="shared" si="34"/>
        <v>0</v>
      </c>
    </row>
    <row r="747" spans="1:6" s="4557" customFormat="1" ht="14.25" customHeight="1">
      <c r="A747" s="4840">
        <v>5.9</v>
      </c>
      <c r="B747" s="4734" t="s">
        <v>2346</v>
      </c>
      <c r="C747" s="4822">
        <v>15.86</v>
      </c>
      <c r="D747" s="4600" t="s">
        <v>2432</v>
      </c>
      <c r="E747" s="4318"/>
      <c r="F747" s="4318">
        <f t="shared" si="34"/>
        <v>0</v>
      </c>
    </row>
    <row r="748" spans="1:6" s="4557" customFormat="1" ht="14.25" customHeight="1">
      <c r="A748" s="4735">
        <v>5.0999999999999996</v>
      </c>
      <c r="B748" s="4692" t="s">
        <v>4597</v>
      </c>
      <c r="C748" s="4822">
        <v>1</v>
      </c>
      <c r="D748" s="4600" t="s">
        <v>2433</v>
      </c>
      <c r="E748" s="4318"/>
      <c r="F748" s="4318">
        <f t="shared" si="34"/>
        <v>0</v>
      </c>
    </row>
    <row r="749" spans="1:6" ht="14.25" customHeight="1">
      <c r="A749" s="4666"/>
      <c r="B749" s="4788"/>
      <c r="C749" s="4367"/>
      <c r="D749" s="4669"/>
      <c r="E749" s="4961"/>
      <c r="F749" s="4961" t="str">
        <f t="shared" si="34"/>
        <v xml:space="preserve"> </v>
      </c>
    </row>
    <row r="750" spans="1:6" s="4535" customFormat="1" ht="15" customHeight="1">
      <c r="A750" s="4789">
        <v>6</v>
      </c>
      <c r="B750" s="4787" t="s">
        <v>2951</v>
      </c>
      <c r="C750" s="4819"/>
      <c r="D750" s="4820"/>
      <c r="E750" s="5017"/>
      <c r="F750" s="5017" t="str">
        <f t="shared" si="34"/>
        <v xml:space="preserve"> </v>
      </c>
    </row>
    <row r="751" spans="1:6" ht="14.25" customHeight="1">
      <c r="A751" s="4795">
        <v>6.1</v>
      </c>
      <c r="B751" s="4788" t="s">
        <v>2952</v>
      </c>
      <c r="C751" s="4367">
        <v>630</v>
      </c>
      <c r="D751" s="4669" t="s">
        <v>2603</v>
      </c>
      <c r="E751" s="4961"/>
      <c r="F751" s="4961">
        <f t="shared" si="34"/>
        <v>0</v>
      </c>
    </row>
    <row r="752" spans="1:6" ht="14.25" customHeight="1">
      <c r="A752" s="4795">
        <v>6.2</v>
      </c>
      <c r="B752" s="4788" t="s">
        <v>2953</v>
      </c>
      <c r="C752" s="4367">
        <v>127.5</v>
      </c>
      <c r="D752" s="4669" t="s">
        <v>2603</v>
      </c>
      <c r="E752" s="4961"/>
      <c r="F752" s="4961">
        <f t="shared" si="34"/>
        <v>0</v>
      </c>
    </row>
    <row r="753" spans="1:6" ht="14.25" customHeight="1">
      <c r="A753" s="4795">
        <v>6.3</v>
      </c>
      <c r="B753" s="4788" t="s">
        <v>2954</v>
      </c>
      <c r="C753" s="4367">
        <v>6</v>
      </c>
      <c r="D753" s="4669" t="s">
        <v>2433</v>
      </c>
      <c r="E753" s="4961"/>
      <c r="F753" s="4961">
        <f t="shared" si="34"/>
        <v>0</v>
      </c>
    </row>
    <row r="754" spans="1:6" ht="14.25" customHeight="1">
      <c r="A754" s="4795">
        <v>6.4</v>
      </c>
      <c r="B754" s="4788" t="s">
        <v>2955</v>
      </c>
      <c r="C754" s="4367">
        <v>8</v>
      </c>
      <c r="D754" s="4669" t="s">
        <v>2433</v>
      </c>
      <c r="E754" s="4961"/>
      <c r="F754" s="4961">
        <f t="shared" si="34"/>
        <v>0</v>
      </c>
    </row>
    <row r="755" spans="1:6" ht="14.25" customHeight="1">
      <c r="A755" s="4795">
        <v>6.5</v>
      </c>
      <c r="B755" s="4788" t="s">
        <v>2956</v>
      </c>
      <c r="C755" s="4367">
        <v>1</v>
      </c>
      <c r="D755" s="4669" t="s">
        <v>2433</v>
      </c>
      <c r="E755" s="4961"/>
      <c r="F755" s="4961">
        <f t="shared" si="34"/>
        <v>0</v>
      </c>
    </row>
    <row r="756" spans="1:6" ht="14.25" customHeight="1">
      <c r="A756" s="4795">
        <v>6.6</v>
      </c>
      <c r="B756" s="4788" t="s">
        <v>2957</v>
      </c>
      <c r="C756" s="4367">
        <v>1</v>
      </c>
      <c r="D756" s="4669" t="s">
        <v>42</v>
      </c>
      <c r="E756" s="4961"/>
      <c r="F756" s="4961">
        <f t="shared" si="34"/>
        <v>0</v>
      </c>
    </row>
    <row r="757" spans="1:6" ht="14.25" customHeight="1">
      <c r="A757" s="4666"/>
      <c r="B757" s="4788"/>
      <c r="C757" s="4367"/>
      <c r="D757" s="4669"/>
      <c r="E757" s="4961"/>
      <c r="F757" s="4961" t="str">
        <f t="shared" si="34"/>
        <v xml:space="preserve"> </v>
      </c>
    </row>
    <row r="758" spans="1:6" s="4557" customFormat="1" ht="15" customHeight="1">
      <c r="A758" s="4824">
        <v>7</v>
      </c>
      <c r="B758" s="4787" t="s">
        <v>3879</v>
      </c>
      <c r="C758" s="4822"/>
      <c r="D758" s="4600"/>
      <c r="E758" s="4318"/>
      <c r="F758" s="4318" t="str">
        <f t="shared" si="34"/>
        <v xml:space="preserve"> </v>
      </c>
    </row>
    <row r="759" spans="1:6" s="4557" customFormat="1" ht="14.25" customHeight="1">
      <c r="A759" s="4840">
        <v>7.1</v>
      </c>
      <c r="B759" s="4692" t="s">
        <v>3763</v>
      </c>
      <c r="C759" s="4850">
        <v>4</v>
      </c>
      <c r="D759" s="4851" t="s">
        <v>2433</v>
      </c>
      <c r="E759" s="5020"/>
      <c r="F759" s="4318">
        <f t="shared" si="34"/>
        <v>0</v>
      </c>
    </row>
    <row r="760" spans="1:6" s="4557" customFormat="1" ht="14.25" customHeight="1">
      <c r="A760" s="4840">
        <v>7.2</v>
      </c>
      <c r="B760" s="4734" t="s">
        <v>3764</v>
      </c>
      <c r="C760" s="4850">
        <v>1</v>
      </c>
      <c r="D760" s="4851" t="s">
        <v>2433</v>
      </c>
      <c r="E760" s="5020"/>
      <c r="F760" s="4318">
        <f t="shared" si="34"/>
        <v>0</v>
      </c>
    </row>
    <row r="761" spans="1:6" s="4557" customFormat="1" ht="14.25" customHeight="1">
      <c r="A761" s="4840">
        <v>7.3</v>
      </c>
      <c r="B761" s="4734" t="s">
        <v>3765</v>
      </c>
      <c r="C761" s="4850">
        <v>2</v>
      </c>
      <c r="D761" s="4851" t="s">
        <v>2433</v>
      </c>
      <c r="E761" s="5020"/>
      <c r="F761" s="4318">
        <f t="shared" si="34"/>
        <v>0</v>
      </c>
    </row>
    <row r="762" spans="1:6" s="4557" customFormat="1" ht="14.25" customHeight="1">
      <c r="A762" s="4840">
        <v>7.4</v>
      </c>
      <c r="B762" s="4734" t="s">
        <v>3880</v>
      </c>
      <c r="C762" s="4850">
        <v>1</v>
      </c>
      <c r="D762" s="4851" t="s">
        <v>2433</v>
      </c>
      <c r="E762" s="5015"/>
      <c r="F762" s="4318">
        <f t="shared" si="34"/>
        <v>0</v>
      </c>
    </row>
    <row r="763" spans="1:6" ht="14.25" customHeight="1">
      <c r="A763" s="4666"/>
      <c r="B763" s="4788"/>
      <c r="C763" s="4367"/>
      <c r="D763" s="4669"/>
      <c r="E763" s="4961"/>
      <c r="F763" s="4961" t="str">
        <f t="shared" si="34"/>
        <v xml:space="preserve"> </v>
      </c>
    </row>
    <row r="764" spans="1:6" ht="15" customHeight="1">
      <c r="A764" s="4789">
        <v>8</v>
      </c>
      <c r="B764" s="4787" t="s">
        <v>1816</v>
      </c>
      <c r="C764" s="4367"/>
      <c r="D764" s="4669"/>
      <c r="E764" s="4961"/>
      <c r="F764" s="4961" t="str">
        <f t="shared" si="34"/>
        <v xml:space="preserve"> </v>
      </c>
    </row>
    <row r="765" spans="1:6" ht="28.5" customHeight="1">
      <c r="A765" s="4795">
        <v>8.1</v>
      </c>
      <c r="B765" s="4734" t="s">
        <v>4038</v>
      </c>
      <c r="C765" s="4668">
        <v>2</v>
      </c>
      <c r="D765" s="4669" t="s">
        <v>2433</v>
      </c>
      <c r="E765" s="4961"/>
      <c r="F765" s="4961">
        <f t="shared" si="34"/>
        <v>0</v>
      </c>
    </row>
    <row r="766" spans="1:6" ht="14.25" customHeight="1">
      <c r="A766" s="4795">
        <v>8.1999999999999993</v>
      </c>
      <c r="B766" s="4734" t="s">
        <v>4039</v>
      </c>
      <c r="C766" s="4668">
        <v>2</v>
      </c>
      <c r="D766" s="4669" t="s">
        <v>2433</v>
      </c>
      <c r="E766" s="4961"/>
      <c r="F766" s="4961">
        <f t="shared" si="34"/>
        <v>0</v>
      </c>
    </row>
    <row r="767" spans="1:6" ht="14.25" customHeight="1">
      <c r="A767" s="4795">
        <v>8.3000000000000007</v>
      </c>
      <c r="B767" s="4692" t="s">
        <v>3640</v>
      </c>
      <c r="C767" s="4668">
        <v>3</v>
      </c>
      <c r="D767" s="4669" t="s">
        <v>2433</v>
      </c>
      <c r="E767" s="4961"/>
      <c r="F767" s="4961">
        <f t="shared" si="34"/>
        <v>0</v>
      </c>
    </row>
    <row r="768" spans="1:6" ht="14.25" customHeight="1">
      <c r="A768" s="4795">
        <v>8.4</v>
      </c>
      <c r="B768" s="4692" t="s">
        <v>3641</v>
      </c>
      <c r="C768" s="4668">
        <v>1</v>
      </c>
      <c r="D768" s="4669" t="s">
        <v>2433</v>
      </c>
      <c r="E768" s="4961"/>
      <c r="F768" s="4961">
        <f t="shared" si="34"/>
        <v>0</v>
      </c>
    </row>
    <row r="769" spans="1:6" ht="14.25" customHeight="1">
      <c r="A769" s="4795">
        <v>8.5</v>
      </c>
      <c r="B769" s="4692" t="s">
        <v>3642</v>
      </c>
      <c r="C769" s="4668">
        <v>1</v>
      </c>
      <c r="D769" s="4669" t="s">
        <v>2433</v>
      </c>
      <c r="E769" s="4961"/>
      <c r="F769" s="4961">
        <f t="shared" si="34"/>
        <v>0</v>
      </c>
    </row>
    <row r="770" spans="1:6" ht="14.25" customHeight="1">
      <c r="A770" s="4795">
        <v>8.6</v>
      </c>
      <c r="B770" s="4692" t="s">
        <v>3643</v>
      </c>
      <c r="C770" s="4668">
        <v>5</v>
      </c>
      <c r="D770" s="4669" t="s">
        <v>2433</v>
      </c>
      <c r="E770" s="4961"/>
      <c r="F770" s="4961">
        <f t="shared" si="34"/>
        <v>0</v>
      </c>
    </row>
    <row r="771" spans="1:6" ht="14.25" customHeight="1">
      <c r="A771" s="4795">
        <v>8.6999999999999993</v>
      </c>
      <c r="B771" s="4734" t="s">
        <v>3644</v>
      </c>
      <c r="C771" s="4668">
        <v>4</v>
      </c>
      <c r="D771" s="4669" t="s">
        <v>2433</v>
      </c>
      <c r="E771" s="4961"/>
      <c r="F771" s="4961">
        <f t="shared" si="34"/>
        <v>0</v>
      </c>
    </row>
    <row r="772" spans="1:6" ht="14.25" customHeight="1">
      <c r="A772" s="4795">
        <v>8.8000000000000007</v>
      </c>
      <c r="B772" s="4692" t="s">
        <v>3645</v>
      </c>
      <c r="C772" s="4668">
        <v>1</v>
      </c>
      <c r="D772" s="4669" t="s">
        <v>2433</v>
      </c>
      <c r="E772" s="4961"/>
      <c r="F772" s="4961">
        <f t="shared" si="34"/>
        <v>0</v>
      </c>
    </row>
    <row r="773" spans="1:6" ht="14.25" customHeight="1">
      <c r="A773" s="4795">
        <v>8.9</v>
      </c>
      <c r="B773" s="4692" t="s">
        <v>3646</v>
      </c>
      <c r="C773" s="4668">
        <v>1</v>
      </c>
      <c r="D773" s="4669" t="s">
        <v>2433</v>
      </c>
      <c r="E773" s="4961"/>
      <c r="F773" s="4961">
        <f t="shared" si="34"/>
        <v>0</v>
      </c>
    </row>
    <row r="774" spans="1:6" ht="14.25" customHeight="1">
      <c r="A774" s="4666">
        <v>8.1</v>
      </c>
      <c r="B774" s="4734" t="s">
        <v>3647</v>
      </c>
      <c r="C774" s="4668">
        <v>1</v>
      </c>
      <c r="D774" s="4669" t="s">
        <v>2433</v>
      </c>
      <c r="E774" s="4961"/>
      <c r="F774" s="4961">
        <f t="shared" si="34"/>
        <v>0</v>
      </c>
    </row>
    <row r="775" spans="1:6" ht="14.25" customHeight="1">
      <c r="A775" s="4666">
        <v>8.11</v>
      </c>
      <c r="B775" s="4692" t="s">
        <v>2948</v>
      </c>
      <c r="C775" s="4668">
        <v>1</v>
      </c>
      <c r="D775" s="4669" t="s">
        <v>2433</v>
      </c>
      <c r="E775" s="4961"/>
      <c r="F775" s="4961">
        <f t="shared" si="34"/>
        <v>0</v>
      </c>
    </row>
    <row r="776" spans="1:6" ht="14.25" customHeight="1">
      <c r="A776" s="4666">
        <v>8.1199999999999992</v>
      </c>
      <c r="B776" s="4692" t="s">
        <v>2949</v>
      </c>
      <c r="C776" s="4668">
        <v>8</v>
      </c>
      <c r="D776" s="4669" t="s">
        <v>2433</v>
      </c>
      <c r="E776" s="4961"/>
      <c r="F776" s="4961">
        <f t="shared" ref="F776:F787" si="36">IF(C776&gt;0,(ROUND((E776*C776),2))," ")</f>
        <v>0</v>
      </c>
    </row>
    <row r="777" spans="1:6" ht="14.25" customHeight="1">
      <c r="A777" s="4666">
        <v>8.1300000000000008</v>
      </c>
      <c r="B777" s="4692" t="s">
        <v>2950</v>
      </c>
      <c r="C777" s="4668">
        <v>1</v>
      </c>
      <c r="D777" s="4669" t="s">
        <v>2433</v>
      </c>
      <c r="E777" s="4961"/>
      <c r="F777" s="4961">
        <f t="shared" si="36"/>
        <v>0</v>
      </c>
    </row>
    <row r="778" spans="1:6" ht="14.25" customHeight="1">
      <c r="A778" s="4666"/>
      <c r="B778" s="4856"/>
      <c r="C778" s="4668"/>
      <c r="D778" s="4669"/>
      <c r="E778" s="4961"/>
      <c r="F778" s="4961" t="str">
        <f t="shared" si="36"/>
        <v xml:space="preserve"> </v>
      </c>
    </row>
    <row r="779" spans="1:6" s="4535" customFormat="1" ht="15" customHeight="1">
      <c r="A779" s="4789">
        <v>9</v>
      </c>
      <c r="B779" s="4787" t="s">
        <v>2961</v>
      </c>
      <c r="C779" s="4821"/>
      <c r="D779" s="4820"/>
      <c r="E779" s="5017"/>
      <c r="F779" s="4961" t="str">
        <f t="shared" si="36"/>
        <v xml:space="preserve"> </v>
      </c>
    </row>
    <row r="780" spans="1:6" ht="14.25" customHeight="1">
      <c r="A780" s="4795">
        <v>9.1</v>
      </c>
      <c r="B780" s="4856" t="s">
        <v>2394</v>
      </c>
      <c r="C780" s="4668">
        <v>37</v>
      </c>
      <c r="D780" s="4669" t="s">
        <v>1</v>
      </c>
      <c r="E780" s="4961"/>
      <c r="F780" s="4961">
        <f t="shared" si="36"/>
        <v>0</v>
      </c>
    </row>
    <row r="781" spans="1:6" ht="14.25" customHeight="1">
      <c r="A781" s="4795">
        <v>9.1999999999999993</v>
      </c>
      <c r="B781" s="4856" t="s">
        <v>2958</v>
      </c>
      <c r="C781" s="4668">
        <v>14.8</v>
      </c>
      <c r="D781" s="4669" t="s">
        <v>3157</v>
      </c>
      <c r="E781" s="4961"/>
      <c r="F781" s="4961">
        <f t="shared" si="36"/>
        <v>0</v>
      </c>
    </row>
    <row r="782" spans="1:6" ht="14.25" customHeight="1">
      <c r="A782" s="4795">
        <v>9.3000000000000007</v>
      </c>
      <c r="B782" s="4856" t="s">
        <v>2546</v>
      </c>
      <c r="C782" s="4668">
        <v>1.85</v>
      </c>
      <c r="D782" s="4669" t="s">
        <v>2620</v>
      </c>
      <c r="E782" s="4961"/>
      <c r="F782" s="4961">
        <f t="shared" si="36"/>
        <v>0</v>
      </c>
    </row>
    <row r="783" spans="1:6" ht="14.25" customHeight="1">
      <c r="A783" s="4795">
        <v>9.4</v>
      </c>
      <c r="B783" s="4837" t="s">
        <v>2399</v>
      </c>
      <c r="C783" s="4668">
        <v>10.36</v>
      </c>
      <c r="D783" s="4669" t="s">
        <v>2431</v>
      </c>
      <c r="E783" s="4961"/>
      <c r="F783" s="4961">
        <f t="shared" si="36"/>
        <v>0</v>
      </c>
    </row>
    <row r="784" spans="1:6" ht="28.5" customHeight="1">
      <c r="A784" s="4795">
        <v>9.5</v>
      </c>
      <c r="B784" s="4856" t="s">
        <v>2959</v>
      </c>
      <c r="C784" s="4668">
        <v>5.33</v>
      </c>
      <c r="D784" s="4669" t="s">
        <v>2525</v>
      </c>
      <c r="E784" s="4961"/>
      <c r="F784" s="4961">
        <f t="shared" si="36"/>
        <v>0</v>
      </c>
    </row>
    <row r="785" spans="1:6" ht="14.25" customHeight="1">
      <c r="A785" s="4795">
        <v>9.6</v>
      </c>
      <c r="B785" s="4856" t="s">
        <v>3492</v>
      </c>
      <c r="C785" s="4668">
        <v>37</v>
      </c>
      <c r="D785" s="4669" t="s">
        <v>1</v>
      </c>
      <c r="E785" s="4961"/>
      <c r="F785" s="4961">
        <f t="shared" si="36"/>
        <v>0</v>
      </c>
    </row>
    <row r="786" spans="1:6" ht="14.25" customHeight="1">
      <c r="A786" s="4795">
        <v>9.6999999999999993</v>
      </c>
      <c r="B786" s="4856" t="s">
        <v>4598</v>
      </c>
      <c r="C786" s="4668">
        <v>7</v>
      </c>
      <c r="D786" s="4669" t="s">
        <v>2433</v>
      </c>
      <c r="E786" s="4961"/>
      <c r="F786" s="4961">
        <f t="shared" si="36"/>
        <v>0</v>
      </c>
    </row>
    <row r="787" spans="1:6" ht="14.25" customHeight="1">
      <c r="A787" s="4795">
        <v>9.8000000000000007</v>
      </c>
      <c r="B787" s="4856" t="s">
        <v>3881</v>
      </c>
      <c r="C787" s="4668">
        <v>1</v>
      </c>
      <c r="D787" s="4669" t="s">
        <v>42</v>
      </c>
      <c r="E787" s="4961"/>
      <c r="F787" s="4961">
        <f t="shared" si="36"/>
        <v>0</v>
      </c>
    </row>
    <row r="788" spans="1:6" s="4268" customFormat="1" ht="12.75" customHeight="1">
      <c r="A788" s="4691"/>
      <c r="B788" s="4742" t="s">
        <v>4386</v>
      </c>
      <c r="C788" s="4743"/>
      <c r="D788" s="4743"/>
      <c r="E788" s="4984"/>
      <c r="F788" s="4984">
        <f>SUM(F712:F787)</f>
        <v>0</v>
      </c>
    </row>
    <row r="789" spans="1:6" ht="15" customHeight="1">
      <c r="A789" s="4797"/>
      <c r="B789" s="4792"/>
      <c r="C789" s="4821"/>
      <c r="D789" s="4820"/>
      <c r="E789" s="5017"/>
      <c r="F789" s="5017"/>
    </row>
    <row r="790" spans="1:6" s="4557" customFormat="1">
      <c r="A790" s="4836" t="s">
        <v>4387</v>
      </c>
      <c r="B790" s="4787" t="s">
        <v>3126</v>
      </c>
      <c r="C790" s="4857"/>
      <c r="D790" s="4858"/>
      <c r="E790" s="4985"/>
      <c r="F790" s="4985" t="str">
        <f t="shared" ref="F790:F828" si="37">IF(C790&gt;0,(ROUND((E790*C790),2))," ")</f>
        <v xml:space="preserve"> </v>
      </c>
    </row>
    <row r="791" spans="1:6" s="4535" customFormat="1" ht="15" customHeight="1">
      <c r="A791" s="4789">
        <v>1</v>
      </c>
      <c r="B791" s="4787" t="s">
        <v>2165</v>
      </c>
      <c r="C791" s="4819"/>
      <c r="D791" s="4820"/>
      <c r="E791" s="5017"/>
      <c r="F791" s="5017" t="str">
        <f t="shared" si="37"/>
        <v xml:space="preserve"> </v>
      </c>
    </row>
    <row r="792" spans="1:6" ht="14.25" customHeight="1">
      <c r="A792" s="4805">
        <v>1.1000000000000001</v>
      </c>
      <c r="B792" s="4806" t="s">
        <v>4593</v>
      </c>
      <c r="C792" s="5054">
        <v>1</v>
      </c>
      <c r="D792" s="4808" t="s">
        <v>2433</v>
      </c>
      <c r="E792" s="4980"/>
      <c r="F792" s="4980">
        <f t="shared" si="37"/>
        <v>0</v>
      </c>
    </row>
    <row r="793" spans="1:6" ht="14.25" customHeight="1">
      <c r="A793" s="4666"/>
      <c r="B793" s="4788"/>
      <c r="C793" s="4367"/>
      <c r="D793" s="4669"/>
      <c r="E793" s="4961"/>
      <c r="F793" s="4961" t="str">
        <f t="shared" si="37"/>
        <v xml:space="preserve"> </v>
      </c>
    </row>
    <row r="794" spans="1:6" ht="15" customHeight="1">
      <c r="A794" s="4789">
        <v>2</v>
      </c>
      <c r="B794" s="4792" t="s">
        <v>3723</v>
      </c>
      <c r="C794" s="4367"/>
      <c r="D794" s="4669"/>
      <c r="E794" s="4961"/>
      <c r="F794" s="4961" t="str">
        <f t="shared" si="37"/>
        <v xml:space="preserve"> </v>
      </c>
    </row>
    <row r="795" spans="1:6" ht="14.25" customHeight="1">
      <c r="A795" s="4795">
        <v>2.1</v>
      </c>
      <c r="B795" s="4837" t="s">
        <v>2398</v>
      </c>
      <c r="C795" s="4367">
        <v>8.9499999999999993</v>
      </c>
      <c r="D795" s="4669" t="s">
        <v>2430</v>
      </c>
      <c r="E795" s="4961"/>
      <c r="F795" s="4961">
        <f t="shared" si="37"/>
        <v>0</v>
      </c>
    </row>
    <row r="796" spans="1:6" ht="14.25" customHeight="1">
      <c r="A796" s="4795">
        <v>2.2000000000000002</v>
      </c>
      <c r="B796" s="4837" t="s">
        <v>2399</v>
      </c>
      <c r="C796" s="4668">
        <v>4.33</v>
      </c>
      <c r="D796" s="4669" t="s">
        <v>2431</v>
      </c>
      <c r="E796" s="4961"/>
      <c r="F796" s="4961">
        <f t="shared" si="37"/>
        <v>0</v>
      </c>
    </row>
    <row r="797" spans="1:6" ht="29.25" customHeight="1">
      <c r="A797" s="4795">
        <v>2.2999999999999998</v>
      </c>
      <c r="B797" s="4837" t="s">
        <v>3847</v>
      </c>
      <c r="C797" s="4367">
        <v>6</v>
      </c>
      <c r="D797" s="4669" t="s">
        <v>2525</v>
      </c>
      <c r="E797" s="4961"/>
      <c r="F797" s="4961">
        <f t="shared" si="37"/>
        <v>0</v>
      </c>
    </row>
    <row r="798" spans="1:6" ht="14.25" customHeight="1">
      <c r="A798" s="4666"/>
      <c r="B798" s="4788"/>
      <c r="C798" s="4367"/>
      <c r="D798" s="4669"/>
      <c r="E798" s="4961"/>
      <c r="F798" s="4961" t="str">
        <f t="shared" si="37"/>
        <v xml:space="preserve"> </v>
      </c>
    </row>
    <row r="799" spans="1:6" ht="15" customHeight="1">
      <c r="A799" s="4789">
        <v>3</v>
      </c>
      <c r="B799" s="4787" t="s">
        <v>4633</v>
      </c>
      <c r="C799" s="4367"/>
      <c r="D799" s="4669"/>
      <c r="E799" s="4961"/>
      <c r="F799" s="4961" t="str">
        <f t="shared" si="37"/>
        <v xml:space="preserve"> </v>
      </c>
    </row>
    <row r="800" spans="1:6" ht="14.25" customHeight="1">
      <c r="A800" s="4795">
        <v>3.1</v>
      </c>
      <c r="B800" s="4788" t="s">
        <v>4502</v>
      </c>
      <c r="C800" s="4727">
        <v>1.78</v>
      </c>
      <c r="D800" s="4669" t="s">
        <v>2430</v>
      </c>
      <c r="E800" s="4961"/>
      <c r="F800" s="4961">
        <f t="shared" si="37"/>
        <v>0</v>
      </c>
    </row>
    <row r="801" spans="1:6" ht="14.25" customHeight="1">
      <c r="A801" s="4795">
        <v>3.2</v>
      </c>
      <c r="B801" s="4788" t="s">
        <v>4501</v>
      </c>
      <c r="C801" s="4727">
        <v>1.32</v>
      </c>
      <c r="D801" s="4669" t="s">
        <v>2430</v>
      </c>
      <c r="E801" s="4961"/>
      <c r="F801" s="4961">
        <f t="shared" si="37"/>
        <v>0</v>
      </c>
    </row>
    <row r="802" spans="1:6" ht="14.25" customHeight="1">
      <c r="A802" s="4795">
        <v>3.3</v>
      </c>
      <c r="B802" s="4788" t="s">
        <v>4504</v>
      </c>
      <c r="C802" s="4727">
        <v>1.22</v>
      </c>
      <c r="D802" s="4669" t="s">
        <v>2430</v>
      </c>
      <c r="E802" s="4961"/>
      <c r="F802" s="4961">
        <f t="shared" si="37"/>
        <v>0</v>
      </c>
    </row>
    <row r="803" spans="1:6" ht="14.25" customHeight="1">
      <c r="A803" s="4795">
        <v>3.4</v>
      </c>
      <c r="B803" s="4788" t="s">
        <v>4505</v>
      </c>
      <c r="C803" s="4727">
        <v>0.51</v>
      </c>
      <c r="D803" s="4669" t="s">
        <v>2430</v>
      </c>
      <c r="E803" s="4961"/>
      <c r="F803" s="4961">
        <f t="shared" si="37"/>
        <v>0</v>
      </c>
    </row>
    <row r="804" spans="1:6" ht="14.25" customHeight="1">
      <c r="A804" s="4795">
        <v>3.5</v>
      </c>
      <c r="B804" s="4788" t="s">
        <v>4503</v>
      </c>
      <c r="C804" s="4727">
        <v>0.98</v>
      </c>
      <c r="D804" s="4669" t="s">
        <v>2430</v>
      </c>
      <c r="E804" s="4961"/>
      <c r="F804" s="4961">
        <f>IF(C804&gt;0,(ROUND((E804*C804),2))," ")</f>
        <v>0</v>
      </c>
    </row>
    <row r="805" spans="1:6" ht="14.25" customHeight="1">
      <c r="A805" s="4795">
        <v>3.6</v>
      </c>
      <c r="B805" s="4788" t="s">
        <v>4506</v>
      </c>
      <c r="C805" s="4727">
        <v>0.16</v>
      </c>
      <c r="D805" s="4669" t="s">
        <v>2430</v>
      </c>
      <c r="E805" s="4961"/>
      <c r="F805" s="4961">
        <f t="shared" si="37"/>
        <v>0</v>
      </c>
    </row>
    <row r="806" spans="1:6" ht="16.5">
      <c r="A806" s="4795">
        <v>3.7</v>
      </c>
      <c r="B806" s="4788" t="s">
        <v>4507</v>
      </c>
      <c r="C806" s="4727">
        <v>2.1800000000000002</v>
      </c>
      <c r="D806" s="4669" t="s">
        <v>2430</v>
      </c>
      <c r="E806" s="4961"/>
      <c r="F806" s="4961">
        <f t="shared" si="37"/>
        <v>0</v>
      </c>
    </row>
    <row r="807" spans="1:6" ht="14.25" customHeight="1">
      <c r="A807" s="4795">
        <v>3.8</v>
      </c>
      <c r="B807" s="4788" t="s">
        <v>3570</v>
      </c>
      <c r="C807" s="4727">
        <v>1.07</v>
      </c>
      <c r="D807" s="4669" t="s">
        <v>2430</v>
      </c>
      <c r="E807" s="4961"/>
      <c r="F807" s="4961">
        <f t="shared" si="37"/>
        <v>0</v>
      </c>
    </row>
    <row r="808" spans="1:6" ht="14.25" customHeight="1">
      <c r="A808" s="4666"/>
      <c r="B808" s="4788"/>
      <c r="C808" s="4367"/>
      <c r="D808" s="4669"/>
      <c r="E808" s="4961"/>
      <c r="F808" s="4961" t="str">
        <f t="shared" si="37"/>
        <v xml:space="preserve"> </v>
      </c>
    </row>
    <row r="809" spans="1:6" ht="15" customHeight="1">
      <c r="A809" s="4789">
        <v>4</v>
      </c>
      <c r="B809" s="4787" t="s">
        <v>1848</v>
      </c>
      <c r="C809" s="4367"/>
      <c r="D809" s="4669"/>
      <c r="E809" s="4961"/>
      <c r="F809" s="4961" t="str">
        <f t="shared" si="37"/>
        <v xml:space="preserve"> </v>
      </c>
    </row>
    <row r="810" spans="1:6" ht="14.25" customHeight="1">
      <c r="A810" s="4795">
        <v>4.0999999999999996</v>
      </c>
      <c r="B810" s="4692" t="s">
        <v>3536</v>
      </c>
      <c r="C810" s="4367">
        <v>5.0599999999999996</v>
      </c>
      <c r="D810" s="4669" t="s">
        <v>2432</v>
      </c>
      <c r="E810" s="4961"/>
      <c r="F810" s="4961">
        <f t="shared" si="37"/>
        <v>0</v>
      </c>
    </row>
    <row r="811" spans="1:6" ht="14.25" customHeight="1">
      <c r="A811" s="4795">
        <v>4.2</v>
      </c>
      <c r="B811" s="4692" t="s">
        <v>3537</v>
      </c>
      <c r="C811" s="4367">
        <v>25.13</v>
      </c>
      <c r="D811" s="4669" t="s">
        <v>2432</v>
      </c>
      <c r="E811" s="4961"/>
      <c r="F811" s="4961">
        <f t="shared" si="37"/>
        <v>0</v>
      </c>
    </row>
    <row r="812" spans="1:6" ht="14.25" customHeight="1">
      <c r="A812" s="4795">
        <v>4.3</v>
      </c>
      <c r="B812" s="4788" t="s">
        <v>2401</v>
      </c>
      <c r="C812" s="4367">
        <v>5.2</v>
      </c>
      <c r="D812" s="4669" t="s">
        <v>2432</v>
      </c>
      <c r="E812" s="4961"/>
      <c r="F812" s="4961">
        <f t="shared" si="37"/>
        <v>0</v>
      </c>
    </row>
    <row r="813" spans="1:6" ht="14.25" customHeight="1">
      <c r="A813" s="4666"/>
      <c r="B813" s="4788"/>
      <c r="C813" s="4367"/>
      <c r="D813" s="4669"/>
      <c r="E813" s="4961"/>
      <c r="F813" s="4961" t="str">
        <f t="shared" si="37"/>
        <v xml:space="preserve"> </v>
      </c>
    </row>
    <row r="814" spans="1:6" ht="15" customHeight="1">
      <c r="A814" s="4789">
        <v>5</v>
      </c>
      <c r="B814" s="4787" t="s">
        <v>787</v>
      </c>
      <c r="C814" s="4367"/>
      <c r="D814" s="4669"/>
      <c r="E814" s="4961"/>
      <c r="F814" s="4961" t="str">
        <f t="shared" si="37"/>
        <v xml:space="preserve"> </v>
      </c>
    </row>
    <row r="815" spans="1:6" ht="14.25" customHeight="1">
      <c r="A815" s="4795">
        <v>5.0999999999999996</v>
      </c>
      <c r="B815" s="4788" t="s">
        <v>2568</v>
      </c>
      <c r="C815" s="4367">
        <v>33.71</v>
      </c>
      <c r="D815" s="4669" t="s">
        <v>2432</v>
      </c>
      <c r="E815" s="4961"/>
      <c r="F815" s="4961">
        <f t="shared" si="37"/>
        <v>0</v>
      </c>
    </row>
    <row r="816" spans="1:6" ht="14.25" customHeight="1">
      <c r="A816" s="4795">
        <v>5.2</v>
      </c>
      <c r="B816" s="4788" t="s">
        <v>2402</v>
      </c>
      <c r="C816" s="4367">
        <v>40.64</v>
      </c>
      <c r="D816" s="4669" t="s">
        <v>2432</v>
      </c>
      <c r="E816" s="4961"/>
      <c r="F816" s="4961">
        <f t="shared" si="37"/>
        <v>0</v>
      </c>
    </row>
    <row r="817" spans="1:6" ht="14.25" customHeight="1">
      <c r="A817" s="4795">
        <v>5.3</v>
      </c>
      <c r="B817" s="4788" t="s">
        <v>2345</v>
      </c>
      <c r="C817" s="4727">
        <v>34.11</v>
      </c>
      <c r="D817" s="4669" t="s">
        <v>2432</v>
      </c>
      <c r="E817" s="4961"/>
      <c r="F817" s="4961">
        <f t="shared" si="37"/>
        <v>0</v>
      </c>
    </row>
    <row r="818" spans="1:6" ht="14.25" customHeight="1">
      <c r="A818" s="4795">
        <v>5.4</v>
      </c>
      <c r="B818" s="4788" t="s">
        <v>2343</v>
      </c>
      <c r="C818" s="4367">
        <v>18.09</v>
      </c>
      <c r="D818" s="4669" t="s">
        <v>2432</v>
      </c>
      <c r="E818" s="4961"/>
      <c r="F818" s="4961">
        <f t="shared" si="37"/>
        <v>0</v>
      </c>
    </row>
    <row r="819" spans="1:6" ht="14.25" customHeight="1">
      <c r="A819" s="4795">
        <v>5.5</v>
      </c>
      <c r="B819" s="4734" t="s">
        <v>3575</v>
      </c>
      <c r="C819" s="4727">
        <v>85.15</v>
      </c>
      <c r="D819" s="4669" t="s">
        <v>2432</v>
      </c>
      <c r="E819" s="4961"/>
      <c r="F819" s="4961">
        <f t="shared" si="37"/>
        <v>0</v>
      </c>
    </row>
    <row r="820" spans="1:6" ht="14.25" customHeight="1">
      <c r="A820" s="4795">
        <v>5.6</v>
      </c>
      <c r="B820" s="4788" t="s">
        <v>2558</v>
      </c>
      <c r="C820" s="4367">
        <v>14.3</v>
      </c>
      <c r="D820" s="4669" t="s">
        <v>2432</v>
      </c>
      <c r="E820" s="4961"/>
      <c r="F820" s="4961">
        <f t="shared" si="37"/>
        <v>0</v>
      </c>
    </row>
    <row r="821" spans="1:6" ht="14.25" customHeight="1">
      <c r="A821" s="4795">
        <v>5.7</v>
      </c>
      <c r="B821" s="4734" t="s">
        <v>3538</v>
      </c>
      <c r="C821" s="4367">
        <v>147.72</v>
      </c>
      <c r="D821" s="4669" t="s">
        <v>1</v>
      </c>
      <c r="E821" s="4961"/>
      <c r="F821" s="4961">
        <f t="shared" si="37"/>
        <v>0</v>
      </c>
    </row>
    <row r="822" spans="1:6" ht="14.25" customHeight="1">
      <c r="A822" s="4795">
        <v>5.8</v>
      </c>
      <c r="B822" s="4734" t="s">
        <v>3541</v>
      </c>
      <c r="C822" s="4367">
        <v>15.14</v>
      </c>
      <c r="D822" s="4669" t="s">
        <v>1</v>
      </c>
      <c r="E822" s="4961"/>
      <c r="F822" s="4961">
        <f t="shared" si="37"/>
        <v>0</v>
      </c>
    </row>
    <row r="823" spans="1:6" ht="14.25" customHeight="1">
      <c r="A823" s="4795">
        <v>5.9</v>
      </c>
      <c r="B823" s="4788" t="s">
        <v>2346</v>
      </c>
      <c r="C823" s="4727">
        <v>12.11</v>
      </c>
      <c r="D823" s="4669" t="s">
        <v>2432</v>
      </c>
      <c r="E823" s="4961"/>
      <c r="F823" s="4961">
        <f t="shared" si="37"/>
        <v>0</v>
      </c>
    </row>
    <row r="824" spans="1:6" ht="14.25" customHeight="1">
      <c r="A824" s="4666">
        <v>5.0999999999999996</v>
      </c>
      <c r="B824" s="4692" t="s">
        <v>3878</v>
      </c>
      <c r="C824" s="4367">
        <v>1</v>
      </c>
      <c r="D824" s="4669" t="s">
        <v>2433</v>
      </c>
      <c r="E824" s="4961"/>
      <c r="F824" s="4961">
        <f t="shared" si="37"/>
        <v>0</v>
      </c>
    </row>
    <row r="825" spans="1:6" ht="14.25" customHeight="1">
      <c r="A825" s="4666"/>
      <c r="B825" s="4692"/>
      <c r="C825" s="4367"/>
      <c r="D825" s="4669"/>
      <c r="E825" s="4961"/>
      <c r="F825" s="4961" t="str">
        <f t="shared" si="37"/>
        <v xml:space="preserve"> </v>
      </c>
    </row>
    <row r="826" spans="1:6" ht="15" customHeight="1">
      <c r="A826" s="4789">
        <v>6</v>
      </c>
      <c r="B826" s="4787" t="s">
        <v>3545</v>
      </c>
      <c r="C826" s="4727"/>
      <c r="D826" s="4600"/>
      <c r="E826" s="4318"/>
      <c r="F826" s="4961" t="str">
        <f t="shared" si="37"/>
        <v xml:space="preserve"> </v>
      </c>
    </row>
    <row r="827" spans="1:6" ht="14.25" customHeight="1">
      <c r="A827" s="4795">
        <v>6.1</v>
      </c>
      <c r="B827" s="4692" t="s">
        <v>3546</v>
      </c>
      <c r="C827" s="4727">
        <v>1</v>
      </c>
      <c r="D827" s="4669" t="s">
        <v>2433</v>
      </c>
      <c r="E827" s="4318"/>
      <c r="F827" s="4961">
        <f t="shared" si="37"/>
        <v>0</v>
      </c>
    </row>
    <row r="828" spans="1:6" ht="14.25" customHeight="1">
      <c r="A828" s="4795">
        <v>6.2</v>
      </c>
      <c r="B828" s="4692" t="s">
        <v>2418</v>
      </c>
      <c r="C828" s="4727">
        <v>22.6</v>
      </c>
      <c r="D828" s="4669" t="s">
        <v>2602</v>
      </c>
      <c r="E828" s="4318"/>
      <c r="F828" s="4961">
        <f t="shared" si="37"/>
        <v>0</v>
      </c>
    </row>
    <row r="829" spans="1:6" ht="14.25" customHeight="1">
      <c r="A829" s="4666"/>
      <c r="B829" s="4692"/>
      <c r="C829" s="4727"/>
      <c r="D829" s="4669"/>
      <c r="E829" s="4318"/>
      <c r="F829" s="4961"/>
    </row>
    <row r="830" spans="1:6" ht="15" customHeight="1">
      <c r="A830" s="4789">
        <v>7</v>
      </c>
      <c r="B830" s="4787" t="s">
        <v>819</v>
      </c>
      <c r="C830" s="4367"/>
      <c r="D830" s="4669"/>
      <c r="E830" s="4961"/>
      <c r="F830" s="4961" t="str">
        <f t="shared" ref="F830:F834" si="38">IF(C830&gt;0,(ROUND((E830*C830),2))," ")</f>
        <v xml:space="preserve"> </v>
      </c>
    </row>
    <row r="831" spans="1:6" s="4561" customFormat="1" ht="14.25" customHeight="1">
      <c r="A831" s="4795">
        <v>7.1</v>
      </c>
      <c r="B831" s="4788" t="s">
        <v>3547</v>
      </c>
      <c r="C831" s="4727">
        <v>1</v>
      </c>
      <c r="D831" s="4669" t="s">
        <v>2433</v>
      </c>
      <c r="E831" s="4961"/>
      <c r="F831" s="4961">
        <f t="shared" si="38"/>
        <v>0</v>
      </c>
    </row>
    <row r="832" spans="1:6" s="4561" customFormat="1" ht="14.25" customHeight="1">
      <c r="A832" s="4795">
        <v>7.2</v>
      </c>
      <c r="B832" s="4788" t="s">
        <v>3628</v>
      </c>
      <c r="C832" s="4727">
        <v>2</v>
      </c>
      <c r="D832" s="4669" t="s">
        <v>2433</v>
      </c>
      <c r="E832" s="4961"/>
      <c r="F832" s="4961">
        <f t="shared" si="38"/>
        <v>0</v>
      </c>
    </row>
    <row r="833" spans="1:6" s="4561" customFormat="1" ht="14.25" customHeight="1">
      <c r="A833" s="4795">
        <v>7.3</v>
      </c>
      <c r="B833" s="4788" t="s">
        <v>2521</v>
      </c>
      <c r="C833" s="4727">
        <v>1</v>
      </c>
      <c r="D833" s="4669" t="s">
        <v>2433</v>
      </c>
      <c r="E833" s="4961"/>
      <c r="F833" s="4961">
        <f t="shared" si="38"/>
        <v>0</v>
      </c>
    </row>
    <row r="834" spans="1:6" s="4561" customFormat="1" ht="14.25" customHeight="1">
      <c r="A834" s="4795">
        <v>7.4</v>
      </c>
      <c r="B834" s="4788" t="s">
        <v>3648</v>
      </c>
      <c r="C834" s="4727">
        <v>2</v>
      </c>
      <c r="D834" s="4669" t="s">
        <v>2433</v>
      </c>
      <c r="E834" s="4961"/>
      <c r="F834" s="4961">
        <f t="shared" si="38"/>
        <v>0</v>
      </c>
    </row>
    <row r="835" spans="1:6" s="4268" customFormat="1" ht="12.75" customHeight="1">
      <c r="A835" s="4859"/>
      <c r="B835" s="4860" t="s">
        <v>4388</v>
      </c>
      <c r="C835" s="4861"/>
      <c r="D835" s="4861"/>
      <c r="E835" s="5023"/>
      <c r="F835" s="5023">
        <f>SUM(F791:F834)</f>
        <v>0</v>
      </c>
    </row>
    <row r="836" spans="1:6" ht="14.25" customHeight="1">
      <c r="A836" s="4666"/>
      <c r="B836" s="4788"/>
      <c r="C836" s="4367"/>
      <c r="D836" s="4669"/>
      <c r="E836" s="4961"/>
      <c r="F836" s="4961" t="str">
        <f>IF(C836&gt;0,(ROUND((E836*C836),2))," ")</f>
        <v xml:space="preserve"> </v>
      </c>
    </row>
    <row r="837" spans="1:6" s="4557" customFormat="1">
      <c r="A837" s="4836" t="s">
        <v>4389</v>
      </c>
      <c r="B837" s="4787" t="s">
        <v>1668</v>
      </c>
      <c r="C837" s="4857"/>
      <c r="D837" s="4858"/>
      <c r="E837" s="4985"/>
      <c r="F837" s="4985" t="str">
        <f t="shared" si="25"/>
        <v xml:space="preserve"> </v>
      </c>
    </row>
    <row r="838" spans="1:6" s="4557" customFormat="1" ht="15">
      <c r="A838" s="4836"/>
      <c r="B838" s="4792"/>
      <c r="C838" s="4857"/>
      <c r="D838" s="4858"/>
      <c r="E838" s="4985"/>
      <c r="F838" s="4985"/>
    </row>
    <row r="839" spans="1:6">
      <c r="A839" s="4789">
        <v>1</v>
      </c>
      <c r="B839" s="4787" t="s">
        <v>2165</v>
      </c>
      <c r="C839" s="4367"/>
      <c r="D839" s="4669"/>
      <c r="E839" s="4961"/>
      <c r="F839" s="4961" t="str">
        <f t="shared" si="25"/>
        <v xml:space="preserve"> </v>
      </c>
    </row>
    <row r="840" spans="1:6">
      <c r="A840" s="4795">
        <v>1.1000000000000001</v>
      </c>
      <c r="B840" s="4788" t="s">
        <v>4042</v>
      </c>
      <c r="C840" s="4367">
        <v>92.31</v>
      </c>
      <c r="D840" s="4669" t="s">
        <v>2432</v>
      </c>
      <c r="E840" s="4961"/>
      <c r="F840" s="4961">
        <f>IF(C840&gt;0,(ROUND((E840*C840),2))," ")</f>
        <v>0</v>
      </c>
    </row>
    <row r="841" spans="1:6">
      <c r="A841" s="4666"/>
      <c r="B841" s="4788"/>
      <c r="C841" s="4367"/>
      <c r="D841" s="4669"/>
      <c r="E841" s="4961"/>
      <c r="F841" s="4961" t="str">
        <f t="shared" si="25"/>
        <v xml:space="preserve"> </v>
      </c>
    </row>
    <row r="842" spans="1:6">
      <c r="A842" s="4789">
        <v>2</v>
      </c>
      <c r="B842" s="4787" t="s">
        <v>38</v>
      </c>
      <c r="C842" s="4367"/>
      <c r="D842" s="4669"/>
      <c r="E842" s="4961"/>
      <c r="F842" s="4961" t="str">
        <f t="shared" si="25"/>
        <v xml:space="preserve"> </v>
      </c>
    </row>
    <row r="843" spans="1:6">
      <c r="A843" s="4795">
        <v>2.1</v>
      </c>
      <c r="B843" s="4796" t="s">
        <v>2403</v>
      </c>
      <c r="C843" s="4367">
        <v>29.83</v>
      </c>
      <c r="D843" s="4669" t="s">
        <v>2430</v>
      </c>
      <c r="E843" s="4961"/>
      <c r="F843" s="4961">
        <f t="shared" si="25"/>
        <v>0</v>
      </c>
    </row>
    <row r="844" spans="1:6" ht="15" customHeight="1">
      <c r="A844" s="4795">
        <v>2.2000000000000002</v>
      </c>
      <c r="B844" s="4796" t="s">
        <v>2399</v>
      </c>
      <c r="C844" s="4367">
        <v>28.25</v>
      </c>
      <c r="D844" s="4669" t="s">
        <v>2431</v>
      </c>
      <c r="E844" s="4961"/>
      <c r="F844" s="4961">
        <f t="shared" si="25"/>
        <v>0</v>
      </c>
    </row>
    <row r="845" spans="1:6">
      <c r="A845" s="4795">
        <v>2.2999999999999998</v>
      </c>
      <c r="B845" s="4796" t="s">
        <v>2400</v>
      </c>
      <c r="C845" s="4367">
        <v>11.12</v>
      </c>
      <c r="D845" s="4669" t="s">
        <v>2525</v>
      </c>
      <c r="E845" s="4961"/>
      <c r="F845" s="4961">
        <f t="shared" si="25"/>
        <v>0</v>
      </c>
    </row>
    <row r="846" spans="1:6">
      <c r="A846" s="4666"/>
      <c r="B846" s="4788"/>
      <c r="C846" s="4367"/>
      <c r="D846" s="4669"/>
      <c r="E846" s="4961"/>
      <c r="F846" s="4961" t="str">
        <f t="shared" si="25"/>
        <v xml:space="preserve"> </v>
      </c>
    </row>
    <row r="847" spans="1:6" ht="17.25">
      <c r="A847" s="4789">
        <v>3</v>
      </c>
      <c r="B847" s="4787" t="s">
        <v>4600</v>
      </c>
      <c r="C847" s="4367"/>
      <c r="D847" s="4669"/>
      <c r="E847" s="4961"/>
      <c r="F847" s="4961" t="str">
        <f t="shared" si="25"/>
        <v xml:space="preserve"> </v>
      </c>
    </row>
    <row r="848" spans="1:6" ht="16.5">
      <c r="A848" s="4805">
        <v>3.1</v>
      </c>
      <c r="B848" s="4806" t="s">
        <v>4599</v>
      </c>
      <c r="C848" s="4807">
        <v>8.24</v>
      </c>
      <c r="D848" s="4808" t="s">
        <v>2430</v>
      </c>
      <c r="E848" s="5014"/>
      <c r="F848" s="5014">
        <f t="shared" si="25"/>
        <v>0</v>
      </c>
    </row>
    <row r="849" spans="1:6" ht="16.5">
      <c r="A849" s="4795">
        <v>3.2</v>
      </c>
      <c r="B849" s="4788" t="s">
        <v>4416</v>
      </c>
      <c r="C849" s="4367">
        <v>0.93</v>
      </c>
      <c r="D849" s="4669" t="s">
        <v>2430</v>
      </c>
      <c r="E849" s="4961"/>
      <c r="F849" s="4961">
        <f t="shared" si="25"/>
        <v>0</v>
      </c>
    </row>
    <row r="850" spans="1:6" ht="16.5">
      <c r="A850" s="4795">
        <v>3.3</v>
      </c>
      <c r="B850" s="4788" t="s">
        <v>4417</v>
      </c>
      <c r="C850" s="4367">
        <v>8.83</v>
      </c>
      <c r="D850" s="4669" t="s">
        <v>2430</v>
      </c>
      <c r="E850" s="4961"/>
      <c r="F850" s="4961">
        <f t="shared" si="25"/>
        <v>0</v>
      </c>
    </row>
    <row r="851" spans="1:6" ht="16.5">
      <c r="A851" s="4795">
        <v>3.4</v>
      </c>
      <c r="B851" s="4788" t="s">
        <v>4418</v>
      </c>
      <c r="C851" s="4367">
        <v>2</v>
      </c>
      <c r="D851" s="4669" t="s">
        <v>2433</v>
      </c>
      <c r="E851" s="4961"/>
      <c r="F851" s="4961">
        <f t="shared" si="25"/>
        <v>0</v>
      </c>
    </row>
    <row r="852" spans="1:6">
      <c r="A852" s="4666"/>
      <c r="B852" s="4788"/>
      <c r="C852" s="4367"/>
      <c r="D852" s="4669"/>
      <c r="E852" s="4961"/>
      <c r="F852" s="4961" t="str">
        <f t="shared" si="25"/>
        <v xml:space="preserve"> </v>
      </c>
    </row>
    <row r="853" spans="1:6">
      <c r="A853" s="4789">
        <v>4</v>
      </c>
      <c r="B853" s="4787" t="s">
        <v>884</v>
      </c>
      <c r="C853" s="4367"/>
      <c r="D853" s="4669"/>
      <c r="E853" s="4961"/>
      <c r="F853" s="4961" t="str">
        <f t="shared" si="25"/>
        <v xml:space="preserve"> </v>
      </c>
    </row>
    <row r="854" spans="1:6">
      <c r="A854" s="4795">
        <v>4.0999999999999996</v>
      </c>
      <c r="B854" s="4788" t="s">
        <v>3649</v>
      </c>
      <c r="C854" s="4367">
        <v>47.35</v>
      </c>
      <c r="D854" s="4669" t="s">
        <v>2432</v>
      </c>
      <c r="E854" s="4961"/>
      <c r="F854" s="4961">
        <f t="shared" si="25"/>
        <v>0</v>
      </c>
    </row>
    <row r="855" spans="1:6">
      <c r="A855" s="4795">
        <v>4.2</v>
      </c>
      <c r="B855" s="4788" t="s">
        <v>3616</v>
      </c>
      <c r="C855" s="4367">
        <v>136.49</v>
      </c>
      <c r="D855" s="4669" t="s">
        <v>2432</v>
      </c>
      <c r="E855" s="4961"/>
      <c r="F855" s="4961">
        <f t="shared" si="25"/>
        <v>0</v>
      </c>
    </row>
    <row r="856" spans="1:6">
      <c r="A856" s="4795">
        <v>4.3</v>
      </c>
      <c r="B856" s="4788" t="s">
        <v>2404</v>
      </c>
      <c r="C856" s="4367">
        <v>4.29</v>
      </c>
      <c r="D856" s="4669" t="s">
        <v>2432</v>
      </c>
      <c r="E856" s="4961"/>
      <c r="F856" s="4961">
        <f t="shared" si="25"/>
        <v>0</v>
      </c>
    </row>
    <row r="857" spans="1:6">
      <c r="A857" s="4666"/>
      <c r="B857" s="4788"/>
      <c r="C857" s="4367"/>
      <c r="D857" s="4669"/>
      <c r="E857" s="4961"/>
      <c r="F857" s="4961" t="str">
        <f t="shared" si="25"/>
        <v xml:space="preserve"> </v>
      </c>
    </row>
    <row r="858" spans="1:6">
      <c r="A858" s="4789">
        <v>5</v>
      </c>
      <c r="B858" s="4787" t="s">
        <v>4419</v>
      </c>
      <c r="C858" s="4367"/>
      <c r="D858" s="4669"/>
      <c r="E858" s="4961"/>
      <c r="F858" s="4961" t="str">
        <f t="shared" si="25"/>
        <v xml:space="preserve"> </v>
      </c>
    </row>
    <row r="859" spans="1:6">
      <c r="A859" s="4795">
        <v>5.0999999999999996</v>
      </c>
      <c r="B859" s="4788" t="s">
        <v>2568</v>
      </c>
      <c r="C859" s="4367">
        <v>88.34</v>
      </c>
      <c r="D859" s="4669" t="s">
        <v>2432</v>
      </c>
      <c r="E859" s="4961"/>
      <c r="F859" s="4961">
        <f t="shared" si="25"/>
        <v>0</v>
      </c>
    </row>
    <row r="860" spans="1:6">
      <c r="A860" s="4795">
        <v>5.2</v>
      </c>
      <c r="B860" s="4788" t="s">
        <v>2405</v>
      </c>
      <c r="C860" s="4367">
        <v>369.85</v>
      </c>
      <c r="D860" s="4669" t="s">
        <v>2432</v>
      </c>
      <c r="E860" s="4961"/>
      <c r="F860" s="4961">
        <f t="shared" si="25"/>
        <v>0</v>
      </c>
    </row>
    <row r="861" spans="1:6">
      <c r="A861" s="4795">
        <v>5.3</v>
      </c>
      <c r="B861" s="4788" t="s">
        <v>1548</v>
      </c>
      <c r="C861" s="4367">
        <v>201.45</v>
      </c>
      <c r="D861" s="4669" t="s">
        <v>1</v>
      </c>
      <c r="E861" s="4961"/>
      <c r="F861" s="4961">
        <f t="shared" si="25"/>
        <v>0</v>
      </c>
    </row>
    <row r="862" spans="1:6">
      <c r="A862" s="4795">
        <v>5.4</v>
      </c>
      <c r="B862" s="4788" t="s">
        <v>2562</v>
      </c>
      <c r="C862" s="4668">
        <v>61.58</v>
      </c>
      <c r="D862" s="4669" t="s">
        <v>2432</v>
      </c>
      <c r="E862" s="4961"/>
      <c r="F862" s="4961">
        <f t="shared" si="25"/>
        <v>0</v>
      </c>
    </row>
    <row r="863" spans="1:6">
      <c r="A863" s="4795">
        <v>5.5</v>
      </c>
      <c r="B863" s="4788" t="s">
        <v>3650</v>
      </c>
      <c r="C863" s="4367">
        <v>46.2</v>
      </c>
      <c r="D863" s="4669" t="s">
        <v>2432</v>
      </c>
      <c r="E863" s="4961"/>
      <c r="F863" s="4961">
        <f t="shared" si="25"/>
        <v>0</v>
      </c>
    </row>
    <row r="864" spans="1:6">
      <c r="A864" s="4795">
        <v>5.6</v>
      </c>
      <c r="B864" s="4788" t="s">
        <v>2397</v>
      </c>
      <c r="C864" s="4367">
        <v>86.58</v>
      </c>
      <c r="D864" s="4669" t="s">
        <v>2432</v>
      </c>
      <c r="E864" s="4961"/>
      <c r="F864" s="4961">
        <f t="shared" si="25"/>
        <v>0</v>
      </c>
    </row>
    <row r="865" spans="1:6">
      <c r="A865" s="4795">
        <v>5.7</v>
      </c>
      <c r="B865" s="4788" t="s">
        <v>2406</v>
      </c>
      <c r="C865" s="4367">
        <v>54.95</v>
      </c>
      <c r="D865" s="4669" t="s">
        <v>1</v>
      </c>
      <c r="E865" s="4961"/>
      <c r="F865" s="4961">
        <f t="shared" si="25"/>
        <v>0</v>
      </c>
    </row>
    <row r="866" spans="1:6">
      <c r="A866" s="4795">
        <v>5.8</v>
      </c>
      <c r="B866" s="4788" t="s">
        <v>2407</v>
      </c>
      <c r="C866" s="4367">
        <v>38.1</v>
      </c>
      <c r="D866" s="4669" t="s">
        <v>2432</v>
      </c>
      <c r="E866" s="4961"/>
      <c r="F866" s="4961">
        <f t="shared" si="25"/>
        <v>0</v>
      </c>
    </row>
    <row r="867" spans="1:6">
      <c r="A867" s="4795">
        <v>5.9</v>
      </c>
      <c r="B867" s="4788" t="s">
        <v>2408</v>
      </c>
      <c r="C867" s="4367">
        <v>334.81</v>
      </c>
      <c r="D867" s="4669" t="s">
        <v>2432</v>
      </c>
      <c r="E867" s="4961"/>
      <c r="F867" s="4961">
        <f t="shared" ref="F867:F875" si="39">IF(C867&gt;0,(ROUND((E867*C867),2))," ")</f>
        <v>0</v>
      </c>
    </row>
    <row r="868" spans="1:6">
      <c r="A868" s="4666">
        <v>5.0999999999999996</v>
      </c>
      <c r="B868" s="4184" t="s">
        <v>3540</v>
      </c>
      <c r="C868" s="4448">
        <v>20.100000000000001</v>
      </c>
      <c r="D868" s="4518" t="s">
        <v>1</v>
      </c>
      <c r="E868" s="4961"/>
      <c r="F868" s="4961">
        <f t="shared" si="39"/>
        <v>0</v>
      </c>
    </row>
    <row r="869" spans="1:6">
      <c r="A869" s="4666"/>
      <c r="B869" s="4788"/>
      <c r="C869" s="4367"/>
      <c r="D869" s="4669"/>
      <c r="E869" s="4961"/>
      <c r="F869" s="4961" t="str">
        <f t="shared" si="39"/>
        <v xml:space="preserve"> </v>
      </c>
    </row>
    <row r="870" spans="1:6">
      <c r="A870" s="4789">
        <v>6</v>
      </c>
      <c r="B870" s="4787" t="s">
        <v>909</v>
      </c>
      <c r="C870" s="4367"/>
      <c r="D870" s="4669"/>
      <c r="E870" s="4961"/>
      <c r="F870" s="4961" t="str">
        <f t="shared" si="39"/>
        <v xml:space="preserve"> </v>
      </c>
    </row>
    <row r="871" spans="1:6">
      <c r="A871" s="4795">
        <v>6.1</v>
      </c>
      <c r="B871" s="4788" t="s">
        <v>2937</v>
      </c>
      <c r="C871" s="4367">
        <v>6</v>
      </c>
      <c r="D871" s="4669" t="s">
        <v>2433</v>
      </c>
      <c r="E871" s="4961"/>
      <c r="F871" s="4961">
        <f>IF(C871&gt;0,(ROUND((E871*C871),2))," ")</f>
        <v>0</v>
      </c>
    </row>
    <row r="872" spans="1:6">
      <c r="A872" s="4666"/>
      <c r="B872" s="4788"/>
      <c r="C872" s="4367"/>
      <c r="D872" s="4669"/>
      <c r="E872" s="4961"/>
      <c r="F872" s="4961" t="str">
        <f t="shared" si="39"/>
        <v xml:space="preserve"> </v>
      </c>
    </row>
    <row r="873" spans="1:6">
      <c r="A873" s="4789">
        <v>7</v>
      </c>
      <c r="B873" s="4787" t="s">
        <v>910</v>
      </c>
      <c r="C873" s="4367"/>
      <c r="D873" s="4669"/>
      <c r="E873" s="4961"/>
      <c r="F873" s="4961" t="str">
        <f t="shared" si="39"/>
        <v xml:space="preserve"> </v>
      </c>
    </row>
    <row r="874" spans="1:6">
      <c r="A874" s="4795">
        <v>7.1</v>
      </c>
      <c r="B874" s="4788" t="s">
        <v>2418</v>
      </c>
      <c r="C874" s="4367">
        <v>80.48</v>
      </c>
      <c r="D874" s="4669" t="s">
        <v>2602</v>
      </c>
      <c r="E874" s="4961"/>
      <c r="F874" s="4961">
        <f>IF(C874&gt;0,(ROUND((E874*C874),2))," ")</f>
        <v>0</v>
      </c>
    </row>
    <row r="875" spans="1:6">
      <c r="A875" s="4666"/>
      <c r="B875" s="4788"/>
      <c r="C875" s="4367"/>
      <c r="D875" s="4669"/>
      <c r="E875" s="4961"/>
      <c r="F875" s="4961" t="str">
        <f t="shared" si="39"/>
        <v xml:space="preserve"> </v>
      </c>
    </row>
    <row r="876" spans="1:6" ht="25.5">
      <c r="A876" s="4824">
        <v>8</v>
      </c>
      <c r="B876" s="4681" t="s">
        <v>4687</v>
      </c>
      <c r="C876" s="4727"/>
      <c r="D876" s="4600"/>
      <c r="E876" s="4318"/>
      <c r="F876" s="4318"/>
    </row>
    <row r="877" spans="1:6">
      <c r="A877" s="4840">
        <v>8.1</v>
      </c>
      <c r="B877" s="4734" t="s">
        <v>4714</v>
      </c>
      <c r="C877" s="4822">
        <v>1</v>
      </c>
      <c r="D877" s="4600" t="s">
        <v>2433</v>
      </c>
      <c r="E877" s="4318"/>
      <c r="F877" s="4961">
        <f t="shared" ref="F877:F878" si="40">IF(C877&gt;0,(ROUND((E877*C877),2))," ")</f>
        <v>0</v>
      </c>
    </row>
    <row r="878" spans="1:6">
      <c r="A878" s="4840">
        <v>8.1999999999999993</v>
      </c>
      <c r="B878" s="4734" t="s">
        <v>4688</v>
      </c>
      <c r="C878" s="4822">
        <v>1</v>
      </c>
      <c r="D878" s="4600" t="s">
        <v>2433</v>
      </c>
      <c r="E878" s="4318"/>
      <c r="F878" s="4961">
        <f t="shared" si="40"/>
        <v>0</v>
      </c>
    </row>
    <row r="879" spans="1:6">
      <c r="A879" s="4666"/>
      <c r="B879" s="4788"/>
      <c r="C879" s="4367"/>
      <c r="D879" s="4669"/>
      <c r="E879" s="4961"/>
      <c r="F879" s="4961"/>
    </row>
    <row r="880" spans="1:6">
      <c r="A880" s="4789">
        <v>9</v>
      </c>
      <c r="B880" s="4787" t="s">
        <v>819</v>
      </c>
      <c r="C880" s="4367"/>
      <c r="D880" s="4669"/>
      <c r="E880" s="4961"/>
      <c r="F880" s="4961" t="str">
        <f t="shared" ref="F880:F886" si="41">IF(C880&gt;0,(ROUND((E880*C880),2))," ")</f>
        <v xml:space="preserve"> </v>
      </c>
    </row>
    <row r="881" spans="1:6">
      <c r="A881" s="4795">
        <v>9.1</v>
      </c>
      <c r="B881" s="4734" t="s">
        <v>4685</v>
      </c>
      <c r="C881" s="4822">
        <v>4</v>
      </c>
      <c r="D881" s="4600" t="s">
        <v>2433</v>
      </c>
      <c r="E881" s="4318"/>
      <c r="F881" s="4318">
        <f t="shared" si="41"/>
        <v>0</v>
      </c>
    </row>
    <row r="882" spans="1:6">
      <c r="A882" s="4795">
        <v>9.1999999999999993</v>
      </c>
      <c r="B882" s="4788" t="s">
        <v>2417</v>
      </c>
      <c r="C882" s="4367">
        <v>4</v>
      </c>
      <c r="D882" s="4669" t="s">
        <v>2433</v>
      </c>
      <c r="E882" s="4961"/>
      <c r="F882" s="4961">
        <f t="shared" si="41"/>
        <v>0</v>
      </c>
    </row>
    <row r="883" spans="1:6">
      <c r="A883" s="4795">
        <v>9.3000000000000007</v>
      </c>
      <c r="B883" s="4788" t="s">
        <v>2520</v>
      </c>
      <c r="C883" s="4367">
        <v>10</v>
      </c>
      <c r="D883" s="4669" t="s">
        <v>2433</v>
      </c>
      <c r="E883" s="4961"/>
      <c r="F883" s="4961">
        <f t="shared" si="41"/>
        <v>0</v>
      </c>
    </row>
    <row r="884" spans="1:6">
      <c r="A884" s="4795">
        <v>9.4</v>
      </c>
      <c r="B884" s="4788" t="s">
        <v>2521</v>
      </c>
      <c r="C884" s="4367">
        <v>8</v>
      </c>
      <c r="D884" s="4669" t="s">
        <v>2433</v>
      </c>
      <c r="E884" s="4961"/>
      <c r="F884" s="4961">
        <f t="shared" si="41"/>
        <v>0</v>
      </c>
    </row>
    <row r="885" spans="1:6">
      <c r="A885" s="4795">
        <v>9.5</v>
      </c>
      <c r="B885" s="4734" t="s">
        <v>4686</v>
      </c>
      <c r="C885" s="4822">
        <v>8</v>
      </c>
      <c r="D885" s="4600" t="s">
        <v>2433</v>
      </c>
      <c r="E885" s="4318"/>
      <c r="F885" s="4318">
        <f t="shared" si="41"/>
        <v>0</v>
      </c>
    </row>
    <row r="886" spans="1:6">
      <c r="A886" s="4795">
        <v>9.6</v>
      </c>
      <c r="B886" s="4788" t="s">
        <v>2522</v>
      </c>
      <c r="C886" s="4367">
        <v>1</v>
      </c>
      <c r="D886" s="4669" t="s">
        <v>2433</v>
      </c>
      <c r="E886" s="4961"/>
      <c r="F886" s="4961">
        <f t="shared" si="41"/>
        <v>0</v>
      </c>
    </row>
    <row r="887" spans="1:6">
      <c r="A887" s="4795"/>
      <c r="B887" s="4788"/>
      <c r="C887" s="4367"/>
      <c r="D887" s="4669"/>
      <c r="E887" s="4961"/>
      <c r="F887" s="4961"/>
    </row>
    <row r="888" spans="1:6">
      <c r="A888" s="4789">
        <v>10</v>
      </c>
      <c r="B888" s="4787" t="s">
        <v>4420</v>
      </c>
      <c r="C888" s="4367"/>
      <c r="D888" s="4669"/>
      <c r="E888" s="4961"/>
      <c r="F888" s="4961" t="str">
        <f t="shared" ref="F888:F899" si="42">IF(C888&gt;0,(ROUND((E888*C888),2))," ")</f>
        <v xml:space="preserve"> </v>
      </c>
    </row>
    <row r="889" spans="1:6" s="4639" customFormat="1">
      <c r="A889" s="4795">
        <v>10.1</v>
      </c>
      <c r="B889" s="4788" t="s">
        <v>2409</v>
      </c>
      <c r="C889" s="4367">
        <v>1</v>
      </c>
      <c r="D889" s="4669" t="s">
        <v>2433</v>
      </c>
      <c r="E889" s="4961"/>
      <c r="F889" s="4961">
        <f t="shared" si="42"/>
        <v>0</v>
      </c>
    </row>
    <row r="890" spans="1:6" s="4639" customFormat="1">
      <c r="A890" s="4795">
        <v>10.199999999999999</v>
      </c>
      <c r="B890" s="4788" t="s">
        <v>2410</v>
      </c>
      <c r="C890" s="4367">
        <v>1</v>
      </c>
      <c r="D890" s="4669" t="s">
        <v>2433</v>
      </c>
      <c r="E890" s="4961"/>
      <c r="F890" s="4961">
        <f t="shared" si="42"/>
        <v>0</v>
      </c>
    </row>
    <row r="891" spans="1:6" s="4639" customFormat="1">
      <c r="A891" s="4795">
        <v>10.3</v>
      </c>
      <c r="B891" s="4788" t="s">
        <v>2411</v>
      </c>
      <c r="C891" s="4367">
        <v>1</v>
      </c>
      <c r="D891" s="4669" t="s">
        <v>2433</v>
      </c>
      <c r="E891" s="4961"/>
      <c r="F891" s="4961">
        <f t="shared" si="42"/>
        <v>0</v>
      </c>
    </row>
    <row r="892" spans="1:6" s="4639" customFormat="1">
      <c r="A892" s="4795">
        <v>10.4</v>
      </c>
      <c r="B892" s="4788" t="s">
        <v>2412</v>
      </c>
      <c r="C892" s="4367">
        <v>1</v>
      </c>
      <c r="D892" s="4669" t="s">
        <v>2433</v>
      </c>
      <c r="E892" s="4961"/>
      <c r="F892" s="4961">
        <f t="shared" si="42"/>
        <v>0</v>
      </c>
    </row>
    <row r="893" spans="1:6" s="4639" customFormat="1">
      <c r="A893" s="4795">
        <v>10.5</v>
      </c>
      <c r="B893" s="4788" t="s">
        <v>2413</v>
      </c>
      <c r="C893" s="4367">
        <v>1</v>
      </c>
      <c r="D893" s="4669" t="s">
        <v>2433</v>
      </c>
      <c r="E893" s="4961"/>
      <c r="F893" s="4961">
        <f t="shared" si="42"/>
        <v>0</v>
      </c>
    </row>
    <row r="894" spans="1:6" s="4639" customFormat="1">
      <c r="A894" s="4795">
        <v>10.6</v>
      </c>
      <c r="B894" s="4788" t="s">
        <v>2414</v>
      </c>
      <c r="C894" s="4367">
        <v>1</v>
      </c>
      <c r="D894" s="4669" t="s">
        <v>2433</v>
      </c>
      <c r="E894" s="4961"/>
      <c r="F894" s="4961">
        <f t="shared" si="42"/>
        <v>0</v>
      </c>
    </row>
    <row r="895" spans="1:6">
      <c r="A895" s="4795">
        <v>10.7</v>
      </c>
      <c r="B895" s="4692" t="s">
        <v>4601</v>
      </c>
      <c r="C895" s="4367">
        <v>3</v>
      </c>
      <c r="D895" s="4669" t="s">
        <v>2433</v>
      </c>
      <c r="E895" s="4961"/>
      <c r="F895" s="4961">
        <f t="shared" si="42"/>
        <v>0</v>
      </c>
    </row>
    <row r="896" spans="1:6" s="4639" customFormat="1">
      <c r="A896" s="4795">
        <v>10.8</v>
      </c>
      <c r="B896" s="4788" t="s">
        <v>4602</v>
      </c>
      <c r="C896" s="4367">
        <v>1</v>
      </c>
      <c r="D896" s="4669" t="s">
        <v>2433</v>
      </c>
      <c r="E896" s="4961"/>
      <c r="F896" s="4961">
        <f t="shared" si="42"/>
        <v>0</v>
      </c>
    </row>
    <row r="897" spans="1:6">
      <c r="A897" s="4795">
        <v>10.9</v>
      </c>
      <c r="B897" s="4788" t="s">
        <v>2376</v>
      </c>
      <c r="C897" s="4367">
        <v>3</v>
      </c>
      <c r="D897" s="4669" t="s">
        <v>2433</v>
      </c>
      <c r="E897" s="4961"/>
      <c r="F897" s="4961">
        <f t="shared" si="42"/>
        <v>0</v>
      </c>
    </row>
    <row r="898" spans="1:6">
      <c r="A898" s="4666">
        <v>10.1</v>
      </c>
      <c r="B898" s="4788" t="s">
        <v>2415</v>
      </c>
      <c r="C898" s="4367">
        <v>1</v>
      </c>
      <c r="D898" s="4669" t="s">
        <v>2433</v>
      </c>
      <c r="E898" s="4961"/>
      <c r="F898" s="4961">
        <f t="shared" si="42"/>
        <v>0</v>
      </c>
    </row>
    <row r="899" spans="1:6" s="4639" customFormat="1">
      <c r="A899" s="4666">
        <v>10.11</v>
      </c>
      <c r="B899" s="4788" t="s">
        <v>2416</v>
      </c>
      <c r="C899" s="4367">
        <v>1</v>
      </c>
      <c r="D899" s="4669" t="s">
        <v>42</v>
      </c>
      <c r="E899" s="4961"/>
      <c r="F899" s="4961">
        <f t="shared" si="42"/>
        <v>0</v>
      </c>
    </row>
    <row r="900" spans="1:6" s="4562" customFormat="1">
      <c r="A900" s="4677">
        <v>10.119999999999999</v>
      </c>
      <c r="B900" s="4692" t="s">
        <v>3651</v>
      </c>
      <c r="C900" s="4727">
        <v>1</v>
      </c>
      <c r="D900" s="4600" t="s">
        <v>2433</v>
      </c>
      <c r="E900" s="4318"/>
      <c r="F900" s="4318">
        <f t="shared" ref="F900" si="43">ROUND(C900*E900,2)</f>
        <v>0</v>
      </c>
    </row>
    <row r="901" spans="1:6" s="4562" customFormat="1">
      <c r="A901" s="4677"/>
      <c r="B901" s="4692"/>
      <c r="C901" s="4727"/>
      <c r="D901" s="4600"/>
      <c r="E901" s="4318"/>
      <c r="F901" s="4318"/>
    </row>
    <row r="902" spans="1:6" s="4563" customFormat="1">
      <c r="A902" s="4789">
        <v>11</v>
      </c>
      <c r="B902" s="4787" t="s">
        <v>3887</v>
      </c>
      <c r="C902" s="4367"/>
      <c r="D902" s="4669"/>
      <c r="E902" s="4961"/>
      <c r="F902" s="4961" t="str">
        <f t="shared" ref="F902:F941" si="44">IF(C902&gt;0,(ROUND((E902*C902),2))," ")</f>
        <v xml:space="preserve"> </v>
      </c>
    </row>
    <row r="903" spans="1:6" s="4563" customFormat="1">
      <c r="A903" s="4805">
        <v>11.1</v>
      </c>
      <c r="B903" s="4806" t="s">
        <v>2394</v>
      </c>
      <c r="C903" s="4807">
        <v>1</v>
      </c>
      <c r="D903" s="4808" t="s">
        <v>42</v>
      </c>
      <c r="E903" s="5014"/>
      <c r="F903" s="5014">
        <f t="shared" si="44"/>
        <v>0</v>
      </c>
    </row>
    <row r="904" spans="1:6" s="4563" customFormat="1" ht="15">
      <c r="A904" s="4797"/>
      <c r="B904" s="4846"/>
      <c r="C904" s="4367"/>
      <c r="D904" s="4669"/>
      <c r="E904" s="4961"/>
      <c r="F904" s="4961" t="str">
        <f t="shared" si="44"/>
        <v xml:space="preserve"> </v>
      </c>
    </row>
    <row r="905" spans="1:6" ht="29.25">
      <c r="A905" s="4790">
        <v>11.2</v>
      </c>
      <c r="B905" s="4845" t="s">
        <v>4629</v>
      </c>
      <c r="C905" s="4367">
        <v>1</v>
      </c>
      <c r="D905" s="4669" t="s">
        <v>42</v>
      </c>
      <c r="E905" s="4961"/>
      <c r="F905" s="4961">
        <f t="shared" si="44"/>
        <v>0</v>
      </c>
    </row>
    <row r="906" spans="1:6" ht="15">
      <c r="A906" s="4797"/>
      <c r="B906" s="4846"/>
      <c r="C906" s="4367"/>
      <c r="D906" s="4669"/>
      <c r="E906" s="4961"/>
      <c r="F906" s="4961" t="str">
        <f t="shared" si="44"/>
        <v xml:space="preserve"> </v>
      </c>
    </row>
    <row r="907" spans="1:6">
      <c r="A907" s="4790">
        <v>11.3</v>
      </c>
      <c r="B907" s="4787" t="s">
        <v>4630</v>
      </c>
      <c r="C907" s="4367"/>
      <c r="D907" s="4669"/>
      <c r="E907" s="4961"/>
      <c r="F907" s="4961" t="str">
        <f t="shared" si="44"/>
        <v xml:space="preserve"> </v>
      </c>
    </row>
    <row r="908" spans="1:6">
      <c r="A908" s="4666" t="s">
        <v>1785</v>
      </c>
      <c r="B908" s="4788" t="s">
        <v>4585</v>
      </c>
      <c r="C908" s="4367">
        <v>43.34</v>
      </c>
      <c r="D908" s="4669" t="s">
        <v>1</v>
      </c>
      <c r="E908" s="4961"/>
      <c r="F908" s="4961">
        <f t="shared" si="44"/>
        <v>0</v>
      </c>
    </row>
    <row r="909" spans="1:6" ht="15">
      <c r="A909" s="4797"/>
      <c r="B909" s="4846"/>
      <c r="C909" s="4367"/>
      <c r="D909" s="4669"/>
      <c r="E909" s="4961"/>
      <c r="F909" s="4961" t="str">
        <f t="shared" si="44"/>
        <v xml:space="preserve"> </v>
      </c>
    </row>
    <row r="910" spans="1:6">
      <c r="A910" s="4790">
        <v>11.4</v>
      </c>
      <c r="B910" s="4787" t="s">
        <v>4586</v>
      </c>
      <c r="C910" s="4367"/>
      <c r="D910" s="4669"/>
      <c r="E910" s="4961"/>
      <c r="F910" s="4961" t="str">
        <f t="shared" si="44"/>
        <v xml:space="preserve"> </v>
      </c>
    </row>
    <row r="911" spans="1:6">
      <c r="A911" s="4666" t="s">
        <v>1787</v>
      </c>
      <c r="B911" s="4788" t="s">
        <v>4603</v>
      </c>
      <c r="C911" s="4367">
        <v>42.08</v>
      </c>
      <c r="D911" s="4669" t="s">
        <v>1</v>
      </c>
      <c r="E911" s="4961"/>
      <c r="F911" s="4961">
        <f t="shared" si="44"/>
        <v>0</v>
      </c>
    </row>
    <row r="912" spans="1:6" ht="15">
      <c r="A912" s="4797"/>
      <c r="B912" s="4792"/>
      <c r="C912" s="4367"/>
      <c r="D912" s="4669"/>
      <c r="E912" s="4961"/>
      <c r="F912" s="4961" t="str">
        <f t="shared" si="44"/>
        <v xml:space="preserve"> </v>
      </c>
    </row>
    <row r="913" spans="1:6">
      <c r="A913" s="4790">
        <v>11.5</v>
      </c>
      <c r="B913" s="4787" t="s">
        <v>3527</v>
      </c>
      <c r="C913" s="4367"/>
      <c r="D913" s="4669"/>
      <c r="E913" s="4961"/>
      <c r="F913" s="4961" t="str">
        <f t="shared" si="44"/>
        <v xml:space="preserve"> </v>
      </c>
    </row>
    <row r="914" spans="1:6">
      <c r="A914" s="4666" t="s">
        <v>679</v>
      </c>
      <c r="B914" s="4788" t="s">
        <v>3653</v>
      </c>
      <c r="C914" s="4367">
        <v>8</v>
      </c>
      <c r="D914" s="4669" t="s">
        <v>2433</v>
      </c>
      <c r="E914" s="4961"/>
      <c r="F914" s="4961">
        <f t="shared" si="44"/>
        <v>0</v>
      </c>
    </row>
    <row r="915" spans="1:6">
      <c r="A915" s="4666" t="s">
        <v>684</v>
      </c>
      <c r="B915" s="4788" t="s">
        <v>3654</v>
      </c>
      <c r="C915" s="4367">
        <v>2</v>
      </c>
      <c r="D915" s="4669" t="s">
        <v>2433</v>
      </c>
      <c r="E915" s="4961"/>
      <c r="F915" s="4961">
        <f t="shared" si="44"/>
        <v>0</v>
      </c>
    </row>
    <row r="916" spans="1:6">
      <c r="A916" s="4666" t="s">
        <v>1809</v>
      </c>
      <c r="B916" s="4788" t="s">
        <v>3655</v>
      </c>
      <c r="C916" s="4367">
        <v>3</v>
      </c>
      <c r="D916" s="4669" t="s">
        <v>2433</v>
      </c>
      <c r="E916" s="4961"/>
      <c r="F916" s="4961">
        <f t="shared" si="44"/>
        <v>0</v>
      </c>
    </row>
    <row r="917" spans="1:6">
      <c r="A917" s="4666" t="s">
        <v>1811</v>
      </c>
      <c r="B917" s="4788" t="s">
        <v>3528</v>
      </c>
      <c r="C917" s="4367">
        <v>1</v>
      </c>
      <c r="D917" s="4669" t="s">
        <v>42</v>
      </c>
      <c r="E917" s="4961"/>
      <c r="F917" s="4961">
        <f t="shared" si="44"/>
        <v>0</v>
      </c>
    </row>
    <row r="918" spans="1:6" s="4563" customFormat="1" ht="15">
      <c r="A918" s="4797"/>
      <c r="B918" s="4792"/>
      <c r="C918" s="4367"/>
      <c r="D918" s="4669"/>
      <c r="E918" s="4961"/>
      <c r="F918" s="4961" t="str">
        <f t="shared" si="44"/>
        <v xml:space="preserve"> </v>
      </c>
    </row>
    <row r="919" spans="1:6">
      <c r="A919" s="4790">
        <v>11.6</v>
      </c>
      <c r="B919" s="4787" t="s">
        <v>3551</v>
      </c>
      <c r="C919" s="4367"/>
      <c r="D919" s="4669"/>
      <c r="E919" s="4961"/>
      <c r="F919" s="4961" t="str">
        <f t="shared" si="44"/>
        <v xml:space="preserve"> </v>
      </c>
    </row>
    <row r="920" spans="1:6">
      <c r="A920" s="4666" t="s">
        <v>1817</v>
      </c>
      <c r="B920" s="4862" t="s">
        <v>2394</v>
      </c>
      <c r="C920" s="4367">
        <v>22.68</v>
      </c>
      <c r="D920" s="4669" t="s">
        <v>1</v>
      </c>
      <c r="E920" s="4961"/>
      <c r="F920" s="4961">
        <f t="shared" si="44"/>
        <v>0</v>
      </c>
    </row>
    <row r="921" spans="1:6" s="4564" customFormat="1" ht="15">
      <c r="A921" s="4797"/>
      <c r="B921" s="4792"/>
      <c r="C921" s="4367"/>
      <c r="D921" s="4669"/>
      <c r="E921" s="4961"/>
      <c r="F921" s="4961" t="str">
        <f t="shared" si="44"/>
        <v xml:space="preserve"> </v>
      </c>
    </row>
    <row r="922" spans="1:6" s="4639" customFormat="1" ht="29.25">
      <c r="A922" s="4797" t="s">
        <v>1819</v>
      </c>
      <c r="B922" s="4845" t="s">
        <v>4629</v>
      </c>
      <c r="C922" s="4367">
        <v>1</v>
      </c>
      <c r="D922" s="4669" t="s">
        <v>42</v>
      </c>
      <c r="E922" s="4961"/>
      <c r="F922" s="4961">
        <f t="shared" si="44"/>
        <v>0</v>
      </c>
    </row>
    <row r="923" spans="1:6" s="4639" customFormat="1" ht="15">
      <c r="A923" s="4797"/>
      <c r="B923" s="4846"/>
      <c r="C923" s="4367"/>
      <c r="D923" s="4669"/>
      <c r="E923" s="4961"/>
      <c r="F923" s="4961" t="str">
        <f t="shared" si="44"/>
        <v xml:space="preserve"> </v>
      </c>
    </row>
    <row r="924" spans="1:6" s="4639" customFormat="1">
      <c r="A924" s="4797" t="s">
        <v>1821</v>
      </c>
      <c r="B924" s="4787" t="s">
        <v>4584</v>
      </c>
      <c r="C924" s="4367"/>
      <c r="D924" s="4669"/>
      <c r="E924" s="4961"/>
      <c r="F924" s="4961" t="str">
        <f t="shared" si="44"/>
        <v xml:space="preserve"> </v>
      </c>
    </row>
    <row r="925" spans="1:6" s="4639" customFormat="1">
      <c r="A925" s="4666" t="s">
        <v>4689</v>
      </c>
      <c r="B925" s="4862" t="s">
        <v>4604</v>
      </c>
      <c r="C925" s="4367">
        <v>7.62</v>
      </c>
      <c r="D925" s="4669" t="s">
        <v>1</v>
      </c>
      <c r="E925" s="4961"/>
      <c r="F925" s="4961">
        <f t="shared" si="44"/>
        <v>0</v>
      </c>
    </row>
    <row r="926" spans="1:6" s="4639" customFormat="1">
      <c r="A926" s="4666" t="s">
        <v>4690</v>
      </c>
      <c r="B926" s="4862" t="s">
        <v>4605</v>
      </c>
      <c r="C926" s="4367">
        <v>1.8</v>
      </c>
      <c r="D926" s="4669" t="s">
        <v>1</v>
      </c>
      <c r="E926" s="4961"/>
      <c r="F926" s="4961">
        <f t="shared" si="44"/>
        <v>0</v>
      </c>
    </row>
    <row r="927" spans="1:6" s="4639" customFormat="1">
      <c r="A927" s="4666" t="s">
        <v>4691</v>
      </c>
      <c r="B927" s="4862" t="s">
        <v>4606</v>
      </c>
      <c r="C927" s="4367">
        <v>14.07</v>
      </c>
      <c r="D927" s="4669" t="s">
        <v>1</v>
      </c>
      <c r="E927" s="4961"/>
      <c r="F927" s="4961">
        <f t="shared" si="44"/>
        <v>0</v>
      </c>
    </row>
    <row r="928" spans="1:6" s="4639" customFormat="1" ht="15">
      <c r="A928" s="4797"/>
      <c r="B928" s="4846"/>
      <c r="C928" s="4367"/>
      <c r="D928" s="4669"/>
      <c r="E928" s="4961"/>
      <c r="F928" s="4961" t="str">
        <f t="shared" si="44"/>
        <v xml:space="preserve"> </v>
      </c>
    </row>
    <row r="929" spans="1:6" s="4639" customFormat="1">
      <c r="A929" s="4797" t="s">
        <v>1823</v>
      </c>
      <c r="B929" s="4787" t="s">
        <v>4586</v>
      </c>
      <c r="C929" s="4367"/>
      <c r="D929" s="4669"/>
      <c r="E929" s="4961"/>
      <c r="F929" s="4961" t="str">
        <f t="shared" si="44"/>
        <v xml:space="preserve"> </v>
      </c>
    </row>
    <row r="930" spans="1:6" s="4639" customFormat="1">
      <c r="A930" s="4666" t="s">
        <v>4692</v>
      </c>
      <c r="B930" s="4862" t="s">
        <v>4607</v>
      </c>
      <c r="C930" s="4367">
        <v>7.4</v>
      </c>
      <c r="D930" s="4669" t="s">
        <v>1</v>
      </c>
      <c r="E930" s="4961"/>
      <c r="F930" s="4961">
        <f t="shared" si="44"/>
        <v>0</v>
      </c>
    </row>
    <row r="931" spans="1:6" s="4639" customFormat="1">
      <c r="A931" s="4666" t="s">
        <v>4693</v>
      </c>
      <c r="B931" s="4862" t="s">
        <v>4608</v>
      </c>
      <c r="C931" s="4367">
        <v>1.75</v>
      </c>
      <c r="D931" s="4669" t="s">
        <v>1</v>
      </c>
      <c r="E931" s="4961"/>
      <c r="F931" s="4961">
        <f t="shared" si="44"/>
        <v>0</v>
      </c>
    </row>
    <row r="932" spans="1:6" s="4639" customFormat="1">
      <c r="A932" s="4666" t="s">
        <v>4694</v>
      </c>
      <c r="B932" s="4862" t="s">
        <v>4609</v>
      </c>
      <c r="C932" s="4367">
        <v>13.53</v>
      </c>
      <c r="D932" s="4669" t="s">
        <v>1</v>
      </c>
      <c r="E932" s="4961"/>
      <c r="F932" s="4961">
        <f t="shared" si="44"/>
        <v>0</v>
      </c>
    </row>
    <row r="933" spans="1:6" s="4639" customFormat="1" ht="15">
      <c r="A933" s="4797"/>
      <c r="B933" s="4846"/>
      <c r="C933" s="4367"/>
      <c r="D933" s="4669"/>
      <c r="E933" s="4961"/>
      <c r="F933" s="4961" t="str">
        <f t="shared" si="44"/>
        <v xml:space="preserve"> </v>
      </c>
    </row>
    <row r="934" spans="1:6" s="4639" customFormat="1">
      <c r="A934" s="4797" t="s">
        <v>1825</v>
      </c>
      <c r="B934" s="4787" t="s">
        <v>3548</v>
      </c>
      <c r="C934" s="4367"/>
      <c r="D934" s="4669"/>
      <c r="E934" s="4961"/>
      <c r="F934" s="4961" t="str">
        <f t="shared" si="44"/>
        <v xml:space="preserve"> </v>
      </c>
    </row>
    <row r="935" spans="1:6" s="4639" customFormat="1">
      <c r="A935" s="4666" t="s">
        <v>4695</v>
      </c>
      <c r="B935" s="4862" t="s">
        <v>4610</v>
      </c>
      <c r="C935" s="4367">
        <v>1</v>
      </c>
      <c r="D935" s="4669" t="s">
        <v>2433</v>
      </c>
      <c r="E935" s="4983"/>
      <c r="F935" s="4961">
        <f t="shared" si="44"/>
        <v>0</v>
      </c>
    </row>
    <row r="936" spans="1:6" s="4639" customFormat="1">
      <c r="A936" s="4666" t="s">
        <v>4696</v>
      </c>
      <c r="B936" s="4862" t="s">
        <v>4611</v>
      </c>
      <c r="C936" s="4367">
        <v>2</v>
      </c>
      <c r="D936" s="4669" t="s">
        <v>2433</v>
      </c>
      <c r="E936" s="4983"/>
      <c r="F936" s="4961">
        <f t="shared" si="44"/>
        <v>0</v>
      </c>
    </row>
    <row r="937" spans="1:6" s="4639" customFormat="1">
      <c r="A937" s="4666" t="s">
        <v>4697</v>
      </c>
      <c r="B937" s="4862" t="s">
        <v>4612</v>
      </c>
      <c r="C937" s="4367">
        <v>1</v>
      </c>
      <c r="D937" s="4669" t="s">
        <v>2433</v>
      </c>
      <c r="E937" s="4983"/>
      <c r="F937" s="4961">
        <f t="shared" si="44"/>
        <v>0</v>
      </c>
    </row>
    <row r="938" spans="1:6" s="4639" customFormat="1">
      <c r="A938" s="4666" t="s">
        <v>4698</v>
      </c>
      <c r="B938" s="4862" t="s">
        <v>4613</v>
      </c>
      <c r="C938" s="4367">
        <v>2</v>
      </c>
      <c r="D938" s="4669" t="s">
        <v>2433</v>
      </c>
      <c r="E938" s="4983"/>
      <c r="F938" s="4961">
        <f t="shared" si="44"/>
        <v>0</v>
      </c>
    </row>
    <row r="939" spans="1:6" s="4639" customFormat="1">
      <c r="A939" s="4666" t="s">
        <v>4699</v>
      </c>
      <c r="B939" s="4862" t="s">
        <v>3911</v>
      </c>
      <c r="C939" s="4367">
        <v>1</v>
      </c>
      <c r="D939" s="4669" t="s">
        <v>42</v>
      </c>
      <c r="E939" s="4983"/>
      <c r="F939" s="4961">
        <f t="shared" si="44"/>
        <v>0</v>
      </c>
    </row>
    <row r="940" spans="1:6" s="4639" customFormat="1">
      <c r="A940" s="4666"/>
      <c r="B940" s="4862"/>
      <c r="C940" s="4367"/>
      <c r="D940" s="4669"/>
      <c r="E940" s="4983"/>
      <c r="F940" s="4961"/>
    </row>
    <row r="941" spans="1:6" s="4639" customFormat="1">
      <c r="A941" s="4790">
        <v>11.7</v>
      </c>
      <c r="B941" s="4692" t="s">
        <v>4614</v>
      </c>
      <c r="C941" s="4367">
        <v>3</v>
      </c>
      <c r="D941" s="4669" t="s">
        <v>2433</v>
      </c>
      <c r="E941" s="4983"/>
      <c r="F941" s="4961">
        <f t="shared" si="44"/>
        <v>0</v>
      </c>
    </row>
    <row r="942" spans="1:6" s="4535" customFormat="1" ht="15">
      <c r="A942" s="4797"/>
      <c r="B942" s="4792"/>
      <c r="C942" s="4821"/>
      <c r="D942" s="4820"/>
      <c r="E942" s="5017"/>
      <c r="F942" s="5017"/>
    </row>
    <row r="943" spans="1:6" s="4557" customFormat="1">
      <c r="A943" s="4824">
        <v>12</v>
      </c>
      <c r="B943" s="4787" t="s">
        <v>3123</v>
      </c>
      <c r="C943" s="4822"/>
      <c r="D943" s="4600"/>
      <c r="E943" s="4318"/>
      <c r="F943" s="4318" t="str">
        <f t="shared" ref="F943:F972" si="45">IF(C943&gt;0,(ROUND((E943*C943),2))," ")</f>
        <v xml:space="preserve"> </v>
      </c>
    </row>
    <row r="944" spans="1:6" ht="14.25" customHeight="1">
      <c r="A944" s="4795">
        <v>12.1</v>
      </c>
      <c r="B944" s="4788" t="s">
        <v>4593</v>
      </c>
      <c r="C944" s="4367">
        <v>12.24</v>
      </c>
      <c r="D944" s="4669" t="s">
        <v>2432</v>
      </c>
      <c r="E944" s="4961"/>
      <c r="F944" s="4961">
        <f>IF(C944&gt;0,(ROUND((E944*C944),2))," ")</f>
        <v>0</v>
      </c>
    </row>
    <row r="945" spans="1:6" ht="14.25" customHeight="1">
      <c r="A945" s="4666"/>
      <c r="B945" s="4788"/>
      <c r="C945" s="4367"/>
      <c r="D945" s="4669"/>
      <c r="E945" s="4961"/>
      <c r="F945" s="4961" t="str">
        <f t="shared" si="45"/>
        <v xml:space="preserve"> </v>
      </c>
    </row>
    <row r="946" spans="1:6" ht="15" customHeight="1">
      <c r="A946" s="4790">
        <v>12.2</v>
      </c>
      <c r="B946" s="4787" t="s">
        <v>38</v>
      </c>
      <c r="C946" s="4367"/>
      <c r="D946" s="4669"/>
      <c r="E946" s="4961"/>
      <c r="F946" s="4961" t="str">
        <f t="shared" si="45"/>
        <v xml:space="preserve"> </v>
      </c>
    </row>
    <row r="947" spans="1:6" ht="14.25" customHeight="1">
      <c r="A947" s="4666" t="s">
        <v>2110</v>
      </c>
      <c r="B947" s="4796" t="s">
        <v>2403</v>
      </c>
      <c r="C947" s="4367">
        <v>27.3</v>
      </c>
      <c r="D947" s="4669" t="s">
        <v>2430</v>
      </c>
      <c r="E947" s="4961"/>
      <c r="F947" s="4961">
        <f t="shared" si="45"/>
        <v>0</v>
      </c>
    </row>
    <row r="948" spans="1:6" ht="14.25" customHeight="1">
      <c r="A948" s="4666" t="s">
        <v>2111</v>
      </c>
      <c r="B948" s="4796" t="s">
        <v>2399</v>
      </c>
      <c r="C948" s="4367">
        <v>7.96</v>
      </c>
      <c r="D948" s="4669" t="s">
        <v>2431</v>
      </c>
      <c r="E948" s="4961"/>
      <c r="F948" s="4961">
        <f t="shared" si="45"/>
        <v>0</v>
      </c>
    </row>
    <row r="949" spans="1:6" ht="31.5" customHeight="1">
      <c r="A949" s="4666" t="s">
        <v>2112</v>
      </c>
      <c r="B949" s="4796" t="s">
        <v>3847</v>
      </c>
      <c r="C949" s="4367">
        <v>19.34</v>
      </c>
      <c r="D949" s="4669" t="s">
        <v>2525</v>
      </c>
      <c r="E949" s="4961"/>
      <c r="F949" s="4961">
        <f t="shared" si="45"/>
        <v>0</v>
      </c>
    </row>
    <row r="950" spans="1:6" ht="13.5" customHeight="1">
      <c r="A950" s="4666"/>
      <c r="B950" s="4796"/>
      <c r="C950" s="4367"/>
      <c r="D950" s="4669"/>
      <c r="E950" s="4961"/>
      <c r="F950" s="4961" t="str">
        <f t="shared" si="45"/>
        <v xml:space="preserve"> </v>
      </c>
    </row>
    <row r="951" spans="1:6" ht="15" customHeight="1">
      <c r="A951" s="4790">
        <v>12.3</v>
      </c>
      <c r="B951" s="4787" t="s">
        <v>3726</v>
      </c>
      <c r="C951" s="4367"/>
      <c r="D951" s="4669"/>
      <c r="E951" s="4961"/>
      <c r="F951" s="4961" t="str">
        <f t="shared" si="45"/>
        <v xml:space="preserve"> </v>
      </c>
    </row>
    <row r="952" spans="1:6" ht="14.25" customHeight="1">
      <c r="A952" s="4666" t="s">
        <v>2113</v>
      </c>
      <c r="B952" s="4692" t="s">
        <v>3767</v>
      </c>
      <c r="C952" s="4367">
        <v>1.1499999999999999</v>
      </c>
      <c r="D952" s="4669" t="s">
        <v>2430</v>
      </c>
      <c r="E952" s="4961"/>
      <c r="F952" s="4961">
        <f t="shared" si="45"/>
        <v>0</v>
      </c>
    </row>
    <row r="953" spans="1:6" ht="14.25" customHeight="1">
      <c r="A953" s="4666" t="s">
        <v>2114</v>
      </c>
      <c r="B953" s="4532" t="s">
        <v>3768</v>
      </c>
      <c r="C953" s="4367">
        <v>0.51</v>
      </c>
      <c r="D953" s="4669" t="s">
        <v>2430</v>
      </c>
      <c r="E953" s="4961"/>
      <c r="F953" s="4961">
        <f t="shared" si="45"/>
        <v>0</v>
      </c>
    </row>
    <row r="954" spans="1:6" ht="14.25" customHeight="1">
      <c r="A954" s="4666" t="s">
        <v>2115</v>
      </c>
      <c r="B954" s="4692" t="s">
        <v>3769</v>
      </c>
      <c r="C954" s="4367">
        <v>0.41</v>
      </c>
      <c r="D954" s="4669" t="s">
        <v>2430</v>
      </c>
      <c r="E954" s="4961"/>
      <c r="F954" s="4961">
        <f t="shared" si="45"/>
        <v>0</v>
      </c>
    </row>
    <row r="955" spans="1:6" ht="14.25" customHeight="1">
      <c r="A955" s="4666"/>
      <c r="B955" s="4796"/>
      <c r="C955" s="4367"/>
      <c r="D955" s="4669"/>
      <c r="E955" s="4961"/>
      <c r="F955" s="4961" t="str">
        <f t="shared" si="45"/>
        <v xml:space="preserve"> </v>
      </c>
    </row>
    <row r="956" spans="1:6" ht="15" customHeight="1">
      <c r="A956" s="4790">
        <v>12.4</v>
      </c>
      <c r="B956" s="4787" t="s">
        <v>4421</v>
      </c>
      <c r="C956" s="4367"/>
      <c r="D956" s="4669"/>
      <c r="E956" s="4961"/>
      <c r="F956" s="4961" t="str">
        <f t="shared" si="45"/>
        <v xml:space="preserve"> </v>
      </c>
    </row>
    <row r="957" spans="1:6" ht="14.25" customHeight="1">
      <c r="A957" s="4875" t="s">
        <v>4700</v>
      </c>
      <c r="B957" s="5057" t="s">
        <v>3127</v>
      </c>
      <c r="C957" s="4807">
        <v>43.75</v>
      </c>
      <c r="D957" s="4808" t="s">
        <v>2432</v>
      </c>
      <c r="E957" s="5014"/>
      <c r="F957" s="5014">
        <f>IF(C957&gt;0,(ROUND((E957*C957),2))," ")</f>
        <v>0</v>
      </c>
    </row>
    <row r="958" spans="1:6" ht="14.25" customHeight="1">
      <c r="A958" s="4666"/>
      <c r="B958" s="4796"/>
      <c r="C958" s="4367"/>
      <c r="D958" s="4669"/>
      <c r="E958" s="4961"/>
      <c r="F958" s="4961" t="str">
        <f t="shared" si="45"/>
        <v xml:space="preserve"> </v>
      </c>
    </row>
    <row r="959" spans="1:6" ht="15" customHeight="1">
      <c r="A959" s="4790">
        <v>12.5</v>
      </c>
      <c r="B959" s="4787" t="s">
        <v>3720</v>
      </c>
      <c r="C959" s="4367"/>
      <c r="D959" s="4669"/>
      <c r="E959" s="4961"/>
      <c r="F959" s="4961" t="str">
        <f t="shared" si="45"/>
        <v xml:space="preserve"> </v>
      </c>
    </row>
    <row r="960" spans="1:6" s="4557" customFormat="1" ht="14.25" customHeight="1">
      <c r="A960" s="4666" t="s">
        <v>4701</v>
      </c>
      <c r="B960" s="4734" t="s">
        <v>3125</v>
      </c>
      <c r="C960" s="4822">
        <v>18.899999999999999</v>
      </c>
      <c r="D960" s="4600" t="s">
        <v>2432</v>
      </c>
      <c r="E960" s="4318"/>
      <c r="F960" s="4318">
        <f t="shared" si="45"/>
        <v>0</v>
      </c>
    </row>
    <row r="961" spans="1:6" s="4557" customFormat="1" ht="14.25" customHeight="1">
      <c r="A961" s="4666" t="s">
        <v>4702</v>
      </c>
      <c r="B961" s="4734" t="s">
        <v>2435</v>
      </c>
      <c r="C961" s="4822">
        <v>3.3</v>
      </c>
      <c r="D961" s="4600" t="s">
        <v>2432</v>
      </c>
      <c r="E961" s="4318"/>
      <c r="F961" s="4318">
        <f t="shared" si="45"/>
        <v>0</v>
      </c>
    </row>
    <row r="962" spans="1:6" s="4557" customFormat="1" ht="14.25" customHeight="1">
      <c r="A962" s="4666" t="s">
        <v>4703</v>
      </c>
      <c r="B962" s="4734" t="s">
        <v>3658</v>
      </c>
      <c r="C962" s="4822">
        <v>8.8000000000000007</v>
      </c>
      <c r="D962" s="4600" t="s">
        <v>1</v>
      </c>
      <c r="E962" s="4318"/>
      <c r="F962" s="4318">
        <f t="shared" si="45"/>
        <v>0</v>
      </c>
    </row>
    <row r="963" spans="1:6" s="4565" customFormat="1" ht="13.5" customHeight="1">
      <c r="A963" s="4666" t="s">
        <v>4704</v>
      </c>
      <c r="B963" s="4692" t="s">
        <v>1548</v>
      </c>
      <c r="C963" s="4727">
        <v>19.88</v>
      </c>
      <c r="D963" s="4600" t="s">
        <v>1</v>
      </c>
      <c r="E963" s="4318"/>
      <c r="F963" s="4318">
        <f t="shared" ref="F963:F964" si="46">ROUND(C963*E963,2)</f>
        <v>0</v>
      </c>
    </row>
    <row r="964" spans="1:6" s="4565" customFormat="1" ht="13.5" customHeight="1">
      <c r="A964" s="4666" t="s">
        <v>4705</v>
      </c>
      <c r="B964" s="4692" t="s">
        <v>3770</v>
      </c>
      <c r="C964" s="4727">
        <v>4.2699999999999996</v>
      </c>
      <c r="D964" s="4600" t="s">
        <v>3755</v>
      </c>
      <c r="E964" s="4318"/>
      <c r="F964" s="4318">
        <f t="shared" si="46"/>
        <v>0</v>
      </c>
    </row>
    <row r="965" spans="1:6" ht="14.25" customHeight="1">
      <c r="A965" s="4666"/>
      <c r="B965" s="4788"/>
      <c r="C965" s="4367"/>
      <c r="D965" s="4669"/>
      <c r="E965" s="4961"/>
      <c r="F965" s="4961" t="str">
        <f t="shared" si="45"/>
        <v xml:space="preserve"> </v>
      </c>
    </row>
    <row r="966" spans="1:6" s="4565" customFormat="1">
      <c r="A966" s="4168">
        <v>12.6</v>
      </c>
      <c r="B966" s="4787" t="s">
        <v>4422</v>
      </c>
      <c r="C966" s="4727"/>
      <c r="D966" s="4600"/>
      <c r="E966" s="4318"/>
      <c r="F966" s="4318"/>
    </row>
    <row r="967" spans="1:6" s="4565" customFormat="1">
      <c r="A967" s="4654" t="s">
        <v>4706</v>
      </c>
      <c r="B967" s="4692" t="s">
        <v>3772</v>
      </c>
      <c r="C967" s="4727">
        <v>0.36</v>
      </c>
      <c r="D967" s="4600" t="s">
        <v>3761</v>
      </c>
      <c r="E967" s="4318"/>
      <c r="F967" s="4318">
        <f>+C967*E967</f>
        <v>0</v>
      </c>
    </row>
    <row r="968" spans="1:6" s="4565" customFormat="1">
      <c r="A968" s="4654" t="s">
        <v>4707</v>
      </c>
      <c r="B968" s="4692" t="s">
        <v>3773</v>
      </c>
      <c r="C968" s="4727">
        <v>0.27</v>
      </c>
      <c r="D968" s="4600" t="s">
        <v>3761</v>
      </c>
      <c r="E968" s="4318"/>
      <c r="F968" s="4318">
        <f>+C968*E968</f>
        <v>0</v>
      </c>
    </row>
    <row r="969" spans="1:6" s="4565" customFormat="1">
      <c r="A969" s="4654"/>
      <c r="B969" s="4692"/>
      <c r="C969" s="4727"/>
      <c r="D969" s="4600"/>
      <c r="E969" s="4318"/>
      <c r="F969" s="4318"/>
    </row>
    <row r="970" spans="1:6" ht="14.25" customHeight="1">
      <c r="A970" s="4790">
        <v>12.7</v>
      </c>
      <c r="B970" s="4796" t="s">
        <v>3958</v>
      </c>
      <c r="C970" s="4367">
        <v>3</v>
      </c>
      <c r="D970" s="4669" t="s">
        <v>2433</v>
      </c>
      <c r="E970" s="4961"/>
      <c r="F970" s="4961">
        <f>IF(C970&gt;0,(ROUND((E970*C970),2))," ")</f>
        <v>0</v>
      </c>
    </row>
    <row r="971" spans="1:6" ht="14.25" customHeight="1">
      <c r="A971" s="4790"/>
      <c r="B971" s="4796"/>
      <c r="C971" s="4367"/>
      <c r="D971" s="4669"/>
      <c r="E971" s="4961"/>
      <c r="F971" s="4961"/>
    </row>
    <row r="972" spans="1:6" s="4557" customFormat="1" ht="14.25" customHeight="1">
      <c r="A972" s="4825">
        <v>12.8</v>
      </c>
      <c r="B972" s="4692" t="s">
        <v>3775</v>
      </c>
      <c r="C972" s="4822">
        <v>1</v>
      </c>
      <c r="D972" s="4600" t="s">
        <v>2433</v>
      </c>
      <c r="E972" s="4318"/>
      <c r="F972" s="4318">
        <f t="shared" si="45"/>
        <v>0</v>
      </c>
    </row>
    <row r="973" spans="1:6" s="4557" customFormat="1" ht="12.75" customHeight="1">
      <c r="A973" s="4863"/>
      <c r="B973" s="4864" t="s">
        <v>4390</v>
      </c>
      <c r="C973" s="4865"/>
      <c r="D973" s="4865"/>
      <c r="E973" s="5024"/>
      <c r="F973" s="5024">
        <f>SUM(F837:F972)</f>
        <v>0</v>
      </c>
    </row>
    <row r="974" spans="1:6" ht="14.25" customHeight="1">
      <c r="A974" s="4666"/>
      <c r="B974" s="4788"/>
      <c r="C974" s="4367"/>
      <c r="D974" s="4669"/>
      <c r="E974" s="4961"/>
      <c r="F974" s="4961" t="str">
        <f t="shared" ref="F974:F1042" si="47">IF(C974&gt;0,(ROUND((E974*C974),2))," ")</f>
        <v xml:space="preserve"> </v>
      </c>
    </row>
    <row r="975" spans="1:6" s="4557" customFormat="1">
      <c r="A975" s="4836" t="s">
        <v>4391</v>
      </c>
      <c r="B975" s="4787" t="s">
        <v>3485</v>
      </c>
      <c r="C975" s="4822"/>
      <c r="D975" s="4600"/>
      <c r="E975" s="4318"/>
      <c r="F975" s="4318" t="str">
        <f t="shared" si="47"/>
        <v xml:space="preserve"> </v>
      </c>
    </row>
    <row r="976" spans="1:6" ht="14.25" customHeight="1">
      <c r="A976" s="4666"/>
      <c r="B976" s="4837"/>
      <c r="C976" s="4367"/>
      <c r="D976" s="4669"/>
      <c r="E976" s="4961"/>
      <c r="F976" s="4961" t="str">
        <f t="shared" si="47"/>
        <v xml:space="preserve"> </v>
      </c>
    </row>
    <row r="977" spans="1:6" ht="14.25" customHeight="1">
      <c r="A977" s="4185">
        <v>1</v>
      </c>
      <c r="B977" s="4787" t="s">
        <v>2165</v>
      </c>
      <c r="C977" s="4172"/>
      <c r="D977" s="4518"/>
      <c r="E977" s="4961"/>
      <c r="F977" s="4961" t="str">
        <f t="shared" si="47"/>
        <v xml:space="preserve"> </v>
      </c>
    </row>
    <row r="978" spans="1:6" ht="14.25" customHeight="1">
      <c r="A978" s="4179">
        <v>1.1000000000000001</v>
      </c>
      <c r="B978" s="4798" t="s">
        <v>4593</v>
      </c>
      <c r="C978" s="4172">
        <v>22.36</v>
      </c>
      <c r="D978" s="4669" t="s">
        <v>2432</v>
      </c>
      <c r="E978" s="4961"/>
      <c r="F978" s="4961">
        <f t="shared" si="47"/>
        <v>0</v>
      </c>
    </row>
    <row r="979" spans="1:6" ht="14.25" customHeight="1">
      <c r="A979" s="4179"/>
      <c r="B979" s="4184"/>
      <c r="C979" s="4172"/>
      <c r="D979" s="4518"/>
      <c r="E979" s="4961"/>
      <c r="F979" s="4961" t="str">
        <f t="shared" si="47"/>
        <v xml:space="preserve"> </v>
      </c>
    </row>
    <row r="980" spans="1:6" ht="14.25" customHeight="1">
      <c r="A980" s="4185">
        <v>2</v>
      </c>
      <c r="B980" s="4787" t="s">
        <v>38</v>
      </c>
      <c r="C980" s="4172"/>
      <c r="D980" s="4518"/>
      <c r="E980" s="4961"/>
      <c r="F980" s="4961" t="str">
        <f t="shared" si="47"/>
        <v xml:space="preserve"> </v>
      </c>
    </row>
    <row r="981" spans="1:6" ht="14.25" customHeight="1">
      <c r="A981" s="4179">
        <v>2.1</v>
      </c>
      <c r="B981" s="4798" t="s">
        <v>3459</v>
      </c>
      <c r="C981" s="4172">
        <v>11.48</v>
      </c>
      <c r="D981" s="4518" t="s">
        <v>2430</v>
      </c>
      <c r="E981" s="4961"/>
      <c r="F981" s="4961">
        <f t="shared" si="47"/>
        <v>0</v>
      </c>
    </row>
    <row r="982" spans="1:6" ht="14.25" customHeight="1">
      <c r="A982" s="4179">
        <v>2.2000000000000002</v>
      </c>
      <c r="B982" s="4788" t="s">
        <v>2984</v>
      </c>
      <c r="C982" s="4172">
        <v>6.02</v>
      </c>
      <c r="D982" s="4518" t="s">
        <v>2430</v>
      </c>
      <c r="E982" s="4961"/>
      <c r="F982" s="4961">
        <f t="shared" si="47"/>
        <v>0</v>
      </c>
    </row>
    <row r="983" spans="1:6" ht="14.25" customHeight="1">
      <c r="A983" s="4179">
        <v>2.2999999999999998</v>
      </c>
      <c r="B983" s="4812" t="s">
        <v>3780</v>
      </c>
      <c r="C983" s="4172">
        <v>7.09</v>
      </c>
      <c r="D983" s="4518" t="s">
        <v>2430</v>
      </c>
      <c r="E983" s="4961"/>
      <c r="F983" s="4961">
        <f t="shared" si="47"/>
        <v>0</v>
      </c>
    </row>
    <row r="984" spans="1:6" ht="14.25" customHeight="1">
      <c r="A984" s="4179"/>
      <c r="B984" s="4184"/>
      <c r="C984" s="4172"/>
      <c r="D984" s="4518"/>
      <c r="E984" s="4961"/>
      <c r="F984" s="4961" t="str">
        <f t="shared" si="47"/>
        <v xml:space="preserve"> </v>
      </c>
    </row>
    <row r="985" spans="1:6" ht="14.25" customHeight="1">
      <c r="A985" s="4185">
        <v>3</v>
      </c>
      <c r="B985" s="4787" t="s">
        <v>4497</v>
      </c>
      <c r="C985" s="4172"/>
      <c r="D985" s="4520"/>
      <c r="E985" s="4961"/>
      <c r="F985" s="4961" t="str">
        <f t="shared" si="47"/>
        <v xml:space="preserve"> </v>
      </c>
    </row>
    <row r="986" spans="1:6" ht="16.5" customHeight="1">
      <c r="A986" s="4179">
        <v>3.1</v>
      </c>
      <c r="B986" s="4798" t="s">
        <v>3460</v>
      </c>
      <c r="C986" s="4448">
        <v>1.94</v>
      </c>
      <c r="D986" s="4518" t="s">
        <v>2430</v>
      </c>
      <c r="E986" s="4961"/>
      <c r="F986" s="4961">
        <f t="shared" si="47"/>
        <v>0</v>
      </c>
    </row>
    <row r="987" spans="1:6" ht="16.5" customHeight="1">
      <c r="A987" s="4179">
        <v>3.2</v>
      </c>
      <c r="B987" s="4798" t="s">
        <v>4423</v>
      </c>
      <c r="C987" s="4448">
        <v>1.73</v>
      </c>
      <c r="D987" s="4518" t="s">
        <v>2430</v>
      </c>
      <c r="E987" s="4961"/>
      <c r="F987" s="4961">
        <f t="shared" si="47"/>
        <v>0</v>
      </c>
    </row>
    <row r="988" spans="1:6" ht="16.5" customHeight="1">
      <c r="A988" s="4179">
        <v>3.3</v>
      </c>
      <c r="B988" s="4798" t="s">
        <v>4424</v>
      </c>
      <c r="C988" s="4448">
        <v>0.66</v>
      </c>
      <c r="D988" s="4518" t="s">
        <v>2430</v>
      </c>
      <c r="E988" s="4961"/>
      <c r="F988" s="4961">
        <f t="shared" si="47"/>
        <v>0</v>
      </c>
    </row>
    <row r="989" spans="1:6" ht="16.5" customHeight="1">
      <c r="A989" s="4179">
        <v>3.4</v>
      </c>
      <c r="B989" s="4798" t="s">
        <v>4425</v>
      </c>
      <c r="C989" s="4448">
        <v>1.35</v>
      </c>
      <c r="D989" s="4518" t="s">
        <v>2430</v>
      </c>
      <c r="E989" s="4961"/>
      <c r="F989" s="4961">
        <f t="shared" si="47"/>
        <v>0</v>
      </c>
    </row>
    <row r="990" spans="1:6" ht="16.5" customHeight="1">
      <c r="A990" s="4179">
        <v>3.5</v>
      </c>
      <c r="B990" s="4798" t="s">
        <v>4426</v>
      </c>
      <c r="C990" s="4448">
        <v>1.59</v>
      </c>
      <c r="D990" s="4518" t="s">
        <v>2430</v>
      </c>
      <c r="E990" s="4961"/>
      <c r="F990" s="4961">
        <f t="shared" si="47"/>
        <v>0</v>
      </c>
    </row>
    <row r="991" spans="1:6" s="4557" customFormat="1" ht="16.5" customHeight="1">
      <c r="A991" s="4167">
        <v>3.6</v>
      </c>
      <c r="B991" s="4692" t="s">
        <v>4427</v>
      </c>
      <c r="C991" s="4334">
        <v>4.22</v>
      </c>
      <c r="D991" s="4522" t="s">
        <v>2430</v>
      </c>
      <c r="E991" s="4961"/>
      <c r="F991" s="4318">
        <f t="shared" si="47"/>
        <v>0</v>
      </c>
    </row>
    <row r="992" spans="1:6" ht="14.25" customHeight="1">
      <c r="A992" s="4179">
        <v>3.7</v>
      </c>
      <c r="B992" s="4798" t="s">
        <v>3466</v>
      </c>
      <c r="C992" s="4448">
        <v>4</v>
      </c>
      <c r="D992" s="4669" t="s">
        <v>2433</v>
      </c>
      <c r="E992" s="4961"/>
      <c r="F992" s="4961">
        <f t="shared" si="47"/>
        <v>0</v>
      </c>
    </row>
    <row r="993" spans="1:6" ht="14.25" customHeight="1">
      <c r="A993" s="4167">
        <v>3.8</v>
      </c>
      <c r="B993" s="4184" t="s">
        <v>3570</v>
      </c>
      <c r="C993" s="4448">
        <v>18.07</v>
      </c>
      <c r="D993" s="4669" t="s">
        <v>2432</v>
      </c>
      <c r="E993" s="4961"/>
      <c r="F993" s="4961">
        <f t="shared" si="47"/>
        <v>0</v>
      </c>
    </row>
    <row r="994" spans="1:6" ht="14.25" customHeight="1">
      <c r="A994" s="4179"/>
      <c r="B994" s="4566"/>
      <c r="C994" s="4176"/>
      <c r="D994" s="4520"/>
      <c r="E994" s="4961"/>
      <c r="F994" s="4961" t="str">
        <f t="shared" si="47"/>
        <v xml:space="preserve"> </v>
      </c>
    </row>
    <row r="995" spans="1:6" ht="14.25" customHeight="1">
      <c r="A995" s="4185">
        <v>4</v>
      </c>
      <c r="B995" s="4787" t="s">
        <v>3467</v>
      </c>
      <c r="C995" s="4176"/>
      <c r="D995" s="4520"/>
      <c r="E995" s="4961"/>
      <c r="F995" s="4961" t="str">
        <f t="shared" si="47"/>
        <v xml:space="preserve"> </v>
      </c>
    </row>
    <row r="996" spans="1:6" s="4557" customFormat="1" ht="14.25" customHeight="1">
      <c r="A996" s="4167">
        <v>4.0999999999999996</v>
      </c>
      <c r="B996" s="4333" t="s">
        <v>4428</v>
      </c>
      <c r="C996" s="4334">
        <v>6.6</v>
      </c>
      <c r="D996" s="4600" t="s">
        <v>2432</v>
      </c>
      <c r="E996" s="4961"/>
      <c r="F996" s="4318">
        <f t="shared" si="47"/>
        <v>0</v>
      </c>
    </row>
    <row r="997" spans="1:6" s="4557" customFormat="1" ht="14.25" customHeight="1">
      <c r="A997" s="4167">
        <v>4.2</v>
      </c>
      <c r="B997" s="4333" t="s">
        <v>4429</v>
      </c>
      <c r="C997" s="4334">
        <v>44.55</v>
      </c>
      <c r="D997" s="4600" t="s">
        <v>2432</v>
      </c>
      <c r="E997" s="4961"/>
      <c r="F997" s="4318">
        <f t="shared" si="47"/>
        <v>0</v>
      </c>
    </row>
    <row r="998" spans="1:6" ht="14.25" customHeight="1">
      <c r="A998" s="4179"/>
      <c r="B998" s="4566"/>
      <c r="C998" s="4176"/>
      <c r="D998" s="4520"/>
      <c r="E998" s="4961"/>
      <c r="F998" s="4961" t="str">
        <f t="shared" si="47"/>
        <v xml:space="preserve"> </v>
      </c>
    </row>
    <row r="999" spans="1:6" ht="14.25" customHeight="1">
      <c r="A999" s="4185">
        <v>5</v>
      </c>
      <c r="B999" s="4787" t="s">
        <v>859</v>
      </c>
      <c r="C999" s="4176"/>
      <c r="D999" s="4520"/>
      <c r="E999" s="4961"/>
      <c r="F999" s="4961" t="str">
        <f t="shared" si="47"/>
        <v xml:space="preserve"> </v>
      </c>
    </row>
    <row r="1000" spans="1:6" ht="14.25" customHeight="1">
      <c r="A1000" s="4179">
        <v>5.0999999999999996</v>
      </c>
      <c r="B1000" s="4184" t="s">
        <v>2568</v>
      </c>
      <c r="C1000" s="4448">
        <v>26.08</v>
      </c>
      <c r="D1000" s="4669" t="s">
        <v>2432</v>
      </c>
      <c r="E1000" s="4961"/>
      <c r="F1000" s="4961">
        <f t="shared" si="47"/>
        <v>0</v>
      </c>
    </row>
    <row r="1001" spans="1:6" ht="14.25" customHeight="1">
      <c r="A1001" s="4179">
        <v>5.2</v>
      </c>
      <c r="B1001" s="4184" t="s">
        <v>2395</v>
      </c>
      <c r="C1001" s="4448">
        <v>56.3</v>
      </c>
      <c r="D1001" s="4669" t="s">
        <v>2432</v>
      </c>
      <c r="E1001" s="4961"/>
      <c r="F1001" s="4961">
        <f t="shared" si="47"/>
        <v>0</v>
      </c>
    </row>
    <row r="1002" spans="1:6" ht="14.25" customHeight="1">
      <c r="A1002" s="4179">
        <v>5.3</v>
      </c>
      <c r="B1002" s="4184" t="s">
        <v>2396</v>
      </c>
      <c r="C1002" s="4448">
        <v>44.1</v>
      </c>
      <c r="D1002" s="4669" t="s">
        <v>2432</v>
      </c>
      <c r="E1002" s="4961"/>
      <c r="F1002" s="4961">
        <f t="shared" si="47"/>
        <v>0</v>
      </c>
    </row>
    <row r="1003" spans="1:6" ht="14.25" customHeight="1">
      <c r="A1003" s="4179">
        <v>5.4</v>
      </c>
      <c r="B1003" s="4184" t="s">
        <v>3468</v>
      </c>
      <c r="C1003" s="4448">
        <v>27.12</v>
      </c>
      <c r="D1003" s="4669" t="s">
        <v>2432</v>
      </c>
      <c r="E1003" s="4961"/>
      <c r="F1003" s="4961">
        <f t="shared" si="47"/>
        <v>0</v>
      </c>
    </row>
    <row r="1004" spans="1:6" ht="14.25" customHeight="1">
      <c r="A1004" s="4179">
        <v>5.5</v>
      </c>
      <c r="B1004" s="4184" t="s">
        <v>3469</v>
      </c>
      <c r="C1004" s="4448">
        <v>25.11</v>
      </c>
      <c r="D1004" s="4669" t="s">
        <v>2432</v>
      </c>
      <c r="E1004" s="4961"/>
      <c r="F1004" s="4961">
        <f t="shared" si="47"/>
        <v>0</v>
      </c>
    </row>
    <row r="1005" spans="1:6" ht="14.25" customHeight="1">
      <c r="A1005" s="4179">
        <v>5.6</v>
      </c>
      <c r="B1005" s="4184" t="s">
        <v>2362</v>
      </c>
      <c r="C1005" s="4653">
        <v>20.9</v>
      </c>
      <c r="D1005" s="4518" t="s">
        <v>1</v>
      </c>
      <c r="E1005" s="4961"/>
      <c r="F1005" s="4961">
        <f t="shared" si="47"/>
        <v>0</v>
      </c>
    </row>
    <row r="1006" spans="1:6" ht="14.25" customHeight="1">
      <c r="A1006" s="4179">
        <v>5.7</v>
      </c>
      <c r="B1006" s="4184" t="s">
        <v>3470</v>
      </c>
      <c r="C1006" s="4448">
        <v>62.6</v>
      </c>
      <c r="D1006" s="4518" t="s">
        <v>1</v>
      </c>
      <c r="E1006" s="4961"/>
      <c r="F1006" s="4961">
        <f t="shared" si="47"/>
        <v>0</v>
      </c>
    </row>
    <row r="1007" spans="1:6" ht="14.25" customHeight="1">
      <c r="A1007" s="4179">
        <v>5.8</v>
      </c>
      <c r="B1007" s="4184" t="s">
        <v>3540</v>
      </c>
      <c r="C1007" s="4448">
        <v>20.100000000000001</v>
      </c>
      <c r="D1007" s="4518" t="s">
        <v>1</v>
      </c>
      <c r="E1007" s="4961"/>
      <c r="F1007" s="4961">
        <f t="shared" si="47"/>
        <v>0</v>
      </c>
    </row>
    <row r="1008" spans="1:6" ht="14.25" customHeight="1">
      <c r="A1008" s="4179">
        <v>5.9</v>
      </c>
      <c r="B1008" s="4184" t="s">
        <v>3471</v>
      </c>
      <c r="C1008" s="4448">
        <v>127.52</v>
      </c>
      <c r="D1008" s="4669" t="s">
        <v>2432</v>
      </c>
      <c r="E1008" s="4961"/>
      <c r="F1008" s="4961">
        <f t="shared" si="47"/>
        <v>0</v>
      </c>
    </row>
    <row r="1009" spans="1:6" ht="14.25" customHeight="1">
      <c r="A1009" s="4179"/>
      <c r="B1009" s="4184"/>
      <c r="C1009" s="4448"/>
      <c r="D1009" s="4518"/>
      <c r="E1009" s="4961"/>
      <c r="F1009" s="4961" t="str">
        <f t="shared" si="47"/>
        <v xml:space="preserve"> </v>
      </c>
    </row>
    <row r="1010" spans="1:6" ht="14.25" customHeight="1">
      <c r="A1010" s="4185">
        <v>6</v>
      </c>
      <c r="B1010" s="4184" t="s">
        <v>3472</v>
      </c>
      <c r="C1010" s="4448">
        <v>15.12</v>
      </c>
      <c r="D1010" s="4669" t="s">
        <v>2432</v>
      </c>
      <c r="E1010" s="5025"/>
      <c r="F1010" s="4961">
        <f t="shared" si="47"/>
        <v>0</v>
      </c>
    </row>
    <row r="1011" spans="1:6" ht="14.25" customHeight="1">
      <c r="A1011" s="4179"/>
      <c r="B1011" s="4184"/>
      <c r="C1011" s="4448"/>
      <c r="D1011" s="4518"/>
      <c r="E1011" s="4961"/>
      <c r="F1011" s="4961" t="str">
        <f t="shared" si="47"/>
        <v xml:space="preserve"> </v>
      </c>
    </row>
    <row r="1012" spans="1:6" ht="14.25" customHeight="1">
      <c r="A1012" s="4185">
        <v>7</v>
      </c>
      <c r="B1012" s="4787" t="s">
        <v>3473</v>
      </c>
      <c r="C1012" s="4448"/>
      <c r="D1012" s="4518"/>
      <c r="E1012" s="4961"/>
      <c r="F1012" s="4961" t="str">
        <f t="shared" si="47"/>
        <v xml:space="preserve"> </v>
      </c>
    </row>
    <row r="1013" spans="1:6" ht="14.25" customHeight="1">
      <c r="A1013" s="4179">
        <v>7.1</v>
      </c>
      <c r="B1013" s="4184" t="s">
        <v>4048</v>
      </c>
      <c r="C1013" s="4448">
        <v>1</v>
      </c>
      <c r="D1013" s="4669" t="s">
        <v>2433</v>
      </c>
      <c r="E1013" s="4961"/>
      <c r="F1013" s="4961">
        <f t="shared" si="47"/>
        <v>0</v>
      </c>
    </row>
    <row r="1014" spans="1:6" ht="14.25" customHeight="1">
      <c r="A1014" s="4179">
        <v>7.2</v>
      </c>
      <c r="B1014" s="4788" t="s">
        <v>3475</v>
      </c>
      <c r="C1014" s="4448">
        <v>15.06</v>
      </c>
      <c r="D1014" s="4669" t="s">
        <v>2602</v>
      </c>
      <c r="E1014" s="4961"/>
      <c r="F1014" s="4961">
        <f t="shared" si="47"/>
        <v>0</v>
      </c>
    </row>
    <row r="1015" spans="1:6" ht="14.25" customHeight="1">
      <c r="A1015" s="5058">
        <v>7.3</v>
      </c>
      <c r="B1015" s="4915" t="s">
        <v>4615</v>
      </c>
      <c r="C1015" s="5059">
        <v>1</v>
      </c>
      <c r="D1015" s="4808" t="s">
        <v>2433</v>
      </c>
      <c r="E1015" s="5014"/>
      <c r="F1015" s="5014">
        <f t="shared" si="47"/>
        <v>0</v>
      </c>
    </row>
    <row r="1016" spans="1:6" ht="14.25" customHeight="1">
      <c r="A1016" s="4179"/>
      <c r="B1016" s="4184"/>
      <c r="C1016" s="4367"/>
      <c r="D1016" s="4669"/>
      <c r="E1016" s="4961"/>
      <c r="F1016" s="4961" t="str">
        <f t="shared" si="47"/>
        <v xml:space="preserve"> </v>
      </c>
    </row>
    <row r="1017" spans="1:6" ht="14.25" customHeight="1">
      <c r="A1017" s="4185">
        <v>8</v>
      </c>
      <c r="B1017" s="4787" t="s">
        <v>3476</v>
      </c>
      <c r="C1017" s="4367"/>
      <c r="D1017" s="4669"/>
      <c r="E1017" s="4961"/>
      <c r="F1017" s="4961" t="str">
        <f t="shared" si="47"/>
        <v xml:space="preserve"> </v>
      </c>
    </row>
    <row r="1018" spans="1:6" ht="14.25" customHeight="1">
      <c r="A1018" s="4179">
        <v>8.1</v>
      </c>
      <c r="B1018" s="4788" t="s">
        <v>3477</v>
      </c>
      <c r="C1018" s="4448">
        <v>4</v>
      </c>
      <c r="D1018" s="4669" t="s">
        <v>2433</v>
      </c>
      <c r="E1018" s="4961"/>
      <c r="F1018" s="4961">
        <f t="shared" si="47"/>
        <v>0</v>
      </c>
    </row>
    <row r="1019" spans="1:6" ht="14.25" customHeight="1">
      <c r="A1019" s="4179">
        <v>8.1999999999999993</v>
      </c>
      <c r="B1019" s="4788" t="s">
        <v>3478</v>
      </c>
      <c r="C1019" s="4448">
        <v>1</v>
      </c>
      <c r="D1019" s="4669" t="s">
        <v>2433</v>
      </c>
      <c r="E1019" s="4961"/>
      <c r="F1019" s="4961">
        <f t="shared" si="47"/>
        <v>0</v>
      </c>
    </row>
    <row r="1020" spans="1:6" ht="14.25" customHeight="1">
      <c r="A1020" s="4179">
        <v>8.3000000000000007</v>
      </c>
      <c r="B1020" s="4788" t="s">
        <v>3479</v>
      </c>
      <c r="C1020" s="4448">
        <v>2</v>
      </c>
      <c r="D1020" s="4669" t="s">
        <v>2433</v>
      </c>
      <c r="E1020" s="4961"/>
      <c r="F1020" s="4961">
        <f t="shared" si="47"/>
        <v>0</v>
      </c>
    </row>
    <row r="1021" spans="1:6" ht="14.25" customHeight="1">
      <c r="A1021" s="4167"/>
      <c r="B1021" s="4567"/>
      <c r="C1021" s="4367"/>
      <c r="D1021" s="4669"/>
      <c r="E1021" s="4961"/>
      <c r="F1021" s="4961" t="str">
        <f t="shared" si="47"/>
        <v xml:space="preserve"> </v>
      </c>
    </row>
    <row r="1022" spans="1:6" ht="14.25" customHeight="1">
      <c r="A1022" s="4168">
        <v>9</v>
      </c>
      <c r="B1022" s="4787" t="s">
        <v>4430</v>
      </c>
      <c r="C1022" s="4367"/>
      <c r="D1022" s="4669"/>
      <c r="E1022" s="4961"/>
      <c r="F1022" s="4961" t="str">
        <f t="shared" si="47"/>
        <v xml:space="preserve"> </v>
      </c>
    </row>
    <row r="1023" spans="1:6" ht="14.25" customHeight="1">
      <c r="A1023" s="4167">
        <v>9.1</v>
      </c>
      <c r="B1023" s="4734" t="s">
        <v>3661</v>
      </c>
      <c r="C1023" s="4649">
        <v>2</v>
      </c>
      <c r="D1023" s="4522" t="s">
        <v>2433</v>
      </c>
      <c r="E1023" s="4318"/>
      <c r="F1023" s="4961">
        <f t="shared" si="47"/>
        <v>0</v>
      </c>
    </row>
    <row r="1024" spans="1:6" ht="14.25" customHeight="1">
      <c r="A1024" s="4167">
        <v>9.1999999999999993</v>
      </c>
      <c r="B1024" s="4734" t="s">
        <v>3481</v>
      </c>
      <c r="C1024" s="4649">
        <v>2</v>
      </c>
      <c r="D1024" s="4522" t="s">
        <v>2433</v>
      </c>
      <c r="E1024" s="4318"/>
      <c r="F1024" s="4961">
        <f t="shared" si="47"/>
        <v>0</v>
      </c>
    </row>
    <row r="1025" spans="1:6" ht="14.25" customHeight="1">
      <c r="A1025" s="4167">
        <v>9.3000000000000007</v>
      </c>
      <c r="B1025" s="4734" t="s">
        <v>3662</v>
      </c>
      <c r="C1025" s="4599">
        <v>1</v>
      </c>
      <c r="D1025" s="4522" t="s">
        <v>2433</v>
      </c>
      <c r="E1025" s="4318"/>
      <c r="F1025" s="4961">
        <f t="shared" si="47"/>
        <v>0</v>
      </c>
    </row>
    <row r="1026" spans="1:6" ht="14.25" customHeight="1">
      <c r="A1026" s="4167">
        <v>9.4</v>
      </c>
      <c r="B1026" s="4734" t="s">
        <v>4616</v>
      </c>
      <c r="C1026" s="4599">
        <v>95</v>
      </c>
      <c r="D1026" s="4524" t="s">
        <v>1</v>
      </c>
      <c r="E1026" s="4318"/>
      <c r="F1026" s="4961">
        <f t="shared" si="47"/>
        <v>0</v>
      </c>
    </row>
    <row r="1027" spans="1:6" ht="14.25" customHeight="1">
      <c r="A1027" s="4167">
        <v>9.5</v>
      </c>
      <c r="B1027" s="4734" t="s">
        <v>4617</v>
      </c>
      <c r="C1027" s="4649">
        <v>33</v>
      </c>
      <c r="D1027" s="4522" t="s">
        <v>2433</v>
      </c>
      <c r="E1027" s="4318"/>
      <c r="F1027" s="4961">
        <f t="shared" si="47"/>
        <v>0</v>
      </c>
    </row>
    <row r="1028" spans="1:6" ht="14.25" customHeight="1">
      <c r="A1028" s="4167">
        <v>9.6</v>
      </c>
      <c r="B1028" s="4734" t="s">
        <v>4618</v>
      </c>
      <c r="C1028" s="4649">
        <v>4</v>
      </c>
      <c r="D1028" s="4522" t="s">
        <v>2433</v>
      </c>
      <c r="E1028" s="4318"/>
      <c r="F1028" s="4961">
        <f t="shared" si="47"/>
        <v>0</v>
      </c>
    </row>
    <row r="1029" spans="1:6" ht="14.25" customHeight="1">
      <c r="A1029" s="4167">
        <v>9.6999999999999993</v>
      </c>
      <c r="B1029" s="4734" t="s">
        <v>4619</v>
      </c>
      <c r="C1029" s="4649">
        <v>9</v>
      </c>
      <c r="D1029" s="4522" t="s">
        <v>2433</v>
      </c>
      <c r="E1029" s="4318"/>
      <c r="F1029" s="4961">
        <f t="shared" si="47"/>
        <v>0</v>
      </c>
    </row>
    <row r="1030" spans="1:6" ht="14.25" customHeight="1">
      <c r="A1030" s="4167">
        <v>9.8000000000000007</v>
      </c>
      <c r="B1030" s="4734" t="s">
        <v>4620</v>
      </c>
      <c r="C1030" s="4649">
        <v>4</v>
      </c>
      <c r="D1030" s="4522" t="s">
        <v>2433</v>
      </c>
      <c r="E1030" s="4318"/>
      <c r="F1030" s="4961">
        <f t="shared" si="47"/>
        <v>0</v>
      </c>
    </row>
    <row r="1031" spans="1:6" ht="14.25" customHeight="1">
      <c r="A1031" s="4167">
        <v>9.9</v>
      </c>
      <c r="B1031" s="4734" t="s">
        <v>4040</v>
      </c>
      <c r="C1031" s="4649">
        <v>7</v>
      </c>
      <c r="D1031" s="4522" t="s">
        <v>2433</v>
      </c>
      <c r="E1031" s="4318"/>
      <c r="F1031" s="4961">
        <f t="shared" si="47"/>
        <v>0</v>
      </c>
    </row>
    <row r="1032" spans="1:6" ht="15" customHeight="1">
      <c r="A1032" s="4179">
        <v>9.1</v>
      </c>
      <c r="B1032" s="4734" t="s">
        <v>3667</v>
      </c>
      <c r="C1032" s="4649">
        <v>16</v>
      </c>
      <c r="D1032" s="4522" t="s">
        <v>2433</v>
      </c>
      <c r="E1032" s="4318"/>
      <c r="F1032" s="4961">
        <f t="shared" si="47"/>
        <v>0</v>
      </c>
    </row>
    <row r="1033" spans="1:6" ht="14.25" customHeight="1">
      <c r="A1033" s="4179">
        <v>9.11</v>
      </c>
      <c r="B1033" s="4734" t="s">
        <v>3668</v>
      </c>
      <c r="C1033" s="4649">
        <v>1</v>
      </c>
      <c r="D1033" s="4522" t="s">
        <v>2433</v>
      </c>
      <c r="E1033" s="4318"/>
      <c r="F1033" s="4961">
        <f t="shared" si="47"/>
        <v>0</v>
      </c>
    </row>
    <row r="1034" spans="1:6" ht="14.25" customHeight="1">
      <c r="A1034" s="4192">
        <v>9.1199999999999992</v>
      </c>
      <c r="B1034" s="4734" t="s">
        <v>3483</v>
      </c>
      <c r="C1034" s="4649">
        <v>1</v>
      </c>
      <c r="D1034" s="4600" t="s">
        <v>42</v>
      </c>
      <c r="E1034" s="4318"/>
      <c r="F1034" s="4961">
        <f t="shared" si="47"/>
        <v>0</v>
      </c>
    </row>
    <row r="1035" spans="1:6" ht="14.25" customHeight="1">
      <c r="A1035" s="4179">
        <v>9.1300000000000008</v>
      </c>
      <c r="B1035" s="4734" t="s">
        <v>3669</v>
      </c>
      <c r="C1035" s="4649">
        <v>1</v>
      </c>
      <c r="D1035" s="4600" t="s">
        <v>42</v>
      </c>
      <c r="E1035" s="4318"/>
      <c r="F1035" s="4961">
        <f t="shared" si="47"/>
        <v>0</v>
      </c>
    </row>
    <row r="1036" spans="1:6" ht="14.25" customHeight="1">
      <c r="A1036" s="4179"/>
      <c r="B1036" s="4734"/>
      <c r="C1036" s="4649"/>
      <c r="D1036" s="4600" t="s">
        <v>42</v>
      </c>
      <c r="E1036" s="4318"/>
      <c r="F1036" s="4961" t="str">
        <f t="shared" si="47"/>
        <v xml:space="preserve"> </v>
      </c>
    </row>
    <row r="1037" spans="1:6" s="4568" customFormat="1" ht="15" customHeight="1">
      <c r="A1037" s="4167">
        <v>10</v>
      </c>
      <c r="B1037" s="4692" t="s">
        <v>3484</v>
      </c>
      <c r="C1037" s="4334">
        <v>1</v>
      </c>
      <c r="D1037" s="4600" t="s">
        <v>42</v>
      </c>
      <c r="E1037" s="4318"/>
      <c r="F1037" s="4318">
        <f t="shared" ref="F1037" si="48">ROUND(C1037*E1037,2)</f>
        <v>0</v>
      </c>
    </row>
    <row r="1038" spans="1:6" s="4268" customFormat="1" ht="12.75" customHeight="1">
      <c r="A1038" s="4868"/>
      <c r="B1038" s="4868" t="s">
        <v>4392</v>
      </c>
      <c r="C1038" s="4869"/>
      <c r="D1038" s="4869"/>
      <c r="E1038" s="5026"/>
      <c r="F1038" s="5026">
        <f>SUM(F975:F1037)</f>
        <v>0</v>
      </c>
    </row>
    <row r="1039" spans="1:6" s="4557" customFormat="1" ht="12.75" customHeight="1">
      <c r="A1039" s="4752"/>
      <c r="B1039" s="4676"/>
      <c r="C1039" s="4744"/>
      <c r="D1039" s="4744"/>
      <c r="E1039" s="4985"/>
      <c r="F1039" s="4985"/>
    </row>
    <row r="1040" spans="1:6" s="4557" customFormat="1">
      <c r="A1040" s="4836" t="s">
        <v>4393</v>
      </c>
      <c r="B1040" s="4787" t="s">
        <v>2164</v>
      </c>
      <c r="C1040" s="4744"/>
      <c r="D1040" s="4858"/>
      <c r="E1040" s="4985"/>
      <c r="F1040" s="4985" t="str">
        <f t="shared" si="47"/>
        <v xml:space="preserve"> </v>
      </c>
    </row>
    <row r="1041" spans="1:6" ht="14.25" customHeight="1">
      <c r="A1041" s="4666"/>
      <c r="B1041" s="4788"/>
      <c r="C1041" s="4367"/>
      <c r="D1041" s="4669"/>
      <c r="E1041" s="4961"/>
      <c r="F1041" s="4961" t="str">
        <f t="shared" si="47"/>
        <v xml:space="preserve"> </v>
      </c>
    </row>
    <row r="1042" spans="1:6" ht="15" customHeight="1">
      <c r="A1042" s="4789">
        <v>1</v>
      </c>
      <c r="B1042" s="4787" t="s">
        <v>2261</v>
      </c>
      <c r="C1042" s="4367"/>
      <c r="D1042" s="4669"/>
      <c r="E1042" s="4961"/>
      <c r="F1042" s="4961" t="str">
        <f t="shared" si="47"/>
        <v xml:space="preserve"> </v>
      </c>
    </row>
    <row r="1043" spans="1:6" ht="15" customHeight="1">
      <c r="A1043" s="4790">
        <v>1.1000000000000001</v>
      </c>
      <c r="B1043" s="4787" t="s">
        <v>38</v>
      </c>
      <c r="C1043" s="4367"/>
      <c r="D1043" s="4669"/>
      <c r="E1043" s="4961"/>
      <c r="F1043" s="4961"/>
    </row>
    <row r="1044" spans="1:6" ht="14.25" customHeight="1">
      <c r="A1044" s="4666" t="s">
        <v>3928</v>
      </c>
      <c r="B1044" s="4788" t="s">
        <v>3007</v>
      </c>
      <c r="C1044" s="4668">
        <v>218.92</v>
      </c>
      <c r="D1044" s="4669" t="s">
        <v>2430</v>
      </c>
      <c r="E1044" s="4961"/>
      <c r="F1044" s="4961">
        <f t="shared" ref="F1044:F1046" si="49">IF(C1044&gt;0,(ROUND((E1044*C1044),2))," ")</f>
        <v>0</v>
      </c>
    </row>
    <row r="1045" spans="1:6" ht="14.25" customHeight="1">
      <c r="A1045" s="4666" t="s">
        <v>3929</v>
      </c>
      <c r="B1045" s="4788" t="s">
        <v>3927</v>
      </c>
      <c r="C1045" s="4367">
        <v>80.69</v>
      </c>
      <c r="D1045" s="4669" t="s">
        <v>2430</v>
      </c>
      <c r="E1045" s="4961"/>
      <c r="F1045" s="4961">
        <f t="shared" si="49"/>
        <v>0</v>
      </c>
    </row>
    <row r="1046" spans="1:6" ht="27" customHeight="1">
      <c r="A1046" s="4666" t="s">
        <v>3930</v>
      </c>
      <c r="B1046" s="4812" t="s">
        <v>3780</v>
      </c>
      <c r="C1046" s="4367">
        <v>186.61</v>
      </c>
      <c r="D1046" s="4669" t="s">
        <v>2525</v>
      </c>
      <c r="E1046" s="4961"/>
      <c r="F1046" s="4961">
        <f t="shared" si="49"/>
        <v>0</v>
      </c>
    </row>
    <row r="1047" spans="1:6" ht="14.25" customHeight="1">
      <c r="A1047" s="4666"/>
      <c r="B1047" s="4788"/>
      <c r="C1047" s="4367"/>
      <c r="D1047" s="4669"/>
      <c r="E1047" s="4961"/>
      <c r="F1047" s="4961"/>
    </row>
    <row r="1048" spans="1:6" ht="15" customHeight="1">
      <c r="A1048" s="4790">
        <v>1.2</v>
      </c>
      <c r="B1048" s="4787" t="s">
        <v>4498</v>
      </c>
      <c r="C1048" s="4367"/>
      <c r="D1048" s="4669"/>
      <c r="E1048" s="4961"/>
      <c r="F1048" s="4961"/>
    </row>
    <row r="1049" spans="1:6" ht="14.25" customHeight="1">
      <c r="A1049" s="4666" t="s">
        <v>3919</v>
      </c>
      <c r="B1049" s="4788" t="s">
        <v>4431</v>
      </c>
      <c r="C1049" s="4367">
        <v>0.77</v>
      </c>
      <c r="D1049" s="4669" t="s">
        <v>2430</v>
      </c>
      <c r="E1049" s="4961"/>
      <c r="F1049" s="4961">
        <f t="shared" ref="F1049:F1052" si="50">IF(C1049&gt;0,(ROUND((E1049*C1049),2))," ")</f>
        <v>0</v>
      </c>
    </row>
    <row r="1050" spans="1:6" ht="14.25" customHeight="1">
      <c r="A1050" s="4666" t="s">
        <v>3920</v>
      </c>
      <c r="B1050" s="4788" t="s">
        <v>4432</v>
      </c>
      <c r="C1050" s="4367">
        <v>32.58</v>
      </c>
      <c r="D1050" s="4669" t="s">
        <v>2430</v>
      </c>
      <c r="E1050" s="4961"/>
      <c r="F1050" s="4961">
        <f t="shared" si="50"/>
        <v>0</v>
      </c>
    </row>
    <row r="1051" spans="1:6" ht="14.25" customHeight="1">
      <c r="A1051" s="4666" t="s">
        <v>3921</v>
      </c>
      <c r="B1051" s="4788" t="s">
        <v>4433</v>
      </c>
      <c r="C1051" s="4367">
        <v>22.07</v>
      </c>
      <c r="D1051" s="4669" t="s">
        <v>2430</v>
      </c>
      <c r="E1051" s="4961"/>
      <c r="F1051" s="4961">
        <f t="shared" si="50"/>
        <v>0</v>
      </c>
    </row>
    <row r="1052" spans="1:6" ht="14.25" customHeight="1">
      <c r="A1052" s="4666" t="s">
        <v>3931</v>
      </c>
      <c r="B1052" s="4788" t="s">
        <v>4434</v>
      </c>
      <c r="C1052" s="4367">
        <v>0.81</v>
      </c>
      <c r="D1052" s="4669" t="s">
        <v>2430</v>
      </c>
      <c r="E1052" s="4961"/>
      <c r="F1052" s="4961">
        <f t="shared" si="50"/>
        <v>0</v>
      </c>
    </row>
    <row r="1053" spans="1:6" ht="14.25" customHeight="1">
      <c r="A1053" s="4666"/>
      <c r="B1053" s="4788"/>
      <c r="C1053" s="4367"/>
      <c r="D1053" s="4669"/>
      <c r="E1053" s="4961"/>
      <c r="F1053" s="4961"/>
    </row>
    <row r="1054" spans="1:6" ht="15" customHeight="1">
      <c r="A1054" s="4790">
        <v>1.3</v>
      </c>
      <c r="B1054" s="4787" t="s">
        <v>787</v>
      </c>
      <c r="C1054" s="4367"/>
      <c r="D1054" s="4669"/>
      <c r="E1054" s="4961"/>
      <c r="F1054" s="4961"/>
    </row>
    <row r="1055" spans="1:6" ht="14.25" customHeight="1">
      <c r="A1055" s="4666" t="s">
        <v>3922</v>
      </c>
      <c r="B1055" s="4788" t="s">
        <v>2402</v>
      </c>
      <c r="C1055" s="4367">
        <v>171.69</v>
      </c>
      <c r="D1055" s="4669" t="s">
        <v>2432</v>
      </c>
      <c r="E1055" s="4961"/>
      <c r="F1055" s="4961">
        <f t="shared" ref="F1055:F1058" si="51">IF(C1055&gt;0,(ROUND((E1055*C1055),2))," ")</f>
        <v>0</v>
      </c>
    </row>
    <row r="1056" spans="1:6" ht="14.25" customHeight="1">
      <c r="A1056" s="4666" t="s">
        <v>3923</v>
      </c>
      <c r="B1056" s="4788" t="s">
        <v>2395</v>
      </c>
      <c r="C1056" s="4367">
        <v>38.770000000000003</v>
      </c>
      <c r="D1056" s="4669" t="s">
        <v>2432</v>
      </c>
      <c r="E1056" s="4961"/>
      <c r="F1056" s="4961">
        <f t="shared" si="51"/>
        <v>0</v>
      </c>
    </row>
    <row r="1057" spans="1:6" ht="14.25" customHeight="1">
      <c r="A1057" s="4666" t="s">
        <v>3924</v>
      </c>
      <c r="B1057" s="4788" t="s">
        <v>2423</v>
      </c>
      <c r="C1057" s="4367">
        <v>73.569999999999993</v>
      </c>
      <c r="D1057" s="4669" t="s">
        <v>2432</v>
      </c>
      <c r="E1057" s="4961"/>
      <c r="F1057" s="4961">
        <f t="shared" si="51"/>
        <v>0</v>
      </c>
    </row>
    <row r="1058" spans="1:6" ht="14.25" customHeight="1">
      <c r="A1058" s="4666" t="s">
        <v>3925</v>
      </c>
      <c r="B1058" s="4788" t="s">
        <v>1548</v>
      </c>
      <c r="C1058" s="4367">
        <v>114.22</v>
      </c>
      <c r="D1058" s="4669" t="s">
        <v>1</v>
      </c>
      <c r="E1058" s="4961"/>
      <c r="F1058" s="4961">
        <f t="shared" si="51"/>
        <v>0</v>
      </c>
    </row>
    <row r="1059" spans="1:6" ht="14.25" customHeight="1">
      <c r="A1059" s="4666"/>
      <c r="B1059" s="4788"/>
      <c r="C1059" s="4367"/>
      <c r="D1059" s="4669"/>
      <c r="E1059" s="4961"/>
      <c r="F1059" s="4961"/>
    </row>
    <row r="1060" spans="1:6" ht="15" customHeight="1">
      <c r="A1060" s="4789">
        <v>2</v>
      </c>
      <c r="B1060" s="4787" t="s">
        <v>2278</v>
      </c>
      <c r="C1060" s="4367"/>
      <c r="D1060" s="4669"/>
      <c r="E1060" s="4961"/>
      <c r="F1060" s="4961"/>
    </row>
    <row r="1061" spans="1:6" ht="15" customHeight="1">
      <c r="A1061" s="4790">
        <v>2.1</v>
      </c>
      <c r="B1061" s="4787" t="s">
        <v>38</v>
      </c>
      <c r="C1061" s="4367"/>
      <c r="D1061" s="4669"/>
      <c r="E1061" s="4961"/>
      <c r="F1061" s="4961"/>
    </row>
    <row r="1062" spans="1:6" ht="14.25" customHeight="1">
      <c r="A1062" s="4666" t="s">
        <v>1182</v>
      </c>
      <c r="B1062" s="4788" t="s">
        <v>3007</v>
      </c>
      <c r="C1062" s="4367">
        <v>262.64</v>
      </c>
      <c r="D1062" s="4669" t="s">
        <v>2430</v>
      </c>
      <c r="E1062" s="4961"/>
      <c r="F1062" s="4961">
        <f t="shared" ref="F1062:F1064" si="52">IF(C1062&gt;0,(ROUND((E1062*C1062),2))," ")</f>
        <v>0</v>
      </c>
    </row>
    <row r="1063" spans="1:6" ht="14.25" customHeight="1">
      <c r="A1063" s="4666" t="s">
        <v>1183</v>
      </c>
      <c r="B1063" s="4788" t="s">
        <v>2419</v>
      </c>
      <c r="C1063" s="4367">
        <v>70.58</v>
      </c>
      <c r="D1063" s="4669" t="s">
        <v>2430</v>
      </c>
      <c r="E1063" s="4961"/>
      <c r="F1063" s="4961">
        <f t="shared" si="52"/>
        <v>0</v>
      </c>
    </row>
    <row r="1064" spans="1:6" ht="28.5">
      <c r="A1064" s="4666" t="s">
        <v>1958</v>
      </c>
      <c r="B1064" s="4812" t="s">
        <v>3780</v>
      </c>
      <c r="C1064" s="4367">
        <v>259.27999999999997</v>
      </c>
      <c r="D1064" s="4669" t="s">
        <v>2525</v>
      </c>
      <c r="E1064" s="4961"/>
      <c r="F1064" s="4961">
        <f t="shared" si="52"/>
        <v>0</v>
      </c>
    </row>
    <row r="1065" spans="1:6" ht="14.25" customHeight="1">
      <c r="A1065" s="4666"/>
      <c r="B1065" s="4788"/>
      <c r="C1065" s="4367"/>
      <c r="D1065" s="4669"/>
      <c r="E1065" s="4961"/>
      <c r="F1065" s="4961"/>
    </row>
    <row r="1066" spans="1:6" ht="15" customHeight="1">
      <c r="A1066" s="4790">
        <v>2.2000000000000002</v>
      </c>
      <c r="B1066" s="4787" t="s">
        <v>4499</v>
      </c>
      <c r="C1066" s="4367"/>
      <c r="D1066" s="4669"/>
      <c r="E1066" s="4961"/>
      <c r="F1066" s="4961"/>
    </row>
    <row r="1067" spans="1:6" ht="14.25" customHeight="1">
      <c r="A1067" s="4666" t="s">
        <v>3932</v>
      </c>
      <c r="B1067" s="4788" t="s">
        <v>4435</v>
      </c>
      <c r="C1067" s="4367">
        <v>19.190000000000001</v>
      </c>
      <c r="D1067" s="4669" t="s">
        <v>2430</v>
      </c>
      <c r="E1067" s="4961"/>
      <c r="F1067" s="4961">
        <f t="shared" ref="F1067:F1071" si="53">IF(C1067&gt;0,(ROUND((E1067*C1067),2))," ")</f>
        <v>0</v>
      </c>
    </row>
    <row r="1068" spans="1:6" ht="14.25" customHeight="1">
      <c r="A1068" s="4666" t="s">
        <v>3933</v>
      </c>
      <c r="B1068" s="4788" t="s">
        <v>4436</v>
      </c>
      <c r="C1068" s="4367">
        <v>1.31</v>
      </c>
      <c r="D1068" s="4669" t="s">
        <v>2430</v>
      </c>
      <c r="E1068" s="4961"/>
      <c r="F1068" s="4961">
        <f t="shared" si="53"/>
        <v>0</v>
      </c>
    </row>
    <row r="1069" spans="1:6" ht="14.25" customHeight="1">
      <c r="A1069" s="4666" t="s">
        <v>3934</v>
      </c>
      <c r="B1069" s="4788" t="s">
        <v>4437</v>
      </c>
      <c r="C1069" s="4367">
        <v>30.2</v>
      </c>
      <c r="D1069" s="4669" t="s">
        <v>2430</v>
      </c>
      <c r="E1069" s="4961"/>
      <c r="F1069" s="4961">
        <f t="shared" si="53"/>
        <v>0</v>
      </c>
    </row>
    <row r="1070" spans="1:6" ht="14.25" customHeight="1">
      <c r="A1070" s="4666" t="s">
        <v>3935</v>
      </c>
      <c r="B1070" s="4788" t="s">
        <v>4438</v>
      </c>
      <c r="C1070" s="4367">
        <v>11.27</v>
      </c>
      <c r="D1070" s="4669" t="s">
        <v>2430</v>
      </c>
      <c r="E1070" s="4961"/>
      <c r="F1070" s="4961">
        <f t="shared" si="53"/>
        <v>0</v>
      </c>
    </row>
    <row r="1071" spans="1:6" ht="14.25" customHeight="1">
      <c r="A1071" s="4875" t="s">
        <v>3936</v>
      </c>
      <c r="B1071" s="4806" t="s">
        <v>4434</v>
      </c>
      <c r="C1071" s="4807">
        <v>1.32</v>
      </c>
      <c r="D1071" s="4808" t="s">
        <v>2430</v>
      </c>
      <c r="E1071" s="5014"/>
      <c r="F1071" s="5014">
        <f t="shared" si="53"/>
        <v>0</v>
      </c>
    </row>
    <row r="1072" spans="1:6" ht="14.25" customHeight="1">
      <c r="A1072" s="4666"/>
      <c r="B1072" s="4788"/>
      <c r="C1072" s="4367"/>
      <c r="D1072" s="4669"/>
      <c r="E1072" s="4961"/>
      <c r="F1072" s="4961"/>
    </row>
    <row r="1073" spans="1:6" ht="15" customHeight="1">
      <c r="A1073" s="4790">
        <v>2.2999999999999998</v>
      </c>
      <c r="B1073" s="4787" t="s">
        <v>859</v>
      </c>
      <c r="C1073" s="4367"/>
      <c r="D1073" s="4669"/>
      <c r="E1073" s="4961"/>
      <c r="F1073" s="4961"/>
    </row>
    <row r="1074" spans="1:6" ht="14.25" customHeight="1">
      <c r="A1074" s="4666" t="s">
        <v>3937</v>
      </c>
      <c r="B1074" s="4788" t="s">
        <v>2402</v>
      </c>
      <c r="C1074" s="4367">
        <v>158.15</v>
      </c>
      <c r="D1074" s="4669" t="s">
        <v>2432</v>
      </c>
      <c r="E1074" s="4961"/>
      <c r="F1074" s="4961">
        <f t="shared" ref="F1074:F1077" si="54">IF(C1074&gt;0,(ROUND((E1074*C1074),2))," ")</f>
        <v>0</v>
      </c>
    </row>
    <row r="1075" spans="1:6" ht="14.25" customHeight="1">
      <c r="A1075" s="4666" t="s">
        <v>3938</v>
      </c>
      <c r="B1075" s="4788" t="s">
        <v>2395</v>
      </c>
      <c r="C1075" s="4367">
        <v>39.5</v>
      </c>
      <c r="D1075" s="4669" t="s">
        <v>2432</v>
      </c>
      <c r="E1075" s="4961"/>
      <c r="F1075" s="4961">
        <f t="shared" si="54"/>
        <v>0</v>
      </c>
    </row>
    <row r="1076" spans="1:6" ht="14.25" customHeight="1">
      <c r="A1076" s="4666" t="s">
        <v>3939</v>
      </c>
      <c r="B1076" s="4788" t="s">
        <v>2423</v>
      </c>
      <c r="C1076" s="4367">
        <v>93.25</v>
      </c>
      <c r="D1076" s="4669" t="s">
        <v>2432</v>
      </c>
      <c r="E1076" s="4961"/>
      <c r="F1076" s="4961">
        <f t="shared" si="54"/>
        <v>0</v>
      </c>
    </row>
    <row r="1077" spans="1:6" ht="14.25" customHeight="1">
      <c r="A1077" s="4666" t="s">
        <v>3940</v>
      </c>
      <c r="B1077" s="4788" t="s">
        <v>1548</v>
      </c>
      <c r="C1077" s="4367">
        <v>119.75</v>
      </c>
      <c r="D1077" s="4669" t="s">
        <v>1</v>
      </c>
      <c r="E1077" s="4961"/>
      <c r="F1077" s="4961">
        <f t="shared" si="54"/>
        <v>0</v>
      </c>
    </row>
    <row r="1078" spans="1:6" s="4268" customFormat="1" ht="12.75" customHeight="1">
      <c r="A1078" s="4860"/>
      <c r="B1078" s="4860" t="s">
        <v>4394</v>
      </c>
      <c r="C1078" s="4861"/>
      <c r="D1078" s="4861"/>
      <c r="E1078" s="5023"/>
      <c r="F1078" s="5023">
        <f>SUM(F1040:F1077)</f>
        <v>0</v>
      </c>
    </row>
    <row r="1079" spans="1:6" ht="15" customHeight="1">
      <c r="A1079" s="4797"/>
      <c r="B1079" s="4792"/>
      <c r="C1079" s="4821"/>
      <c r="D1079" s="4820"/>
      <c r="E1079" s="5017"/>
      <c r="F1079" s="5017"/>
    </row>
    <row r="1080" spans="1:6" s="4557" customFormat="1" ht="25.5">
      <c r="A1080" s="4836" t="s">
        <v>4395</v>
      </c>
      <c r="B1080" s="4787" t="s">
        <v>3961</v>
      </c>
      <c r="C1080" s="4744"/>
      <c r="D1080" s="4858"/>
      <c r="E1080" s="4985"/>
      <c r="F1080" s="4985" t="str">
        <f t="shared" ref="F1080:F1143" si="55">IF(C1080&gt;0,(ROUND((E1080*C1080),2))," ")</f>
        <v xml:space="preserve"> </v>
      </c>
    </row>
    <row r="1081" spans="1:6" ht="14.25" customHeight="1">
      <c r="A1081" s="4666"/>
      <c r="B1081" s="4811"/>
      <c r="C1081" s="4367"/>
      <c r="D1081" s="4669"/>
      <c r="E1081" s="4961"/>
      <c r="F1081" s="4961" t="str">
        <f t="shared" si="55"/>
        <v xml:space="preserve"> </v>
      </c>
    </row>
    <row r="1082" spans="1:6" ht="14.25" customHeight="1">
      <c r="A1082" s="4789">
        <v>1</v>
      </c>
      <c r="B1082" s="4811" t="s">
        <v>2353</v>
      </c>
      <c r="C1082" s="4367">
        <v>460.4</v>
      </c>
      <c r="D1082" s="4669" t="s">
        <v>1</v>
      </c>
      <c r="E1082" s="4961"/>
      <c r="F1082" s="4961">
        <f>+E1082*C1082</f>
        <v>0</v>
      </c>
    </row>
    <row r="1083" spans="1:6" ht="14.25" customHeight="1">
      <c r="A1083" s="4666"/>
      <c r="B1083" s="4811"/>
      <c r="C1083" s="4367"/>
      <c r="D1083" s="4669"/>
      <c r="E1083" s="4961"/>
      <c r="F1083" s="4961"/>
    </row>
    <row r="1084" spans="1:6" ht="18" customHeight="1">
      <c r="A1084" s="4789">
        <v>2</v>
      </c>
      <c r="B1084" s="4870" t="s">
        <v>14</v>
      </c>
      <c r="C1084" s="4367"/>
      <c r="D1084" s="4669"/>
      <c r="E1084" s="4961"/>
      <c r="F1084" s="4961" t="str">
        <f t="shared" si="55"/>
        <v xml:space="preserve"> </v>
      </c>
    </row>
    <row r="1085" spans="1:6" ht="15" customHeight="1">
      <c r="A1085" s="4795">
        <v>2.1</v>
      </c>
      <c r="B1085" s="4788" t="s">
        <v>3740</v>
      </c>
      <c r="C1085" s="4367">
        <v>824.2</v>
      </c>
      <c r="D1085" s="4669" t="s">
        <v>3157</v>
      </c>
      <c r="E1085" s="4961"/>
      <c r="F1085" s="4961">
        <f t="shared" si="55"/>
        <v>0</v>
      </c>
    </row>
    <row r="1086" spans="1:6" ht="15" customHeight="1">
      <c r="A1086" s="4795">
        <v>2.2000000000000002</v>
      </c>
      <c r="B1086" s="4788" t="s">
        <v>3491</v>
      </c>
      <c r="C1086" s="4367">
        <v>759.11</v>
      </c>
      <c r="D1086" s="4669" t="s">
        <v>2431</v>
      </c>
      <c r="E1086" s="4961"/>
      <c r="F1086" s="4961">
        <f t="shared" si="55"/>
        <v>0</v>
      </c>
    </row>
    <row r="1087" spans="1:6" ht="15" customHeight="1">
      <c r="A1087" s="4795">
        <v>2.2999999999999998</v>
      </c>
      <c r="B1087" s="4788" t="s">
        <v>3779</v>
      </c>
      <c r="C1087" s="4367">
        <v>31.6</v>
      </c>
      <c r="D1087" s="4669" t="s">
        <v>2430</v>
      </c>
      <c r="E1087" s="4961"/>
      <c r="F1087" s="4961">
        <f t="shared" si="55"/>
        <v>0</v>
      </c>
    </row>
    <row r="1088" spans="1:6" ht="30" customHeight="1">
      <c r="A1088" s="4795">
        <v>2.4</v>
      </c>
      <c r="B1088" s="4812" t="s">
        <v>3780</v>
      </c>
      <c r="C1088" s="4367">
        <v>78.099999999999994</v>
      </c>
      <c r="D1088" s="4669" t="s">
        <v>3160</v>
      </c>
      <c r="E1088" s="4961"/>
      <c r="F1088" s="4961">
        <f t="shared" si="55"/>
        <v>0</v>
      </c>
    </row>
    <row r="1089" spans="1:6" ht="15" customHeight="1">
      <c r="A1089" s="4797"/>
      <c r="B1089" s="4792"/>
      <c r="C1089" s="4367"/>
      <c r="D1089" s="4669"/>
      <c r="E1089" s="4961"/>
      <c r="F1089" s="4961" t="str">
        <f t="shared" si="55"/>
        <v xml:space="preserve"> </v>
      </c>
    </row>
    <row r="1090" spans="1:6">
      <c r="A1090" s="4789">
        <v>3</v>
      </c>
      <c r="B1090" s="4870" t="s">
        <v>3741</v>
      </c>
      <c r="C1090" s="4367"/>
      <c r="D1090" s="4669"/>
      <c r="E1090" s="4961"/>
      <c r="F1090" s="4961" t="str">
        <f t="shared" si="55"/>
        <v xml:space="preserve"> </v>
      </c>
    </row>
    <row r="1091" spans="1:6" ht="15" customHeight="1">
      <c r="A1091" s="4795">
        <v>3.1</v>
      </c>
      <c r="B1091" s="4788" t="s">
        <v>3744</v>
      </c>
      <c r="C1091" s="4367">
        <v>46</v>
      </c>
      <c r="D1091" s="4669" t="s">
        <v>1</v>
      </c>
      <c r="E1091" s="4961"/>
      <c r="F1091" s="4961">
        <f t="shared" si="55"/>
        <v>0</v>
      </c>
    </row>
    <row r="1092" spans="1:6" ht="15" customHeight="1">
      <c r="A1092" s="4795">
        <v>3.2</v>
      </c>
      <c r="B1092" s="4788" t="s">
        <v>3743</v>
      </c>
      <c r="C1092" s="4367">
        <v>2</v>
      </c>
      <c r="D1092" s="4669" t="s">
        <v>1</v>
      </c>
      <c r="E1092" s="4961"/>
      <c r="F1092" s="4961">
        <f t="shared" si="55"/>
        <v>0</v>
      </c>
    </row>
    <row r="1093" spans="1:6" ht="15" customHeight="1">
      <c r="A1093" s="4795">
        <v>3.3</v>
      </c>
      <c r="B1093" s="4788" t="s">
        <v>3742</v>
      </c>
      <c r="C1093" s="4738">
        <v>399.78</v>
      </c>
      <c r="D1093" s="4669" t="s">
        <v>1</v>
      </c>
      <c r="E1093" s="4961"/>
      <c r="F1093" s="4961">
        <f>IF(C1093&gt;0,(ROUND((E1093*C1093),2))," ")</f>
        <v>0</v>
      </c>
    </row>
    <row r="1094" spans="1:6" ht="15" customHeight="1">
      <c r="A1094" s="4795">
        <v>3.4</v>
      </c>
      <c r="B1094" s="4788" t="s">
        <v>3941</v>
      </c>
      <c r="C1094" s="4367">
        <v>49.92</v>
      </c>
      <c r="D1094" s="4669" t="s">
        <v>1</v>
      </c>
      <c r="E1094" s="4961"/>
      <c r="F1094" s="4961">
        <f>IF(C1094&gt;0,(ROUND((E1094*C1094),2))," ")</f>
        <v>0</v>
      </c>
    </row>
    <row r="1095" spans="1:6" ht="15" customHeight="1">
      <c r="A1095" s="4797"/>
      <c r="B1095" s="4792"/>
      <c r="C1095" s="4367"/>
      <c r="D1095" s="4669"/>
      <c r="E1095" s="4961"/>
      <c r="F1095" s="4961" t="str">
        <f t="shared" si="55"/>
        <v xml:space="preserve"> </v>
      </c>
    </row>
    <row r="1096" spans="1:6" ht="15" customHeight="1">
      <c r="A1096" s="4789">
        <v>4</v>
      </c>
      <c r="B1096" s="4870" t="s">
        <v>3746</v>
      </c>
      <c r="C1096" s="4367"/>
      <c r="D1096" s="4669"/>
      <c r="E1096" s="4961"/>
      <c r="F1096" s="4961" t="str">
        <f t="shared" si="55"/>
        <v xml:space="preserve"> </v>
      </c>
    </row>
    <row r="1097" spans="1:6" ht="15" customHeight="1">
      <c r="A1097" s="4795">
        <v>4.0999999999999996</v>
      </c>
      <c r="B1097" s="4788" t="s">
        <v>3493</v>
      </c>
      <c r="C1097" s="4367">
        <v>46</v>
      </c>
      <c r="D1097" s="4669" t="s">
        <v>1</v>
      </c>
      <c r="E1097" s="4983"/>
      <c r="F1097" s="4961">
        <f t="shared" si="55"/>
        <v>0</v>
      </c>
    </row>
    <row r="1098" spans="1:6" ht="15" customHeight="1">
      <c r="A1098" s="4795">
        <v>4.2</v>
      </c>
      <c r="B1098" s="4788" t="s">
        <v>3494</v>
      </c>
      <c r="C1098" s="4367">
        <v>2</v>
      </c>
      <c r="D1098" s="4669" t="s">
        <v>1</v>
      </c>
      <c r="E1098" s="4983"/>
      <c r="F1098" s="4961">
        <f t="shared" si="55"/>
        <v>0</v>
      </c>
    </row>
    <row r="1099" spans="1:6" ht="15" customHeight="1">
      <c r="A1099" s="4795">
        <v>4.3</v>
      </c>
      <c r="B1099" s="4788" t="s">
        <v>3745</v>
      </c>
      <c r="C1099" s="4367">
        <v>364.4</v>
      </c>
      <c r="D1099" s="4669" t="s">
        <v>1</v>
      </c>
      <c r="E1099" s="4983"/>
      <c r="F1099" s="4961">
        <f>IF(C1099&gt;0,(ROUND((E1099*C1099),2))," ")</f>
        <v>0</v>
      </c>
    </row>
    <row r="1100" spans="1:6" ht="15" customHeight="1">
      <c r="A1100" s="4795">
        <v>4.4000000000000004</v>
      </c>
      <c r="B1100" s="4788" t="s">
        <v>3739</v>
      </c>
      <c r="C1100" s="4367">
        <v>48</v>
      </c>
      <c r="D1100" s="4669" t="s">
        <v>1</v>
      </c>
      <c r="E1100" s="4983"/>
      <c r="F1100" s="4961">
        <f>IF(C1100&gt;0,(ROUND((E1100*C1100),2))," ")</f>
        <v>0</v>
      </c>
    </row>
    <row r="1101" spans="1:6" ht="15" customHeight="1">
      <c r="A1101" s="4797"/>
      <c r="B1101" s="4788"/>
      <c r="C1101" s="4367"/>
      <c r="D1101" s="4669"/>
      <c r="E1101" s="4961"/>
      <c r="F1101" s="4961" t="str">
        <f t="shared" si="55"/>
        <v xml:space="preserve"> </v>
      </c>
    </row>
    <row r="1102" spans="1:6" ht="14.25" customHeight="1">
      <c r="A1102" s="4789">
        <v>5</v>
      </c>
      <c r="B1102" s="4870" t="s">
        <v>3781</v>
      </c>
      <c r="C1102" s="4367"/>
      <c r="D1102" s="4669"/>
      <c r="E1102" s="4961"/>
      <c r="F1102" s="4961" t="str">
        <f t="shared" si="55"/>
        <v xml:space="preserve"> </v>
      </c>
    </row>
    <row r="1103" spans="1:6" ht="15" customHeight="1">
      <c r="A1103" s="4795">
        <v>5.0999999999999996</v>
      </c>
      <c r="B1103" s="4788" t="s">
        <v>4439</v>
      </c>
      <c r="C1103" s="4367">
        <v>6</v>
      </c>
      <c r="D1103" s="4669" t="s">
        <v>2433</v>
      </c>
      <c r="E1103" s="4961"/>
      <c r="F1103" s="4961">
        <f>IF(C1103&gt;0,(ROUND((E1103*C1103),2))," ")</f>
        <v>0</v>
      </c>
    </row>
    <row r="1104" spans="1:6" ht="15" customHeight="1">
      <c r="A1104" s="4795">
        <v>5.2</v>
      </c>
      <c r="B1104" s="4788" t="s">
        <v>4440</v>
      </c>
      <c r="C1104" s="4367">
        <v>4</v>
      </c>
      <c r="D1104" s="4669" t="s">
        <v>2433</v>
      </c>
      <c r="E1104" s="4961"/>
      <c r="F1104" s="4961">
        <f>IF(C1104&gt;0,(ROUND((E1104*C1104),2))," ")</f>
        <v>0</v>
      </c>
    </row>
    <row r="1105" spans="1:6" ht="15" customHeight="1">
      <c r="A1105" s="4795">
        <v>5.3</v>
      </c>
      <c r="B1105" s="4788" t="s">
        <v>3782</v>
      </c>
      <c r="C1105" s="4367">
        <v>2</v>
      </c>
      <c r="D1105" s="4669" t="s">
        <v>2433</v>
      </c>
      <c r="E1105" s="4961"/>
      <c r="F1105" s="4961">
        <f t="shared" si="55"/>
        <v>0</v>
      </c>
    </row>
    <row r="1106" spans="1:6" ht="15" customHeight="1">
      <c r="A1106" s="4795">
        <v>5.4</v>
      </c>
      <c r="B1106" s="4788" t="s">
        <v>3782</v>
      </c>
      <c r="C1106" s="4367">
        <v>1</v>
      </c>
      <c r="D1106" s="4669" t="s">
        <v>2433</v>
      </c>
      <c r="E1106" s="4961"/>
      <c r="F1106" s="4961">
        <f t="shared" si="55"/>
        <v>0</v>
      </c>
    </row>
    <row r="1107" spans="1:6" ht="15" customHeight="1">
      <c r="A1107" s="4795">
        <v>5.5</v>
      </c>
      <c r="B1107" s="4788" t="s">
        <v>3785</v>
      </c>
      <c r="C1107" s="4367">
        <v>6</v>
      </c>
      <c r="D1107" s="4669" t="s">
        <v>2433</v>
      </c>
      <c r="E1107" s="4961"/>
      <c r="F1107" s="4961">
        <f t="shared" si="55"/>
        <v>0</v>
      </c>
    </row>
    <row r="1108" spans="1:6" ht="15" customHeight="1">
      <c r="A1108" s="4795">
        <v>5.6</v>
      </c>
      <c r="B1108" s="4788" t="s">
        <v>3783</v>
      </c>
      <c r="C1108" s="4367">
        <v>2</v>
      </c>
      <c r="D1108" s="4669" t="s">
        <v>2433</v>
      </c>
      <c r="E1108" s="4961"/>
      <c r="F1108" s="4961">
        <f t="shared" si="55"/>
        <v>0</v>
      </c>
    </row>
    <row r="1109" spans="1:6" ht="15" customHeight="1">
      <c r="A1109" s="4795">
        <v>5.7</v>
      </c>
      <c r="B1109" s="4788" t="s">
        <v>3784</v>
      </c>
      <c r="C1109" s="4367">
        <v>3</v>
      </c>
      <c r="D1109" s="4669" t="s">
        <v>2433</v>
      </c>
      <c r="E1109" s="4961"/>
      <c r="F1109" s="4961">
        <f t="shared" si="55"/>
        <v>0</v>
      </c>
    </row>
    <row r="1110" spans="1:6" ht="15" customHeight="1">
      <c r="A1110" s="4795">
        <v>5.8</v>
      </c>
      <c r="B1110" s="4788" t="s">
        <v>3784</v>
      </c>
      <c r="C1110" s="4367">
        <v>3</v>
      </c>
      <c r="D1110" s="4669" t="s">
        <v>2433</v>
      </c>
      <c r="E1110" s="4961"/>
      <c r="F1110" s="4961">
        <f t="shared" si="55"/>
        <v>0</v>
      </c>
    </row>
    <row r="1111" spans="1:6" ht="15" customHeight="1">
      <c r="A1111" s="4795">
        <v>5.9</v>
      </c>
      <c r="B1111" s="4788" t="s">
        <v>3787</v>
      </c>
      <c r="C1111" s="4367">
        <v>3</v>
      </c>
      <c r="D1111" s="4669" t="s">
        <v>2433</v>
      </c>
      <c r="E1111" s="4961"/>
      <c r="F1111" s="4961">
        <f t="shared" si="55"/>
        <v>0</v>
      </c>
    </row>
    <row r="1112" spans="1:6" ht="15" customHeight="1">
      <c r="A1112" s="4666">
        <v>5.0999999999999996</v>
      </c>
      <c r="B1112" s="4788" t="s">
        <v>3788</v>
      </c>
      <c r="C1112" s="4367">
        <v>3</v>
      </c>
      <c r="D1112" s="4669" t="s">
        <v>2433</v>
      </c>
      <c r="E1112" s="4961"/>
      <c r="F1112" s="4961">
        <f t="shared" si="55"/>
        <v>0</v>
      </c>
    </row>
    <row r="1113" spans="1:6" ht="15" customHeight="1">
      <c r="A1113" s="4666">
        <v>5.1100000000000003</v>
      </c>
      <c r="B1113" s="4788" t="s">
        <v>3511</v>
      </c>
      <c r="C1113" s="4367">
        <v>2</v>
      </c>
      <c r="D1113" s="4669" t="s">
        <v>2433</v>
      </c>
      <c r="E1113" s="4983"/>
      <c r="F1113" s="4961">
        <f>IF(C1113&gt;0,(ROUND((E1113*C1113),2))," ")</f>
        <v>0</v>
      </c>
    </row>
    <row r="1114" spans="1:6" ht="15" customHeight="1">
      <c r="A1114" s="4666">
        <v>5.12</v>
      </c>
      <c r="B1114" s="4788" t="s">
        <v>3529</v>
      </c>
      <c r="C1114" s="4367">
        <v>2</v>
      </c>
      <c r="D1114" s="4669" t="s">
        <v>2433</v>
      </c>
      <c r="E1114" s="4983"/>
      <c r="F1114" s="4961">
        <f>IF(C1114&gt;0,(ROUND((E1114*C1114),2))," ")</f>
        <v>0</v>
      </c>
    </row>
    <row r="1115" spans="1:6" ht="15" customHeight="1">
      <c r="A1115" s="4666">
        <v>5.13</v>
      </c>
      <c r="B1115" s="4788" t="s">
        <v>3512</v>
      </c>
      <c r="C1115" s="4367">
        <v>4</v>
      </c>
      <c r="D1115" s="4669" t="s">
        <v>2433</v>
      </c>
      <c r="E1115" s="4983"/>
      <c r="F1115" s="4961">
        <f>IF(C1115&gt;0,(ROUND((E1115*C1115),2))," ")</f>
        <v>0</v>
      </c>
    </row>
    <row r="1116" spans="1:6" ht="15" customHeight="1">
      <c r="A1116" s="4666">
        <v>5.14</v>
      </c>
      <c r="B1116" s="4788" t="s">
        <v>3513</v>
      </c>
      <c r="C1116" s="4367">
        <v>4</v>
      </c>
      <c r="D1116" s="4669" t="s">
        <v>2433</v>
      </c>
      <c r="E1116" s="4983"/>
      <c r="F1116" s="4961">
        <f>IF(C1116&gt;0,(ROUND((E1116*C1116),2))," ")</f>
        <v>0</v>
      </c>
    </row>
    <row r="1117" spans="1:6" ht="15" customHeight="1">
      <c r="A1117" s="4666">
        <v>5.15</v>
      </c>
      <c r="B1117" s="4788" t="s">
        <v>3514</v>
      </c>
      <c r="C1117" s="4367">
        <v>1</v>
      </c>
      <c r="D1117" s="4669" t="s">
        <v>2433</v>
      </c>
      <c r="E1117" s="4983"/>
      <c r="F1117" s="4961">
        <f>IF(C1117&gt;0,(ROUND((E1117*C1117),2))," ")</f>
        <v>0</v>
      </c>
    </row>
    <row r="1118" spans="1:6" ht="15" customHeight="1">
      <c r="A1118" s="4666">
        <v>5.16</v>
      </c>
      <c r="B1118" s="4788" t="s">
        <v>4441</v>
      </c>
      <c r="C1118" s="4367">
        <v>1</v>
      </c>
      <c r="D1118" s="4669" t="s">
        <v>2433</v>
      </c>
      <c r="E1118" s="4961"/>
      <c r="F1118" s="4961">
        <f t="shared" si="55"/>
        <v>0</v>
      </c>
    </row>
    <row r="1119" spans="1:6" ht="15.75" customHeight="1">
      <c r="A1119" s="4666">
        <v>5.17</v>
      </c>
      <c r="B1119" s="4788" t="s">
        <v>3778</v>
      </c>
      <c r="C1119" s="4367">
        <v>1</v>
      </c>
      <c r="D1119" s="4669" t="s">
        <v>2433</v>
      </c>
      <c r="E1119" s="4983"/>
      <c r="F1119" s="4961">
        <f t="shared" si="55"/>
        <v>0</v>
      </c>
    </row>
    <row r="1120" spans="1:6" ht="15" customHeight="1">
      <c r="A1120" s="4666">
        <v>5.18</v>
      </c>
      <c r="B1120" s="4788" t="s">
        <v>3776</v>
      </c>
      <c r="C1120" s="4367">
        <v>2</v>
      </c>
      <c r="D1120" s="4669" t="s">
        <v>2433</v>
      </c>
      <c r="E1120" s="4983"/>
      <c r="F1120" s="4961">
        <f t="shared" si="55"/>
        <v>0</v>
      </c>
    </row>
    <row r="1121" spans="1:6" ht="15" customHeight="1">
      <c r="A1121" s="4666">
        <v>5.19</v>
      </c>
      <c r="B1121" s="4788" t="s">
        <v>3777</v>
      </c>
      <c r="C1121" s="4367">
        <v>2</v>
      </c>
      <c r="D1121" s="4669" t="s">
        <v>2433</v>
      </c>
      <c r="E1121" s="4983"/>
      <c r="F1121" s="4961">
        <f t="shared" si="55"/>
        <v>0</v>
      </c>
    </row>
    <row r="1122" spans="1:6" ht="15" customHeight="1">
      <c r="A1122" s="4666">
        <v>5.2</v>
      </c>
      <c r="B1122" s="4788" t="s">
        <v>3789</v>
      </c>
      <c r="C1122" s="4367">
        <v>1</v>
      </c>
      <c r="D1122" s="4669" t="s">
        <v>42</v>
      </c>
      <c r="E1122" s="4983"/>
      <c r="F1122" s="4961">
        <f t="shared" si="55"/>
        <v>0</v>
      </c>
    </row>
    <row r="1123" spans="1:6" ht="15" customHeight="1">
      <c r="A1123" s="4797"/>
      <c r="B1123" s="4788"/>
      <c r="C1123" s="4367"/>
      <c r="D1123" s="4669"/>
      <c r="E1123" s="4961"/>
      <c r="F1123" s="4961" t="str">
        <f t="shared" si="55"/>
        <v xml:space="preserve"> </v>
      </c>
    </row>
    <row r="1124" spans="1:6">
      <c r="A1124" s="4789">
        <v>6</v>
      </c>
      <c r="B1124" s="4870" t="s">
        <v>3733</v>
      </c>
      <c r="C1124" s="4367"/>
      <c r="D1124" s="4669"/>
      <c r="E1124" s="4961"/>
      <c r="F1124" s="4961" t="str">
        <f t="shared" si="55"/>
        <v xml:space="preserve"> </v>
      </c>
    </row>
    <row r="1125" spans="1:6" s="4639" customFormat="1" ht="14.25" customHeight="1">
      <c r="A1125" s="4795">
        <v>6.1</v>
      </c>
      <c r="B1125" s="4788" t="s">
        <v>3734</v>
      </c>
      <c r="C1125" s="4367">
        <v>1</v>
      </c>
      <c r="D1125" s="4669" t="s">
        <v>2433</v>
      </c>
      <c r="E1125" s="4961"/>
      <c r="F1125" s="4961">
        <f t="shared" si="55"/>
        <v>0</v>
      </c>
    </row>
    <row r="1126" spans="1:6" s="4639" customFormat="1" ht="14.25" customHeight="1">
      <c r="A1126" s="4795">
        <v>6.2</v>
      </c>
      <c r="B1126" s="4788" t="s">
        <v>3729</v>
      </c>
      <c r="C1126" s="4367">
        <v>2</v>
      </c>
      <c r="D1126" s="4669" t="s">
        <v>2433</v>
      </c>
      <c r="E1126" s="4961"/>
      <c r="F1126" s="4961">
        <f t="shared" si="55"/>
        <v>0</v>
      </c>
    </row>
    <row r="1127" spans="1:6" s="4639" customFormat="1" ht="14.25" customHeight="1">
      <c r="A1127" s="4805">
        <v>6.3</v>
      </c>
      <c r="B1127" s="4806" t="s">
        <v>3730</v>
      </c>
      <c r="C1127" s="4807">
        <v>5</v>
      </c>
      <c r="D1127" s="4808" t="s">
        <v>2433</v>
      </c>
      <c r="E1127" s="5014"/>
      <c r="F1127" s="5014">
        <f t="shared" si="55"/>
        <v>0</v>
      </c>
    </row>
    <row r="1128" spans="1:6" s="4639" customFormat="1" ht="14.25" customHeight="1">
      <c r="A1128" s="5060">
        <v>6.4</v>
      </c>
      <c r="B1128" s="5061" t="s">
        <v>3731</v>
      </c>
      <c r="C1128" s="5062">
        <v>1</v>
      </c>
      <c r="D1128" s="5063" t="s">
        <v>2433</v>
      </c>
      <c r="E1128" s="5064"/>
      <c r="F1128" s="5064">
        <f t="shared" si="55"/>
        <v>0</v>
      </c>
    </row>
    <row r="1129" spans="1:6" s="4639" customFormat="1" ht="14.25" customHeight="1">
      <c r="A1129" s="4795">
        <v>6.5</v>
      </c>
      <c r="B1129" s="4788" t="s">
        <v>3790</v>
      </c>
      <c r="C1129" s="4367">
        <v>2</v>
      </c>
      <c r="D1129" s="4669" t="s">
        <v>2433</v>
      </c>
      <c r="E1129" s="4961"/>
      <c r="F1129" s="4961">
        <f t="shared" si="55"/>
        <v>0</v>
      </c>
    </row>
    <row r="1130" spans="1:6" s="4639" customFormat="1" ht="14.25" customHeight="1">
      <c r="A1130" s="4795">
        <v>6.6</v>
      </c>
      <c r="B1130" s="4788" t="s">
        <v>3732</v>
      </c>
      <c r="C1130" s="4367">
        <v>1</v>
      </c>
      <c r="D1130" s="4669" t="s">
        <v>2433</v>
      </c>
      <c r="E1130" s="4961"/>
      <c r="F1130" s="4961">
        <f t="shared" si="55"/>
        <v>0</v>
      </c>
    </row>
    <row r="1131" spans="1:6" s="4639" customFormat="1" ht="14.25" customHeight="1">
      <c r="A1131" s="4666"/>
      <c r="B1131" s="4788"/>
      <c r="C1131" s="4367"/>
      <c r="D1131" s="4669"/>
      <c r="E1131" s="4961"/>
      <c r="F1131" s="4961" t="str">
        <f t="shared" si="55"/>
        <v xml:space="preserve"> </v>
      </c>
    </row>
    <row r="1132" spans="1:6" s="4563" customFormat="1" ht="15" customHeight="1">
      <c r="A1132" s="4789">
        <v>7</v>
      </c>
      <c r="B1132" s="4870" t="s">
        <v>3521</v>
      </c>
      <c r="C1132" s="4367"/>
      <c r="D1132" s="4669"/>
      <c r="E1132" s="4961"/>
      <c r="F1132" s="4961" t="str">
        <f t="shared" si="55"/>
        <v xml:space="preserve"> </v>
      </c>
    </row>
    <row r="1133" spans="1:6" ht="14.25" customHeight="1">
      <c r="A1133" s="4795">
        <v>7.1</v>
      </c>
      <c r="B1133" s="4788" t="s">
        <v>3522</v>
      </c>
      <c r="C1133" s="4367">
        <v>2</v>
      </c>
      <c r="D1133" s="4669" t="s">
        <v>2433</v>
      </c>
      <c r="E1133" s="4961"/>
      <c r="F1133" s="4961">
        <f t="shared" si="55"/>
        <v>0</v>
      </c>
    </row>
    <row r="1134" spans="1:6" s="4268" customFormat="1" ht="12.75" customHeight="1">
      <c r="A1134" s="4868"/>
      <c r="B1134" s="4868" t="s">
        <v>4396</v>
      </c>
      <c r="C1134" s="4869"/>
      <c r="D1134" s="4869"/>
      <c r="E1134" s="5026"/>
      <c r="F1134" s="5026">
        <f>SUM(F1080:F1133)</f>
        <v>0</v>
      </c>
    </row>
    <row r="1135" spans="1:6" s="4557" customFormat="1" ht="12.75" customHeight="1">
      <c r="A1135" s="4752"/>
      <c r="B1135" s="4676"/>
      <c r="C1135" s="4744"/>
      <c r="D1135" s="4744"/>
      <c r="E1135" s="4985"/>
      <c r="F1135" s="4985"/>
    </row>
    <row r="1136" spans="1:6" s="4557" customFormat="1" ht="12.75" customHeight="1">
      <c r="A1136" s="4752" t="s">
        <v>4397</v>
      </c>
      <c r="B1136" s="4787" t="s">
        <v>3942</v>
      </c>
      <c r="C1136" s="4744"/>
      <c r="D1136" s="4744"/>
      <c r="E1136" s="4985"/>
      <c r="F1136" s="4985"/>
    </row>
    <row r="1137" spans="1:6" s="4639" customFormat="1" ht="15" customHeight="1">
      <c r="A1137" s="4789">
        <v>1</v>
      </c>
      <c r="B1137" s="4870" t="s">
        <v>3793</v>
      </c>
      <c r="C1137" s="4821"/>
      <c r="D1137" s="4820"/>
      <c r="E1137" s="4961"/>
      <c r="F1137" s="4961" t="str">
        <f t="shared" si="55"/>
        <v xml:space="preserve"> </v>
      </c>
    </row>
    <row r="1138" spans="1:6" ht="14.25" customHeight="1">
      <c r="A1138" s="4795">
        <v>1.1000000000000001</v>
      </c>
      <c r="B1138" s="4788" t="s">
        <v>3791</v>
      </c>
      <c r="C1138" s="4367">
        <v>196.08</v>
      </c>
      <c r="D1138" s="4669" t="s">
        <v>2430</v>
      </c>
      <c r="E1138" s="4961"/>
      <c r="F1138" s="4961">
        <f t="shared" si="55"/>
        <v>0</v>
      </c>
    </row>
    <row r="1139" spans="1:6" ht="14.25" customHeight="1">
      <c r="A1139" s="4795">
        <v>1.2</v>
      </c>
      <c r="B1139" s="4788" t="s">
        <v>3122</v>
      </c>
      <c r="C1139" s="4367">
        <v>163.4</v>
      </c>
      <c r="D1139" s="4669" t="s">
        <v>2430</v>
      </c>
      <c r="E1139" s="4961"/>
      <c r="F1139" s="4961">
        <f t="shared" si="55"/>
        <v>0</v>
      </c>
    </row>
    <row r="1140" spans="1:6" ht="14.25" customHeight="1">
      <c r="A1140" s="4795">
        <v>1.3</v>
      </c>
      <c r="B1140" s="4788" t="s">
        <v>3192</v>
      </c>
      <c r="C1140" s="4367">
        <v>163.4</v>
      </c>
      <c r="D1140" s="4669" t="s">
        <v>2431</v>
      </c>
      <c r="E1140" s="4961"/>
      <c r="F1140" s="4961">
        <f t="shared" si="55"/>
        <v>0</v>
      </c>
    </row>
    <row r="1141" spans="1:6" ht="14.25" customHeight="1">
      <c r="A1141" s="4795">
        <v>1.4</v>
      </c>
      <c r="B1141" s="4788" t="s">
        <v>3792</v>
      </c>
      <c r="C1141" s="4367">
        <v>870</v>
      </c>
      <c r="D1141" s="4669" t="s">
        <v>2432</v>
      </c>
      <c r="E1141" s="4961"/>
      <c r="F1141" s="4961">
        <f t="shared" si="55"/>
        <v>0</v>
      </c>
    </row>
    <row r="1142" spans="1:6" ht="14.25" customHeight="1">
      <c r="A1142" s="4795">
        <v>1.5</v>
      </c>
      <c r="B1142" s="4788" t="s">
        <v>4026</v>
      </c>
      <c r="C1142" s="4367">
        <v>870</v>
      </c>
      <c r="D1142" s="4669" t="s">
        <v>2432</v>
      </c>
      <c r="E1142" s="4961"/>
      <c r="F1142" s="4961">
        <f t="shared" si="55"/>
        <v>0</v>
      </c>
    </row>
    <row r="1143" spans="1:6" ht="14.25" customHeight="1">
      <c r="A1143" s="4795">
        <v>1.6</v>
      </c>
      <c r="B1143" s="4788" t="s">
        <v>3976</v>
      </c>
      <c r="C1143" s="4367">
        <v>3871.5</v>
      </c>
      <c r="D1143" s="4669" t="s">
        <v>3974</v>
      </c>
      <c r="E1143" s="4961"/>
      <c r="F1143" s="4961">
        <f t="shared" si="55"/>
        <v>0</v>
      </c>
    </row>
    <row r="1144" spans="1:6" ht="14.25" customHeight="1">
      <c r="A1144" s="4666"/>
      <c r="B1144" s="4788"/>
      <c r="C1144" s="4367"/>
      <c r="D1144" s="4669"/>
      <c r="E1144" s="4961"/>
      <c r="F1144" s="4961"/>
    </row>
    <row r="1145" spans="1:6" ht="14.25" customHeight="1">
      <c r="A1145" s="4789">
        <v>2</v>
      </c>
      <c r="B1145" s="4788" t="s">
        <v>3975</v>
      </c>
      <c r="C1145" s="4367">
        <v>1220.55</v>
      </c>
      <c r="D1145" s="4669" t="s">
        <v>2432</v>
      </c>
      <c r="E1145" s="4961"/>
      <c r="F1145" s="4961">
        <f t="shared" ref="F1145:F1208" si="56">IF(C1145&gt;0,(ROUND((E1145*C1145),2))," ")</f>
        <v>0</v>
      </c>
    </row>
    <row r="1146" spans="1:6" ht="14.25" customHeight="1">
      <c r="A1146" s="4789">
        <v>3</v>
      </c>
      <c r="B1146" s="4788" t="s">
        <v>2346</v>
      </c>
      <c r="C1146" s="4367">
        <v>245.67</v>
      </c>
      <c r="D1146" s="4669" t="s">
        <v>2432</v>
      </c>
      <c r="E1146" s="4961"/>
      <c r="F1146" s="4961">
        <f t="shared" si="56"/>
        <v>0</v>
      </c>
    </row>
    <row r="1147" spans="1:6" ht="14.25" customHeight="1">
      <c r="A1147" s="4789">
        <v>5</v>
      </c>
      <c r="B1147" s="4811" t="s">
        <v>3569</v>
      </c>
      <c r="C1147" s="4367">
        <v>116</v>
      </c>
      <c r="D1147" s="4669" t="s">
        <v>1</v>
      </c>
      <c r="E1147" s="4961"/>
      <c r="F1147" s="4961">
        <f>IF(C1147&gt;0,(ROUND((E1147*C1147),2))," ")</f>
        <v>0</v>
      </c>
    </row>
    <row r="1148" spans="1:6" ht="14.25" customHeight="1">
      <c r="A1148" s="4789">
        <v>4</v>
      </c>
      <c r="B1148" s="4811" t="s">
        <v>3735</v>
      </c>
      <c r="C1148" s="4367">
        <v>341.07</v>
      </c>
      <c r="D1148" s="4669" t="s">
        <v>2432</v>
      </c>
      <c r="E1148" s="4961"/>
      <c r="F1148" s="4961">
        <f t="shared" si="56"/>
        <v>0</v>
      </c>
    </row>
    <row r="1149" spans="1:6" ht="14.25" customHeight="1">
      <c r="A1149" s="4789">
        <v>5</v>
      </c>
      <c r="B1149" s="4811" t="s">
        <v>4027</v>
      </c>
      <c r="C1149" s="4367">
        <v>47.9</v>
      </c>
      <c r="D1149" s="4669" t="s">
        <v>1</v>
      </c>
      <c r="E1149" s="4961"/>
      <c r="F1149" s="4961">
        <f t="shared" si="56"/>
        <v>0</v>
      </c>
    </row>
    <row r="1150" spans="1:6" s="4563" customFormat="1" ht="28.5">
      <c r="A1150" s="4789">
        <v>6</v>
      </c>
      <c r="B1150" s="4788" t="s">
        <v>4028</v>
      </c>
      <c r="C1150" s="4367">
        <v>1</v>
      </c>
      <c r="D1150" s="4600" t="s">
        <v>42</v>
      </c>
      <c r="E1150" s="4961"/>
      <c r="F1150" s="4961">
        <f t="shared" ref="F1150" si="57">+ROUND((E1150*C1150),2)</f>
        <v>0</v>
      </c>
    </row>
    <row r="1151" spans="1:6" s="4563" customFormat="1" ht="14.25" customHeight="1">
      <c r="A1151" s="4871"/>
      <c r="B1151" s="4872"/>
      <c r="C1151" s="4873"/>
      <c r="D1151" s="4874"/>
      <c r="E1151" s="5027"/>
      <c r="F1151" s="5027"/>
    </row>
    <row r="1152" spans="1:6" s="4268" customFormat="1" ht="12.75" customHeight="1">
      <c r="A1152" s="4860"/>
      <c r="B1152" s="4860" t="s">
        <v>4398</v>
      </c>
      <c r="C1152" s="4861"/>
      <c r="D1152" s="4861"/>
      <c r="E1152" s="5023"/>
      <c r="F1152" s="5023">
        <f>SUM(F1138:F1150)</f>
        <v>0</v>
      </c>
    </row>
    <row r="1153" spans="1:6" ht="15" customHeight="1" outlineLevel="1">
      <c r="A1153" s="4797"/>
      <c r="B1153" s="4792"/>
      <c r="C1153" s="4821"/>
      <c r="D1153" s="4820"/>
      <c r="E1153" s="4961"/>
      <c r="F1153" s="5017" t="str">
        <f t="shared" si="56"/>
        <v xml:space="preserve"> </v>
      </c>
    </row>
    <row r="1154" spans="1:6" s="4569" customFormat="1">
      <c r="A1154" s="4836" t="s">
        <v>4399</v>
      </c>
      <c r="B1154" s="4870" t="s">
        <v>3944</v>
      </c>
      <c r="C1154" s="4744"/>
      <c r="D1154" s="4858"/>
      <c r="E1154" s="4985"/>
      <c r="F1154" s="4985" t="str">
        <f t="shared" si="56"/>
        <v xml:space="preserve"> </v>
      </c>
    </row>
    <row r="1155" spans="1:6" ht="15" customHeight="1">
      <c r="A1155" s="4789">
        <v>1</v>
      </c>
      <c r="B1155" s="4870" t="s">
        <v>4442</v>
      </c>
      <c r="C1155" s="4367"/>
      <c r="D1155" s="4669"/>
      <c r="E1155" s="4961"/>
      <c r="F1155" s="4961" t="str">
        <f t="shared" si="56"/>
        <v xml:space="preserve"> </v>
      </c>
    </row>
    <row r="1156" spans="1:6" ht="14.25" customHeight="1">
      <c r="A1156" s="4795">
        <v>1.1000000000000001</v>
      </c>
      <c r="B1156" s="4788" t="s">
        <v>3675</v>
      </c>
      <c r="C1156" s="4844">
        <v>8</v>
      </c>
      <c r="D1156" s="4669" t="s">
        <v>2433</v>
      </c>
      <c r="E1156" s="4965"/>
      <c r="F1156" s="4961">
        <f t="shared" si="56"/>
        <v>0</v>
      </c>
    </row>
    <row r="1157" spans="1:6" ht="14.25" customHeight="1">
      <c r="A1157" s="4795">
        <v>1.2</v>
      </c>
      <c r="B1157" s="4788" t="s">
        <v>3676</v>
      </c>
      <c r="C1157" s="4727">
        <v>12</v>
      </c>
      <c r="D1157" s="4669" t="s">
        <v>2433</v>
      </c>
      <c r="E1157" s="4965"/>
      <c r="F1157" s="4961">
        <f t="shared" si="56"/>
        <v>0</v>
      </c>
    </row>
    <row r="1158" spans="1:6" ht="14.25" customHeight="1">
      <c r="A1158" s="4795">
        <v>1.3</v>
      </c>
      <c r="B1158" s="4788" t="s">
        <v>2425</v>
      </c>
      <c r="C1158" s="4844">
        <v>800</v>
      </c>
      <c r="D1158" s="4669" t="s">
        <v>1</v>
      </c>
      <c r="E1158" s="4965"/>
      <c r="F1158" s="4961">
        <f t="shared" si="56"/>
        <v>0</v>
      </c>
    </row>
    <row r="1159" spans="1:6" ht="14.25" customHeight="1">
      <c r="A1159" s="4795">
        <v>1.4</v>
      </c>
      <c r="B1159" s="4788" t="s">
        <v>3688</v>
      </c>
      <c r="C1159" s="4844">
        <v>8</v>
      </c>
      <c r="D1159" s="4669" t="s">
        <v>2433</v>
      </c>
      <c r="E1159" s="4965"/>
      <c r="F1159" s="4961">
        <f t="shared" si="56"/>
        <v>0</v>
      </c>
    </row>
    <row r="1160" spans="1:6" ht="14.25" customHeight="1">
      <c r="A1160" s="4795">
        <v>1.5</v>
      </c>
      <c r="B1160" s="4788" t="s">
        <v>3687</v>
      </c>
      <c r="C1160" s="4844">
        <v>8</v>
      </c>
      <c r="D1160" s="4669" t="s">
        <v>2433</v>
      </c>
      <c r="E1160" s="4965"/>
      <c r="F1160" s="4961">
        <f t="shared" si="56"/>
        <v>0</v>
      </c>
    </row>
    <row r="1161" spans="1:6" ht="14.25" customHeight="1">
      <c r="A1161" s="4666"/>
      <c r="B1161" s="4788"/>
      <c r="C1161" s="4367"/>
      <c r="D1161" s="4669"/>
      <c r="E1161" s="4961"/>
      <c r="F1161" s="4961" t="str">
        <f t="shared" si="56"/>
        <v xml:space="preserve"> </v>
      </c>
    </row>
    <row r="1162" spans="1:6" ht="15" customHeight="1">
      <c r="A1162" s="4789">
        <v>2</v>
      </c>
      <c r="B1162" s="4870" t="s">
        <v>3959</v>
      </c>
      <c r="C1162" s="4367"/>
      <c r="D1162" s="4669"/>
      <c r="E1162" s="4961"/>
      <c r="F1162" s="4961" t="str">
        <f t="shared" si="56"/>
        <v xml:space="preserve"> </v>
      </c>
    </row>
    <row r="1163" spans="1:6" ht="14.25" customHeight="1">
      <c r="A1163" s="4795">
        <v>2.1</v>
      </c>
      <c r="B1163" s="4788" t="s">
        <v>3671</v>
      </c>
      <c r="C1163" s="4367">
        <v>1</v>
      </c>
      <c r="D1163" s="4669" t="s">
        <v>2433</v>
      </c>
      <c r="E1163" s="4961"/>
      <c r="F1163" s="4961">
        <f t="shared" si="56"/>
        <v>0</v>
      </c>
    </row>
    <row r="1164" spans="1:6" ht="14.25" customHeight="1">
      <c r="A1164" s="4795">
        <v>2.2000000000000002</v>
      </c>
      <c r="B1164" s="4788" t="s">
        <v>3672</v>
      </c>
      <c r="C1164" s="4367">
        <v>8</v>
      </c>
      <c r="D1164" s="4669" t="s">
        <v>2433</v>
      </c>
      <c r="E1164" s="4961"/>
      <c r="F1164" s="4961">
        <f t="shared" si="56"/>
        <v>0</v>
      </c>
    </row>
    <row r="1165" spans="1:6" ht="14.25" customHeight="1">
      <c r="A1165" s="4795">
        <v>2.2999999999999998</v>
      </c>
      <c r="B1165" s="4788" t="s">
        <v>3673</v>
      </c>
      <c r="C1165" s="4367">
        <v>3000</v>
      </c>
      <c r="D1165" s="4669" t="s">
        <v>3970</v>
      </c>
      <c r="E1165" s="4961"/>
      <c r="F1165" s="4961">
        <f t="shared" si="56"/>
        <v>0</v>
      </c>
    </row>
    <row r="1166" spans="1:6" ht="14.25" customHeight="1">
      <c r="A1166" s="4795">
        <v>2.4</v>
      </c>
      <c r="B1166" s="4788" t="s">
        <v>3674</v>
      </c>
      <c r="C1166" s="4367">
        <v>3</v>
      </c>
      <c r="D1166" s="4669" t="s">
        <v>2433</v>
      </c>
      <c r="E1166" s="4961"/>
      <c r="F1166" s="4961">
        <f t="shared" si="56"/>
        <v>0</v>
      </c>
    </row>
    <row r="1167" spans="1:6" ht="14.25" customHeight="1">
      <c r="A1167" s="4795">
        <v>2.5</v>
      </c>
      <c r="B1167" s="4788" t="s">
        <v>3677</v>
      </c>
      <c r="C1167" s="4367">
        <v>1</v>
      </c>
      <c r="D1167" s="4669" t="s">
        <v>2433</v>
      </c>
      <c r="E1167" s="4961"/>
      <c r="F1167" s="4961">
        <f t="shared" si="56"/>
        <v>0</v>
      </c>
    </row>
    <row r="1168" spans="1:6" ht="14.25" customHeight="1">
      <c r="A1168" s="4795">
        <v>2.6</v>
      </c>
      <c r="B1168" s="4788" t="s">
        <v>3678</v>
      </c>
      <c r="C1168" s="4367">
        <v>4</v>
      </c>
      <c r="D1168" s="4669" t="s">
        <v>2433</v>
      </c>
      <c r="E1168" s="4961"/>
      <c r="F1168" s="4961">
        <f t="shared" si="56"/>
        <v>0</v>
      </c>
    </row>
    <row r="1169" spans="1:6" ht="14.25" customHeight="1">
      <c r="A1169" s="4795">
        <v>2.7</v>
      </c>
      <c r="B1169" s="4788" t="s">
        <v>3679</v>
      </c>
      <c r="C1169" s="4367">
        <v>1</v>
      </c>
      <c r="D1169" s="4669" t="s">
        <v>2433</v>
      </c>
      <c r="E1169" s="4961"/>
      <c r="F1169" s="4961">
        <f t="shared" si="56"/>
        <v>0</v>
      </c>
    </row>
    <row r="1170" spans="1:6" ht="14.25" customHeight="1">
      <c r="A1170" s="4795">
        <v>2.8</v>
      </c>
      <c r="B1170" s="4788" t="s">
        <v>3946</v>
      </c>
      <c r="C1170" s="4367">
        <v>10</v>
      </c>
      <c r="D1170" s="4669" t="s">
        <v>2433</v>
      </c>
      <c r="E1170" s="4961"/>
      <c r="F1170" s="4961">
        <f t="shared" si="56"/>
        <v>0</v>
      </c>
    </row>
    <row r="1171" spans="1:6" ht="14.25" customHeight="1">
      <c r="A1171" s="4795">
        <v>2.9</v>
      </c>
      <c r="B1171" s="4788" t="s">
        <v>3680</v>
      </c>
      <c r="C1171" s="4367">
        <v>9</v>
      </c>
      <c r="D1171" s="4669" t="s">
        <v>2433</v>
      </c>
      <c r="E1171" s="4961"/>
      <c r="F1171" s="4961">
        <f t="shared" si="56"/>
        <v>0</v>
      </c>
    </row>
    <row r="1172" spans="1:6" ht="14.25" customHeight="1">
      <c r="A1172" s="4666">
        <v>2.1</v>
      </c>
      <c r="B1172" s="4788" t="s">
        <v>3681</v>
      </c>
      <c r="C1172" s="4367">
        <v>9</v>
      </c>
      <c r="D1172" s="4669" t="s">
        <v>2433</v>
      </c>
      <c r="E1172" s="4961"/>
      <c r="F1172" s="4961">
        <f t="shared" si="56"/>
        <v>0</v>
      </c>
    </row>
    <row r="1173" spans="1:6" ht="14.25" customHeight="1">
      <c r="A1173" s="4666">
        <v>2.11</v>
      </c>
      <c r="B1173" s="4788" t="s">
        <v>3682</v>
      </c>
      <c r="C1173" s="4367">
        <v>1</v>
      </c>
      <c r="D1173" s="4669" t="s">
        <v>2433</v>
      </c>
      <c r="E1173" s="4961"/>
      <c r="F1173" s="4961">
        <f t="shared" si="56"/>
        <v>0</v>
      </c>
    </row>
    <row r="1174" spans="1:6" ht="14.25" customHeight="1">
      <c r="A1174" s="4666">
        <v>2.12</v>
      </c>
      <c r="B1174" s="4788" t="s">
        <v>3683</v>
      </c>
      <c r="C1174" s="4367">
        <v>9</v>
      </c>
      <c r="D1174" s="4669" t="s">
        <v>2433</v>
      </c>
      <c r="E1174" s="4961"/>
      <c r="F1174" s="4961">
        <f t="shared" si="56"/>
        <v>0</v>
      </c>
    </row>
    <row r="1175" spans="1:6" ht="14.25" customHeight="1">
      <c r="A1175" s="4666">
        <v>2.13</v>
      </c>
      <c r="B1175" s="4788" t="s">
        <v>3684</v>
      </c>
      <c r="C1175" s="4367">
        <v>1</v>
      </c>
      <c r="D1175" s="4669" t="s">
        <v>2433</v>
      </c>
      <c r="E1175" s="4961"/>
      <c r="F1175" s="4961">
        <f t="shared" si="56"/>
        <v>0</v>
      </c>
    </row>
    <row r="1176" spans="1:6" ht="14.25" customHeight="1">
      <c r="A1176" s="4666">
        <v>2.14</v>
      </c>
      <c r="B1176" s="4788" t="s">
        <v>3685</v>
      </c>
      <c r="C1176" s="4367">
        <v>1</v>
      </c>
      <c r="D1176" s="4669" t="s">
        <v>2433</v>
      </c>
      <c r="E1176" s="4961"/>
      <c r="F1176" s="4961">
        <f t="shared" si="56"/>
        <v>0</v>
      </c>
    </row>
    <row r="1177" spans="1:6" ht="14.25" customHeight="1">
      <c r="A1177" s="4666">
        <v>2.15</v>
      </c>
      <c r="B1177" s="4788" t="s">
        <v>3686</v>
      </c>
      <c r="C1177" s="4367">
        <v>2</v>
      </c>
      <c r="D1177" s="4669" t="s">
        <v>2433</v>
      </c>
      <c r="E1177" s="4961"/>
      <c r="F1177" s="4961">
        <f t="shared" si="56"/>
        <v>0</v>
      </c>
    </row>
    <row r="1178" spans="1:6" ht="14.25" customHeight="1">
      <c r="A1178" s="4666">
        <v>2.16</v>
      </c>
      <c r="B1178" s="4788" t="s">
        <v>3687</v>
      </c>
      <c r="C1178" s="4367">
        <v>9</v>
      </c>
      <c r="D1178" s="4669" t="s">
        <v>2433</v>
      </c>
      <c r="E1178" s="4961"/>
      <c r="F1178" s="4961">
        <f t="shared" si="56"/>
        <v>0</v>
      </c>
    </row>
    <row r="1179" spans="1:6" ht="14.25" customHeight="1">
      <c r="A1179" s="4666">
        <v>2.17</v>
      </c>
      <c r="B1179" s="4788" t="s">
        <v>3688</v>
      </c>
      <c r="C1179" s="4367">
        <v>9</v>
      </c>
      <c r="D1179" s="4669" t="s">
        <v>2433</v>
      </c>
      <c r="E1179" s="4961"/>
      <c r="F1179" s="4961">
        <f t="shared" si="56"/>
        <v>0</v>
      </c>
    </row>
    <row r="1180" spans="1:6" ht="14.25" customHeight="1">
      <c r="A1180" s="4666">
        <v>2.1800000000000002</v>
      </c>
      <c r="B1180" s="4788" t="s">
        <v>3945</v>
      </c>
      <c r="C1180" s="4367">
        <v>10</v>
      </c>
      <c r="D1180" s="4669" t="s">
        <v>2433</v>
      </c>
      <c r="E1180" s="4961"/>
      <c r="F1180" s="4961">
        <f t="shared" si="56"/>
        <v>0</v>
      </c>
    </row>
    <row r="1181" spans="1:6" ht="14.25" customHeight="1">
      <c r="A1181" s="4875">
        <v>2.19</v>
      </c>
      <c r="B1181" s="4806" t="s">
        <v>2426</v>
      </c>
      <c r="C1181" s="4807">
        <v>1</v>
      </c>
      <c r="D1181" s="4808" t="s">
        <v>2433</v>
      </c>
      <c r="E1181" s="5014"/>
      <c r="F1181" s="5014">
        <f t="shared" si="56"/>
        <v>0</v>
      </c>
    </row>
    <row r="1182" spans="1:6" ht="14.25" customHeight="1">
      <c r="A1182" s="4666"/>
      <c r="B1182" s="4788"/>
      <c r="C1182" s="4367"/>
      <c r="D1182" s="4669"/>
      <c r="E1182" s="4961"/>
      <c r="F1182" s="4961" t="str">
        <f t="shared" si="56"/>
        <v xml:space="preserve"> </v>
      </c>
    </row>
    <row r="1183" spans="1:6" ht="15" customHeight="1">
      <c r="A1183" s="4789">
        <v>3</v>
      </c>
      <c r="B1183" s="4870" t="s">
        <v>3960</v>
      </c>
      <c r="C1183" s="4367"/>
      <c r="D1183" s="4669"/>
      <c r="E1183" s="4961"/>
      <c r="F1183" s="4961" t="str">
        <f t="shared" si="56"/>
        <v xml:space="preserve"> </v>
      </c>
    </row>
    <row r="1184" spans="1:6" ht="42.75" customHeight="1">
      <c r="A1184" s="4795">
        <v>3.1</v>
      </c>
      <c r="B1184" s="4788" t="s">
        <v>3702</v>
      </c>
      <c r="C1184" s="4367">
        <v>14</v>
      </c>
      <c r="D1184" s="4669" t="s">
        <v>1</v>
      </c>
      <c r="E1184" s="4961"/>
      <c r="F1184" s="4961">
        <f t="shared" si="56"/>
        <v>0</v>
      </c>
    </row>
    <row r="1185" spans="1:6" ht="42.75" customHeight="1">
      <c r="A1185" s="4795">
        <v>3.2</v>
      </c>
      <c r="B1185" s="4788" t="s">
        <v>4041</v>
      </c>
      <c r="C1185" s="4367">
        <v>4</v>
      </c>
      <c r="D1185" s="4669" t="s">
        <v>1</v>
      </c>
      <c r="E1185" s="4961"/>
      <c r="F1185" s="4961">
        <f t="shared" si="56"/>
        <v>0</v>
      </c>
    </row>
    <row r="1186" spans="1:6" ht="42.75" customHeight="1">
      <c r="A1186" s="4795">
        <v>3.3</v>
      </c>
      <c r="B1186" s="4788" t="s">
        <v>3703</v>
      </c>
      <c r="C1186" s="4367">
        <v>4</v>
      </c>
      <c r="D1186" s="4669" t="s">
        <v>1</v>
      </c>
      <c r="E1186" s="4961"/>
      <c r="F1186" s="4961">
        <f t="shared" si="56"/>
        <v>0</v>
      </c>
    </row>
    <row r="1187" spans="1:6" ht="42.75" customHeight="1">
      <c r="A1187" s="4795">
        <v>3.4</v>
      </c>
      <c r="B1187" s="4788" t="s">
        <v>3704</v>
      </c>
      <c r="C1187" s="4367">
        <v>20</v>
      </c>
      <c r="D1187" s="4669" t="s">
        <v>1</v>
      </c>
      <c r="E1187" s="4961"/>
      <c r="F1187" s="4961">
        <f t="shared" si="56"/>
        <v>0</v>
      </c>
    </row>
    <row r="1188" spans="1:6" ht="42.75" customHeight="1">
      <c r="A1188" s="4795">
        <v>3.5</v>
      </c>
      <c r="B1188" s="4788" t="s">
        <v>3705</v>
      </c>
      <c r="C1188" s="4367">
        <v>20</v>
      </c>
      <c r="D1188" s="4669" t="s">
        <v>1</v>
      </c>
      <c r="E1188" s="4961"/>
      <c r="F1188" s="4961">
        <f t="shared" si="56"/>
        <v>0</v>
      </c>
    </row>
    <row r="1189" spans="1:6" ht="42.75" customHeight="1">
      <c r="A1189" s="4795">
        <v>3.6</v>
      </c>
      <c r="B1189" s="4788" t="s">
        <v>3706</v>
      </c>
      <c r="C1189" s="4367">
        <v>4</v>
      </c>
      <c r="D1189" s="4669" t="s">
        <v>1</v>
      </c>
      <c r="E1189" s="4961"/>
      <c r="F1189" s="4961">
        <f t="shared" si="56"/>
        <v>0</v>
      </c>
    </row>
    <row r="1190" spans="1:6" ht="42.75" customHeight="1">
      <c r="A1190" s="4795">
        <v>3.7</v>
      </c>
      <c r="B1190" s="4788" t="s">
        <v>3707</v>
      </c>
      <c r="C1190" s="4367">
        <v>30</v>
      </c>
      <c r="D1190" s="4669" t="s">
        <v>1</v>
      </c>
      <c r="E1190" s="4961"/>
      <c r="F1190" s="4961">
        <f t="shared" si="56"/>
        <v>0</v>
      </c>
    </row>
    <row r="1191" spans="1:6" ht="42.75" customHeight="1">
      <c r="A1191" s="4795">
        <v>3.8</v>
      </c>
      <c r="B1191" s="4788" t="s">
        <v>3708</v>
      </c>
      <c r="C1191" s="4367">
        <v>30</v>
      </c>
      <c r="D1191" s="4669" t="s">
        <v>1</v>
      </c>
      <c r="E1191" s="4961"/>
      <c r="F1191" s="4961">
        <f t="shared" si="56"/>
        <v>0</v>
      </c>
    </row>
    <row r="1192" spans="1:6" ht="42.75" customHeight="1">
      <c r="A1192" s="4795">
        <v>3.9</v>
      </c>
      <c r="B1192" s="4788" t="s">
        <v>3709</v>
      </c>
      <c r="C1192" s="4367">
        <v>20</v>
      </c>
      <c r="D1192" s="4669" t="s">
        <v>1</v>
      </c>
      <c r="E1192" s="4961"/>
      <c r="F1192" s="4961">
        <f t="shared" si="56"/>
        <v>0</v>
      </c>
    </row>
    <row r="1193" spans="1:6" ht="14.25" customHeight="1">
      <c r="A1193" s="4666">
        <v>3.1</v>
      </c>
      <c r="B1193" s="4788" t="s">
        <v>3710</v>
      </c>
      <c r="C1193" s="4367">
        <v>1</v>
      </c>
      <c r="D1193" s="4669" t="s">
        <v>2433</v>
      </c>
      <c r="E1193" s="4961"/>
      <c r="F1193" s="4961">
        <f t="shared" si="56"/>
        <v>0</v>
      </c>
    </row>
    <row r="1194" spans="1:6" ht="42.75" customHeight="1">
      <c r="A1194" s="4666">
        <v>3.11</v>
      </c>
      <c r="B1194" s="4788" t="s">
        <v>3711</v>
      </c>
      <c r="C1194" s="4367">
        <v>1</v>
      </c>
      <c r="D1194" s="4669" t="s">
        <v>2433</v>
      </c>
      <c r="E1194" s="4961"/>
      <c r="F1194" s="4961">
        <f t="shared" si="56"/>
        <v>0</v>
      </c>
    </row>
    <row r="1195" spans="1:6" ht="14.25" customHeight="1">
      <c r="A1195" s="4666">
        <v>3.12</v>
      </c>
      <c r="B1195" s="4788" t="s">
        <v>2632</v>
      </c>
      <c r="C1195" s="4367">
        <v>2</v>
      </c>
      <c r="D1195" s="4669" t="s">
        <v>2433</v>
      </c>
      <c r="E1195" s="4961"/>
      <c r="F1195" s="4961">
        <f t="shared" si="56"/>
        <v>0</v>
      </c>
    </row>
    <row r="1196" spans="1:6" ht="14.25" customHeight="1">
      <c r="A1196" s="4666">
        <v>3.13</v>
      </c>
      <c r="B1196" s="4788" t="s">
        <v>2427</v>
      </c>
      <c r="C1196" s="4367">
        <v>1</v>
      </c>
      <c r="D1196" s="4669" t="s">
        <v>2433</v>
      </c>
      <c r="E1196" s="4961"/>
      <c r="F1196" s="4961">
        <f t="shared" si="56"/>
        <v>0</v>
      </c>
    </row>
    <row r="1197" spans="1:6" ht="14.25" customHeight="1">
      <c r="A1197" s="4666">
        <v>3.14</v>
      </c>
      <c r="B1197" s="4788" t="s">
        <v>2633</v>
      </c>
      <c r="C1197" s="4367">
        <v>1</v>
      </c>
      <c r="D1197" s="4669" t="s">
        <v>2433</v>
      </c>
      <c r="E1197" s="4961"/>
      <c r="F1197" s="4961">
        <f t="shared" si="56"/>
        <v>0</v>
      </c>
    </row>
    <row r="1198" spans="1:6" ht="14.25" customHeight="1">
      <c r="A1198" s="4666">
        <v>3.15</v>
      </c>
      <c r="B1198" s="4788" t="s">
        <v>2634</v>
      </c>
      <c r="C1198" s="4367">
        <v>1</v>
      </c>
      <c r="D1198" s="4669" t="s">
        <v>2433</v>
      </c>
      <c r="E1198" s="4961"/>
      <c r="F1198" s="4961">
        <f t="shared" si="56"/>
        <v>0</v>
      </c>
    </row>
    <row r="1199" spans="1:6" ht="14.25" customHeight="1">
      <c r="A1199" s="4666">
        <v>3.16</v>
      </c>
      <c r="B1199" s="4788" t="s">
        <v>3712</v>
      </c>
      <c r="C1199" s="4367">
        <v>7</v>
      </c>
      <c r="D1199" s="4669" t="s">
        <v>2433</v>
      </c>
      <c r="E1199" s="4961"/>
      <c r="F1199" s="4961">
        <f t="shared" si="56"/>
        <v>0</v>
      </c>
    </row>
    <row r="1200" spans="1:6" ht="14.25" customHeight="1">
      <c r="A1200" s="4666">
        <v>3.17</v>
      </c>
      <c r="B1200" s="4788" t="s">
        <v>3713</v>
      </c>
      <c r="C1200" s="4367">
        <v>1</v>
      </c>
      <c r="D1200" s="4669" t="s">
        <v>2433</v>
      </c>
      <c r="E1200" s="4961"/>
      <c r="F1200" s="4961">
        <f t="shared" si="56"/>
        <v>0</v>
      </c>
    </row>
    <row r="1201" spans="1:6" ht="14.25" customHeight="1">
      <c r="A1201" s="4666">
        <v>3.18</v>
      </c>
      <c r="B1201" s="4788" t="s">
        <v>3714</v>
      </c>
      <c r="C1201" s="4367">
        <v>1</v>
      </c>
      <c r="D1201" s="4669" t="s">
        <v>2433</v>
      </c>
      <c r="E1201" s="4961"/>
      <c r="F1201" s="4961">
        <f t="shared" si="56"/>
        <v>0</v>
      </c>
    </row>
    <row r="1202" spans="1:6" ht="14.25" customHeight="1">
      <c r="A1202" s="4666">
        <v>3.19</v>
      </c>
      <c r="B1202" s="4788" t="s">
        <v>2428</v>
      </c>
      <c r="C1202" s="4367">
        <v>1</v>
      </c>
      <c r="D1202" s="4669" t="s">
        <v>2433</v>
      </c>
      <c r="E1202" s="4961"/>
      <c r="F1202" s="4961">
        <f t="shared" si="56"/>
        <v>0</v>
      </c>
    </row>
    <row r="1203" spans="1:6" ht="14.25" customHeight="1">
      <c r="A1203" s="4666"/>
      <c r="B1203" s="4788"/>
      <c r="C1203" s="4367"/>
      <c r="D1203" s="4669"/>
      <c r="E1203" s="4961"/>
      <c r="F1203" s="4961" t="str">
        <f t="shared" si="56"/>
        <v xml:space="preserve"> </v>
      </c>
    </row>
    <row r="1204" spans="1:6" ht="29.25" customHeight="1">
      <c r="A1204" s="4789">
        <v>4</v>
      </c>
      <c r="B1204" s="4870" t="s">
        <v>3689</v>
      </c>
      <c r="C1204" s="4367"/>
      <c r="D1204" s="4669"/>
      <c r="E1204" s="4961"/>
      <c r="F1204" s="4961" t="str">
        <f t="shared" si="56"/>
        <v xml:space="preserve"> </v>
      </c>
    </row>
    <row r="1205" spans="1:6" ht="14.25" customHeight="1">
      <c r="A1205" s="4795">
        <v>4.0999999999999996</v>
      </c>
      <c r="B1205" s="4788" t="s">
        <v>3715</v>
      </c>
      <c r="C1205" s="4367">
        <v>1</v>
      </c>
      <c r="D1205" s="4669" t="s">
        <v>2433</v>
      </c>
      <c r="E1205" s="4961"/>
      <c r="F1205" s="4961">
        <f t="shared" si="56"/>
        <v>0</v>
      </c>
    </row>
    <row r="1206" spans="1:6" ht="14.25" customHeight="1">
      <c r="A1206" s="4795">
        <v>4.2</v>
      </c>
      <c r="B1206" s="4788" t="s">
        <v>3716</v>
      </c>
      <c r="C1206" s="4367">
        <v>1</v>
      </c>
      <c r="D1206" s="4669" t="s">
        <v>2433</v>
      </c>
      <c r="E1206" s="4961"/>
      <c r="F1206" s="4961">
        <f t="shared" si="56"/>
        <v>0</v>
      </c>
    </row>
    <row r="1207" spans="1:6" ht="42.75" customHeight="1">
      <c r="A1207" s="4795">
        <v>4.3</v>
      </c>
      <c r="B1207" s="4876" t="s">
        <v>3717</v>
      </c>
      <c r="C1207" s="4367">
        <v>10</v>
      </c>
      <c r="D1207" s="4669" t="s">
        <v>2433</v>
      </c>
      <c r="E1207" s="4961"/>
      <c r="F1207" s="4961">
        <f t="shared" si="56"/>
        <v>0</v>
      </c>
    </row>
    <row r="1208" spans="1:6" ht="14.25" customHeight="1">
      <c r="A1208" s="4795">
        <v>4.4000000000000004</v>
      </c>
      <c r="B1208" s="4788" t="s">
        <v>2429</v>
      </c>
      <c r="C1208" s="4367">
        <v>1</v>
      </c>
      <c r="D1208" s="4669" t="s">
        <v>42</v>
      </c>
      <c r="E1208" s="4961"/>
      <c r="F1208" s="4961">
        <f t="shared" si="56"/>
        <v>0</v>
      </c>
    </row>
    <row r="1209" spans="1:6" s="4557" customFormat="1" ht="12.75" customHeight="1">
      <c r="A1209" s="4860"/>
      <c r="B1209" s="4877" t="s">
        <v>4400</v>
      </c>
      <c r="C1209" s="4861"/>
      <c r="D1209" s="4861"/>
      <c r="E1209" s="5023"/>
      <c r="F1209" s="5023">
        <f>SUM(F1154:F1208)</f>
        <v>0</v>
      </c>
    </row>
    <row r="1210" spans="1:6" ht="14.25" customHeight="1" outlineLevel="1" collapsed="1">
      <c r="A1210" s="4583"/>
      <c r="B1210" s="4788"/>
      <c r="C1210" s="4367"/>
      <c r="D1210" s="4669"/>
      <c r="E1210" s="4365"/>
      <c r="F1210" s="4961" t="str">
        <f t="shared" ref="F1210:F1272" si="58">IF(C1210&gt;0,(ROUND((E1210*C1210),2))," ")</f>
        <v xml:space="preserve"> </v>
      </c>
    </row>
    <row r="1211" spans="1:6" s="4557" customFormat="1">
      <c r="A1211" s="4836" t="s">
        <v>4401</v>
      </c>
      <c r="B1211" s="4870" t="s">
        <v>3154</v>
      </c>
      <c r="C1211" s="4744"/>
      <c r="D1211" s="4858"/>
      <c r="E1211" s="4985"/>
      <c r="F1211" s="4985" t="str">
        <f t="shared" si="58"/>
        <v xml:space="preserve"> </v>
      </c>
    </row>
    <row r="1212" spans="1:6" ht="15" customHeight="1">
      <c r="A1212" s="4797"/>
      <c r="B1212" s="4788"/>
      <c r="C1212" s="4367"/>
      <c r="D1212" s="4669"/>
      <c r="E1212" s="4961"/>
      <c r="F1212" s="4961" t="str">
        <f t="shared" si="58"/>
        <v xml:space="preserve"> </v>
      </c>
    </row>
    <row r="1213" spans="1:6" ht="15" customHeight="1">
      <c r="A1213" s="4789">
        <v>1</v>
      </c>
      <c r="B1213" s="4787" t="s">
        <v>3155</v>
      </c>
      <c r="C1213" s="4367"/>
      <c r="D1213" s="4669"/>
      <c r="E1213" s="4961"/>
      <c r="F1213" s="4961" t="str">
        <f t="shared" si="58"/>
        <v xml:space="preserve"> </v>
      </c>
    </row>
    <row r="1214" spans="1:6" ht="14.25" customHeight="1">
      <c r="A1214" s="4805">
        <v>1.1000000000000001</v>
      </c>
      <c r="B1214" s="4878" t="s">
        <v>2394</v>
      </c>
      <c r="C1214" s="4879">
        <v>72.25</v>
      </c>
      <c r="D1214" s="4808" t="s">
        <v>2432</v>
      </c>
      <c r="E1214" s="5014"/>
      <c r="F1214" s="5014">
        <f t="shared" si="58"/>
        <v>0</v>
      </c>
    </row>
    <row r="1215" spans="1:6" s="4557" customFormat="1" ht="14.25" customHeight="1">
      <c r="A1215" s="4735"/>
      <c r="B1215" s="4734"/>
      <c r="C1215" s="4727"/>
      <c r="D1215" s="4600"/>
      <c r="E1215" s="5028"/>
      <c r="F1215" s="4318" t="str">
        <f t="shared" si="58"/>
        <v xml:space="preserve"> </v>
      </c>
    </row>
    <row r="1216" spans="1:6" ht="15" customHeight="1">
      <c r="A1216" s="4880">
        <v>2</v>
      </c>
      <c r="B1216" s="4787" t="s">
        <v>38</v>
      </c>
      <c r="C1216" s="4607"/>
      <c r="D1216" s="4669"/>
      <c r="E1216" s="5029"/>
      <c r="F1216" s="4961" t="str">
        <f t="shared" si="58"/>
        <v xml:space="preserve"> </v>
      </c>
    </row>
    <row r="1217" spans="1:6" ht="14.25" customHeight="1">
      <c r="A1217" s="4881">
        <v>2.1</v>
      </c>
      <c r="B1217" s="4882" t="s">
        <v>3156</v>
      </c>
      <c r="C1217" s="4607">
        <v>219.34</v>
      </c>
      <c r="D1217" s="4669" t="s">
        <v>3157</v>
      </c>
      <c r="E1217" s="4961"/>
      <c r="F1217" s="4961">
        <f t="shared" si="58"/>
        <v>0</v>
      </c>
    </row>
    <row r="1218" spans="1:6" ht="28.5">
      <c r="A1218" s="4881">
        <v>2.2000000000000002</v>
      </c>
      <c r="B1218" s="4883" t="s">
        <v>4049</v>
      </c>
      <c r="C1218" s="4607">
        <v>56.3</v>
      </c>
      <c r="D1218" s="4669" t="s">
        <v>2431</v>
      </c>
      <c r="E1218" s="4961"/>
      <c r="F1218" s="4961">
        <f t="shared" si="58"/>
        <v>0</v>
      </c>
    </row>
    <row r="1219" spans="1:6" ht="28.5" customHeight="1">
      <c r="A1219" s="4881">
        <v>2.2999999999999998</v>
      </c>
      <c r="B1219" s="4883" t="s">
        <v>3571</v>
      </c>
      <c r="C1219" s="4607">
        <v>195.6</v>
      </c>
      <c r="D1219" s="4669" t="s">
        <v>3160</v>
      </c>
      <c r="E1219" s="4961"/>
      <c r="F1219" s="4961">
        <f t="shared" si="58"/>
        <v>0</v>
      </c>
    </row>
    <row r="1220" spans="1:6" ht="15" customHeight="1">
      <c r="A1220" s="4797"/>
      <c r="B1220" s="4792"/>
      <c r="C1220" s="4367"/>
      <c r="D1220" s="4669"/>
      <c r="E1220" s="4961"/>
      <c r="F1220" s="4961" t="str">
        <f t="shared" si="58"/>
        <v xml:space="preserve"> </v>
      </c>
    </row>
    <row r="1221" spans="1:6" ht="15" customHeight="1">
      <c r="A1221" s="4884">
        <v>3</v>
      </c>
      <c r="B1221" s="4787" t="s">
        <v>4443</v>
      </c>
      <c r="C1221" s="4607"/>
      <c r="D1221" s="4669"/>
      <c r="E1221" s="4961"/>
      <c r="F1221" s="4961" t="str">
        <f t="shared" si="58"/>
        <v xml:space="preserve"> </v>
      </c>
    </row>
    <row r="1222" spans="1:6" ht="14.25" customHeight="1">
      <c r="A1222" s="4885">
        <v>3.1</v>
      </c>
      <c r="B1222" s="4886" t="s">
        <v>3690</v>
      </c>
      <c r="C1222" s="4866">
        <v>13.3</v>
      </c>
      <c r="D1222" s="4669" t="s">
        <v>2430</v>
      </c>
      <c r="E1222" s="4961"/>
      <c r="F1222" s="4961">
        <f t="shared" si="58"/>
        <v>0</v>
      </c>
    </row>
    <row r="1223" spans="1:6" ht="14.25" customHeight="1">
      <c r="A1223" s="4885">
        <v>3.2</v>
      </c>
      <c r="B1223" s="4886" t="s">
        <v>3161</v>
      </c>
      <c r="C1223" s="4866">
        <v>0.86</v>
      </c>
      <c r="D1223" s="4669" t="s">
        <v>2430</v>
      </c>
      <c r="E1223" s="4961"/>
      <c r="F1223" s="4961">
        <f t="shared" si="58"/>
        <v>0</v>
      </c>
    </row>
    <row r="1224" spans="1:6" ht="14.25" customHeight="1">
      <c r="A1224" s="4885">
        <v>3.3</v>
      </c>
      <c r="B1224" s="4886" t="s">
        <v>3691</v>
      </c>
      <c r="C1224" s="4866">
        <v>7.01</v>
      </c>
      <c r="D1224" s="4669" t="s">
        <v>2430</v>
      </c>
      <c r="E1224" s="4961"/>
      <c r="F1224" s="4961">
        <f t="shared" si="58"/>
        <v>0</v>
      </c>
    </row>
    <row r="1225" spans="1:6" ht="14.25" customHeight="1">
      <c r="A1225" s="4885">
        <v>3.4</v>
      </c>
      <c r="B1225" s="4886" t="s">
        <v>3162</v>
      </c>
      <c r="C1225" s="4866">
        <v>0.35</v>
      </c>
      <c r="D1225" s="4669" t="s">
        <v>2430</v>
      </c>
      <c r="E1225" s="4961"/>
      <c r="F1225" s="4961">
        <f t="shared" si="58"/>
        <v>0</v>
      </c>
    </row>
    <row r="1226" spans="1:6" ht="14.25" customHeight="1">
      <c r="A1226" s="4885">
        <v>3.5</v>
      </c>
      <c r="B1226" s="4886" t="s">
        <v>3163</v>
      </c>
      <c r="C1226" s="4866">
        <v>1.03</v>
      </c>
      <c r="D1226" s="4669" t="s">
        <v>2430</v>
      </c>
      <c r="E1226" s="4961"/>
      <c r="F1226" s="4961">
        <f t="shared" si="58"/>
        <v>0</v>
      </c>
    </row>
    <row r="1227" spans="1:6" ht="14.25" customHeight="1">
      <c r="A1227" s="4885">
        <v>3.6</v>
      </c>
      <c r="B1227" s="4886" t="s">
        <v>3164</v>
      </c>
      <c r="C1227" s="4866">
        <v>27.52</v>
      </c>
      <c r="D1227" s="4669" t="s">
        <v>2430</v>
      </c>
      <c r="E1227" s="4961"/>
      <c r="F1227" s="4961">
        <f t="shared" si="58"/>
        <v>0</v>
      </c>
    </row>
    <row r="1228" spans="1:6" ht="14.25" customHeight="1">
      <c r="A1228" s="4885">
        <v>3.7</v>
      </c>
      <c r="B1228" s="4886" t="s">
        <v>3165</v>
      </c>
      <c r="C1228" s="4866">
        <v>1.0900000000000001</v>
      </c>
      <c r="D1228" s="4669" t="s">
        <v>2430</v>
      </c>
      <c r="E1228" s="4961"/>
      <c r="F1228" s="4961">
        <f t="shared" si="58"/>
        <v>0</v>
      </c>
    </row>
    <row r="1229" spans="1:6" ht="14.25" customHeight="1">
      <c r="A1229" s="4885">
        <v>3.8</v>
      </c>
      <c r="B1229" s="4886" t="s">
        <v>3692</v>
      </c>
      <c r="C1229" s="4866">
        <v>7.49</v>
      </c>
      <c r="D1229" s="4669" t="s">
        <v>2430</v>
      </c>
      <c r="E1229" s="4961"/>
      <c r="F1229" s="4961">
        <f t="shared" si="58"/>
        <v>0</v>
      </c>
    </row>
    <row r="1230" spans="1:6" ht="14.25" customHeight="1">
      <c r="A1230" s="4885">
        <v>3.9</v>
      </c>
      <c r="B1230" s="4886" t="s">
        <v>3166</v>
      </c>
      <c r="C1230" s="4866">
        <v>0.11</v>
      </c>
      <c r="D1230" s="4669" t="s">
        <v>2430</v>
      </c>
      <c r="E1230" s="4961"/>
      <c r="F1230" s="4961">
        <f t="shared" si="58"/>
        <v>0</v>
      </c>
    </row>
    <row r="1231" spans="1:6" ht="14.25" customHeight="1">
      <c r="A1231" s="4887"/>
      <c r="B1231" s="4886"/>
      <c r="C1231" s="4866"/>
      <c r="D1231" s="4669"/>
      <c r="E1231" s="4961"/>
      <c r="F1231" s="4961" t="str">
        <f t="shared" si="58"/>
        <v xml:space="preserve"> </v>
      </c>
    </row>
    <row r="1232" spans="1:6" ht="16.5" customHeight="1">
      <c r="A1232" s="4888">
        <v>4</v>
      </c>
      <c r="B1232" s="4886" t="s">
        <v>4500</v>
      </c>
      <c r="C1232" s="4866">
        <v>3.87</v>
      </c>
      <c r="D1232" s="4669" t="s">
        <v>2430</v>
      </c>
      <c r="E1232" s="4961"/>
      <c r="F1232" s="4961">
        <f t="shared" si="58"/>
        <v>0</v>
      </c>
    </row>
    <row r="1233" spans="1:6" ht="14.25" customHeight="1">
      <c r="A1233" s="4887"/>
      <c r="B1233" s="4886"/>
      <c r="C1233" s="4866"/>
      <c r="D1233" s="4669"/>
      <c r="E1233" s="4961"/>
      <c r="F1233" s="4961" t="str">
        <f t="shared" si="58"/>
        <v xml:space="preserve"> </v>
      </c>
    </row>
    <row r="1234" spans="1:6" ht="28.5" customHeight="1">
      <c r="A1234" s="4885">
        <v>5</v>
      </c>
      <c r="B1234" s="4809" t="s">
        <v>3167</v>
      </c>
      <c r="C1234" s="4866">
        <v>91.2</v>
      </c>
      <c r="D1234" s="4669" t="s">
        <v>1</v>
      </c>
      <c r="E1234" s="4961"/>
      <c r="F1234" s="4961">
        <f t="shared" si="58"/>
        <v>0</v>
      </c>
    </row>
    <row r="1235" spans="1:6" ht="14.25" customHeight="1">
      <c r="A1235" s="4885">
        <v>6</v>
      </c>
      <c r="B1235" s="4886" t="s">
        <v>3738</v>
      </c>
      <c r="C1235" s="4866">
        <v>110</v>
      </c>
      <c r="D1235" s="4669" t="s">
        <v>2567</v>
      </c>
      <c r="E1235" s="4961"/>
      <c r="F1235" s="4961">
        <f t="shared" si="58"/>
        <v>0</v>
      </c>
    </row>
    <row r="1236" spans="1:6" ht="14.25" customHeight="1">
      <c r="A1236" s="4885"/>
      <c r="B1236" s="4886"/>
      <c r="C1236" s="4866"/>
      <c r="D1236" s="4669"/>
      <c r="E1236" s="4961"/>
      <c r="F1236" s="4961" t="str">
        <f t="shared" si="58"/>
        <v xml:space="preserve"> </v>
      </c>
    </row>
    <row r="1237" spans="1:6" ht="15" customHeight="1">
      <c r="A1237" s="4884">
        <v>7</v>
      </c>
      <c r="B1237" s="4787" t="s">
        <v>787</v>
      </c>
      <c r="C1237" s="4866"/>
      <c r="D1237" s="4669"/>
      <c r="E1237" s="4961"/>
      <c r="F1237" s="4961" t="str">
        <f t="shared" si="58"/>
        <v xml:space="preserve"> </v>
      </c>
    </row>
    <row r="1238" spans="1:6" ht="14.25" customHeight="1">
      <c r="A1238" s="4885">
        <v>7.1</v>
      </c>
      <c r="B1238" s="4886" t="s">
        <v>2568</v>
      </c>
      <c r="C1238" s="4866">
        <v>217.47</v>
      </c>
      <c r="D1238" s="4669" t="s">
        <v>2432</v>
      </c>
      <c r="E1238" s="4961"/>
      <c r="F1238" s="4961">
        <f t="shared" si="58"/>
        <v>0</v>
      </c>
    </row>
    <row r="1239" spans="1:6" ht="14.25" customHeight="1">
      <c r="A1239" s="4885">
        <v>7.2</v>
      </c>
      <c r="B1239" s="4886" t="s">
        <v>2345</v>
      </c>
      <c r="C1239" s="4866">
        <v>102.7</v>
      </c>
      <c r="D1239" s="4669" t="s">
        <v>2432</v>
      </c>
      <c r="E1239" s="4961"/>
      <c r="F1239" s="4961">
        <f t="shared" si="58"/>
        <v>0</v>
      </c>
    </row>
    <row r="1240" spans="1:6" ht="14.25" customHeight="1">
      <c r="A1240" s="4885">
        <v>7.3</v>
      </c>
      <c r="B1240" s="4886" t="s">
        <v>2344</v>
      </c>
      <c r="C1240" s="4866">
        <v>114.77</v>
      </c>
      <c r="D1240" s="4669" t="s">
        <v>2432</v>
      </c>
      <c r="E1240" s="4961"/>
      <c r="F1240" s="4961">
        <f t="shared" si="58"/>
        <v>0</v>
      </c>
    </row>
    <row r="1241" spans="1:6" ht="14.25" customHeight="1">
      <c r="A1241" s="4885">
        <v>7.4</v>
      </c>
      <c r="B1241" s="4889" t="s">
        <v>3168</v>
      </c>
      <c r="C1241" s="4866">
        <v>53.17</v>
      </c>
      <c r="D1241" s="4669" t="s">
        <v>2432</v>
      </c>
      <c r="E1241" s="4961"/>
      <c r="F1241" s="4961">
        <f t="shared" si="58"/>
        <v>0</v>
      </c>
    </row>
    <row r="1242" spans="1:6" ht="14.25" customHeight="1">
      <c r="A1242" s="4885">
        <v>7.5</v>
      </c>
      <c r="B1242" s="4889" t="s">
        <v>3169</v>
      </c>
      <c r="C1242" s="4866">
        <v>62.41</v>
      </c>
      <c r="D1242" s="4669" t="s">
        <v>2432</v>
      </c>
      <c r="E1242" s="4961"/>
      <c r="F1242" s="4961">
        <f t="shared" si="58"/>
        <v>0</v>
      </c>
    </row>
    <row r="1243" spans="1:6" ht="14.25" customHeight="1">
      <c r="A1243" s="4885">
        <v>7.6</v>
      </c>
      <c r="B1243" s="4889" t="s">
        <v>1548</v>
      </c>
      <c r="C1243" s="4866">
        <v>112.4</v>
      </c>
      <c r="D1243" s="4669" t="s">
        <v>1</v>
      </c>
      <c r="E1243" s="4961"/>
      <c r="F1243" s="4961">
        <f t="shared" si="58"/>
        <v>0</v>
      </c>
    </row>
    <row r="1244" spans="1:6" ht="14.25" customHeight="1">
      <c r="A1244" s="4885">
        <v>7.7</v>
      </c>
      <c r="B1244" s="4889" t="s">
        <v>3542</v>
      </c>
      <c r="C1244" s="4866">
        <v>29.2</v>
      </c>
      <c r="D1244" s="4669" t="s">
        <v>1</v>
      </c>
      <c r="E1244" s="4961"/>
      <c r="F1244" s="4961">
        <f t="shared" si="58"/>
        <v>0</v>
      </c>
    </row>
    <row r="1245" spans="1:6" ht="14.25" customHeight="1">
      <c r="A1245" s="4885"/>
      <c r="B1245" s="4889"/>
      <c r="C1245" s="4866"/>
      <c r="D1245" s="4669"/>
      <c r="E1245" s="4961"/>
      <c r="F1245" s="4961" t="str">
        <f t="shared" si="58"/>
        <v xml:space="preserve"> </v>
      </c>
    </row>
    <row r="1246" spans="1:6" ht="15" customHeight="1">
      <c r="A1246" s="4884">
        <v>8</v>
      </c>
      <c r="B1246" s="4787" t="s">
        <v>202</v>
      </c>
      <c r="C1246" s="4866"/>
      <c r="D1246" s="4669"/>
      <c r="E1246" s="4961"/>
      <c r="F1246" s="4961" t="str">
        <f t="shared" si="58"/>
        <v xml:space="preserve"> </v>
      </c>
    </row>
    <row r="1247" spans="1:6" ht="28.5">
      <c r="A1247" s="4885">
        <v>8.1</v>
      </c>
      <c r="B1247" s="4890" t="s">
        <v>4708</v>
      </c>
      <c r="C1247" s="4866">
        <v>102.7</v>
      </c>
      <c r="D1247" s="4669" t="s">
        <v>2432</v>
      </c>
      <c r="E1247" s="4318"/>
      <c r="F1247" s="4961">
        <f t="shared" si="58"/>
        <v>0</v>
      </c>
    </row>
    <row r="1248" spans="1:6" ht="14.25" customHeight="1">
      <c r="A1248" s="4885"/>
      <c r="B1248" s="4889"/>
      <c r="C1248" s="4866"/>
      <c r="D1248" s="4669"/>
      <c r="E1248" s="4961"/>
      <c r="F1248" s="4961" t="str">
        <f t="shared" si="58"/>
        <v xml:space="preserve"> </v>
      </c>
    </row>
    <row r="1249" spans="1:6" ht="15" customHeight="1">
      <c r="A1249" s="4884">
        <v>9</v>
      </c>
      <c r="B1249" s="4787" t="s">
        <v>697</v>
      </c>
      <c r="C1249" s="4866"/>
      <c r="D1249" s="4669"/>
      <c r="E1249" s="4961"/>
      <c r="F1249" s="4961" t="str">
        <f t="shared" si="58"/>
        <v xml:space="preserve"> </v>
      </c>
    </row>
    <row r="1250" spans="1:6" ht="30" customHeight="1">
      <c r="A1250" s="4884">
        <v>9.1</v>
      </c>
      <c r="B1250" s="4787" t="s">
        <v>3564</v>
      </c>
      <c r="C1250" s="4866"/>
      <c r="D1250" s="4669"/>
      <c r="E1250" s="4961"/>
      <c r="F1250" s="4961" t="str">
        <f t="shared" si="58"/>
        <v xml:space="preserve"> </v>
      </c>
    </row>
    <row r="1251" spans="1:6" ht="14.25" customHeight="1">
      <c r="A1251" s="4891" t="s">
        <v>541</v>
      </c>
      <c r="B1251" s="4892" t="s">
        <v>3172</v>
      </c>
      <c r="C1251" s="4866">
        <v>14.22</v>
      </c>
      <c r="D1251" s="4669" t="s">
        <v>1</v>
      </c>
      <c r="E1251" s="4961"/>
      <c r="F1251" s="4961">
        <f t="shared" si="58"/>
        <v>0</v>
      </c>
    </row>
    <row r="1252" spans="1:6" ht="14.25" customHeight="1">
      <c r="A1252" s="4891" t="s">
        <v>542</v>
      </c>
      <c r="B1252" s="4892" t="s">
        <v>3695</v>
      </c>
      <c r="C1252" s="4866">
        <v>17.37</v>
      </c>
      <c r="D1252" s="4669" t="s">
        <v>1</v>
      </c>
      <c r="E1252" s="4961"/>
      <c r="F1252" s="4961">
        <f t="shared" si="58"/>
        <v>0</v>
      </c>
    </row>
    <row r="1253" spans="1:6" ht="14.25" customHeight="1">
      <c r="A1253" s="4891" t="s">
        <v>3173</v>
      </c>
      <c r="B1253" s="4892" t="s">
        <v>3696</v>
      </c>
      <c r="C1253" s="4866">
        <v>5</v>
      </c>
      <c r="D1253" s="4669" t="s">
        <v>2433</v>
      </c>
      <c r="E1253" s="4961"/>
      <c r="F1253" s="4961">
        <f t="shared" si="58"/>
        <v>0</v>
      </c>
    </row>
    <row r="1254" spans="1:6" ht="14.25" customHeight="1">
      <c r="A1254" s="4891" t="s">
        <v>3174</v>
      </c>
      <c r="B1254" s="4892" t="s">
        <v>3697</v>
      </c>
      <c r="C1254" s="4866">
        <v>8</v>
      </c>
      <c r="D1254" s="4669" t="s">
        <v>2433</v>
      </c>
      <c r="E1254" s="4961"/>
      <c r="F1254" s="4961">
        <f t="shared" si="58"/>
        <v>0</v>
      </c>
    </row>
    <row r="1255" spans="1:6" ht="14.25" customHeight="1">
      <c r="A1255" s="4891" t="s">
        <v>3175</v>
      </c>
      <c r="B1255" s="4892" t="s">
        <v>3698</v>
      </c>
      <c r="C1255" s="4866">
        <v>2</v>
      </c>
      <c r="D1255" s="4669" t="s">
        <v>2433</v>
      </c>
      <c r="E1255" s="4961"/>
      <c r="F1255" s="4961">
        <f t="shared" si="58"/>
        <v>0</v>
      </c>
    </row>
    <row r="1256" spans="1:6" ht="14.25" customHeight="1">
      <c r="A1256" s="4891" t="s">
        <v>3176</v>
      </c>
      <c r="B1256" s="4889" t="s">
        <v>3508</v>
      </c>
      <c r="C1256" s="4866">
        <v>3</v>
      </c>
      <c r="D1256" s="4669" t="s">
        <v>2433</v>
      </c>
      <c r="E1256" s="4961"/>
      <c r="F1256" s="4961">
        <f t="shared" si="58"/>
        <v>0</v>
      </c>
    </row>
    <row r="1257" spans="1:6" ht="14.25" customHeight="1">
      <c r="A1257" s="4891" t="s">
        <v>3177</v>
      </c>
      <c r="B1257" s="4889" t="s">
        <v>3699</v>
      </c>
      <c r="C1257" s="4866">
        <v>7</v>
      </c>
      <c r="D1257" s="4669" t="s">
        <v>2433</v>
      </c>
      <c r="E1257" s="4961"/>
      <c r="F1257" s="4961">
        <f t="shared" si="58"/>
        <v>0</v>
      </c>
    </row>
    <row r="1258" spans="1:6" ht="14.25" customHeight="1">
      <c r="A1258" s="4891" t="s">
        <v>3178</v>
      </c>
      <c r="B1258" s="4889" t="s">
        <v>4621</v>
      </c>
      <c r="C1258" s="4866">
        <v>2</v>
      </c>
      <c r="D1258" s="4669" t="s">
        <v>2433</v>
      </c>
      <c r="E1258" s="4961"/>
      <c r="F1258" s="4961">
        <f t="shared" si="58"/>
        <v>0</v>
      </c>
    </row>
    <row r="1259" spans="1:6" ht="14.25" customHeight="1">
      <c r="A1259" s="4891" t="s">
        <v>3179</v>
      </c>
      <c r="B1259" s="4889" t="s">
        <v>3736</v>
      </c>
      <c r="C1259" s="4866">
        <v>2</v>
      </c>
      <c r="D1259" s="4669" t="s">
        <v>2433</v>
      </c>
      <c r="E1259" s="4961"/>
      <c r="F1259" s="4961">
        <f t="shared" si="58"/>
        <v>0</v>
      </c>
    </row>
    <row r="1260" spans="1:6" ht="14.25" customHeight="1">
      <c r="A1260" s="4885"/>
      <c r="B1260" s="4889"/>
      <c r="C1260" s="4866"/>
      <c r="D1260" s="4669"/>
      <c r="E1260" s="4961"/>
      <c r="F1260" s="4961" t="str">
        <f t="shared" si="58"/>
        <v xml:space="preserve"> </v>
      </c>
    </row>
    <row r="1261" spans="1:6" ht="15" customHeight="1">
      <c r="A1261" s="4884">
        <v>9.1999999999999993</v>
      </c>
      <c r="B1261" s="4787" t="s">
        <v>3701</v>
      </c>
      <c r="C1261" s="4866"/>
      <c r="D1261" s="4669"/>
      <c r="E1261" s="4961"/>
      <c r="F1261" s="4961" t="str">
        <f t="shared" si="58"/>
        <v xml:space="preserve"> </v>
      </c>
    </row>
    <row r="1262" spans="1:6" ht="14.25" customHeight="1">
      <c r="A1262" s="4891" t="s">
        <v>543</v>
      </c>
      <c r="B1262" s="4889" t="s">
        <v>2353</v>
      </c>
      <c r="C1262" s="4866">
        <v>26.49</v>
      </c>
      <c r="D1262" s="4669" t="s">
        <v>1</v>
      </c>
      <c r="E1262" s="4961"/>
      <c r="F1262" s="4961">
        <f t="shared" si="58"/>
        <v>0</v>
      </c>
    </row>
    <row r="1263" spans="1:6" ht="14.25" customHeight="1">
      <c r="A1263" s="4891" t="s">
        <v>544</v>
      </c>
      <c r="B1263" s="4892" t="s">
        <v>3180</v>
      </c>
      <c r="C1263" s="4866">
        <v>23.31</v>
      </c>
      <c r="D1263" s="4669" t="s">
        <v>3157</v>
      </c>
      <c r="E1263" s="4961"/>
      <c r="F1263" s="4961">
        <f t="shared" si="58"/>
        <v>0</v>
      </c>
    </row>
    <row r="1264" spans="1:6" ht="14.25" customHeight="1">
      <c r="A1264" s="4891" t="s">
        <v>545</v>
      </c>
      <c r="B1264" s="4889" t="s">
        <v>2546</v>
      </c>
      <c r="C1264" s="4866">
        <v>1.22</v>
      </c>
      <c r="D1264" s="4669" t="s">
        <v>3181</v>
      </c>
      <c r="E1264" s="4961"/>
      <c r="F1264" s="4961">
        <f t="shared" si="58"/>
        <v>0</v>
      </c>
    </row>
    <row r="1265" spans="1:6" ht="14.25" customHeight="1">
      <c r="A1265" s="4893" t="s">
        <v>3182</v>
      </c>
      <c r="B1265" s="4894" t="s">
        <v>3572</v>
      </c>
      <c r="C1265" s="4895">
        <v>20.54</v>
      </c>
      <c r="D1265" s="4808" t="s">
        <v>2431</v>
      </c>
      <c r="E1265" s="5014"/>
      <c r="F1265" s="5014">
        <f t="shared" si="58"/>
        <v>0</v>
      </c>
    </row>
    <row r="1266" spans="1:6" ht="28.5" customHeight="1">
      <c r="A1266" s="4891" t="s">
        <v>3183</v>
      </c>
      <c r="B1266" s="4892" t="s">
        <v>3571</v>
      </c>
      <c r="C1266" s="4866">
        <v>3.33</v>
      </c>
      <c r="D1266" s="4669" t="s">
        <v>3160</v>
      </c>
      <c r="E1266" s="5025"/>
      <c r="F1266" s="4961">
        <f t="shared" si="58"/>
        <v>0</v>
      </c>
    </row>
    <row r="1267" spans="1:6" ht="14.25" customHeight="1">
      <c r="A1267" s="4885"/>
      <c r="B1267" s="4889"/>
      <c r="C1267" s="4866"/>
      <c r="D1267" s="4669"/>
      <c r="E1267" s="5025"/>
      <c r="F1267" s="4961" t="str">
        <f t="shared" si="58"/>
        <v xml:space="preserve"> </v>
      </c>
    </row>
    <row r="1268" spans="1:6" ht="15" customHeight="1">
      <c r="A1268" s="4884">
        <v>9.3000000000000007</v>
      </c>
      <c r="B1268" s="4787" t="s">
        <v>3563</v>
      </c>
      <c r="C1268" s="4866"/>
      <c r="D1268" s="4669"/>
      <c r="E1268" s="5025"/>
      <c r="F1268" s="4961" t="str">
        <f t="shared" si="58"/>
        <v xml:space="preserve"> </v>
      </c>
    </row>
    <row r="1269" spans="1:6" ht="14.25" customHeight="1">
      <c r="A1269" s="4891" t="s">
        <v>3184</v>
      </c>
      <c r="B1269" s="4889" t="s">
        <v>3737</v>
      </c>
      <c r="C1269" s="4866">
        <v>1</v>
      </c>
      <c r="D1269" s="4669" t="s">
        <v>2433</v>
      </c>
      <c r="E1269" s="5025"/>
      <c r="F1269" s="4961">
        <f t="shared" si="58"/>
        <v>0</v>
      </c>
    </row>
    <row r="1270" spans="1:6" ht="14.25" customHeight="1">
      <c r="A1270" s="4891" t="s">
        <v>3185</v>
      </c>
      <c r="B1270" s="4889" t="s">
        <v>3186</v>
      </c>
      <c r="C1270" s="4866">
        <v>1</v>
      </c>
      <c r="D1270" s="4669" t="s">
        <v>2433</v>
      </c>
      <c r="E1270" s="5025"/>
      <c r="F1270" s="4961">
        <f t="shared" si="58"/>
        <v>0</v>
      </c>
    </row>
    <row r="1271" spans="1:6" ht="14.25" customHeight="1">
      <c r="A1271" s="4891" t="s">
        <v>3187</v>
      </c>
      <c r="B1271" s="4889" t="s">
        <v>3188</v>
      </c>
      <c r="C1271" s="4866">
        <v>1</v>
      </c>
      <c r="D1271" s="4669" t="s">
        <v>2433</v>
      </c>
      <c r="E1271" s="5025"/>
      <c r="F1271" s="4961">
        <f t="shared" si="58"/>
        <v>0</v>
      </c>
    </row>
    <row r="1272" spans="1:6" ht="14.25" customHeight="1">
      <c r="A1272" s="4891" t="s">
        <v>3189</v>
      </c>
      <c r="B1272" s="4889" t="s">
        <v>3190</v>
      </c>
      <c r="C1272" s="4866">
        <v>1</v>
      </c>
      <c r="D1272" s="4669" t="s">
        <v>2433</v>
      </c>
      <c r="E1272" s="5025"/>
      <c r="F1272" s="4961">
        <f t="shared" si="58"/>
        <v>0</v>
      </c>
    </row>
    <row r="1273" spans="1:6" ht="14.25" customHeight="1">
      <c r="A1273" s="4885"/>
      <c r="B1273" s="4889"/>
      <c r="C1273" s="4866"/>
      <c r="D1273" s="4669"/>
      <c r="E1273" s="5025"/>
      <c r="F1273" s="4961" t="str">
        <f t="shared" ref="F1273:F1276" si="59">IF(C1273&gt;0,(ROUND((E1273*C1273),2))," ")</f>
        <v xml:space="preserve"> </v>
      </c>
    </row>
    <row r="1274" spans="1:6" ht="15" customHeight="1">
      <c r="A1274" s="4884">
        <v>10</v>
      </c>
      <c r="B1274" s="4787" t="s">
        <v>4444</v>
      </c>
      <c r="C1274" s="4866"/>
      <c r="D1274" s="4669"/>
      <c r="E1274" s="5025"/>
      <c r="F1274" s="4961" t="str">
        <f t="shared" si="59"/>
        <v xml:space="preserve"> </v>
      </c>
    </row>
    <row r="1275" spans="1:6" ht="14.25" customHeight="1">
      <c r="A1275" s="4885">
        <v>10.1</v>
      </c>
      <c r="B1275" s="4889" t="s">
        <v>3191</v>
      </c>
      <c r="C1275" s="4866">
        <v>16.8</v>
      </c>
      <c r="D1275" s="4669" t="s">
        <v>2432</v>
      </c>
      <c r="E1275" s="5025"/>
      <c r="F1275" s="4961">
        <f t="shared" si="59"/>
        <v>0</v>
      </c>
    </row>
    <row r="1276" spans="1:6" ht="14.25" customHeight="1">
      <c r="A1276" s="4885">
        <v>10.199999999999999</v>
      </c>
      <c r="B1276" s="4889" t="s">
        <v>2596</v>
      </c>
      <c r="C1276" s="4866">
        <v>1</v>
      </c>
      <c r="D1276" s="4669" t="s">
        <v>2433</v>
      </c>
      <c r="E1276" s="5025"/>
      <c r="F1276" s="4961">
        <f t="shared" si="59"/>
        <v>0</v>
      </c>
    </row>
    <row r="1277" spans="1:6" s="4268" customFormat="1" ht="12.75" customHeight="1">
      <c r="A1277" s="4860"/>
      <c r="B1277" s="4860" t="s">
        <v>4402</v>
      </c>
      <c r="C1277" s="4861"/>
      <c r="D1277" s="4861"/>
      <c r="E1277" s="5023"/>
      <c r="F1277" s="5023">
        <f>SUM(F1213:F1276)</f>
        <v>0</v>
      </c>
    </row>
    <row r="1278" spans="1:6" ht="8.25" customHeight="1">
      <c r="A1278" s="4666"/>
      <c r="B1278" s="4792"/>
      <c r="C1278" s="4367"/>
      <c r="D1278" s="4820"/>
      <c r="E1278" s="5017"/>
      <c r="F1278" s="4961" t="str">
        <f t="shared" ref="F1278:F1313" si="60">IF(C1278&gt;0,(ROUND((E1278*C1278),2))," ")</f>
        <v xml:space="preserve"> </v>
      </c>
    </row>
    <row r="1279" spans="1:6">
      <c r="A1279" s="4896" t="s">
        <v>4403</v>
      </c>
      <c r="B1279" s="4787" t="s">
        <v>3794</v>
      </c>
      <c r="C1279" s="4897"/>
      <c r="D1279" s="4898"/>
      <c r="E1279" s="3556"/>
      <c r="F1279" s="3556" t="str">
        <f t="shared" si="60"/>
        <v xml:space="preserve"> </v>
      </c>
    </row>
    <row r="1280" spans="1:6" ht="12.75" customHeight="1">
      <c r="A1280" s="4896"/>
      <c r="B1280" s="4899"/>
      <c r="C1280" s="4897"/>
      <c r="D1280" s="4898"/>
      <c r="E1280" s="3556"/>
      <c r="F1280" s="3556" t="str">
        <f t="shared" si="60"/>
        <v xml:space="preserve"> </v>
      </c>
    </row>
    <row r="1281" spans="1:6" ht="12.75" customHeight="1">
      <c r="A1281" s="4900">
        <v>1</v>
      </c>
      <c r="B1281" s="4901" t="s">
        <v>2165</v>
      </c>
      <c r="C1281" s="4897"/>
      <c r="D1281" s="4898"/>
      <c r="E1281" s="3556"/>
      <c r="F1281" s="3556" t="str">
        <f t="shared" si="60"/>
        <v xml:space="preserve"> </v>
      </c>
    </row>
    <row r="1282" spans="1:6" ht="14.25" customHeight="1">
      <c r="A1282" s="4902">
        <v>1.1000000000000001</v>
      </c>
      <c r="B1282" s="4734" t="s">
        <v>2353</v>
      </c>
      <c r="C1282" s="4897">
        <v>240.25</v>
      </c>
      <c r="D1282" s="4898" t="s">
        <v>1</v>
      </c>
      <c r="E1282" s="5030"/>
      <c r="F1282" s="4961">
        <f t="shared" si="60"/>
        <v>0</v>
      </c>
    </row>
    <row r="1283" spans="1:6" ht="12.75" customHeight="1">
      <c r="A1283" s="4900"/>
      <c r="B1283" s="4899"/>
      <c r="C1283" s="4897"/>
      <c r="D1283" s="4898"/>
      <c r="E1283" s="3556"/>
      <c r="F1283" s="3556" t="str">
        <f t="shared" si="60"/>
        <v xml:space="preserve"> </v>
      </c>
    </row>
    <row r="1284" spans="1:6" ht="12.75" customHeight="1">
      <c r="A1284" s="4900">
        <v>2</v>
      </c>
      <c r="B1284" s="4901" t="s">
        <v>14</v>
      </c>
      <c r="C1284" s="4903"/>
      <c r="D1284" s="4904"/>
      <c r="E1284" s="5030"/>
      <c r="F1284" s="5031" t="str">
        <f t="shared" si="60"/>
        <v xml:space="preserve"> </v>
      </c>
    </row>
    <row r="1285" spans="1:6" ht="14.25" customHeight="1">
      <c r="A1285" s="4661">
        <v>2.1</v>
      </c>
      <c r="B1285" s="4734" t="s">
        <v>2992</v>
      </c>
      <c r="C1285" s="4903">
        <v>98</v>
      </c>
      <c r="D1285" s="4669" t="s">
        <v>3157</v>
      </c>
      <c r="E1285" s="5030"/>
      <c r="F1285" s="5031">
        <f t="shared" si="60"/>
        <v>0</v>
      </c>
    </row>
    <row r="1286" spans="1:6" ht="14.25" customHeight="1">
      <c r="A1286" s="4661">
        <v>2.2000000000000002</v>
      </c>
      <c r="B1286" s="4734" t="s">
        <v>2993</v>
      </c>
      <c r="C1286" s="4903">
        <v>48.37</v>
      </c>
      <c r="D1286" s="4669" t="s">
        <v>2431</v>
      </c>
      <c r="E1286" s="5030"/>
      <c r="F1286" s="5031">
        <f t="shared" si="60"/>
        <v>0</v>
      </c>
    </row>
    <row r="1287" spans="1:6" ht="14.25" customHeight="1">
      <c r="A1287" s="4661">
        <v>2.2999999999999998</v>
      </c>
      <c r="B1287" s="4734" t="s">
        <v>2994</v>
      </c>
      <c r="C1287" s="4903">
        <v>64.52</v>
      </c>
      <c r="D1287" s="4898" t="s">
        <v>2431</v>
      </c>
      <c r="E1287" s="5030"/>
      <c r="F1287" s="5031">
        <f t="shared" si="60"/>
        <v>0</v>
      </c>
    </row>
    <row r="1288" spans="1:6" ht="12.75" customHeight="1">
      <c r="A1288" s="4661"/>
      <c r="B1288" s="4905"/>
      <c r="C1288" s="4903"/>
      <c r="D1288" s="4904"/>
      <c r="E1288" s="5030"/>
      <c r="F1288" s="5031" t="str">
        <f t="shared" si="60"/>
        <v xml:space="preserve"> </v>
      </c>
    </row>
    <row r="1289" spans="1:6" ht="12.75" customHeight="1">
      <c r="A1289" s="4900">
        <v>3</v>
      </c>
      <c r="B1289" s="4901" t="s">
        <v>2995</v>
      </c>
      <c r="C1289" s="4903"/>
      <c r="D1289" s="4904"/>
      <c r="E1289" s="5030"/>
      <c r="F1289" s="5031" t="str">
        <f t="shared" si="60"/>
        <v xml:space="preserve"> </v>
      </c>
    </row>
    <row r="1290" spans="1:6" ht="14.25" customHeight="1">
      <c r="A1290" s="4661">
        <v>3.1</v>
      </c>
      <c r="B1290" s="4734" t="s">
        <v>4445</v>
      </c>
      <c r="C1290" s="4903">
        <v>22.35</v>
      </c>
      <c r="D1290" s="4518" t="s">
        <v>2430</v>
      </c>
      <c r="E1290" s="5030"/>
      <c r="F1290" s="5031">
        <f t="shared" si="60"/>
        <v>0</v>
      </c>
    </row>
    <row r="1291" spans="1:6" ht="28.5" customHeight="1">
      <c r="A1291" s="4661">
        <v>3.2</v>
      </c>
      <c r="B1291" s="4734" t="s">
        <v>4446</v>
      </c>
      <c r="C1291" s="4903">
        <v>5.58</v>
      </c>
      <c r="D1291" s="4518" t="s">
        <v>2430</v>
      </c>
      <c r="E1291" s="5030"/>
      <c r="F1291" s="5031">
        <f t="shared" si="60"/>
        <v>0</v>
      </c>
    </row>
    <row r="1292" spans="1:6" ht="13.5" customHeight="1">
      <c r="A1292" s="4661">
        <v>3.3</v>
      </c>
      <c r="B1292" s="4734" t="s">
        <v>4447</v>
      </c>
      <c r="C1292" s="4903">
        <v>8.4499999999999993</v>
      </c>
      <c r="D1292" s="4518" t="s">
        <v>2430</v>
      </c>
      <c r="E1292" s="5030"/>
      <c r="F1292" s="5031">
        <f t="shared" si="60"/>
        <v>0</v>
      </c>
    </row>
    <row r="1293" spans="1:6" ht="13.5" customHeight="1">
      <c r="A1293" s="4661">
        <v>3.4</v>
      </c>
      <c r="B1293" s="4734" t="s">
        <v>4448</v>
      </c>
      <c r="C1293" s="4903">
        <v>6.69</v>
      </c>
      <c r="D1293" s="4518" t="s">
        <v>2430</v>
      </c>
      <c r="E1293" s="5030"/>
      <c r="F1293" s="5031">
        <f t="shared" si="60"/>
        <v>0</v>
      </c>
    </row>
    <row r="1294" spans="1:6" ht="13.5" customHeight="1">
      <c r="A1294" s="4661">
        <v>3.5</v>
      </c>
      <c r="B1294" s="4734" t="s">
        <v>3969</v>
      </c>
      <c r="C1294" s="4903">
        <v>9.4499999999999993</v>
      </c>
      <c r="D1294" s="4518" t="s">
        <v>2430</v>
      </c>
      <c r="E1294" s="5030"/>
      <c r="F1294" s="5031">
        <f t="shared" si="60"/>
        <v>0</v>
      </c>
    </row>
    <row r="1295" spans="1:6" ht="31.5" customHeight="1">
      <c r="A1295" s="4661">
        <v>3.6</v>
      </c>
      <c r="B1295" s="4734" t="s">
        <v>4449</v>
      </c>
      <c r="C1295" s="4903">
        <v>1.32</v>
      </c>
      <c r="D1295" s="4518" t="s">
        <v>2430</v>
      </c>
      <c r="E1295" s="5030"/>
      <c r="F1295" s="5031">
        <f t="shared" si="60"/>
        <v>0</v>
      </c>
    </row>
    <row r="1296" spans="1:6" ht="12.75" customHeight="1">
      <c r="A1296" s="4661"/>
      <c r="B1296" s="4905"/>
      <c r="C1296" s="4903"/>
      <c r="D1296" s="4898"/>
      <c r="E1296" s="5030"/>
      <c r="F1296" s="5031" t="str">
        <f t="shared" si="60"/>
        <v xml:space="preserve"> </v>
      </c>
    </row>
    <row r="1297" spans="1:6" ht="12.75" customHeight="1">
      <c r="A1297" s="4737">
        <v>4</v>
      </c>
      <c r="B1297" s="4901" t="s">
        <v>2999</v>
      </c>
      <c r="C1297" s="4903"/>
      <c r="D1297" s="4898"/>
      <c r="E1297" s="5030"/>
      <c r="F1297" s="5031" t="str">
        <f t="shared" si="60"/>
        <v xml:space="preserve"> </v>
      </c>
    </row>
    <row r="1298" spans="1:6" ht="14.25" customHeight="1">
      <c r="A1298" s="4661">
        <v>4.0999999999999996</v>
      </c>
      <c r="B1298" s="4734" t="s">
        <v>4450</v>
      </c>
      <c r="C1298" s="4903">
        <v>574.73</v>
      </c>
      <c r="D1298" s="4669" t="s">
        <v>2432</v>
      </c>
      <c r="E1298" s="5030"/>
      <c r="F1298" s="5031">
        <f t="shared" si="60"/>
        <v>0</v>
      </c>
    </row>
    <row r="1299" spans="1:6" ht="14.25" customHeight="1">
      <c r="A1299" s="4661">
        <v>4.2</v>
      </c>
      <c r="B1299" s="4734" t="s">
        <v>4451</v>
      </c>
      <c r="C1299" s="4903">
        <v>88.42</v>
      </c>
      <c r="D1299" s="4669" t="s">
        <v>2432</v>
      </c>
      <c r="E1299" s="5030"/>
      <c r="F1299" s="5031">
        <f t="shared" si="60"/>
        <v>0</v>
      </c>
    </row>
    <row r="1300" spans="1:6" ht="12.75" customHeight="1">
      <c r="A1300" s="4661"/>
      <c r="B1300" s="4905"/>
      <c r="C1300" s="4903"/>
      <c r="D1300" s="4904"/>
      <c r="E1300" s="5030"/>
      <c r="F1300" s="5031" t="str">
        <f t="shared" si="60"/>
        <v xml:space="preserve"> </v>
      </c>
    </row>
    <row r="1301" spans="1:6" ht="12.75" customHeight="1">
      <c r="A1301" s="4900">
        <v>5</v>
      </c>
      <c r="B1301" s="4901" t="s">
        <v>787</v>
      </c>
      <c r="C1301" s="4903"/>
      <c r="D1301" s="4904"/>
      <c r="E1301" s="5030"/>
      <c r="F1301" s="5031" t="str">
        <f t="shared" si="60"/>
        <v xml:space="preserve"> </v>
      </c>
    </row>
    <row r="1302" spans="1:6" ht="14.25" customHeight="1">
      <c r="A1302" s="4795">
        <v>5.0999999999999996</v>
      </c>
      <c r="B1302" s="4788" t="s">
        <v>2568</v>
      </c>
      <c r="C1302" s="4367">
        <v>239.36</v>
      </c>
      <c r="D1302" s="4669" t="s">
        <v>2432</v>
      </c>
      <c r="E1302" s="4961"/>
      <c r="F1302" s="4961">
        <f t="shared" si="60"/>
        <v>0</v>
      </c>
    </row>
    <row r="1303" spans="1:6" ht="14.25" customHeight="1">
      <c r="A1303" s="4795">
        <v>5.2</v>
      </c>
      <c r="B1303" s="4788" t="s">
        <v>3000</v>
      </c>
      <c r="C1303" s="4367">
        <v>239.36</v>
      </c>
      <c r="D1303" s="4669" t="s">
        <v>2432</v>
      </c>
      <c r="E1303" s="4961"/>
      <c r="F1303" s="4961">
        <f t="shared" si="60"/>
        <v>0</v>
      </c>
    </row>
    <row r="1304" spans="1:6" ht="14.25" customHeight="1">
      <c r="A1304" s="4661">
        <v>5.3</v>
      </c>
      <c r="B1304" s="4734" t="s">
        <v>1548</v>
      </c>
      <c r="C1304" s="4903">
        <v>1395.15</v>
      </c>
      <c r="D1304" s="4904" t="s">
        <v>1</v>
      </c>
      <c r="E1304" s="5030"/>
      <c r="F1304" s="5031">
        <f t="shared" si="60"/>
        <v>0</v>
      </c>
    </row>
    <row r="1305" spans="1:6" ht="12.75" customHeight="1">
      <c r="A1305" s="4662"/>
      <c r="B1305" s="4906"/>
      <c r="C1305" s="4903"/>
      <c r="D1305" s="4904"/>
      <c r="E1305" s="5030"/>
      <c r="F1305" s="5031" t="str">
        <f t="shared" si="60"/>
        <v xml:space="preserve"> </v>
      </c>
    </row>
    <row r="1306" spans="1:6" ht="12.75" customHeight="1">
      <c r="A1306" s="4900">
        <v>6</v>
      </c>
      <c r="B1306" s="4901" t="s">
        <v>202</v>
      </c>
      <c r="C1306" s="4903"/>
      <c r="D1306" s="4904"/>
      <c r="E1306" s="5030"/>
      <c r="F1306" s="5031" t="str">
        <f t="shared" si="60"/>
        <v xml:space="preserve"> </v>
      </c>
    </row>
    <row r="1307" spans="1:6" ht="28.5">
      <c r="A1307" s="4795">
        <v>6.1</v>
      </c>
      <c r="B1307" s="4734" t="s">
        <v>4708</v>
      </c>
      <c r="C1307" s="4367">
        <v>239.36</v>
      </c>
      <c r="D1307" s="4669" t="s">
        <v>2432</v>
      </c>
      <c r="E1307" s="5032"/>
      <c r="F1307" s="4961">
        <f t="shared" si="60"/>
        <v>0</v>
      </c>
    </row>
    <row r="1308" spans="1:6" ht="14.25" customHeight="1">
      <c r="A1308" s="4661"/>
      <c r="B1308" s="4734"/>
      <c r="C1308" s="4903"/>
      <c r="D1308" s="4904"/>
      <c r="E1308" s="5030"/>
      <c r="F1308" s="5031" t="str">
        <f t="shared" si="60"/>
        <v xml:space="preserve"> </v>
      </c>
    </row>
    <row r="1309" spans="1:6" ht="14.25" customHeight="1">
      <c r="A1309" s="4900">
        <v>7</v>
      </c>
      <c r="B1309" s="4734" t="s">
        <v>3002</v>
      </c>
      <c r="C1309" s="4903">
        <v>236.25</v>
      </c>
      <c r="D1309" s="4904" t="s">
        <v>1</v>
      </c>
      <c r="E1309" s="5030"/>
      <c r="F1309" s="5031">
        <f t="shared" si="60"/>
        <v>0</v>
      </c>
    </row>
    <row r="1310" spans="1:6" ht="28.5" customHeight="1">
      <c r="A1310" s="4900">
        <v>8</v>
      </c>
      <c r="B1310" s="4734" t="s">
        <v>3003</v>
      </c>
      <c r="C1310" s="4903">
        <v>15.6</v>
      </c>
      <c r="D1310" s="4904" t="s">
        <v>1</v>
      </c>
      <c r="E1310" s="5030"/>
      <c r="F1310" s="5031">
        <f t="shared" si="60"/>
        <v>0</v>
      </c>
    </row>
    <row r="1311" spans="1:6" ht="28.5" customHeight="1">
      <c r="A1311" s="4900">
        <v>9</v>
      </c>
      <c r="B1311" s="4734" t="s">
        <v>3004</v>
      </c>
      <c r="C1311" s="4903">
        <v>24</v>
      </c>
      <c r="D1311" s="4669" t="s">
        <v>2433</v>
      </c>
      <c r="E1311" s="5030"/>
      <c r="F1311" s="5031">
        <f t="shared" si="60"/>
        <v>0</v>
      </c>
    </row>
    <row r="1312" spans="1:6" ht="14.25" customHeight="1">
      <c r="A1312" s="4661"/>
      <c r="B1312" s="4734"/>
      <c r="C1312" s="4903"/>
      <c r="D1312" s="4907"/>
      <c r="E1312" s="5030"/>
      <c r="F1312" s="5031" t="str">
        <f t="shared" si="60"/>
        <v xml:space="preserve"> </v>
      </c>
    </row>
    <row r="1313" spans="1:9" ht="14.25" customHeight="1">
      <c r="A1313" s="4900">
        <v>10</v>
      </c>
      <c r="B1313" s="4734" t="s">
        <v>3005</v>
      </c>
      <c r="C1313" s="4903">
        <v>1</v>
      </c>
      <c r="D1313" s="4669" t="s">
        <v>2433</v>
      </c>
      <c r="E1313" s="5030"/>
      <c r="F1313" s="5031">
        <f t="shared" si="60"/>
        <v>0</v>
      </c>
    </row>
    <row r="1314" spans="1:9" s="4268" customFormat="1" ht="12.75" customHeight="1">
      <c r="A1314" s="4860"/>
      <c r="B1314" s="4860" t="s">
        <v>4404</v>
      </c>
      <c r="C1314" s="4861"/>
      <c r="D1314" s="4861"/>
      <c r="E1314" s="5023"/>
      <c r="F1314" s="5023">
        <f>SUM(F1280:F1313)</f>
        <v>0</v>
      </c>
    </row>
    <row r="1315" spans="1:9" s="4242" customFormat="1" ht="12.75">
      <c r="A1315" s="4908"/>
      <c r="B1315" s="4909" t="s">
        <v>2259</v>
      </c>
      <c r="C1315" s="4910"/>
      <c r="D1315" s="4911"/>
      <c r="E1315" s="5033"/>
      <c r="F1315" s="5034">
        <f>+F1314+F1277+F1209+F1152+F1134+F1078+F1038+F973+F835+F788+F710+F538</f>
        <v>0</v>
      </c>
      <c r="G1315" s="4619"/>
      <c r="H1315" s="4580"/>
      <c r="I1315" s="4640"/>
    </row>
    <row r="1316" spans="1:9" s="4573" customFormat="1" ht="15">
      <c r="A1316" s="4855"/>
      <c r="B1316" s="4770"/>
      <c r="C1316" s="4168"/>
      <c r="D1316" s="4752"/>
      <c r="E1316" s="5035"/>
      <c r="F1316" s="4985"/>
      <c r="G1316" s="4571"/>
      <c r="H1316" s="4572"/>
      <c r="I1316" s="4557"/>
    </row>
    <row r="1317" spans="1:9" ht="33.75" customHeight="1">
      <c r="A1317" s="4752" t="s">
        <v>10</v>
      </c>
      <c r="B1317" s="4901" t="s">
        <v>4406</v>
      </c>
      <c r="C1317" s="4681"/>
      <c r="D1317" s="4681"/>
      <c r="E1317" s="5036"/>
      <c r="F1317" s="5036"/>
      <c r="H1317" s="4534"/>
      <c r="I1317" s="4534"/>
    </row>
    <row r="1318" spans="1:9" ht="45.75" customHeight="1">
      <c r="A1318" s="4752" t="s">
        <v>4405</v>
      </c>
      <c r="B1318" s="4637" t="s">
        <v>4365</v>
      </c>
      <c r="C1318" s="4681"/>
      <c r="D1318" s="4681"/>
      <c r="E1318" s="5036"/>
      <c r="F1318" s="5036"/>
      <c r="H1318" s="4534"/>
      <c r="I1318" s="4534"/>
    </row>
    <row r="1319" spans="1:9">
      <c r="A1319" s="4167"/>
      <c r="B1319" s="4692"/>
      <c r="C1319" s="4167"/>
      <c r="D1319" s="4167"/>
      <c r="E1319" s="4979"/>
      <c r="F1319" s="4979"/>
      <c r="H1319" s="4534"/>
      <c r="I1319" s="4534"/>
    </row>
    <row r="1320" spans="1:9">
      <c r="A1320" s="4168">
        <v>1</v>
      </c>
      <c r="B1320" s="4692" t="s">
        <v>2353</v>
      </c>
      <c r="C1320" s="4659">
        <v>446.68</v>
      </c>
      <c r="D1320" s="4593" t="s">
        <v>1</v>
      </c>
      <c r="E1320" s="4318"/>
      <c r="F1320" s="4318">
        <f>ROUND(C1320*E1320,2)</f>
        <v>0</v>
      </c>
      <c r="H1320" s="4534"/>
      <c r="I1320" s="4534"/>
    </row>
    <row r="1321" spans="1:9">
      <c r="A1321" s="4167"/>
      <c r="B1321" s="4692"/>
      <c r="C1321" s="4659"/>
      <c r="D1321" s="4593"/>
      <c r="E1321" s="4318"/>
      <c r="F1321" s="4318"/>
      <c r="H1321" s="4534"/>
      <c r="I1321" s="4534"/>
    </row>
    <row r="1322" spans="1:9">
      <c r="A1322" s="4168">
        <v>2</v>
      </c>
      <c r="B1322" s="4901" t="s">
        <v>14</v>
      </c>
      <c r="C1322" s="4659"/>
      <c r="D1322" s="4593"/>
      <c r="E1322" s="4318"/>
      <c r="F1322" s="4318"/>
      <c r="H1322" s="4534"/>
      <c r="I1322" s="4534"/>
    </row>
    <row r="1323" spans="1:9">
      <c r="A1323" s="4167">
        <v>2.1</v>
      </c>
      <c r="B1323" s="4734" t="s">
        <v>4244</v>
      </c>
      <c r="C1323" s="4659">
        <v>482.41</v>
      </c>
      <c r="D1323" s="4593" t="s">
        <v>3157</v>
      </c>
      <c r="E1323" s="4318"/>
      <c r="F1323" s="4318">
        <f t="shared" ref="F1323:F1325" si="61">ROUND(C1323*E1323,2)</f>
        <v>0</v>
      </c>
      <c r="H1323" s="4534"/>
      <c r="I1323" s="4534"/>
    </row>
    <row r="1324" spans="1:9">
      <c r="A1324" s="4167">
        <v>2.2000000000000002</v>
      </c>
      <c r="B1324" s="4734" t="s">
        <v>3572</v>
      </c>
      <c r="C1324" s="4659">
        <v>436.8</v>
      </c>
      <c r="D1324" s="4593" t="s">
        <v>2431</v>
      </c>
      <c r="E1324" s="4318"/>
      <c r="F1324" s="4318">
        <f t="shared" si="61"/>
        <v>0</v>
      </c>
      <c r="H1324" s="4534"/>
      <c r="I1324" s="4534"/>
    </row>
    <row r="1325" spans="1:9" ht="28.5">
      <c r="A1325" s="4167">
        <v>2.2999999999999998</v>
      </c>
      <c r="B1325" s="4734" t="s">
        <v>3571</v>
      </c>
      <c r="C1325" s="4659">
        <v>54.74</v>
      </c>
      <c r="D1325" s="4593" t="s">
        <v>3160</v>
      </c>
      <c r="E1325" s="4318"/>
      <c r="F1325" s="4318">
        <f t="shared" si="61"/>
        <v>0</v>
      </c>
      <c r="H1325" s="4534"/>
      <c r="I1325" s="4534"/>
    </row>
    <row r="1326" spans="1:9">
      <c r="A1326" s="4167"/>
      <c r="B1326" s="4692"/>
      <c r="C1326" s="4659"/>
      <c r="D1326" s="4593"/>
      <c r="E1326" s="4318"/>
      <c r="F1326" s="4318"/>
      <c r="H1326" s="4534"/>
      <c r="I1326" s="4534"/>
    </row>
    <row r="1327" spans="1:9">
      <c r="A1327" s="4168">
        <v>3</v>
      </c>
      <c r="B1327" s="4901" t="s">
        <v>4245</v>
      </c>
      <c r="C1327" s="4659"/>
      <c r="D1327" s="4593"/>
      <c r="E1327" s="4318"/>
      <c r="F1327" s="4318"/>
      <c r="H1327" s="4534"/>
      <c r="I1327" s="4534"/>
    </row>
    <row r="1328" spans="1:9" ht="27" customHeight="1">
      <c r="A1328" s="4167">
        <v>3.1</v>
      </c>
      <c r="B1328" s="4734" t="s">
        <v>4246</v>
      </c>
      <c r="C1328" s="4659">
        <v>446.8</v>
      </c>
      <c r="D1328" s="4593" t="s">
        <v>1</v>
      </c>
      <c r="E1328" s="4318"/>
      <c r="F1328" s="4318">
        <f t="shared" ref="F1328" si="62">ROUND(C1328*E1328,2)</f>
        <v>0</v>
      </c>
      <c r="H1328" s="4534"/>
      <c r="I1328" s="4534"/>
    </row>
    <row r="1329" spans="1:9">
      <c r="A1329" s="4167"/>
      <c r="B1329" s="4692"/>
      <c r="C1329" s="4659"/>
      <c r="D1329" s="4593"/>
      <c r="E1329" s="4318"/>
      <c r="F1329" s="4318"/>
      <c r="H1329" s="4534"/>
      <c r="I1329" s="4534"/>
    </row>
    <row r="1330" spans="1:9">
      <c r="A1330" s="4168">
        <v>4</v>
      </c>
      <c r="B1330" s="4901" t="s">
        <v>4247</v>
      </c>
      <c r="C1330" s="4659"/>
      <c r="D1330" s="4593"/>
      <c r="E1330" s="4318"/>
      <c r="F1330" s="4318"/>
      <c r="H1330" s="4534"/>
      <c r="I1330" s="4534"/>
    </row>
    <row r="1331" spans="1:9" ht="28.5">
      <c r="A1331" s="4167">
        <v>4.0999999999999996</v>
      </c>
      <c r="B1331" s="4734" t="s">
        <v>4246</v>
      </c>
      <c r="C1331" s="4659">
        <v>446.8</v>
      </c>
      <c r="D1331" s="4593" t="s">
        <v>1</v>
      </c>
      <c r="E1331" s="4318"/>
      <c r="F1331" s="4318">
        <f t="shared" ref="F1331" si="63">ROUND(C1331*E1331,2)</f>
        <v>0</v>
      </c>
      <c r="H1331" s="4534"/>
      <c r="I1331" s="4534"/>
    </row>
    <row r="1332" spans="1:9">
      <c r="A1332" s="4167"/>
      <c r="B1332" s="4692"/>
      <c r="C1332" s="4659"/>
      <c r="D1332" s="4593"/>
      <c r="E1332" s="4318"/>
      <c r="F1332" s="4318"/>
      <c r="H1332" s="4534"/>
      <c r="I1332" s="4534"/>
    </row>
    <row r="1333" spans="1:9" ht="32.25" customHeight="1">
      <c r="A1333" s="4168">
        <v>5</v>
      </c>
      <c r="B1333" s="4901" t="s">
        <v>4248</v>
      </c>
      <c r="C1333" s="4659"/>
      <c r="D1333" s="4593"/>
      <c r="E1333" s="4318"/>
      <c r="F1333" s="4318"/>
      <c r="H1333" s="4534"/>
      <c r="I1333" s="4534"/>
    </row>
    <row r="1334" spans="1:9">
      <c r="A1334" s="4167">
        <v>5.0999999999999996</v>
      </c>
      <c r="B1334" s="4692" t="s">
        <v>4452</v>
      </c>
      <c r="C1334" s="4659">
        <v>1</v>
      </c>
      <c r="D1334" s="4593" t="s">
        <v>2433</v>
      </c>
      <c r="E1334" s="4318"/>
      <c r="F1334" s="4318">
        <f t="shared" ref="F1334:F1342" si="64">ROUND(C1334*E1334,2)</f>
        <v>0</v>
      </c>
      <c r="H1334" s="4534"/>
      <c r="I1334" s="4534"/>
    </row>
    <row r="1335" spans="1:9">
      <c r="A1335" s="4167">
        <v>5.2</v>
      </c>
      <c r="B1335" s="4692" t="s">
        <v>4453</v>
      </c>
      <c r="C1335" s="4659">
        <v>5</v>
      </c>
      <c r="D1335" s="4593" t="s">
        <v>2433</v>
      </c>
      <c r="E1335" s="4318"/>
      <c r="F1335" s="4318">
        <f t="shared" si="64"/>
        <v>0</v>
      </c>
      <c r="H1335" s="4534"/>
      <c r="I1335" s="4534"/>
    </row>
    <row r="1336" spans="1:9">
      <c r="A1336" s="4167">
        <v>5.3</v>
      </c>
      <c r="B1336" s="4692" t="s">
        <v>4454</v>
      </c>
      <c r="C1336" s="4659">
        <v>2</v>
      </c>
      <c r="D1336" s="4593" t="s">
        <v>2433</v>
      </c>
      <c r="E1336" s="4318"/>
      <c r="F1336" s="4318">
        <f t="shared" si="64"/>
        <v>0</v>
      </c>
      <c r="H1336" s="4534"/>
      <c r="I1336" s="4534"/>
    </row>
    <row r="1337" spans="1:9">
      <c r="A1337" s="4167">
        <v>5.4</v>
      </c>
      <c r="B1337" s="4692" t="s">
        <v>4455</v>
      </c>
      <c r="C1337" s="4659">
        <v>3</v>
      </c>
      <c r="D1337" s="4593" t="s">
        <v>2433</v>
      </c>
      <c r="E1337" s="4318"/>
      <c r="F1337" s="4318">
        <f t="shared" si="64"/>
        <v>0</v>
      </c>
      <c r="H1337" s="4534"/>
      <c r="I1337" s="4534"/>
    </row>
    <row r="1338" spans="1:9">
      <c r="A1338" s="4167">
        <v>5.5</v>
      </c>
      <c r="B1338" s="4692" t="s">
        <v>4456</v>
      </c>
      <c r="C1338" s="4659">
        <v>3</v>
      </c>
      <c r="D1338" s="4593" t="s">
        <v>2433</v>
      </c>
      <c r="E1338" s="4318"/>
      <c r="F1338" s="4318">
        <f t="shared" si="64"/>
        <v>0</v>
      </c>
      <c r="H1338" s="4534"/>
      <c r="I1338" s="4534"/>
    </row>
    <row r="1339" spans="1:9">
      <c r="A1339" s="4167">
        <v>5.6</v>
      </c>
      <c r="B1339" s="4692" t="s">
        <v>4457</v>
      </c>
      <c r="C1339" s="4659">
        <v>3</v>
      </c>
      <c r="D1339" s="4593" t="s">
        <v>2433</v>
      </c>
      <c r="E1339" s="4318"/>
      <c r="F1339" s="4318">
        <f t="shared" si="64"/>
        <v>0</v>
      </c>
      <c r="H1339" s="4534"/>
      <c r="I1339" s="4534"/>
    </row>
    <row r="1340" spans="1:9">
      <c r="A1340" s="4167">
        <v>5.7</v>
      </c>
      <c r="B1340" s="4692" t="s">
        <v>4458</v>
      </c>
      <c r="C1340" s="4659">
        <v>2</v>
      </c>
      <c r="D1340" s="4593" t="s">
        <v>2433</v>
      </c>
      <c r="E1340" s="4318"/>
      <c r="F1340" s="4318">
        <f t="shared" si="64"/>
        <v>0</v>
      </c>
      <c r="H1340" s="4534"/>
      <c r="I1340" s="4534"/>
    </row>
    <row r="1341" spans="1:9">
      <c r="A1341" s="4167">
        <v>5.8</v>
      </c>
      <c r="B1341" s="4692" t="s">
        <v>4459</v>
      </c>
      <c r="C1341" s="4659">
        <v>3</v>
      </c>
      <c r="D1341" s="4593" t="s">
        <v>2433</v>
      </c>
      <c r="E1341" s="4318"/>
      <c r="F1341" s="4318">
        <f t="shared" si="64"/>
        <v>0</v>
      </c>
      <c r="H1341" s="4534"/>
      <c r="I1341" s="4534"/>
    </row>
    <row r="1342" spans="1:9">
      <c r="A1342" s="4167">
        <v>5.9</v>
      </c>
      <c r="B1342" s="4692" t="s">
        <v>4257</v>
      </c>
      <c r="C1342" s="4659">
        <v>27</v>
      </c>
      <c r="D1342" s="4593" t="s">
        <v>2433</v>
      </c>
      <c r="E1342" s="4318"/>
      <c r="F1342" s="4318">
        <f t="shared" si="64"/>
        <v>0</v>
      </c>
      <c r="H1342" s="4534"/>
      <c r="I1342" s="4534"/>
    </row>
    <row r="1343" spans="1:9">
      <c r="A1343" s="4167"/>
      <c r="B1343" s="4692"/>
      <c r="C1343" s="4659"/>
      <c r="D1343" s="4593"/>
      <c r="E1343" s="4318"/>
      <c r="F1343" s="4318"/>
      <c r="H1343" s="4534"/>
      <c r="I1343" s="4534"/>
    </row>
    <row r="1344" spans="1:9">
      <c r="A1344" s="4168">
        <v>6</v>
      </c>
      <c r="B1344" s="4681" t="s">
        <v>4249</v>
      </c>
      <c r="C1344" s="4659"/>
      <c r="D1344" s="4593"/>
      <c r="E1344" s="4318"/>
      <c r="F1344" s="4318"/>
      <c r="H1344" s="4534"/>
      <c r="I1344" s="4534"/>
    </row>
    <row r="1345" spans="1:9">
      <c r="A1345" s="4167">
        <v>6.1</v>
      </c>
      <c r="B1345" s="4692" t="s">
        <v>4250</v>
      </c>
      <c r="C1345" s="4659">
        <v>1</v>
      </c>
      <c r="D1345" s="4593" t="s">
        <v>2433</v>
      </c>
      <c r="E1345" s="4318"/>
      <c r="F1345" s="4318">
        <f t="shared" ref="F1345:F1346" si="65">ROUND(C1345*E1345,2)</f>
        <v>0</v>
      </c>
      <c r="H1345" s="4534"/>
      <c r="I1345" s="4534"/>
    </row>
    <row r="1346" spans="1:9">
      <c r="A1346" s="4167">
        <v>6.2</v>
      </c>
      <c r="B1346" s="4692" t="s">
        <v>4460</v>
      </c>
      <c r="C1346" s="4659">
        <v>1</v>
      </c>
      <c r="D1346" s="4593" t="s">
        <v>2433</v>
      </c>
      <c r="E1346" s="4318"/>
      <c r="F1346" s="4318">
        <f t="shared" si="65"/>
        <v>0</v>
      </c>
      <c r="H1346" s="4534"/>
      <c r="I1346" s="4534"/>
    </row>
    <row r="1347" spans="1:9" ht="5.0999999999999996" customHeight="1">
      <c r="A1347" s="4167"/>
      <c r="B1347" s="4692"/>
      <c r="C1347" s="4659"/>
      <c r="D1347" s="4593"/>
      <c r="E1347" s="4318"/>
      <c r="F1347" s="4318"/>
      <c r="H1347" s="4534"/>
      <c r="I1347" s="4534"/>
    </row>
    <row r="1348" spans="1:9" s="4238" customFormat="1" ht="12.75">
      <c r="A1348" s="4912"/>
      <c r="B1348" s="4860" t="str">
        <f>"SUB-TOTAL "&amp;A1318</f>
        <v>SUB-TOTAL C-1</v>
      </c>
      <c r="C1348" s="4913"/>
      <c r="D1348" s="4914"/>
      <c r="E1348" s="5037"/>
      <c r="F1348" s="5023">
        <f>ROUND(SUM(F1320:F1347),2)</f>
        <v>0</v>
      </c>
      <c r="H1348" s="4580"/>
      <c r="I1348" s="4580"/>
    </row>
    <row r="1349" spans="1:9">
      <c r="A1349" s="4167"/>
      <c r="B1349" s="4692"/>
      <c r="C1349" s="4659"/>
      <c r="D1349" s="4593"/>
      <c r="E1349" s="4318"/>
      <c r="F1349" s="4318"/>
      <c r="H1349" s="4534"/>
      <c r="I1349" s="4534"/>
    </row>
    <row r="1350" spans="1:9" ht="29.25" customHeight="1">
      <c r="A1350" s="4752" t="s">
        <v>4407</v>
      </c>
      <c r="B1350" s="4637" t="s">
        <v>4461</v>
      </c>
      <c r="C1350" s="4681"/>
      <c r="D1350" s="4681"/>
      <c r="E1350" s="5036"/>
      <c r="F1350" s="5036"/>
      <c r="H1350" s="4534"/>
      <c r="I1350" s="4534"/>
    </row>
    <row r="1351" spans="1:9">
      <c r="A1351" s="4167"/>
      <c r="B1351" s="4692"/>
      <c r="C1351" s="4659"/>
      <c r="D1351" s="4593"/>
      <c r="E1351" s="4318"/>
      <c r="F1351" s="4318"/>
      <c r="H1351" s="4534"/>
      <c r="I1351" s="4534"/>
    </row>
    <row r="1352" spans="1:9">
      <c r="A1352" s="4167">
        <v>1</v>
      </c>
      <c r="B1352" s="4692" t="s">
        <v>2353</v>
      </c>
      <c r="C1352" s="4659">
        <v>410</v>
      </c>
      <c r="D1352" s="4593" t="s">
        <v>1</v>
      </c>
      <c r="E1352" s="4318"/>
      <c r="F1352" s="4318">
        <f>ROUND(C1352*E1352,2)</f>
        <v>0</v>
      </c>
      <c r="H1352" s="4534"/>
      <c r="I1352" s="4534"/>
    </row>
    <row r="1353" spans="1:9">
      <c r="A1353" s="4167"/>
      <c r="B1353" s="4692"/>
      <c r="C1353" s="4659"/>
      <c r="D1353" s="4593"/>
      <c r="E1353" s="4318"/>
      <c r="F1353" s="4318"/>
      <c r="H1353" s="4534"/>
      <c r="I1353" s="4534"/>
    </row>
    <row r="1354" spans="1:9">
      <c r="A1354" s="4168">
        <v>2</v>
      </c>
      <c r="B1354" s="4168" t="s">
        <v>14</v>
      </c>
      <c r="C1354" s="4659"/>
      <c r="D1354" s="4593"/>
      <c r="E1354" s="4318"/>
      <c r="F1354" s="4318"/>
      <c r="H1354" s="4534"/>
      <c r="I1354" s="4534"/>
    </row>
    <row r="1355" spans="1:9" ht="13.5" customHeight="1">
      <c r="A1355" s="4167">
        <v>2.1</v>
      </c>
      <c r="B1355" s="4734" t="s">
        <v>4462</v>
      </c>
      <c r="C1355" s="4659">
        <v>442.8</v>
      </c>
      <c r="D1355" s="4593" t="s">
        <v>3157</v>
      </c>
      <c r="E1355" s="4318"/>
      <c r="F1355" s="4318">
        <f t="shared" ref="F1355:F1357" si="66">ROUND(C1355*E1355,2)</f>
        <v>0</v>
      </c>
      <c r="H1355" s="4534"/>
      <c r="I1355" s="4534"/>
    </row>
    <row r="1356" spans="1:9">
      <c r="A1356" s="4167">
        <v>2.2000000000000002</v>
      </c>
      <c r="B1356" s="4734" t="s">
        <v>3572</v>
      </c>
      <c r="C1356" s="4659">
        <v>400.93</v>
      </c>
      <c r="D1356" s="4593" t="s">
        <v>2431</v>
      </c>
      <c r="E1356" s="4318"/>
      <c r="F1356" s="4318">
        <f t="shared" si="66"/>
        <v>0</v>
      </c>
      <c r="H1356" s="4534"/>
      <c r="I1356" s="4534"/>
    </row>
    <row r="1357" spans="1:9" ht="28.5">
      <c r="A1357" s="4650">
        <v>2.2999999999999998</v>
      </c>
      <c r="B1357" s="4867" t="s">
        <v>3571</v>
      </c>
      <c r="C1357" s="4733">
        <v>50.24</v>
      </c>
      <c r="D1357" s="4732" t="s">
        <v>3160</v>
      </c>
      <c r="E1357" s="4980"/>
      <c r="F1357" s="4980">
        <f t="shared" si="66"/>
        <v>0</v>
      </c>
      <c r="H1357" s="4534"/>
      <c r="I1357" s="4534"/>
    </row>
    <row r="1358" spans="1:9">
      <c r="A1358" s="4167"/>
      <c r="B1358" s="4692"/>
      <c r="C1358" s="4659"/>
      <c r="D1358" s="4593"/>
      <c r="E1358" s="4318"/>
      <c r="F1358" s="4318"/>
      <c r="H1358" s="4534"/>
      <c r="I1358" s="4534"/>
    </row>
    <row r="1359" spans="1:9">
      <c r="A1359" s="4168">
        <v>3</v>
      </c>
      <c r="B1359" s="4168" t="s">
        <v>4245</v>
      </c>
      <c r="C1359" s="4659"/>
      <c r="D1359" s="4593"/>
      <c r="E1359" s="4318"/>
      <c r="F1359" s="4318"/>
      <c r="H1359" s="4534"/>
      <c r="I1359" s="4534"/>
    </row>
    <row r="1360" spans="1:9" ht="28.5">
      <c r="A1360" s="4167">
        <v>3.1</v>
      </c>
      <c r="B1360" s="4734" t="s">
        <v>4246</v>
      </c>
      <c r="C1360" s="4659">
        <v>410</v>
      </c>
      <c r="D1360" s="4593" t="s">
        <v>1</v>
      </c>
      <c r="E1360" s="4318"/>
      <c r="F1360" s="4318">
        <f t="shared" ref="F1360" si="67">ROUND(C1360*E1360,2)</f>
        <v>0</v>
      </c>
      <c r="H1360" s="4534"/>
      <c r="I1360" s="4534"/>
    </row>
    <row r="1361" spans="1:9">
      <c r="A1361" s="4167"/>
      <c r="B1361" s="4692"/>
      <c r="C1361" s="4659"/>
      <c r="D1361" s="4593"/>
      <c r="E1361" s="4318"/>
      <c r="F1361" s="4318"/>
      <c r="H1361" s="4534"/>
      <c r="I1361" s="4534"/>
    </row>
    <row r="1362" spans="1:9">
      <c r="A1362" s="4168">
        <v>4</v>
      </c>
      <c r="B1362" s="4168" t="s">
        <v>4247</v>
      </c>
      <c r="C1362" s="4659"/>
      <c r="D1362" s="4593"/>
      <c r="E1362" s="4318"/>
      <c r="F1362" s="4318"/>
      <c r="H1362" s="4534"/>
      <c r="I1362" s="4534"/>
    </row>
    <row r="1363" spans="1:9" ht="28.5">
      <c r="A1363" s="4167">
        <v>4.0999999999999996</v>
      </c>
      <c r="B1363" s="4734" t="s">
        <v>4246</v>
      </c>
      <c r="C1363" s="4659">
        <v>410</v>
      </c>
      <c r="D1363" s="4593" t="s">
        <v>1</v>
      </c>
      <c r="E1363" s="4318"/>
      <c r="F1363" s="4318">
        <f t="shared" ref="F1363" si="68">ROUND(C1363*E1363,2)</f>
        <v>0</v>
      </c>
      <c r="H1363" s="4534"/>
      <c r="I1363" s="4534"/>
    </row>
    <row r="1364" spans="1:9">
      <c r="A1364" s="4167"/>
      <c r="B1364" s="4692"/>
      <c r="C1364" s="4659"/>
      <c r="D1364" s="4593"/>
      <c r="E1364" s="4318"/>
      <c r="F1364" s="4318"/>
      <c r="H1364" s="4534"/>
      <c r="I1364" s="4534"/>
    </row>
    <row r="1365" spans="1:9" ht="32.25" customHeight="1">
      <c r="A1365" s="4168">
        <v>5</v>
      </c>
      <c r="B1365" s="4637" t="s">
        <v>4248</v>
      </c>
      <c r="C1365" s="4659"/>
      <c r="D1365" s="4593"/>
      <c r="E1365" s="4318"/>
      <c r="F1365" s="4318"/>
      <c r="H1365" s="4534"/>
      <c r="I1365" s="4534"/>
    </row>
    <row r="1366" spans="1:9">
      <c r="A1366" s="4167">
        <v>5.0999999999999996</v>
      </c>
      <c r="B1366" s="4692" t="s">
        <v>4452</v>
      </c>
      <c r="C1366" s="4659">
        <v>1</v>
      </c>
      <c r="D1366" s="4593" t="s">
        <v>2433</v>
      </c>
      <c r="E1366" s="4318"/>
      <c r="F1366" s="4318">
        <f t="shared" ref="F1366:F1375" si="69">ROUND(C1366*E1366,2)</f>
        <v>0</v>
      </c>
      <c r="H1366" s="4534"/>
      <c r="I1366" s="4534"/>
    </row>
    <row r="1367" spans="1:9">
      <c r="A1367" s="4167">
        <v>5.2</v>
      </c>
      <c r="B1367" s="4692" t="s">
        <v>4453</v>
      </c>
      <c r="C1367" s="4659">
        <v>1</v>
      </c>
      <c r="D1367" s="4593" t="s">
        <v>2433</v>
      </c>
      <c r="E1367" s="4318"/>
      <c r="F1367" s="4318">
        <f t="shared" si="69"/>
        <v>0</v>
      </c>
      <c r="H1367" s="4534"/>
      <c r="I1367" s="4534"/>
    </row>
    <row r="1368" spans="1:9">
      <c r="A1368" s="4167">
        <v>5.3</v>
      </c>
      <c r="B1368" s="4692" t="s">
        <v>4454</v>
      </c>
      <c r="C1368" s="4659">
        <v>1</v>
      </c>
      <c r="D1368" s="4593" t="s">
        <v>2433</v>
      </c>
      <c r="E1368" s="4318"/>
      <c r="F1368" s="4318">
        <f t="shared" si="69"/>
        <v>0</v>
      </c>
      <c r="H1368" s="4534"/>
      <c r="I1368" s="4534"/>
    </row>
    <row r="1369" spans="1:9">
      <c r="A1369" s="4167">
        <v>5.4</v>
      </c>
      <c r="B1369" s="4692" t="s">
        <v>4455</v>
      </c>
      <c r="C1369" s="4659">
        <v>5</v>
      </c>
      <c r="D1369" s="4593" t="s">
        <v>2433</v>
      </c>
      <c r="E1369" s="4318"/>
      <c r="F1369" s="4318">
        <f t="shared" si="69"/>
        <v>0</v>
      </c>
      <c r="H1369" s="4534"/>
      <c r="I1369" s="4534"/>
    </row>
    <row r="1370" spans="1:9">
      <c r="A1370" s="4167">
        <v>5.5</v>
      </c>
      <c r="B1370" s="4692" t="s">
        <v>4456</v>
      </c>
      <c r="C1370" s="4659">
        <v>2</v>
      </c>
      <c r="D1370" s="4593" t="s">
        <v>2433</v>
      </c>
      <c r="E1370" s="4318"/>
      <c r="F1370" s="4318">
        <f t="shared" si="69"/>
        <v>0</v>
      </c>
      <c r="H1370" s="4534"/>
      <c r="I1370" s="4534"/>
    </row>
    <row r="1371" spans="1:9">
      <c r="A1371" s="4167">
        <v>5.6</v>
      </c>
      <c r="B1371" s="4692" t="s">
        <v>4457</v>
      </c>
      <c r="C1371" s="4659">
        <v>2</v>
      </c>
      <c r="D1371" s="4593" t="s">
        <v>2433</v>
      </c>
      <c r="E1371" s="4318"/>
      <c r="F1371" s="4318">
        <f t="shared" si="69"/>
        <v>0</v>
      </c>
      <c r="H1371" s="4534"/>
      <c r="I1371" s="4534"/>
    </row>
    <row r="1372" spans="1:9">
      <c r="A1372" s="4167">
        <v>5.7</v>
      </c>
      <c r="B1372" s="4692" t="s">
        <v>4458</v>
      </c>
      <c r="C1372" s="4659">
        <v>6</v>
      </c>
      <c r="D1372" s="4593" t="s">
        <v>2433</v>
      </c>
      <c r="E1372" s="4318"/>
      <c r="F1372" s="4318">
        <f t="shared" si="69"/>
        <v>0</v>
      </c>
      <c r="H1372" s="4534"/>
      <c r="I1372" s="4534"/>
    </row>
    <row r="1373" spans="1:9">
      <c r="A1373" s="4167">
        <v>5.8</v>
      </c>
      <c r="B1373" s="4692" t="s">
        <v>4459</v>
      </c>
      <c r="C1373" s="4659">
        <v>4</v>
      </c>
      <c r="D1373" s="4593" t="s">
        <v>2433</v>
      </c>
      <c r="E1373" s="4318"/>
      <c r="F1373" s="4318">
        <f t="shared" si="69"/>
        <v>0</v>
      </c>
      <c r="H1373" s="4534"/>
      <c r="I1373" s="4534"/>
    </row>
    <row r="1374" spans="1:9">
      <c r="A1374" s="4167">
        <v>5.9</v>
      </c>
      <c r="B1374" s="4692" t="s">
        <v>4463</v>
      </c>
      <c r="C1374" s="4659">
        <v>1</v>
      </c>
      <c r="D1374" s="4593" t="s">
        <v>2433</v>
      </c>
      <c r="E1374" s="4318"/>
      <c r="F1374" s="4318">
        <f t="shared" si="69"/>
        <v>0</v>
      </c>
      <c r="H1374" s="4534"/>
      <c r="I1374" s="4534"/>
    </row>
    <row r="1375" spans="1:9">
      <c r="A1375" s="4677">
        <v>5.0999999999999996</v>
      </c>
      <c r="B1375" s="4692" t="s">
        <v>4464</v>
      </c>
      <c r="C1375" s="4659">
        <v>24</v>
      </c>
      <c r="D1375" s="4593" t="s">
        <v>2433</v>
      </c>
      <c r="E1375" s="4318"/>
      <c r="F1375" s="4318">
        <f t="shared" si="69"/>
        <v>0</v>
      </c>
      <c r="H1375" s="4534"/>
      <c r="I1375" s="4534"/>
    </row>
    <row r="1376" spans="1:9">
      <c r="A1376" s="4677"/>
      <c r="B1376" s="4692"/>
      <c r="C1376" s="4659"/>
      <c r="D1376" s="4593"/>
      <c r="E1376" s="4318"/>
      <c r="F1376" s="4318"/>
      <c r="H1376" s="4534"/>
      <c r="I1376" s="4534"/>
    </row>
    <row r="1377" spans="1:9">
      <c r="A1377" s="4168">
        <v>6</v>
      </c>
      <c r="B1377" s="4637" t="s">
        <v>4249</v>
      </c>
      <c r="C1377" s="4659"/>
      <c r="D1377" s="4593"/>
      <c r="E1377" s="4318"/>
      <c r="F1377" s="4318"/>
      <c r="H1377" s="4534"/>
      <c r="I1377" s="4534"/>
    </row>
    <row r="1378" spans="1:9">
      <c r="A1378" s="4167">
        <v>6.1</v>
      </c>
      <c r="B1378" s="4692" t="s">
        <v>4252</v>
      </c>
      <c r="C1378" s="4659">
        <v>1</v>
      </c>
      <c r="D1378" s="4593" t="s">
        <v>2433</v>
      </c>
      <c r="E1378" s="4318"/>
      <c r="F1378" s="4318">
        <f t="shared" ref="F1378:F1379" si="70">ROUND(C1378*E1378,2)</f>
        <v>0</v>
      </c>
      <c r="H1378" s="4534"/>
      <c r="I1378" s="4534"/>
    </row>
    <row r="1379" spans="1:9">
      <c r="A1379" s="4167">
        <v>6.2</v>
      </c>
      <c r="B1379" s="4692" t="s">
        <v>4465</v>
      </c>
      <c r="C1379" s="4659">
        <v>1</v>
      </c>
      <c r="D1379" s="4593" t="s">
        <v>2433</v>
      </c>
      <c r="E1379" s="4318"/>
      <c r="F1379" s="4318">
        <f t="shared" si="70"/>
        <v>0</v>
      </c>
      <c r="H1379" s="4534"/>
      <c r="I1379" s="4534"/>
    </row>
    <row r="1380" spans="1:9" ht="5.0999999999999996" customHeight="1">
      <c r="A1380" s="4167"/>
      <c r="B1380" s="4692"/>
      <c r="C1380" s="4659"/>
      <c r="D1380" s="4167"/>
      <c r="E1380" s="4318"/>
      <c r="F1380" s="4318"/>
      <c r="H1380" s="4534"/>
      <c r="I1380" s="4534"/>
    </row>
    <row r="1381" spans="1:9" s="4238" customFormat="1" ht="12.75">
      <c r="A1381" s="4912"/>
      <c r="B1381" s="4860" t="str">
        <f>"SUB-TOTAL "&amp;A1350</f>
        <v>SUB-TOTAL C-2</v>
      </c>
      <c r="C1381" s="4913"/>
      <c r="D1381" s="4914"/>
      <c r="E1381" s="5037"/>
      <c r="F1381" s="5023">
        <f>ROUND(SUM(F1352:F1380),2)</f>
        <v>0</v>
      </c>
      <c r="H1381" s="4580"/>
      <c r="I1381" s="4580"/>
    </row>
    <row r="1382" spans="1:9">
      <c r="A1382" s="4167"/>
      <c r="B1382" s="4692"/>
      <c r="C1382" s="4659"/>
      <c r="D1382" s="4167"/>
      <c r="E1382" s="4318"/>
      <c r="F1382" s="4318"/>
      <c r="H1382" s="4534"/>
      <c r="I1382" s="4534"/>
    </row>
    <row r="1383" spans="1:9" ht="25.5">
      <c r="A1383" s="4752" t="s">
        <v>4408</v>
      </c>
      <c r="B1383" s="4637" t="s">
        <v>4253</v>
      </c>
      <c r="C1383" s="4681"/>
      <c r="D1383" s="4681"/>
      <c r="E1383" s="5036"/>
      <c r="F1383" s="5036"/>
      <c r="H1383" s="4534"/>
      <c r="I1383" s="4534"/>
    </row>
    <row r="1384" spans="1:9">
      <c r="A1384" s="4167"/>
      <c r="B1384" s="4692"/>
      <c r="C1384" s="4659"/>
      <c r="D1384" s="4167"/>
      <c r="E1384" s="4318"/>
      <c r="F1384" s="4318"/>
      <c r="H1384" s="4534"/>
      <c r="I1384" s="4534"/>
    </row>
    <row r="1385" spans="1:9">
      <c r="A1385" s="4167">
        <v>1</v>
      </c>
      <c r="B1385" s="4692" t="s">
        <v>2353</v>
      </c>
      <c r="C1385" s="4659">
        <v>910</v>
      </c>
      <c r="D1385" s="4593" t="s">
        <v>1</v>
      </c>
      <c r="E1385" s="4318"/>
      <c r="F1385" s="4318">
        <f>ROUND(C1385*E1385,2)</f>
        <v>0</v>
      </c>
      <c r="H1385" s="4534"/>
      <c r="I1385" s="4534"/>
    </row>
    <row r="1386" spans="1:9">
      <c r="A1386" s="4167"/>
      <c r="B1386" s="4692"/>
      <c r="C1386" s="4659"/>
      <c r="D1386" s="4593"/>
      <c r="E1386" s="4318"/>
      <c r="F1386" s="4318"/>
      <c r="H1386" s="4534"/>
      <c r="I1386" s="4534"/>
    </row>
    <row r="1387" spans="1:9">
      <c r="A1387" s="4168">
        <v>2</v>
      </c>
      <c r="B1387" s="4168" t="s">
        <v>3766</v>
      </c>
      <c r="C1387" s="4659"/>
      <c r="D1387" s="4593"/>
      <c r="E1387" s="4318"/>
      <c r="F1387" s="4318"/>
      <c r="H1387" s="4534"/>
      <c r="I1387" s="4534"/>
    </row>
    <row r="1388" spans="1:9" ht="13.5" customHeight="1">
      <c r="A1388" s="4167">
        <v>2.1</v>
      </c>
      <c r="B1388" s="4734" t="s">
        <v>4251</v>
      </c>
      <c r="C1388" s="4659">
        <v>982.8</v>
      </c>
      <c r="D1388" s="4593" t="s">
        <v>3157</v>
      </c>
      <c r="E1388" s="4318"/>
      <c r="F1388" s="4318">
        <f t="shared" ref="F1388:F1391" si="71">ROUND(C1388*E1388,2)</f>
        <v>0</v>
      </c>
      <c r="H1388" s="4534"/>
      <c r="I1388" s="4534"/>
    </row>
    <row r="1389" spans="1:9">
      <c r="A1389" s="4167">
        <v>2.2000000000000002</v>
      </c>
      <c r="B1389" s="4692" t="s">
        <v>2546</v>
      </c>
      <c r="C1389" s="4659">
        <v>72.8</v>
      </c>
      <c r="D1389" s="4593" t="s">
        <v>3181</v>
      </c>
      <c r="E1389" s="4318"/>
      <c r="F1389" s="4318">
        <f t="shared" si="71"/>
        <v>0</v>
      </c>
      <c r="H1389" s="4534"/>
      <c r="I1389" s="4534"/>
    </row>
    <row r="1390" spans="1:9">
      <c r="A1390" s="4167">
        <v>2.2999999999999998</v>
      </c>
      <c r="B1390" s="4734" t="s">
        <v>3572</v>
      </c>
      <c r="C1390" s="4659">
        <v>820.71</v>
      </c>
      <c r="D1390" s="4593" t="s">
        <v>2431</v>
      </c>
      <c r="E1390" s="4318"/>
      <c r="F1390" s="4318">
        <f t="shared" si="71"/>
        <v>0</v>
      </c>
      <c r="H1390" s="4534"/>
      <c r="I1390" s="4534"/>
    </row>
    <row r="1391" spans="1:9" ht="28.5">
      <c r="A1391" s="4167">
        <v>2.4</v>
      </c>
      <c r="B1391" s="4734" t="s">
        <v>3159</v>
      </c>
      <c r="C1391" s="4659">
        <v>194.51</v>
      </c>
      <c r="D1391" s="4593" t="s">
        <v>3160</v>
      </c>
      <c r="E1391" s="4318"/>
      <c r="F1391" s="4318">
        <f t="shared" si="71"/>
        <v>0</v>
      </c>
      <c r="H1391" s="4534"/>
      <c r="I1391" s="4534"/>
    </row>
    <row r="1392" spans="1:9">
      <c r="A1392" s="4167"/>
      <c r="B1392" s="4692"/>
      <c r="C1392" s="4659"/>
      <c r="D1392" s="4593"/>
      <c r="E1392" s="4318"/>
      <c r="F1392" s="4318"/>
      <c r="H1392" s="4534"/>
      <c r="I1392" s="4534"/>
    </row>
    <row r="1393" spans="1:9">
      <c r="A1393" s="4168">
        <v>3</v>
      </c>
      <c r="B1393" s="4168" t="s">
        <v>4245</v>
      </c>
      <c r="C1393" s="4659"/>
      <c r="D1393" s="4593"/>
      <c r="E1393" s="4318"/>
      <c r="F1393" s="4318"/>
      <c r="H1393" s="4534"/>
      <c r="I1393" s="4534"/>
    </row>
    <row r="1394" spans="1:9">
      <c r="A1394" s="4167">
        <v>3.1</v>
      </c>
      <c r="B1394" s="4734" t="s">
        <v>4254</v>
      </c>
      <c r="C1394" s="4659">
        <v>937.3</v>
      </c>
      <c r="D1394" s="4593" t="s">
        <v>1</v>
      </c>
      <c r="E1394" s="4318"/>
      <c r="F1394" s="4318">
        <f t="shared" ref="F1394" si="72">ROUND(C1394*E1394,2)</f>
        <v>0</v>
      </c>
      <c r="H1394" s="4534"/>
      <c r="I1394" s="4534"/>
    </row>
    <row r="1395" spans="1:9">
      <c r="A1395" s="4167"/>
      <c r="B1395" s="4692"/>
      <c r="C1395" s="4659"/>
      <c r="D1395" s="4593"/>
      <c r="E1395" s="4318"/>
      <c r="F1395" s="4318"/>
      <c r="H1395" s="4534"/>
      <c r="I1395" s="4534"/>
    </row>
    <row r="1396" spans="1:9">
      <c r="A1396" s="4168">
        <v>4</v>
      </c>
      <c r="B1396" s="4168" t="s">
        <v>4247</v>
      </c>
      <c r="C1396" s="4659"/>
      <c r="D1396" s="4593"/>
      <c r="E1396" s="4318"/>
      <c r="F1396" s="4318"/>
      <c r="H1396" s="4534"/>
      <c r="I1396" s="4534"/>
    </row>
    <row r="1397" spans="1:9">
      <c r="A1397" s="4167">
        <v>4.0999999999999996</v>
      </c>
      <c r="B1397" s="4734" t="s">
        <v>4254</v>
      </c>
      <c r="C1397" s="4659">
        <v>910</v>
      </c>
      <c r="D1397" s="4593" t="s">
        <v>1</v>
      </c>
      <c r="E1397" s="4318"/>
      <c r="F1397" s="4318">
        <f t="shared" ref="F1397" si="73">ROUND(C1397*E1397,2)</f>
        <v>0</v>
      </c>
      <c r="H1397" s="4534"/>
      <c r="I1397" s="4534"/>
    </row>
    <row r="1398" spans="1:9">
      <c r="A1398" s="4167"/>
      <c r="B1398" s="4692"/>
      <c r="C1398" s="4659"/>
      <c r="D1398" s="4167"/>
      <c r="E1398" s="4318"/>
      <c r="F1398" s="4318"/>
      <c r="H1398" s="4534"/>
      <c r="I1398" s="4534"/>
    </row>
    <row r="1399" spans="1:9" ht="30" customHeight="1">
      <c r="A1399" s="4168">
        <v>5</v>
      </c>
      <c r="B1399" s="4637" t="s">
        <v>4248</v>
      </c>
      <c r="C1399" s="4659"/>
      <c r="D1399" s="4167"/>
      <c r="E1399" s="4318"/>
      <c r="F1399" s="4318"/>
      <c r="H1399" s="4534"/>
      <c r="I1399" s="4534"/>
    </row>
    <row r="1400" spans="1:9">
      <c r="A1400" s="4167">
        <v>5.0999999999999996</v>
      </c>
      <c r="B1400" s="4692" t="s">
        <v>4467</v>
      </c>
      <c r="C1400" s="4659">
        <v>7</v>
      </c>
      <c r="D1400" s="4593" t="s">
        <v>2433</v>
      </c>
      <c r="E1400" s="4318"/>
      <c r="F1400" s="4318">
        <f t="shared" ref="F1400:F1411" si="74">ROUND(C1400*E1400,2)</f>
        <v>0</v>
      </c>
      <c r="H1400" s="4534"/>
      <c r="I1400" s="4534"/>
    </row>
    <row r="1401" spans="1:9">
      <c r="A1401" s="4167">
        <v>5.2</v>
      </c>
      <c r="B1401" s="4692" t="s">
        <v>4466</v>
      </c>
      <c r="C1401" s="4659">
        <v>6</v>
      </c>
      <c r="D1401" s="4593" t="s">
        <v>2433</v>
      </c>
      <c r="E1401" s="4318"/>
      <c r="F1401" s="4318">
        <f t="shared" si="74"/>
        <v>0</v>
      </c>
      <c r="H1401" s="4534"/>
      <c r="I1401" s="4534"/>
    </row>
    <row r="1402" spans="1:9">
      <c r="A1402" s="4167">
        <v>5.3</v>
      </c>
      <c r="B1402" s="4692" t="s">
        <v>4468</v>
      </c>
      <c r="C1402" s="4659">
        <v>3</v>
      </c>
      <c r="D1402" s="4593" t="s">
        <v>2433</v>
      </c>
      <c r="E1402" s="4318"/>
      <c r="F1402" s="4318">
        <f t="shared" si="74"/>
        <v>0</v>
      </c>
      <c r="H1402" s="4534"/>
      <c r="I1402" s="4534"/>
    </row>
    <row r="1403" spans="1:9">
      <c r="A1403" s="4167">
        <v>5.4</v>
      </c>
      <c r="B1403" s="4692" t="s">
        <v>4469</v>
      </c>
      <c r="C1403" s="4659">
        <v>2</v>
      </c>
      <c r="D1403" s="4593" t="s">
        <v>2433</v>
      </c>
      <c r="E1403" s="4318"/>
      <c r="F1403" s="4318">
        <f t="shared" si="74"/>
        <v>0</v>
      </c>
      <c r="H1403" s="4534"/>
      <c r="I1403" s="4534"/>
    </row>
    <row r="1404" spans="1:9">
      <c r="A1404" s="4167">
        <v>5.5</v>
      </c>
      <c r="B1404" s="4692" t="s">
        <v>4470</v>
      </c>
      <c r="C1404" s="4659">
        <v>4</v>
      </c>
      <c r="D1404" s="4593" t="s">
        <v>2433</v>
      </c>
      <c r="E1404" s="4318"/>
      <c r="F1404" s="4318">
        <f t="shared" si="74"/>
        <v>0</v>
      </c>
      <c r="H1404" s="4534"/>
      <c r="I1404" s="4534"/>
    </row>
    <row r="1405" spans="1:9">
      <c r="A1405" s="4650">
        <v>5.6</v>
      </c>
      <c r="B1405" s="4915" t="s">
        <v>4471</v>
      </c>
      <c r="C1405" s="4733">
        <v>1</v>
      </c>
      <c r="D1405" s="4732" t="s">
        <v>2433</v>
      </c>
      <c r="E1405" s="4980"/>
      <c r="F1405" s="4980">
        <f t="shared" si="74"/>
        <v>0</v>
      </c>
      <c r="H1405" s="4534"/>
      <c r="I1405" s="4534"/>
    </row>
    <row r="1406" spans="1:9">
      <c r="A1406" s="4167">
        <v>5.7</v>
      </c>
      <c r="B1406" s="4692" t="s">
        <v>4472</v>
      </c>
      <c r="C1406" s="4659">
        <v>3</v>
      </c>
      <c r="D1406" s="4593" t="s">
        <v>2433</v>
      </c>
      <c r="E1406" s="4318"/>
      <c r="F1406" s="4318">
        <f t="shared" si="74"/>
        <v>0</v>
      </c>
      <c r="H1406" s="4534"/>
      <c r="I1406" s="4534"/>
    </row>
    <row r="1407" spans="1:9">
      <c r="A1407" s="4167">
        <v>5.8</v>
      </c>
      <c r="B1407" s="4692" t="s">
        <v>4473</v>
      </c>
      <c r="C1407" s="4659">
        <v>1</v>
      </c>
      <c r="D1407" s="4593" t="s">
        <v>2433</v>
      </c>
      <c r="E1407" s="4318"/>
      <c r="F1407" s="4318">
        <f t="shared" si="74"/>
        <v>0</v>
      </c>
      <c r="H1407" s="4534"/>
      <c r="I1407" s="4534"/>
    </row>
    <row r="1408" spans="1:9">
      <c r="A1408" s="4167">
        <v>5.9</v>
      </c>
      <c r="B1408" s="4692" t="s">
        <v>4474</v>
      </c>
      <c r="C1408" s="4659">
        <v>1</v>
      </c>
      <c r="D1408" s="4593" t="s">
        <v>2433</v>
      </c>
      <c r="E1408" s="4318"/>
      <c r="F1408" s="4318">
        <f t="shared" si="74"/>
        <v>0</v>
      </c>
      <c r="H1408" s="4534"/>
      <c r="I1408" s="4534"/>
    </row>
    <row r="1409" spans="1:9">
      <c r="A1409" s="4677">
        <v>5.0999999999999996</v>
      </c>
      <c r="B1409" s="4692" t="s">
        <v>4255</v>
      </c>
      <c r="C1409" s="4659">
        <v>1</v>
      </c>
      <c r="D1409" s="4593" t="s">
        <v>2433</v>
      </c>
      <c r="E1409" s="4318"/>
      <c r="F1409" s="4318">
        <f t="shared" si="74"/>
        <v>0</v>
      </c>
      <c r="H1409" s="4534"/>
      <c r="I1409" s="4534"/>
    </row>
    <row r="1410" spans="1:9">
      <c r="A1410" s="4167">
        <v>5.1100000000000003</v>
      </c>
      <c r="B1410" s="4692" t="s">
        <v>4256</v>
      </c>
      <c r="C1410" s="4659">
        <v>54</v>
      </c>
      <c r="D1410" s="4593" t="s">
        <v>2433</v>
      </c>
      <c r="E1410" s="4318"/>
      <c r="F1410" s="4318">
        <f t="shared" si="74"/>
        <v>0</v>
      </c>
      <c r="H1410" s="4534"/>
      <c r="I1410" s="4534"/>
    </row>
    <row r="1411" spans="1:9">
      <c r="A1411" s="4167">
        <v>5.12</v>
      </c>
      <c r="B1411" s="4692" t="s">
        <v>4257</v>
      </c>
      <c r="C1411" s="4659">
        <v>32</v>
      </c>
      <c r="D1411" s="4593" t="s">
        <v>2433</v>
      </c>
      <c r="E1411" s="4318"/>
      <c r="F1411" s="4318">
        <f t="shared" si="74"/>
        <v>0</v>
      </c>
      <c r="H1411" s="4534"/>
      <c r="I1411" s="4534"/>
    </row>
    <row r="1412" spans="1:9">
      <c r="A1412" s="4167"/>
      <c r="B1412" s="4692"/>
      <c r="C1412" s="4659"/>
      <c r="D1412" s="4167"/>
      <c r="E1412" s="4318"/>
      <c r="F1412" s="4318"/>
      <c r="H1412" s="4534"/>
      <c r="I1412" s="4534"/>
    </row>
    <row r="1413" spans="1:9">
      <c r="A1413" s="4168">
        <v>6</v>
      </c>
      <c r="B1413" s="4168" t="s">
        <v>4258</v>
      </c>
      <c r="C1413" s="4659"/>
      <c r="D1413" s="4593"/>
      <c r="E1413" s="4318"/>
      <c r="F1413" s="4318"/>
      <c r="H1413" s="4534"/>
      <c r="I1413" s="4534"/>
    </row>
    <row r="1414" spans="1:9">
      <c r="A1414" s="4168">
        <v>6.1</v>
      </c>
      <c r="B1414" s="4168" t="s">
        <v>4259</v>
      </c>
      <c r="C1414" s="4659"/>
      <c r="D1414" s="4593"/>
      <c r="E1414" s="4318"/>
      <c r="F1414" s="4318"/>
      <c r="H1414" s="4534"/>
      <c r="I1414" s="4534"/>
    </row>
    <row r="1415" spans="1:9">
      <c r="A1415" s="4654" t="s">
        <v>628</v>
      </c>
      <c r="B1415" s="4916" t="s">
        <v>2353</v>
      </c>
      <c r="C1415" s="4917">
        <v>19.600000000000001</v>
      </c>
      <c r="D1415" s="4918" t="s">
        <v>1</v>
      </c>
      <c r="E1415" s="4318"/>
      <c r="F1415" s="4318">
        <f t="shared" ref="F1415:F1429" si="75">ROUND(C1415*E1415,2)</f>
        <v>0</v>
      </c>
      <c r="H1415" s="4534"/>
      <c r="I1415" s="4534"/>
    </row>
    <row r="1416" spans="1:9" ht="28.5">
      <c r="A1416" s="4654" t="s">
        <v>4260</v>
      </c>
      <c r="B1416" s="4919" t="s">
        <v>4261</v>
      </c>
      <c r="C1416" s="4917">
        <v>19.600000000000001</v>
      </c>
      <c r="D1416" s="4918" t="s">
        <v>1</v>
      </c>
      <c r="E1416" s="4318"/>
      <c r="F1416" s="4318">
        <f t="shared" si="75"/>
        <v>0</v>
      </c>
      <c r="H1416" s="4534"/>
      <c r="I1416" s="4534"/>
    </row>
    <row r="1417" spans="1:9" ht="16.5" customHeight="1">
      <c r="A1417" s="4654" t="s">
        <v>4262</v>
      </c>
      <c r="B1417" s="4919" t="s">
        <v>4263</v>
      </c>
      <c r="C1417" s="4917">
        <v>4</v>
      </c>
      <c r="D1417" s="4593" t="s">
        <v>2433</v>
      </c>
      <c r="E1417" s="4318"/>
      <c r="F1417" s="4318">
        <f t="shared" si="75"/>
        <v>0</v>
      </c>
      <c r="H1417" s="4534"/>
      <c r="I1417" s="4534"/>
    </row>
    <row r="1418" spans="1:9">
      <c r="A1418" s="4654" t="s">
        <v>4264</v>
      </c>
      <c r="B1418" s="4916" t="s">
        <v>4265</v>
      </c>
      <c r="C1418" s="4917">
        <v>2</v>
      </c>
      <c r="D1418" s="4593" t="s">
        <v>2433</v>
      </c>
      <c r="E1418" s="4318"/>
      <c r="F1418" s="4318">
        <f t="shared" si="75"/>
        <v>0</v>
      </c>
      <c r="H1418" s="4534"/>
      <c r="I1418" s="4534"/>
    </row>
    <row r="1419" spans="1:9">
      <c r="A1419" s="4654" t="s">
        <v>4266</v>
      </c>
      <c r="B1419" s="4916" t="s">
        <v>4267</v>
      </c>
      <c r="C1419" s="4917">
        <v>2</v>
      </c>
      <c r="D1419" s="4593" t="s">
        <v>2433</v>
      </c>
      <c r="E1419" s="4318"/>
      <c r="F1419" s="4318">
        <f t="shared" si="75"/>
        <v>0</v>
      </c>
      <c r="H1419" s="4534"/>
      <c r="I1419" s="4534"/>
    </row>
    <row r="1420" spans="1:9">
      <c r="A1420" s="4654" t="s">
        <v>4268</v>
      </c>
      <c r="B1420" s="4916" t="s">
        <v>4269</v>
      </c>
      <c r="C1420" s="4917">
        <v>1</v>
      </c>
      <c r="D1420" s="4593" t="s">
        <v>2433</v>
      </c>
      <c r="E1420" s="4318"/>
      <c r="F1420" s="4318">
        <f t="shared" si="75"/>
        <v>0</v>
      </c>
      <c r="H1420" s="4534"/>
      <c r="I1420" s="4534"/>
    </row>
    <row r="1421" spans="1:9">
      <c r="A1421" s="4654" t="s">
        <v>4270</v>
      </c>
      <c r="B1421" s="4916" t="s">
        <v>4475</v>
      </c>
      <c r="C1421" s="4917">
        <v>3</v>
      </c>
      <c r="D1421" s="4593" t="s">
        <v>2433</v>
      </c>
      <c r="E1421" s="4318"/>
      <c r="F1421" s="4318">
        <f t="shared" si="75"/>
        <v>0</v>
      </c>
      <c r="H1421" s="4534"/>
      <c r="I1421" s="4534"/>
    </row>
    <row r="1422" spans="1:9">
      <c r="A1422" s="4654" t="s">
        <v>4271</v>
      </c>
      <c r="B1422" s="4916" t="s">
        <v>4272</v>
      </c>
      <c r="C1422" s="4917">
        <v>6</v>
      </c>
      <c r="D1422" s="4593" t="s">
        <v>2433</v>
      </c>
      <c r="E1422" s="4318"/>
      <c r="F1422" s="4318">
        <f t="shared" si="75"/>
        <v>0</v>
      </c>
      <c r="H1422" s="4534"/>
      <c r="I1422" s="4534"/>
    </row>
    <row r="1423" spans="1:9">
      <c r="A1423" s="4654" t="s">
        <v>4273</v>
      </c>
      <c r="B1423" s="4916" t="s">
        <v>4476</v>
      </c>
      <c r="C1423" s="4917">
        <v>3</v>
      </c>
      <c r="D1423" s="4593" t="s">
        <v>2433</v>
      </c>
      <c r="E1423" s="4318"/>
      <c r="F1423" s="4318">
        <f t="shared" si="75"/>
        <v>0</v>
      </c>
      <c r="H1423" s="4534"/>
      <c r="I1423" s="4534"/>
    </row>
    <row r="1424" spans="1:9">
      <c r="A1424" s="4654" t="s">
        <v>4274</v>
      </c>
      <c r="B1424" s="4916" t="s">
        <v>4275</v>
      </c>
      <c r="C1424" s="4917">
        <v>12.62</v>
      </c>
      <c r="D1424" s="4918" t="s">
        <v>4276</v>
      </c>
      <c r="E1424" s="4318"/>
      <c r="F1424" s="4318">
        <f t="shared" si="75"/>
        <v>0</v>
      </c>
      <c r="H1424" s="4534"/>
      <c r="I1424" s="4534"/>
    </row>
    <row r="1425" spans="1:9">
      <c r="A1425" s="4654" t="s">
        <v>4277</v>
      </c>
      <c r="B1425" s="4916" t="s">
        <v>4477</v>
      </c>
      <c r="C1425" s="4920">
        <v>12.8</v>
      </c>
      <c r="D1425" s="4918" t="s">
        <v>4625</v>
      </c>
      <c r="E1425" s="4318"/>
      <c r="F1425" s="4318">
        <f t="shared" si="75"/>
        <v>0</v>
      </c>
      <c r="H1425" s="4534"/>
      <c r="I1425" s="4534"/>
    </row>
    <row r="1426" spans="1:9">
      <c r="A1426" s="4654" t="s">
        <v>4278</v>
      </c>
      <c r="B1426" s="4916" t="s">
        <v>4279</v>
      </c>
      <c r="C1426" s="4920">
        <v>12.8</v>
      </c>
      <c r="D1426" s="4918" t="s">
        <v>4625</v>
      </c>
      <c r="E1426" s="4318"/>
      <c r="F1426" s="4318">
        <f t="shared" si="75"/>
        <v>0</v>
      </c>
      <c r="H1426" s="4534"/>
      <c r="I1426" s="4534"/>
    </row>
    <row r="1427" spans="1:9">
      <c r="A1427" s="4654" t="s">
        <v>4280</v>
      </c>
      <c r="B1427" s="4916" t="s">
        <v>2950</v>
      </c>
      <c r="C1427" s="4920">
        <v>1</v>
      </c>
      <c r="D1427" s="4918" t="s">
        <v>61</v>
      </c>
      <c r="E1427" s="4983"/>
      <c r="F1427" s="4318">
        <f t="shared" si="75"/>
        <v>0</v>
      </c>
      <c r="H1427" s="4534"/>
      <c r="I1427" s="4534"/>
    </row>
    <row r="1428" spans="1:9">
      <c r="A1428" s="4167"/>
      <c r="B1428" s="4692"/>
      <c r="C1428" s="4659"/>
      <c r="D1428" s="4167"/>
      <c r="E1428" s="4318"/>
      <c r="F1428" s="4318"/>
      <c r="H1428" s="4534"/>
      <c r="I1428" s="4534"/>
    </row>
    <row r="1429" spans="1:9">
      <c r="A1429" s="4167">
        <v>6.2</v>
      </c>
      <c r="B1429" s="4692" t="s">
        <v>4478</v>
      </c>
      <c r="C1429" s="4659">
        <v>16</v>
      </c>
      <c r="D1429" s="4593" t="s">
        <v>1</v>
      </c>
      <c r="E1429" s="4983"/>
      <c r="F1429" s="4318">
        <f t="shared" si="75"/>
        <v>0</v>
      </c>
      <c r="H1429" s="4534"/>
      <c r="I1429" s="4534"/>
    </row>
    <row r="1430" spans="1:9">
      <c r="A1430" s="4167"/>
      <c r="B1430" s="4692"/>
      <c r="C1430" s="4659"/>
      <c r="D1430" s="4167"/>
      <c r="E1430" s="4318"/>
      <c r="F1430" s="4318"/>
      <c r="H1430" s="4534"/>
      <c r="I1430" s="4534"/>
    </row>
    <row r="1431" spans="1:9" s="4238" customFormat="1" ht="12.75">
      <c r="A1431" s="4168">
        <v>7</v>
      </c>
      <c r="B1431" s="4168" t="s">
        <v>4281</v>
      </c>
      <c r="C1431" s="4659"/>
      <c r="D1431" s="4167"/>
      <c r="E1431" s="4318"/>
      <c r="F1431" s="4318"/>
      <c r="H1431" s="4580"/>
      <c r="I1431" s="4580"/>
    </row>
    <row r="1432" spans="1:9">
      <c r="A1432" s="4167">
        <v>7.1</v>
      </c>
      <c r="B1432" s="4734" t="s">
        <v>4254</v>
      </c>
      <c r="C1432" s="4659">
        <v>910</v>
      </c>
      <c r="D1432" s="4593" t="s">
        <v>1</v>
      </c>
      <c r="E1432" s="4318"/>
      <c r="F1432" s="4318">
        <f t="shared" ref="F1432" si="76">ROUND(C1432*E1432,2)</f>
        <v>0</v>
      </c>
      <c r="H1432" s="4534"/>
      <c r="I1432" s="4534"/>
    </row>
    <row r="1433" spans="1:9" ht="5.0999999999999996" customHeight="1">
      <c r="A1433" s="4167"/>
      <c r="B1433" s="4692"/>
      <c r="C1433" s="4659"/>
      <c r="D1433" s="4167"/>
      <c r="E1433" s="4318"/>
      <c r="F1433" s="4318"/>
      <c r="H1433" s="4534"/>
      <c r="I1433" s="4534"/>
    </row>
    <row r="1434" spans="1:9" s="4238" customFormat="1" ht="12.75">
      <c r="A1434" s="4912"/>
      <c r="B1434" s="4860" t="str">
        <f>"SUB-TOTAL "&amp;A1383</f>
        <v>SUB-TOTAL C-3</v>
      </c>
      <c r="C1434" s="4913"/>
      <c r="D1434" s="4914"/>
      <c r="E1434" s="5037"/>
      <c r="F1434" s="5023">
        <f>ROUND(SUM(F1385:F1433),2)</f>
        <v>0</v>
      </c>
      <c r="H1434" s="4580"/>
      <c r="I1434" s="4580"/>
    </row>
    <row r="1435" spans="1:9">
      <c r="A1435" s="4167"/>
      <c r="B1435" s="4692"/>
      <c r="C1435" s="4659"/>
      <c r="D1435" s="4167"/>
      <c r="E1435" s="4318"/>
      <c r="F1435" s="4318"/>
      <c r="H1435" s="4534"/>
      <c r="I1435" s="4534"/>
    </row>
    <row r="1436" spans="1:9" s="4238" customFormat="1" ht="27" customHeight="1">
      <c r="A1436" s="4752" t="s">
        <v>4409</v>
      </c>
      <c r="B1436" s="4637" t="s">
        <v>4282</v>
      </c>
      <c r="C1436" s="4168"/>
      <c r="D1436" s="4681"/>
      <c r="E1436" s="5036"/>
      <c r="F1436" s="5036"/>
      <c r="H1436" s="4580"/>
      <c r="I1436" s="4580"/>
    </row>
    <row r="1437" spans="1:9">
      <c r="A1437" s="4167"/>
      <c r="B1437" s="4692"/>
      <c r="C1437" s="4659"/>
      <c r="D1437" s="4167"/>
      <c r="E1437" s="4318"/>
      <c r="F1437" s="4318"/>
      <c r="H1437" s="4534"/>
      <c r="I1437" s="4534"/>
    </row>
    <row r="1438" spans="1:9">
      <c r="A1438" s="4167">
        <v>1</v>
      </c>
      <c r="B1438" s="4692" t="s">
        <v>2353</v>
      </c>
      <c r="C1438" s="4659">
        <v>18</v>
      </c>
      <c r="D1438" s="4593" t="s">
        <v>1</v>
      </c>
      <c r="E1438" s="4318"/>
      <c r="F1438" s="4318">
        <f>ROUND(C1438*E1438,2)</f>
        <v>0</v>
      </c>
      <c r="H1438" s="4534"/>
      <c r="I1438" s="4534"/>
    </row>
    <row r="1439" spans="1:9">
      <c r="A1439" s="4167"/>
      <c r="B1439" s="4692"/>
      <c r="C1439" s="4659"/>
      <c r="D1439" s="4593"/>
      <c r="E1439" s="4318"/>
      <c r="F1439" s="4318"/>
      <c r="H1439" s="4534"/>
      <c r="I1439" s="4534"/>
    </row>
    <row r="1440" spans="1:9">
      <c r="A1440" s="4168">
        <v>2</v>
      </c>
      <c r="B1440" s="4168" t="s">
        <v>14</v>
      </c>
      <c r="C1440" s="4659"/>
      <c r="D1440" s="4593"/>
      <c r="E1440" s="4318"/>
      <c r="F1440" s="4318"/>
      <c r="H1440" s="4534"/>
      <c r="I1440" s="4534"/>
    </row>
    <row r="1441" spans="1:9">
      <c r="A1441" s="4167">
        <v>2.1</v>
      </c>
      <c r="B1441" s="4734" t="s">
        <v>4283</v>
      </c>
      <c r="C1441" s="4659">
        <v>442.8</v>
      </c>
      <c r="D1441" s="4593" t="s">
        <v>3157</v>
      </c>
      <c r="E1441" s="4318"/>
      <c r="F1441" s="4318">
        <f t="shared" ref="F1441:F1443" si="77">ROUND(C1441*E1441,2)</f>
        <v>0</v>
      </c>
      <c r="H1441" s="4534"/>
      <c r="I1441" s="4534"/>
    </row>
    <row r="1442" spans="1:9" ht="21" customHeight="1">
      <c r="A1442" s="4167">
        <v>2.2000000000000002</v>
      </c>
      <c r="B1442" s="4734" t="s">
        <v>4284</v>
      </c>
      <c r="C1442" s="4659">
        <v>400.93</v>
      </c>
      <c r="D1442" s="4593" t="s">
        <v>2431</v>
      </c>
      <c r="E1442" s="4318"/>
      <c r="F1442" s="4318">
        <f t="shared" si="77"/>
        <v>0</v>
      </c>
      <c r="H1442" s="4534"/>
      <c r="I1442" s="4534"/>
    </row>
    <row r="1443" spans="1:9" ht="28.5">
      <c r="A1443" s="4167">
        <v>2.2999999999999998</v>
      </c>
      <c r="B1443" s="4734" t="s">
        <v>4285</v>
      </c>
      <c r="C1443" s="4659">
        <v>50.24</v>
      </c>
      <c r="D1443" s="4593" t="s">
        <v>3160</v>
      </c>
      <c r="E1443" s="4318"/>
      <c r="F1443" s="4318">
        <f t="shared" si="77"/>
        <v>0</v>
      </c>
      <c r="H1443" s="4534"/>
      <c r="I1443" s="4534"/>
    </row>
    <row r="1444" spans="1:9">
      <c r="A1444" s="4167"/>
      <c r="B1444" s="4692"/>
      <c r="C1444" s="4659"/>
      <c r="D1444" s="4593"/>
      <c r="E1444" s="4318"/>
      <c r="F1444" s="4318"/>
      <c r="H1444" s="4534"/>
      <c r="I1444" s="4534"/>
    </row>
    <row r="1445" spans="1:9">
      <c r="A1445" s="4168">
        <v>3</v>
      </c>
      <c r="B1445" s="4168" t="s">
        <v>4245</v>
      </c>
      <c r="C1445" s="4659"/>
      <c r="D1445" s="4593"/>
      <c r="E1445" s="4318"/>
      <c r="F1445" s="4318"/>
      <c r="H1445" s="4534"/>
      <c r="I1445" s="4534"/>
    </row>
    <row r="1446" spans="1:9">
      <c r="A1446" s="4167">
        <v>3.1</v>
      </c>
      <c r="B1446" s="4734" t="s">
        <v>3695</v>
      </c>
      <c r="C1446" s="4659">
        <v>18</v>
      </c>
      <c r="D1446" s="4593" t="s">
        <v>1</v>
      </c>
      <c r="E1446" s="4318"/>
      <c r="F1446" s="4318">
        <f t="shared" ref="F1446" si="78">ROUND(C1446*E1446,2)</f>
        <v>0</v>
      </c>
      <c r="H1446" s="4534"/>
      <c r="I1446" s="4534"/>
    </row>
    <row r="1447" spans="1:9">
      <c r="A1447" s="4167"/>
      <c r="B1447" s="4692"/>
      <c r="C1447" s="4659"/>
      <c r="D1447" s="4593"/>
      <c r="E1447" s="4318"/>
      <c r="F1447" s="4318"/>
      <c r="H1447" s="4534"/>
      <c r="I1447" s="4534"/>
    </row>
    <row r="1448" spans="1:9">
      <c r="A1448" s="4168">
        <v>4</v>
      </c>
      <c r="B1448" s="4168" t="s">
        <v>4247</v>
      </c>
      <c r="C1448" s="4659"/>
      <c r="D1448" s="4593"/>
      <c r="E1448" s="4318"/>
      <c r="F1448" s="4318"/>
      <c r="H1448" s="4534"/>
      <c r="I1448" s="4534"/>
    </row>
    <row r="1449" spans="1:9">
      <c r="A1449" s="4167">
        <v>4.0999999999999996</v>
      </c>
      <c r="B1449" s="4734" t="s">
        <v>3695</v>
      </c>
      <c r="C1449" s="4659">
        <v>18</v>
      </c>
      <c r="D1449" s="4593" t="s">
        <v>1</v>
      </c>
      <c r="E1449" s="4318"/>
      <c r="F1449" s="4318">
        <f t="shared" ref="F1449" si="79">ROUND(C1449*E1449,2)</f>
        <v>0</v>
      </c>
      <c r="H1449" s="4534"/>
      <c r="I1449" s="4534"/>
    </row>
    <row r="1450" spans="1:9">
      <c r="A1450" s="4167"/>
      <c r="B1450" s="4692"/>
      <c r="C1450" s="4659"/>
      <c r="D1450" s="4167"/>
      <c r="E1450" s="4318"/>
      <c r="F1450" s="4318"/>
      <c r="H1450" s="4534"/>
      <c r="I1450" s="4534"/>
    </row>
    <row r="1451" spans="1:9" ht="15">
      <c r="A1451" s="4912"/>
      <c r="B1451" s="4877" t="str">
        <f>"SUB-TOTAL "&amp;A1436</f>
        <v>SUB-TOTAL C-4</v>
      </c>
      <c r="C1451" s="4913"/>
      <c r="D1451" s="4914"/>
      <c r="E1451" s="5037"/>
      <c r="F1451" s="5023">
        <f>ROUND(SUM(F1437:F1450),2)</f>
        <v>0</v>
      </c>
      <c r="H1451" s="4534"/>
      <c r="I1451" s="4534"/>
    </row>
    <row r="1452" spans="1:9">
      <c r="A1452" s="4167"/>
      <c r="B1452" s="4692"/>
      <c r="C1452" s="4659"/>
      <c r="D1452" s="4167"/>
      <c r="E1452" s="4318"/>
      <c r="F1452" s="4318"/>
      <c r="H1452" s="4534"/>
      <c r="I1452" s="4534"/>
    </row>
    <row r="1453" spans="1:9" ht="27">
      <c r="A1453" s="4752" t="s">
        <v>4410</v>
      </c>
      <c r="B1453" s="4614" t="s">
        <v>4715</v>
      </c>
      <c r="C1453" s="4168"/>
      <c r="D1453" s="4168"/>
      <c r="E1453" s="5035"/>
      <c r="F1453" s="5035"/>
      <c r="H1453" s="4534"/>
      <c r="I1453" s="4534"/>
    </row>
    <row r="1454" spans="1:9">
      <c r="A1454" s="4167"/>
      <c r="B1454" s="4692"/>
      <c r="C1454" s="4659"/>
      <c r="D1454" s="4167"/>
      <c r="E1454" s="4318"/>
      <c r="F1454" s="4318"/>
      <c r="H1454" s="4534"/>
      <c r="I1454" s="4534"/>
    </row>
    <row r="1455" spans="1:9">
      <c r="A1455" s="4650">
        <v>1</v>
      </c>
      <c r="B1455" s="4915" t="s">
        <v>2353</v>
      </c>
      <c r="C1455" s="4733">
        <v>1518.23</v>
      </c>
      <c r="D1455" s="4732" t="s">
        <v>1</v>
      </c>
      <c r="E1455" s="4980"/>
      <c r="F1455" s="4980">
        <f>ROUND(C1455*E1455,2)</f>
        <v>0</v>
      </c>
      <c r="H1455" s="4534"/>
      <c r="I1455" s="4534"/>
    </row>
    <row r="1456" spans="1:9">
      <c r="A1456" s="4167"/>
      <c r="B1456" s="4692"/>
      <c r="C1456" s="4659"/>
      <c r="D1456" s="4593"/>
      <c r="E1456" s="4318"/>
      <c r="F1456" s="4318"/>
      <c r="H1456" s="4534"/>
      <c r="I1456" s="4534"/>
    </row>
    <row r="1457" spans="1:9">
      <c r="A1457" s="4168">
        <v>2</v>
      </c>
      <c r="B1457" s="4168" t="s">
        <v>14</v>
      </c>
      <c r="C1457" s="4659"/>
      <c r="D1457" s="4593"/>
      <c r="E1457" s="4318"/>
      <c r="F1457" s="4318"/>
      <c r="H1457" s="4534"/>
      <c r="I1457" s="4534"/>
    </row>
    <row r="1458" spans="1:9" ht="13.5" customHeight="1">
      <c r="A1458" s="4167">
        <v>2.1</v>
      </c>
      <c r="B1458" s="4734" t="s">
        <v>4251</v>
      </c>
      <c r="C1458" s="4659">
        <v>1336.04</v>
      </c>
      <c r="D1458" s="4593" t="s">
        <v>3157</v>
      </c>
      <c r="E1458" s="4318"/>
      <c r="F1458" s="4318">
        <f t="shared" ref="F1458:F1461" si="80">ROUND(C1458*E1458,2)</f>
        <v>0</v>
      </c>
      <c r="H1458" s="4534"/>
      <c r="I1458" s="4534"/>
    </row>
    <row r="1459" spans="1:9">
      <c r="A1459" s="4167">
        <v>2.2000000000000002</v>
      </c>
      <c r="B1459" s="4692" t="s">
        <v>2546</v>
      </c>
      <c r="C1459" s="4659">
        <v>106.28</v>
      </c>
      <c r="D1459" s="4593" t="s">
        <v>3181</v>
      </c>
      <c r="E1459" s="4318"/>
      <c r="F1459" s="4318">
        <f t="shared" si="80"/>
        <v>0</v>
      </c>
      <c r="H1459" s="4534"/>
      <c r="I1459" s="4534"/>
    </row>
    <row r="1460" spans="1:9" ht="28.5">
      <c r="A1460" s="4167">
        <v>2.2999999999999998</v>
      </c>
      <c r="B1460" s="4734" t="s">
        <v>4284</v>
      </c>
      <c r="C1460" s="4659">
        <v>1141.97</v>
      </c>
      <c r="D1460" s="4593" t="s">
        <v>2431</v>
      </c>
      <c r="E1460" s="4318"/>
      <c r="F1460" s="4318">
        <f t="shared" si="80"/>
        <v>0</v>
      </c>
      <c r="H1460" s="4534"/>
      <c r="I1460" s="4534"/>
    </row>
    <row r="1461" spans="1:9" ht="28.5">
      <c r="A1461" s="4167">
        <v>2.4</v>
      </c>
      <c r="B1461" s="4734" t="s">
        <v>3159</v>
      </c>
      <c r="C1461" s="4659">
        <v>232.89</v>
      </c>
      <c r="D1461" s="4593" t="s">
        <v>3160</v>
      </c>
      <c r="E1461" s="4318"/>
      <c r="F1461" s="4318">
        <f t="shared" si="80"/>
        <v>0</v>
      </c>
      <c r="H1461" s="4534"/>
      <c r="I1461" s="4534"/>
    </row>
    <row r="1462" spans="1:9">
      <c r="A1462" s="4167"/>
      <c r="B1462" s="4692"/>
      <c r="C1462" s="4659"/>
      <c r="D1462" s="4167"/>
      <c r="E1462" s="4318"/>
      <c r="F1462" s="4318"/>
      <c r="H1462" s="4534"/>
      <c r="I1462" s="4534"/>
    </row>
    <row r="1463" spans="1:9">
      <c r="A1463" s="4168">
        <v>3</v>
      </c>
      <c r="B1463" s="4168" t="s">
        <v>4245</v>
      </c>
      <c r="C1463" s="4659"/>
      <c r="D1463" s="4593"/>
      <c r="E1463" s="4318"/>
      <c r="F1463" s="4318"/>
      <c r="H1463" s="4534"/>
      <c r="I1463" s="4534"/>
    </row>
    <row r="1464" spans="1:9">
      <c r="A1464" s="4167">
        <v>3.1</v>
      </c>
      <c r="B1464" s="4734" t="s">
        <v>4631</v>
      </c>
      <c r="C1464" s="4659">
        <v>1563.78</v>
      </c>
      <c r="D1464" s="4593" t="s">
        <v>1</v>
      </c>
      <c r="E1464" s="4318"/>
      <c r="F1464" s="4318">
        <f t="shared" ref="F1464" si="81">ROUND(C1464*E1464,2)</f>
        <v>0</v>
      </c>
      <c r="H1464" s="4534"/>
      <c r="I1464" s="4534"/>
    </row>
    <row r="1465" spans="1:9">
      <c r="A1465" s="4167"/>
      <c r="B1465" s="4692"/>
      <c r="C1465" s="4659"/>
      <c r="D1465" s="4593"/>
      <c r="E1465" s="4318"/>
      <c r="F1465" s="4318"/>
      <c r="H1465" s="4534"/>
      <c r="I1465" s="4534"/>
    </row>
    <row r="1466" spans="1:9">
      <c r="A1466" s="4168">
        <v>4</v>
      </c>
      <c r="B1466" s="4168" t="s">
        <v>4247</v>
      </c>
      <c r="C1466" s="4659"/>
      <c r="D1466" s="4593"/>
      <c r="E1466" s="4318"/>
      <c r="F1466" s="4318"/>
      <c r="H1466" s="4534"/>
      <c r="I1466" s="4534"/>
    </row>
    <row r="1467" spans="1:9">
      <c r="A1467" s="4167">
        <v>4.0999999999999996</v>
      </c>
      <c r="B1467" s="4734" t="s">
        <v>4631</v>
      </c>
      <c r="C1467" s="4659">
        <v>1518.23</v>
      </c>
      <c r="D1467" s="4593" t="s">
        <v>1</v>
      </c>
      <c r="E1467" s="4318"/>
      <c r="F1467" s="4318">
        <f t="shared" ref="F1467" si="82">ROUND(C1467*E1467,2)</f>
        <v>0</v>
      </c>
      <c r="H1467" s="4534"/>
      <c r="I1467" s="4534"/>
    </row>
    <row r="1468" spans="1:9">
      <c r="A1468" s="4167"/>
      <c r="B1468" s="4692"/>
      <c r="C1468" s="4659"/>
      <c r="D1468" s="4167"/>
      <c r="E1468" s="4318"/>
      <c r="F1468" s="4318"/>
      <c r="H1468" s="4534"/>
      <c r="I1468" s="4534"/>
    </row>
    <row r="1469" spans="1:9" ht="30" customHeight="1">
      <c r="A1469" s="4168">
        <v>5</v>
      </c>
      <c r="B1469" s="4637" t="s">
        <v>4248</v>
      </c>
      <c r="C1469" s="4659"/>
      <c r="D1469" s="4593"/>
      <c r="E1469" s="4318"/>
      <c r="F1469" s="4318"/>
      <c r="H1469" s="4534"/>
      <c r="I1469" s="4534"/>
    </row>
    <row r="1470" spans="1:9">
      <c r="A1470" s="4167">
        <v>5.0999999999999996</v>
      </c>
      <c r="B1470" s="4692" t="s">
        <v>4479</v>
      </c>
      <c r="C1470" s="4659">
        <v>7</v>
      </c>
      <c r="D1470" s="4593" t="s">
        <v>2433</v>
      </c>
      <c r="E1470" s="4318"/>
      <c r="F1470" s="4318">
        <f t="shared" ref="F1470:F1484" si="83">ROUND(C1470*E1470,2)</f>
        <v>0</v>
      </c>
      <c r="H1470" s="4534"/>
      <c r="I1470" s="4534"/>
    </row>
    <row r="1471" spans="1:9">
      <c r="A1471" s="4167">
        <v>5.2</v>
      </c>
      <c r="B1471" s="4692" t="s">
        <v>4480</v>
      </c>
      <c r="C1471" s="4659">
        <v>5</v>
      </c>
      <c r="D1471" s="4593" t="s">
        <v>2433</v>
      </c>
      <c r="E1471" s="4318"/>
      <c r="F1471" s="4318">
        <f t="shared" si="83"/>
        <v>0</v>
      </c>
      <c r="H1471" s="4534"/>
      <c r="I1471" s="4534"/>
    </row>
    <row r="1472" spans="1:9">
      <c r="A1472" s="4167">
        <v>5.3</v>
      </c>
      <c r="B1472" s="4692" t="s">
        <v>4481</v>
      </c>
      <c r="C1472" s="4659">
        <v>3</v>
      </c>
      <c r="D1472" s="4593" t="s">
        <v>2433</v>
      </c>
      <c r="E1472" s="4318"/>
      <c r="F1472" s="4318">
        <f t="shared" si="83"/>
        <v>0</v>
      </c>
      <c r="H1472" s="4534"/>
      <c r="I1472" s="4534"/>
    </row>
    <row r="1473" spans="1:9">
      <c r="A1473" s="4167">
        <v>5.4</v>
      </c>
      <c r="B1473" s="4692" t="s">
        <v>4482</v>
      </c>
      <c r="C1473" s="4659">
        <v>7</v>
      </c>
      <c r="D1473" s="4593" t="s">
        <v>2433</v>
      </c>
      <c r="E1473" s="4318"/>
      <c r="F1473" s="4318">
        <f t="shared" si="83"/>
        <v>0</v>
      </c>
      <c r="H1473" s="4534"/>
      <c r="I1473" s="4534"/>
    </row>
    <row r="1474" spans="1:9">
      <c r="A1474" s="4167">
        <v>5.5</v>
      </c>
      <c r="B1474" s="4692" t="s">
        <v>4483</v>
      </c>
      <c r="C1474" s="4659">
        <v>6</v>
      </c>
      <c r="D1474" s="4593" t="s">
        <v>2433</v>
      </c>
      <c r="E1474" s="4318"/>
      <c r="F1474" s="4318">
        <f t="shared" si="83"/>
        <v>0</v>
      </c>
      <c r="H1474" s="4534"/>
      <c r="I1474" s="4534"/>
    </row>
    <row r="1475" spans="1:9">
      <c r="A1475" s="4167">
        <v>5.6</v>
      </c>
      <c r="B1475" s="4692" t="s">
        <v>4484</v>
      </c>
      <c r="C1475" s="4659">
        <v>3</v>
      </c>
      <c r="D1475" s="4593" t="s">
        <v>2433</v>
      </c>
      <c r="E1475" s="4318"/>
      <c r="F1475" s="4318">
        <f t="shared" si="83"/>
        <v>0</v>
      </c>
      <c r="H1475" s="4534"/>
      <c r="I1475" s="4534"/>
    </row>
    <row r="1476" spans="1:9">
      <c r="A1476" s="4167">
        <v>5.7</v>
      </c>
      <c r="B1476" s="4692" t="s">
        <v>4485</v>
      </c>
      <c r="C1476" s="4659">
        <v>5</v>
      </c>
      <c r="D1476" s="4593" t="s">
        <v>2433</v>
      </c>
      <c r="E1476" s="4318"/>
      <c r="F1476" s="4318">
        <f t="shared" si="83"/>
        <v>0</v>
      </c>
      <c r="H1476" s="4534"/>
      <c r="I1476" s="4534"/>
    </row>
    <row r="1477" spans="1:9">
      <c r="A1477" s="4167">
        <v>5.8</v>
      </c>
      <c r="B1477" s="4692" t="s">
        <v>4486</v>
      </c>
      <c r="C1477" s="4659">
        <v>2</v>
      </c>
      <c r="D1477" s="4593" t="s">
        <v>2433</v>
      </c>
      <c r="E1477" s="4318"/>
      <c r="F1477" s="4318">
        <f t="shared" si="83"/>
        <v>0</v>
      </c>
      <c r="H1477" s="4534"/>
      <c r="I1477" s="4534"/>
    </row>
    <row r="1478" spans="1:9">
      <c r="A1478" s="4167">
        <v>5.9</v>
      </c>
      <c r="B1478" s="4692" t="s">
        <v>4487</v>
      </c>
      <c r="C1478" s="4659">
        <v>1</v>
      </c>
      <c r="D1478" s="4593" t="s">
        <v>2433</v>
      </c>
      <c r="E1478" s="4318"/>
      <c r="F1478" s="4318">
        <f t="shared" si="83"/>
        <v>0</v>
      </c>
      <c r="H1478" s="4534"/>
      <c r="I1478" s="4534"/>
    </row>
    <row r="1479" spans="1:9">
      <c r="A1479" s="4677">
        <v>5.0999999999999996</v>
      </c>
      <c r="B1479" s="4692" t="s">
        <v>4488</v>
      </c>
      <c r="C1479" s="4659">
        <v>1</v>
      </c>
      <c r="D1479" s="4593" t="s">
        <v>2433</v>
      </c>
      <c r="E1479" s="4318"/>
      <c r="F1479" s="4318">
        <f t="shared" si="83"/>
        <v>0</v>
      </c>
      <c r="H1479" s="4534"/>
      <c r="I1479" s="4534"/>
    </row>
    <row r="1480" spans="1:9">
      <c r="A1480" s="4677">
        <v>5.1100000000000003</v>
      </c>
      <c r="B1480" s="4692" t="s">
        <v>4286</v>
      </c>
      <c r="C1480" s="4659">
        <v>1</v>
      </c>
      <c r="D1480" s="4593" t="s">
        <v>2433</v>
      </c>
      <c r="E1480" s="4318"/>
      <c r="F1480" s="4318">
        <f t="shared" si="83"/>
        <v>0</v>
      </c>
      <c r="H1480" s="4534"/>
      <c r="I1480" s="4534"/>
    </row>
    <row r="1481" spans="1:9">
      <c r="A1481" s="4677">
        <v>5.12</v>
      </c>
      <c r="B1481" s="4692" t="s">
        <v>4287</v>
      </c>
      <c r="C1481" s="4659">
        <v>2</v>
      </c>
      <c r="D1481" s="4593" t="s">
        <v>2433</v>
      </c>
      <c r="E1481" s="4318"/>
      <c r="F1481" s="4318">
        <f t="shared" si="83"/>
        <v>0</v>
      </c>
      <c r="H1481" s="4534"/>
      <c r="I1481" s="4534"/>
    </row>
    <row r="1482" spans="1:9">
      <c r="A1482" s="4677">
        <v>5.13</v>
      </c>
      <c r="B1482" s="4692" t="s">
        <v>4288</v>
      </c>
      <c r="C1482" s="4659">
        <v>1</v>
      </c>
      <c r="D1482" s="4593" t="s">
        <v>2433</v>
      </c>
      <c r="E1482" s="4318"/>
      <c r="F1482" s="4318">
        <f t="shared" si="83"/>
        <v>0</v>
      </c>
      <c r="H1482" s="4534"/>
      <c r="I1482" s="4534"/>
    </row>
    <row r="1483" spans="1:9">
      <c r="A1483" s="4677">
        <v>5.14</v>
      </c>
      <c r="B1483" s="4692" t="s">
        <v>3509</v>
      </c>
      <c r="C1483" s="4659">
        <v>79</v>
      </c>
      <c r="D1483" s="4593" t="s">
        <v>2433</v>
      </c>
      <c r="E1483" s="4318"/>
      <c r="F1483" s="4318">
        <f t="shared" si="83"/>
        <v>0</v>
      </c>
      <c r="H1483" s="4534"/>
      <c r="I1483" s="4534"/>
    </row>
    <row r="1484" spans="1:9">
      <c r="A1484" s="4677">
        <v>5.15</v>
      </c>
      <c r="B1484" s="4692" t="s">
        <v>4257</v>
      </c>
      <c r="C1484" s="4659">
        <v>43</v>
      </c>
      <c r="D1484" s="4593" t="s">
        <v>2433</v>
      </c>
      <c r="E1484" s="4318"/>
      <c r="F1484" s="4318">
        <f t="shared" si="83"/>
        <v>0</v>
      </c>
      <c r="H1484" s="4534"/>
      <c r="I1484" s="4534"/>
    </row>
    <row r="1485" spans="1:9">
      <c r="A1485" s="4167"/>
      <c r="B1485" s="4692"/>
      <c r="C1485" s="4659"/>
      <c r="D1485" s="4167"/>
      <c r="E1485" s="4318"/>
      <c r="F1485" s="4318"/>
      <c r="H1485" s="4534"/>
      <c r="I1485" s="4534"/>
    </row>
    <row r="1486" spans="1:9" ht="45">
      <c r="A1486" s="4168">
        <v>6</v>
      </c>
      <c r="B1486" s="4921" t="s">
        <v>4716</v>
      </c>
      <c r="C1486" s="4659"/>
      <c r="D1486" s="4167"/>
      <c r="E1486" s="4318"/>
      <c r="F1486" s="4318"/>
      <c r="H1486" s="4534"/>
      <c r="I1486" s="4534"/>
    </row>
    <row r="1487" spans="1:9">
      <c r="A1487" s="4922">
        <v>6.1</v>
      </c>
      <c r="B1487" s="4734" t="s">
        <v>4289</v>
      </c>
      <c r="C1487" s="4659">
        <v>2</v>
      </c>
      <c r="D1487" s="4593" t="s">
        <v>2433</v>
      </c>
      <c r="E1487" s="4318"/>
      <c r="F1487" s="4318">
        <f t="shared" ref="F1487:F1488" si="84">ROUND(C1487*E1487,2)</f>
        <v>0</v>
      </c>
      <c r="H1487" s="4534"/>
      <c r="I1487" s="4534"/>
    </row>
    <row r="1488" spans="1:9">
      <c r="A1488" s="4167">
        <v>6.2</v>
      </c>
      <c r="B1488" s="4692" t="s">
        <v>4290</v>
      </c>
      <c r="C1488" s="4659">
        <v>2</v>
      </c>
      <c r="D1488" s="4593" t="s">
        <v>2433</v>
      </c>
      <c r="E1488" s="4318"/>
      <c r="F1488" s="4318">
        <f t="shared" si="84"/>
        <v>0</v>
      </c>
      <c r="H1488" s="4534"/>
      <c r="I1488" s="4534"/>
    </row>
    <row r="1489" spans="1:10">
      <c r="A1489" s="4167"/>
      <c r="B1489" s="4692"/>
      <c r="C1489" s="4659"/>
      <c r="D1489" s="4167"/>
      <c r="E1489" s="4318"/>
      <c r="F1489" s="4318"/>
      <c r="H1489" s="4534"/>
      <c r="I1489" s="4534"/>
      <c r="J1489" s="4534"/>
    </row>
    <row r="1490" spans="1:10">
      <c r="A1490" s="4168">
        <v>7</v>
      </c>
      <c r="B1490" s="4168" t="s">
        <v>4291</v>
      </c>
      <c r="C1490" s="4659"/>
      <c r="D1490" s="4167"/>
      <c r="E1490" s="4318"/>
      <c r="F1490" s="4318"/>
      <c r="H1490" s="4534"/>
      <c r="I1490" s="4534"/>
    </row>
    <row r="1491" spans="1:10">
      <c r="A1491" s="4167"/>
      <c r="B1491" s="4692"/>
      <c r="C1491" s="4659"/>
      <c r="D1491" s="4167"/>
      <c r="E1491" s="4318"/>
      <c r="F1491" s="4318"/>
      <c r="H1491" s="4534"/>
      <c r="I1491" s="4534"/>
    </row>
    <row r="1492" spans="1:10">
      <c r="A1492" s="4167">
        <v>7.1</v>
      </c>
      <c r="B1492" s="4692" t="s">
        <v>2353</v>
      </c>
      <c r="C1492" s="4677">
        <v>1</v>
      </c>
      <c r="D1492" s="4593" t="s">
        <v>61</v>
      </c>
      <c r="E1492" s="4318"/>
      <c r="F1492" s="4318">
        <f t="shared" ref="F1492" si="85">ROUND(C1492*E1492,2)</f>
        <v>0</v>
      </c>
      <c r="H1492" s="4534"/>
      <c r="I1492" s="4534"/>
    </row>
    <row r="1493" spans="1:10">
      <c r="A1493" s="4167"/>
      <c r="B1493" s="4692"/>
      <c r="C1493" s="4677"/>
      <c r="D1493" s="4593"/>
      <c r="E1493" s="4318"/>
      <c r="F1493" s="4318"/>
      <c r="H1493" s="4534"/>
      <c r="I1493" s="4534"/>
    </row>
    <row r="1494" spans="1:10">
      <c r="A1494" s="4168">
        <v>7.2</v>
      </c>
      <c r="B1494" s="4168" t="s">
        <v>14</v>
      </c>
      <c r="C1494" s="4677"/>
      <c r="D1494" s="4593"/>
      <c r="E1494" s="4318"/>
      <c r="F1494" s="4318"/>
      <c r="H1494" s="4534"/>
      <c r="I1494" s="4534"/>
    </row>
    <row r="1495" spans="1:10" ht="13.5" customHeight="1">
      <c r="A1495" s="4654" t="s">
        <v>636</v>
      </c>
      <c r="B1495" s="4692" t="s">
        <v>4292</v>
      </c>
      <c r="C1495" s="4677">
        <v>18.28</v>
      </c>
      <c r="D1495" s="4593" t="s">
        <v>2430</v>
      </c>
      <c r="E1495" s="4318"/>
      <c r="F1495" s="4318">
        <f t="shared" ref="F1495:F1497" si="86">ROUND(C1495*E1495,2)</f>
        <v>0</v>
      </c>
      <c r="H1495" s="4534"/>
      <c r="I1495" s="4534"/>
    </row>
    <row r="1496" spans="1:10" ht="30" customHeight="1">
      <c r="A1496" s="4654" t="s">
        <v>637</v>
      </c>
      <c r="B1496" s="4734" t="s">
        <v>3158</v>
      </c>
      <c r="C1496" s="4677">
        <v>13.34</v>
      </c>
      <c r="D1496" s="4593" t="s">
        <v>2430</v>
      </c>
      <c r="E1496" s="4318"/>
      <c r="F1496" s="4318">
        <f t="shared" si="86"/>
        <v>0</v>
      </c>
      <c r="H1496" s="4534"/>
      <c r="I1496" s="4534"/>
    </row>
    <row r="1497" spans="1:10" ht="30" customHeight="1">
      <c r="A1497" s="4654" t="s">
        <v>638</v>
      </c>
      <c r="B1497" s="4734" t="s">
        <v>3159</v>
      </c>
      <c r="C1497" s="4677">
        <v>5.93</v>
      </c>
      <c r="D1497" s="4593" t="s">
        <v>2430</v>
      </c>
      <c r="E1497" s="4318"/>
      <c r="F1497" s="4318">
        <f t="shared" si="86"/>
        <v>0</v>
      </c>
      <c r="H1497" s="4534"/>
      <c r="I1497" s="4534"/>
    </row>
    <row r="1498" spans="1:10">
      <c r="A1498" s="4167"/>
      <c r="B1498" s="4692"/>
      <c r="C1498" s="4677"/>
      <c r="D1498" s="4593"/>
      <c r="E1498" s="4318"/>
      <c r="F1498" s="4318"/>
      <c r="H1498" s="4534"/>
      <c r="I1498" s="4534"/>
    </row>
    <row r="1499" spans="1:10">
      <c r="A1499" s="4168">
        <v>7.3</v>
      </c>
      <c r="B1499" s="4168" t="s">
        <v>4489</v>
      </c>
      <c r="C1499" s="4677"/>
      <c r="D1499" s="4593"/>
      <c r="E1499" s="4318"/>
      <c r="F1499" s="4318"/>
      <c r="H1499" s="4534"/>
      <c r="I1499" s="4534"/>
    </row>
    <row r="1500" spans="1:10" ht="13.5" customHeight="1">
      <c r="A1500" s="4654" t="s">
        <v>640</v>
      </c>
      <c r="B1500" s="4692" t="s">
        <v>4293</v>
      </c>
      <c r="C1500" s="4677">
        <v>0.42</v>
      </c>
      <c r="D1500" s="4593" t="s">
        <v>2430</v>
      </c>
      <c r="E1500" s="4318"/>
      <c r="F1500" s="4318">
        <f t="shared" ref="F1500:F1502" si="87">ROUND(C1500*E1500,2)</f>
        <v>0</v>
      </c>
      <c r="H1500" s="4534"/>
      <c r="I1500" s="4534"/>
    </row>
    <row r="1501" spans="1:10" ht="13.5" customHeight="1">
      <c r="A1501" s="4654" t="s">
        <v>4294</v>
      </c>
      <c r="B1501" s="4692" t="s">
        <v>4295</v>
      </c>
      <c r="C1501" s="4677">
        <v>1.57</v>
      </c>
      <c r="D1501" s="4593" t="s">
        <v>2430</v>
      </c>
      <c r="E1501" s="4318"/>
      <c r="F1501" s="4318">
        <f t="shared" si="87"/>
        <v>0</v>
      </c>
      <c r="H1501" s="4534"/>
      <c r="I1501" s="4534"/>
    </row>
    <row r="1502" spans="1:10" ht="13.5" customHeight="1">
      <c r="A1502" s="4729" t="s">
        <v>4296</v>
      </c>
      <c r="B1502" s="4915" t="s">
        <v>4297</v>
      </c>
      <c r="C1502" s="4731">
        <v>0.34</v>
      </c>
      <c r="D1502" s="4732" t="s">
        <v>2430</v>
      </c>
      <c r="E1502" s="4980"/>
      <c r="F1502" s="4980">
        <f t="shared" si="87"/>
        <v>0</v>
      </c>
      <c r="H1502" s="4534"/>
      <c r="I1502" s="4534"/>
    </row>
    <row r="1503" spans="1:10">
      <c r="A1503" s="4167"/>
      <c r="B1503" s="4692"/>
      <c r="C1503" s="4677"/>
      <c r="D1503" s="4593"/>
      <c r="E1503" s="4318"/>
      <c r="F1503" s="4318"/>
      <c r="H1503" s="4534"/>
      <c r="I1503" s="4534"/>
    </row>
    <row r="1504" spans="1:10">
      <c r="A1504" s="4168">
        <v>7.4</v>
      </c>
      <c r="B1504" s="4168" t="s">
        <v>859</v>
      </c>
      <c r="C1504" s="4677"/>
      <c r="D1504" s="4593"/>
      <c r="E1504" s="4318"/>
      <c r="F1504" s="4318"/>
      <c r="H1504" s="4534"/>
      <c r="I1504" s="4534"/>
    </row>
    <row r="1505" spans="1:9" ht="13.5" customHeight="1">
      <c r="A1505" s="4654" t="s">
        <v>4298</v>
      </c>
      <c r="B1505" s="4692" t="s">
        <v>2345</v>
      </c>
      <c r="C1505" s="4677">
        <v>12.04</v>
      </c>
      <c r="D1505" s="4593" t="s">
        <v>2432</v>
      </c>
      <c r="E1505" s="4318"/>
      <c r="F1505" s="4318">
        <f t="shared" ref="F1505:F1511" si="88">ROUND(C1505*E1505,2)</f>
        <v>0</v>
      </c>
      <c r="H1505" s="4534"/>
      <c r="I1505" s="4534"/>
    </row>
    <row r="1506" spans="1:9" ht="13.5" customHeight="1">
      <c r="A1506" s="4654" t="s">
        <v>4299</v>
      </c>
      <c r="B1506" s="4692" t="s">
        <v>3196</v>
      </c>
      <c r="C1506" s="4677">
        <v>9.64</v>
      </c>
      <c r="D1506" s="4593" t="s">
        <v>2432</v>
      </c>
      <c r="E1506" s="4318"/>
      <c r="F1506" s="4318">
        <f t="shared" si="88"/>
        <v>0</v>
      </c>
      <c r="H1506" s="4534"/>
      <c r="I1506" s="4534"/>
    </row>
    <row r="1507" spans="1:9" ht="13.5" customHeight="1">
      <c r="A1507" s="4654" t="s">
        <v>4300</v>
      </c>
      <c r="B1507" s="4692" t="s">
        <v>3197</v>
      </c>
      <c r="C1507" s="4677">
        <v>2.02</v>
      </c>
      <c r="D1507" s="4593" t="s">
        <v>2432</v>
      </c>
      <c r="E1507" s="4318"/>
      <c r="F1507" s="4318">
        <f t="shared" si="88"/>
        <v>0</v>
      </c>
      <c r="H1507" s="4534"/>
      <c r="I1507" s="4534"/>
    </row>
    <row r="1508" spans="1:9" ht="13.5" customHeight="1">
      <c r="A1508" s="4654" t="s">
        <v>4301</v>
      </c>
      <c r="B1508" s="4692" t="s">
        <v>3198</v>
      </c>
      <c r="C1508" s="4677">
        <v>1.73</v>
      </c>
      <c r="D1508" s="4593" t="s">
        <v>2432</v>
      </c>
      <c r="E1508" s="4318"/>
      <c r="F1508" s="4318">
        <f t="shared" si="88"/>
        <v>0</v>
      </c>
      <c r="H1508" s="4534"/>
      <c r="I1508" s="4534"/>
    </row>
    <row r="1509" spans="1:9" ht="13.5" customHeight="1">
      <c r="A1509" s="4654" t="s">
        <v>4302</v>
      </c>
      <c r="B1509" s="4692" t="s">
        <v>1548</v>
      </c>
      <c r="C1509" s="4677">
        <v>20.18</v>
      </c>
      <c r="D1509" s="4593" t="s">
        <v>1</v>
      </c>
      <c r="E1509" s="4318"/>
      <c r="F1509" s="4318">
        <f t="shared" si="88"/>
        <v>0</v>
      </c>
      <c r="H1509" s="4534"/>
      <c r="I1509" s="4534"/>
    </row>
    <row r="1510" spans="1:9" ht="13.5" customHeight="1">
      <c r="A1510" s="4654" t="s">
        <v>4303</v>
      </c>
      <c r="B1510" s="4692" t="s">
        <v>3170</v>
      </c>
      <c r="C1510" s="4677">
        <v>2.86</v>
      </c>
      <c r="D1510" s="4593" t="s">
        <v>2432</v>
      </c>
      <c r="E1510" s="4318"/>
      <c r="F1510" s="4318">
        <f t="shared" si="88"/>
        <v>0</v>
      </c>
      <c r="H1510" s="4534"/>
      <c r="I1510" s="4534"/>
    </row>
    <row r="1511" spans="1:9" ht="13.5" customHeight="1">
      <c r="A1511" s="4654" t="s">
        <v>4304</v>
      </c>
      <c r="B1511" s="4692" t="s">
        <v>3171</v>
      </c>
      <c r="C1511" s="4677">
        <v>2.86</v>
      </c>
      <c r="D1511" s="4593" t="s">
        <v>2432</v>
      </c>
      <c r="E1511" s="4318"/>
      <c r="F1511" s="4318">
        <f t="shared" si="88"/>
        <v>0</v>
      </c>
      <c r="H1511" s="4534"/>
      <c r="I1511" s="4534"/>
    </row>
    <row r="1512" spans="1:9">
      <c r="A1512" s="4167"/>
      <c r="B1512" s="4692"/>
      <c r="C1512" s="4677"/>
      <c r="D1512" s="4593"/>
      <c r="E1512" s="4318"/>
      <c r="F1512" s="4318"/>
      <c r="H1512" s="4534"/>
      <c r="I1512" s="4534"/>
    </row>
    <row r="1513" spans="1:9">
      <c r="A1513" s="4168">
        <v>7.5</v>
      </c>
      <c r="B1513" s="4168" t="s">
        <v>4305</v>
      </c>
      <c r="C1513" s="4677"/>
      <c r="D1513" s="4593"/>
      <c r="E1513" s="4318"/>
      <c r="F1513" s="4318"/>
      <c r="H1513" s="4534"/>
      <c r="I1513" s="4534"/>
    </row>
    <row r="1514" spans="1:9" ht="28.5">
      <c r="A1514" s="4654" t="s">
        <v>4306</v>
      </c>
      <c r="B1514" s="4675" t="s">
        <v>4307</v>
      </c>
      <c r="C1514" s="4677">
        <v>14.9</v>
      </c>
      <c r="D1514" s="4593" t="s">
        <v>1</v>
      </c>
      <c r="E1514" s="4318"/>
      <c r="F1514" s="4318">
        <f t="shared" ref="F1514:F1515" si="89">ROUND(C1514*E1514,2)</f>
        <v>0</v>
      </c>
      <c r="H1514" s="4534"/>
      <c r="I1514" s="4534"/>
    </row>
    <row r="1515" spans="1:9">
      <c r="A1515" s="4654" t="s">
        <v>4308</v>
      </c>
      <c r="B1515" s="4532" t="s">
        <v>4309</v>
      </c>
      <c r="C1515" s="4677">
        <v>3.5</v>
      </c>
      <c r="D1515" s="4593" t="s">
        <v>118</v>
      </c>
      <c r="E1515" s="4318"/>
      <c r="F1515" s="4318">
        <f t="shared" si="89"/>
        <v>0</v>
      </c>
      <c r="H1515" s="4534"/>
      <c r="I1515" s="4534"/>
    </row>
    <row r="1516" spans="1:9">
      <c r="A1516" s="4167"/>
      <c r="B1516" s="4692"/>
      <c r="C1516" s="4677"/>
      <c r="D1516" s="4593"/>
      <c r="E1516" s="4318"/>
      <c r="F1516" s="4318"/>
      <c r="H1516" s="4534"/>
      <c r="I1516" s="4534"/>
    </row>
    <row r="1517" spans="1:9">
      <c r="A1517" s="4168">
        <v>7.6</v>
      </c>
      <c r="B1517" s="4168" t="s">
        <v>4490</v>
      </c>
      <c r="C1517" s="4677"/>
      <c r="D1517" s="4593"/>
      <c r="E1517" s="4318"/>
      <c r="F1517" s="4318"/>
      <c r="H1517" s="4534"/>
      <c r="I1517" s="4534"/>
    </row>
    <row r="1518" spans="1:9" ht="13.5" customHeight="1">
      <c r="A1518" s="4654" t="s">
        <v>4310</v>
      </c>
      <c r="B1518" s="4692" t="s">
        <v>3199</v>
      </c>
      <c r="C1518" s="4677">
        <v>2</v>
      </c>
      <c r="D1518" s="4593" t="s">
        <v>2433</v>
      </c>
      <c r="E1518" s="4318"/>
      <c r="F1518" s="4318">
        <f t="shared" ref="F1518:F1532" si="90">ROUND(C1518*E1518,2)</f>
        <v>0</v>
      </c>
      <c r="H1518" s="4534"/>
      <c r="I1518" s="4534"/>
    </row>
    <row r="1519" spans="1:9" ht="13.5" customHeight="1">
      <c r="A1519" s="4654" t="s">
        <v>4311</v>
      </c>
      <c r="B1519" s="4692" t="s">
        <v>3200</v>
      </c>
      <c r="C1519" s="4677">
        <v>2</v>
      </c>
      <c r="D1519" s="4593" t="s">
        <v>2433</v>
      </c>
      <c r="E1519" s="4318"/>
      <c r="F1519" s="4318">
        <f t="shared" si="90"/>
        <v>0</v>
      </c>
      <c r="H1519" s="4534"/>
      <c r="I1519" s="4534"/>
    </row>
    <row r="1520" spans="1:9">
      <c r="A1520" s="4654" t="s">
        <v>4312</v>
      </c>
      <c r="B1520" s="4734" t="s">
        <v>4313</v>
      </c>
      <c r="C1520" s="4677">
        <v>2</v>
      </c>
      <c r="D1520" s="4593" t="s">
        <v>2433</v>
      </c>
      <c r="E1520" s="4318"/>
      <c r="F1520" s="4318">
        <f t="shared" si="90"/>
        <v>0</v>
      </c>
      <c r="H1520" s="4534"/>
      <c r="I1520" s="4534"/>
    </row>
    <row r="1521" spans="1:9">
      <c r="A1521" s="4654" t="s">
        <v>4314</v>
      </c>
      <c r="B1521" s="4734" t="s">
        <v>4315</v>
      </c>
      <c r="C1521" s="4677">
        <v>1</v>
      </c>
      <c r="D1521" s="4593" t="s">
        <v>2433</v>
      </c>
      <c r="E1521" s="4318"/>
      <c r="F1521" s="4318">
        <f t="shared" si="90"/>
        <v>0</v>
      </c>
      <c r="H1521" s="4534"/>
      <c r="I1521" s="4534"/>
    </row>
    <row r="1522" spans="1:9">
      <c r="A1522" s="4654" t="s">
        <v>4316</v>
      </c>
      <c r="B1522" s="4734" t="s">
        <v>4317</v>
      </c>
      <c r="C1522" s="4677">
        <v>6</v>
      </c>
      <c r="D1522" s="4593" t="s">
        <v>1</v>
      </c>
      <c r="E1522" s="4318"/>
      <c r="F1522" s="4318">
        <f t="shared" si="90"/>
        <v>0</v>
      </c>
      <c r="H1522" s="4534"/>
      <c r="I1522" s="4534"/>
    </row>
    <row r="1523" spans="1:9" ht="13.5" customHeight="1">
      <c r="A1523" s="4654" t="s">
        <v>4318</v>
      </c>
      <c r="B1523" s="4734" t="s">
        <v>4319</v>
      </c>
      <c r="C1523" s="4677">
        <v>5.8</v>
      </c>
      <c r="D1523" s="4593" t="s">
        <v>1</v>
      </c>
      <c r="E1523" s="4318"/>
      <c r="F1523" s="4318">
        <f t="shared" si="90"/>
        <v>0</v>
      </c>
      <c r="H1523" s="4534"/>
      <c r="I1523" s="4534"/>
    </row>
    <row r="1524" spans="1:9" ht="13.5" customHeight="1">
      <c r="A1524" s="4654" t="s">
        <v>4320</v>
      </c>
      <c r="B1524" s="4692" t="s">
        <v>4321</v>
      </c>
      <c r="C1524" s="4677">
        <v>1</v>
      </c>
      <c r="D1524" s="4593" t="s">
        <v>2433</v>
      </c>
      <c r="E1524" s="4318"/>
      <c r="F1524" s="4318">
        <f t="shared" si="90"/>
        <v>0</v>
      </c>
      <c r="H1524" s="4534"/>
      <c r="I1524" s="4534"/>
    </row>
    <row r="1525" spans="1:9" ht="13.5" customHeight="1">
      <c r="A1525" s="4654" t="s">
        <v>4322</v>
      </c>
      <c r="B1525" s="4692" t="s">
        <v>4323</v>
      </c>
      <c r="C1525" s="4677">
        <v>3</v>
      </c>
      <c r="D1525" s="4593" t="s">
        <v>2433</v>
      </c>
      <c r="E1525" s="4318"/>
      <c r="F1525" s="4318">
        <f t="shared" si="90"/>
        <v>0</v>
      </c>
      <c r="H1525" s="4534"/>
      <c r="I1525" s="4534"/>
    </row>
    <row r="1526" spans="1:9">
      <c r="A1526" s="4654" t="s">
        <v>4324</v>
      </c>
      <c r="B1526" s="4734" t="s">
        <v>4325</v>
      </c>
      <c r="C1526" s="4677">
        <v>1</v>
      </c>
      <c r="D1526" s="4593" t="s">
        <v>2433</v>
      </c>
      <c r="E1526" s="4318"/>
      <c r="F1526" s="4318">
        <f t="shared" si="90"/>
        <v>0</v>
      </c>
      <c r="H1526" s="4534"/>
      <c r="I1526" s="4534"/>
    </row>
    <row r="1527" spans="1:9">
      <c r="A1527" s="4654" t="s">
        <v>4326</v>
      </c>
      <c r="B1527" s="4734" t="s">
        <v>4327</v>
      </c>
      <c r="C1527" s="4677">
        <v>3</v>
      </c>
      <c r="D1527" s="4593" t="s">
        <v>2433</v>
      </c>
      <c r="E1527" s="4318"/>
      <c r="F1527" s="4318">
        <f t="shared" si="90"/>
        <v>0</v>
      </c>
      <c r="H1527" s="4534"/>
      <c r="I1527" s="4534"/>
    </row>
    <row r="1528" spans="1:9" ht="13.5" customHeight="1">
      <c r="A1528" s="4654" t="s">
        <v>4328</v>
      </c>
      <c r="B1528" s="4692" t="s">
        <v>3509</v>
      </c>
      <c r="C1528" s="4677">
        <v>2</v>
      </c>
      <c r="D1528" s="4593" t="s">
        <v>2433</v>
      </c>
      <c r="E1528" s="4318"/>
      <c r="F1528" s="4318">
        <f t="shared" si="90"/>
        <v>0</v>
      </c>
      <c r="H1528" s="4534"/>
      <c r="I1528" s="4534"/>
    </row>
    <row r="1529" spans="1:9" ht="13.5" customHeight="1">
      <c r="A1529" s="4654" t="s">
        <v>4329</v>
      </c>
      <c r="B1529" s="4692" t="s">
        <v>3510</v>
      </c>
      <c r="C1529" s="4677">
        <v>1</v>
      </c>
      <c r="D1529" s="4593" t="s">
        <v>2433</v>
      </c>
      <c r="E1529" s="4318"/>
      <c r="F1529" s="4318">
        <f t="shared" si="90"/>
        <v>0</v>
      </c>
      <c r="H1529" s="4534"/>
      <c r="I1529" s="4534"/>
    </row>
    <row r="1530" spans="1:9" ht="13.5" customHeight="1">
      <c r="A1530" s="4654" t="s">
        <v>4330</v>
      </c>
      <c r="B1530" s="4692" t="s">
        <v>4331</v>
      </c>
      <c r="C1530" s="4677">
        <v>1</v>
      </c>
      <c r="D1530" s="4593" t="s">
        <v>2433</v>
      </c>
      <c r="E1530" s="4961"/>
      <c r="F1530" s="4318">
        <f t="shared" si="90"/>
        <v>0</v>
      </c>
      <c r="H1530" s="4534"/>
      <c r="I1530" s="4534"/>
    </row>
    <row r="1531" spans="1:9" ht="13.5" customHeight="1">
      <c r="A1531" s="4654" t="s">
        <v>4332</v>
      </c>
      <c r="B1531" s="4692" t="s">
        <v>3201</v>
      </c>
      <c r="C1531" s="4677">
        <v>1</v>
      </c>
      <c r="D1531" s="4593" t="s">
        <v>2433</v>
      </c>
      <c r="E1531" s="4961"/>
      <c r="F1531" s="4318">
        <f t="shared" si="90"/>
        <v>0</v>
      </c>
      <c r="H1531" s="4534"/>
      <c r="I1531" s="4534"/>
    </row>
    <row r="1532" spans="1:9" ht="13.5" customHeight="1">
      <c r="A1532" s="4654" t="s">
        <v>4333</v>
      </c>
      <c r="B1532" s="4692" t="s">
        <v>3202</v>
      </c>
      <c r="C1532" s="4677">
        <v>1</v>
      </c>
      <c r="D1532" s="4593" t="s">
        <v>2433</v>
      </c>
      <c r="E1532" s="4961"/>
      <c r="F1532" s="4318">
        <f t="shared" si="90"/>
        <v>0</v>
      </c>
      <c r="H1532" s="4534"/>
      <c r="I1532" s="4534"/>
    </row>
    <row r="1533" spans="1:9">
      <c r="A1533" s="4167"/>
      <c r="B1533" s="4692"/>
      <c r="C1533" s="4659"/>
      <c r="D1533" s="4167"/>
      <c r="E1533" s="4318"/>
      <c r="F1533" s="4318"/>
      <c r="H1533" s="4534"/>
      <c r="I1533" s="4534"/>
    </row>
    <row r="1534" spans="1:9" ht="15">
      <c r="A1534" s="4168">
        <v>8</v>
      </c>
      <c r="B1534" s="4687" t="s">
        <v>4281</v>
      </c>
      <c r="C1534" s="4659"/>
      <c r="D1534" s="4167"/>
      <c r="E1534" s="4318"/>
      <c r="F1534" s="4318"/>
      <c r="H1534" s="4534"/>
      <c r="I1534" s="4534"/>
    </row>
    <row r="1535" spans="1:9">
      <c r="A1535" s="4167">
        <v>8.1</v>
      </c>
      <c r="B1535" s="4734" t="s">
        <v>4334</v>
      </c>
      <c r="C1535" s="4659">
        <v>1518.22</v>
      </c>
      <c r="D1535" s="4593" t="s">
        <v>1</v>
      </c>
      <c r="E1535" s="4318"/>
      <c r="F1535" s="4318">
        <f t="shared" ref="F1535" si="91">ROUND(C1535*E1535,2)</f>
        <v>0</v>
      </c>
      <c r="H1535" s="4534"/>
      <c r="I1535" s="4534"/>
    </row>
    <row r="1536" spans="1:9" ht="5.0999999999999996" customHeight="1">
      <c r="A1536" s="4167"/>
      <c r="B1536" s="4692"/>
      <c r="C1536" s="4659"/>
      <c r="D1536" s="4167"/>
      <c r="E1536" s="4318"/>
      <c r="F1536" s="4318"/>
      <c r="H1536" s="4534"/>
      <c r="I1536" s="4534"/>
    </row>
    <row r="1537" spans="1:12" ht="15">
      <c r="A1537" s="4912"/>
      <c r="B1537" s="4877" t="str">
        <f>"SUB-TOTAL "&amp;A1453</f>
        <v>SUB-TOTAL C-5</v>
      </c>
      <c r="C1537" s="4913"/>
      <c r="D1537" s="4914"/>
      <c r="E1537" s="5037"/>
      <c r="F1537" s="5023">
        <f>ROUND(SUM(F1455:F1536),2)</f>
        <v>0</v>
      </c>
      <c r="H1537" s="4534"/>
      <c r="I1537" s="4534"/>
    </row>
    <row r="1538" spans="1:12">
      <c r="A1538" s="4167"/>
      <c r="B1538" s="4692"/>
      <c r="C1538" s="4659"/>
      <c r="D1538" s="4167"/>
      <c r="E1538" s="4318"/>
      <c r="F1538" s="4318"/>
      <c r="H1538" s="4534"/>
      <c r="I1538" s="4534"/>
    </row>
    <row r="1539" spans="1:12">
      <c r="A1539" s="4752" t="s">
        <v>4411</v>
      </c>
      <c r="B1539" s="4168" t="s">
        <v>4335</v>
      </c>
      <c r="C1539" s="4659"/>
      <c r="D1539" s="4167"/>
      <c r="E1539" s="4318"/>
      <c r="F1539" s="4318"/>
      <c r="H1539" s="4534"/>
      <c r="I1539" s="4534"/>
    </row>
    <row r="1540" spans="1:12">
      <c r="A1540" s="4752">
        <v>1</v>
      </c>
      <c r="B1540" s="4168" t="s">
        <v>4336</v>
      </c>
      <c r="C1540" s="4659"/>
      <c r="D1540" s="4167"/>
      <c r="E1540" s="4318"/>
      <c r="F1540" s="4318"/>
      <c r="H1540" s="4534"/>
      <c r="I1540" s="4534"/>
    </row>
    <row r="1541" spans="1:12" ht="15">
      <c r="A1541" s="4167">
        <v>1.1000000000000001</v>
      </c>
      <c r="B1541" s="4692" t="s">
        <v>4337</v>
      </c>
      <c r="C1541" s="4903">
        <v>631.70000000000005</v>
      </c>
      <c r="D1541" s="4923" t="s">
        <v>1</v>
      </c>
      <c r="E1541" s="4318"/>
      <c r="F1541" s="4318">
        <f t="shared" ref="F1541:F1549" si="92">ROUND(C1541*E1541,2)</f>
        <v>0</v>
      </c>
      <c r="H1541" s="4534"/>
      <c r="I1541" s="4574"/>
      <c r="K1541" s="4534"/>
    </row>
    <row r="1542" spans="1:12">
      <c r="A1542" s="4167">
        <v>1.2</v>
      </c>
      <c r="B1542" s="4734" t="s">
        <v>4491</v>
      </c>
      <c r="C1542" s="4903">
        <v>260.44</v>
      </c>
      <c r="D1542" s="4923" t="s">
        <v>2432</v>
      </c>
      <c r="E1542" s="4318"/>
      <c r="F1542" s="4318">
        <f t="shared" si="92"/>
        <v>0</v>
      </c>
      <c r="H1542" s="4534"/>
      <c r="I1542" s="4534"/>
      <c r="K1542" s="4534"/>
    </row>
    <row r="1543" spans="1:12">
      <c r="A1543" s="4167">
        <v>1.3</v>
      </c>
      <c r="B1543" s="4692" t="s">
        <v>4338</v>
      </c>
      <c r="C1543" s="4903">
        <v>62.51</v>
      </c>
      <c r="D1543" s="4923" t="s">
        <v>2430</v>
      </c>
      <c r="E1543" s="4318"/>
      <c r="F1543" s="4318">
        <f t="shared" si="92"/>
        <v>0</v>
      </c>
      <c r="H1543" s="4534"/>
      <c r="I1543" s="4534"/>
      <c r="K1543" s="4534"/>
    </row>
    <row r="1544" spans="1:12" ht="15" customHeight="1">
      <c r="A1544" s="4167">
        <v>1.4</v>
      </c>
      <c r="B1544" s="4734" t="s">
        <v>4339</v>
      </c>
      <c r="C1544" s="4659">
        <v>52.09</v>
      </c>
      <c r="D1544" s="4595" t="s">
        <v>2430</v>
      </c>
      <c r="E1544" s="4318"/>
      <c r="F1544" s="4318">
        <f t="shared" si="92"/>
        <v>0</v>
      </c>
      <c r="H1544" s="4534"/>
      <c r="I1544" s="4534"/>
      <c r="K1544" s="4534"/>
    </row>
    <row r="1545" spans="1:12" ht="28.5">
      <c r="A1545" s="4167">
        <v>1.5</v>
      </c>
      <c r="B1545" s="4734" t="s">
        <v>4340</v>
      </c>
      <c r="C1545" s="4903">
        <v>17.86</v>
      </c>
      <c r="D1545" s="4923" t="s">
        <v>2430</v>
      </c>
      <c r="E1545" s="4318"/>
      <c r="F1545" s="4318">
        <f t="shared" si="92"/>
        <v>0</v>
      </c>
      <c r="H1545" s="4534"/>
      <c r="I1545" s="4534"/>
      <c r="K1545" s="4534"/>
    </row>
    <row r="1546" spans="1:12">
      <c r="A1546" s="4167">
        <v>1.6</v>
      </c>
      <c r="B1546" s="4692" t="s">
        <v>4341</v>
      </c>
      <c r="C1546" s="4659">
        <v>260.44</v>
      </c>
      <c r="D1546" s="4595" t="s">
        <v>2432</v>
      </c>
      <c r="E1546" s="4318"/>
      <c r="F1546" s="4318">
        <f t="shared" si="92"/>
        <v>0</v>
      </c>
      <c r="H1546" s="4534"/>
      <c r="I1546" s="4534"/>
      <c r="K1546" s="4534"/>
    </row>
    <row r="1547" spans="1:12" ht="28.5">
      <c r="A1547" s="4167">
        <v>1.7</v>
      </c>
      <c r="B1547" s="4734" t="s">
        <v>4342</v>
      </c>
      <c r="C1547" s="4659">
        <v>325.55</v>
      </c>
      <c r="D1547" s="4595" t="s">
        <v>2432</v>
      </c>
      <c r="E1547" s="4318"/>
      <c r="F1547" s="4318">
        <f t="shared" si="92"/>
        <v>0</v>
      </c>
      <c r="H1547" s="4534"/>
      <c r="I1547" s="4534"/>
      <c r="K1547" s="4534"/>
    </row>
    <row r="1548" spans="1:12">
      <c r="A1548" s="4167">
        <v>1.8</v>
      </c>
      <c r="B1548" s="4692" t="s">
        <v>4343</v>
      </c>
      <c r="C1548" s="4659">
        <v>1207.79</v>
      </c>
      <c r="D1548" s="4595" t="s">
        <v>4243</v>
      </c>
      <c r="E1548" s="4318"/>
      <c r="F1548" s="4318">
        <f t="shared" si="92"/>
        <v>0</v>
      </c>
      <c r="H1548" s="4534"/>
      <c r="I1548" s="4534"/>
      <c r="K1548" s="4534"/>
      <c r="L1548" s="4534"/>
    </row>
    <row r="1549" spans="1:12">
      <c r="A1549" s="4167">
        <v>1.9</v>
      </c>
      <c r="B1549" s="4692" t="s">
        <v>4344</v>
      </c>
      <c r="C1549" s="4659">
        <v>3125.27</v>
      </c>
      <c r="D1549" s="4595" t="s">
        <v>4243</v>
      </c>
      <c r="E1549" s="4318"/>
      <c r="F1549" s="4318">
        <f t="shared" si="92"/>
        <v>0</v>
      </c>
      <c r="H1549" s="4534"/>
      <c r="I1549" s="4534"/>
    </row>
    <row r="1550" spans="1:12">
      <c r="A1550" s="4167"/>
      <c r="B1550" s="4692" t="s">
        <v>2564</v>
      </c>
      <c r="C1550" s="4709"/>
      <c r="D1550" s="4924"/>
      <c r="E1550" s="4318"/>
      <c r="F1550" s="4318"/>
      <c r="H1550" s="4534"/>
      <c r="I1550" s="4534"/>
    </row>
    <row r="1551" spans="1:12" ht="28.5">
      <c r="A1551" s="4167">
        <v>2</v>
      </c>
      <c r="B1551" s="4734" t="s">
        <v>4345</v>
      </c>
      <c r="C1551" s="4659">
        <v>315.85000000000002</v>
      </c>
      <c r="D1551" s="4924" t="s">
        <v>1</v>
      </c>
      <c r="E1551" s="4318"/>
      <c r="F1551" s="4318">
        <f t="shared" ref="F1551:F1553" si="93">ROUND(C1551*E1551,2)</f>
        <v>0</v>
      </c>
      <c r="H1551" s="4534"/>
      <c r="I1551" s="4534"/>
    </row>
    <row r="1552" spans="1:12">
      <c r="A1552" s="4167">
        <v>3</v>
      </c>
      <c r="B1552" s="4734" t="s">
        <v>4346</v>
      </c>
      <c r="C1552" s="4659">
        <v>315.85000000000002</v>
      </c>
      <c r="D1552" s="4924" t="s">
        <v>1</v>
      </c>
      <c r="E1552" s="4318"/>
      <c r="F1552" s="4318">
        <f t="shared" si="93"/>
        <v>0</v>
      </c>
      <c r="H1552" s="4534"/>
      <c r="I1552" s="4534"/>
    </row>
    <row r="1553" spans="1:12">
      <c r="A1553" s="4167">
        <v>4</v>
      </c>
      <c r="B1553" s="4692" t="s">
        <v>4153</v>
      </c>
      <c r="C1553" s="4659">
        <v>315.85000000000002</v>
      </c>
      <c r="D1553" s="4924" t="s">
        <v>1</v>
      </c>
      <c r="E1553" s="4318"/>
      <c r="F1553" s="4318">
        <f t="shared" si="93"/>
        <v>0</v>
      </c>
      <c r="H1553" s="4534"/>
      <c r="I1553" s="4534"/>
    </row>
    <row r="1554" spans="1:12" s="4238" customFormat="1" ht="12.75">
      <c r="A1554" s="4912"/>
      <c r="B1554" s="4860" t="str">
        <f>"SUB-TOTAL "&amp;A1539</f>
        <v>SUB-TOTAL C-6</v>
      </c>
      <c r="C1554" s="4913"/>
      <c r="D1554" s="4912"/>
      <c r="E1554" s="5037"/>
      <c r="F1554" s="5023">
        <f>ROUND(SUM(F1541:F1553),2)</f>
        <v>0</v>
      </c>
      <c r="H1554" s="4580"/>
      <c r="I1554" s="4580"/>
      <c r="L1554" s="4580"/>
    </row>
    <row r="1555" spans="1:12" s="4238" customFormat="1" ht="12.75">
      <c r="A1555" s="4925"/>
      <c r="B1555" s="4911" t="s">
        <v>4412</v>
      </c>
      <c r="C1555" s="4926"/>
      <c r="D1555" s="4925"/>
      <c r="E1555" s="5038"/>
      <c r="F1555" s="5034">
        <f>+F1554+F1537+F1451+F1434+F1381+F1348</f>
        <v>0</v>
      </c>
      <c r="H1555" s="4580"/>
      <c r="I1555" s="4580"/>
    </row>
    <row r="1556" spans="1:12" s="4557" customFormat="1" ht="15">
      <c r="A1556" s="4167"/>
      <c r="B1556" s="4676"/>
      <c r="C1556" s="4659"/>
      <c r="D1556" s="4167"/>
      <c r="E1556" s="4318"/>
      <c r="F1556" s="4985"/>
      <c r="H1556" s="4572"/>
      <c r="I1556" s="4572"/>
    </row>
    <row r="1557" spans="1:12">
      <c r="A1557" s="4752" t="s">
        <v>975</v>
      </c>
      <c r="B1557" s="4168" t="s">
        <v>4347</v>
      </c>
      <c r="C1557" s="4681"/>
      <c r="D1557" s="4681"/>
      <c r="E1557" s="5036"/>
      <c r="F1557" s="5036"/>
    </row>
    <row r="1558" spans="1:12" ht="5.0999999999999996" customHeight="1">
      <c r="A1558" s="4167"/>
      <c r="B1558" s="4692"/>
      <c r="C1558" s="4659"/>
      <c r="D1558" s="4593"/>
      <c r="E1558" s="4318"/>
      <c r="F1558" s="4318"/>
    </row>
    <row r="1559" spans="1:12">
      <c r="A1559" s="4167">
        <v>1</v>
      </c>
      <c r="B1559" s="4692" t="s">
        <v>2353</v>
      </c>
      <c r="C1559" s="4659">
        <v>7612.22</v>
      </c>
      <c r="D1559" s="4593" t="s">
        <v>1</v>
      </c>
      <c r="E1559" s="4318"/>
      <c r="F1559" s="4318">
        <f>ROUND(C1559*E1559,2)</f>
        <v>0</v>
      </c>
      <c r="J1559" s="4534"/>
      <c r="K1559" s="4534"/>
    </row>
    <row r="1560" spans="1:12" ht="12.75" customHeight="1">
      <c r="A1560" s="4167"/>
      <c r="B1560" s="4692"/>
      <c r="C1560" s="4659"/>
      <c r="D1560" s="4593"/>
      <c r="E1560" s="4318"/>
      <c r="F1560" s="4318"/>
      <c r="J1560" s="4534"/>
      <c r="K1560" s="4534"/>
    </row>
    <row r="1561" spans="1:12">
      <c r="A1561" s="4168">
        <v>2</v>
      </c>
      <c r="B1561" s="4168" t="s">
        <v>3766</v>
      </c>
      <c r="C1561" s="4659"/>
      <c r="D1561" s="4593"/>
      <c r="E1561" s="4318"/>
      <c r="F1561" s="4318"/>
      <c r="J1561" s="4534"/>
      <c r="K1561" s="4534"/>
    </row>
    <row r="1562" spans="1:12" ht="13.5" customHeight="1">
      <c r="A1562" s="4167">
        <v>2.1</v>
      </c>
      <c r="B1562" s="4734" t="s">
        <v>4251</v>
      </c>
      <c r="C1562" s="4659">
        <v>5569.63</v>
      </c>
      <c r="D1562" s="4593" t="s">
        <v>3157</v>
      </c>
      <c r="E1562" s="4318"/>
      <c r="F1562" s="4318">
        <f t="shared" ref="F1562:F1565" si="94">ROUND(C1562*E1562,2)</f>
        <v>0</v>
      </c>
      <c r="J1562" s="4534"/>
      <c r="K1562" s="4534"/>
    </row>
    <row r="1563" spans="1:12" ht="13.5" customHeight="1">
      <c r="A1563" s="4167">
        <v>2.2000000000000002</v>
      </c>
      <c r="B1563" s="4692" t="s">
        <v>2546</v>
      </c>
      <c r="C1563" s="4659">
        <v>456.73</v>
      </c>
      <c r="D1563" s="4593" t="s">
        <v>3181</v>
      </c>
      <c r="E1563" s="4318"/>
      <c r="F1563" s="4318">
        <f t="shared" si="94"/>
        <v>0</v>
      </c>
      <c r="J1563" s="4534"/>
      <c r="K1563" s="4534"/>
    </row>
    <row r="1564" spans="1:12" ht="13.5" customHeight="1">
      <c r="A1564" s="4167">
        <v>2.2999999999999998</v>
      </c>
      <c r="B1564" s="4734" t="s">
        <v>3572</v>
      </c>
      <c r="C1564" s="4659">
        <v>4816.34</v>
      </c>
      <c r="D1564" s="4593" t="s">
        <v>2431</v>
      </c>
      <c r="E1564" s="4318"/>
      <c r="F1564" s="4318">
        <f t="shared" si="94"/>
        <v>0</v>
      </c>
      <c r="J1564" s="4534"/>
      <c r="K1564" s="4534"/>
    </row>
    <row r="1565" spans="1:12" ht="30" customHeight="1">
      <c r="A1565" s="4167">
        <v>2.4</v>
      </c>
      <c r="B1565" s="4734" t="s">
        <v>3159</v>
      </c>
      <c r="C1565" s="4659">
        <v>903.94</v>
      </c>
      <c r="D1565" s="4593" t="s">
        <v>3160</v>
      </c>
      <c r="E1565" s="4318"/>
      <c r="F1565" s="4318">
        <f t="shared" si="94"/>
        <v>0</v>
      </c>
      <c r="J1565" s="4534"/>
      <c r="K1565" s="4534"/>
    </row>
    <row r="1566" spans="1:12" ht="12.75" customHeight="1">
      <c r="A1566" s="4167"/>
      <c r="B1566" s="4692"/>
      <c r="C1566" s="4659"/>
      <c r="D1566" s="4593"/>
      <c r="E1566" s="4318"/>
      <c r="F1566" s="4318"/>
      <c r="J1566" s="4534"/>
      <c r="K1566" s="4534"/>
    </row>
    <row r="1567" spans="1:12" ht="13.5" customHeight="1">
      <c r="A1567" s="4168">
        <v>3</v>
      </c>
      <c r="B1567" s="4168" t="s">
        <v>4245</v>
      </c>
      <c r="C1567" s="4659"/>
      <c r="D1567" s="4593"/>
      <c r="E1567" s="4318"/>
      <c r="F1567" s="4318"/>
      <c r="J1567" s="4534"/>
      <c r="K1567" s="4534"/>
    </row>
    <row r="1568" spans="1:12" ht="13.5" customHeight="1">
      <c r="A1568" s="4167">
        <v>3.1</v>
      </c>
      <c r="B1568" s="4734" t="s">
        <v>4348</v>
      </c>
      <c r="C1568" s="4659">
        <v>2403.5500000000002</v>
      </c>
      <c r="D1568" s="4593" t="s">
        <v>1</v>
      </c>
      <c r="E1568" s="4318"/>
      <c r="F1568" s="4318">
        <f t="shared" ref="F1568:F1569" si="95">ROUND(C1568*E1568,2)</f>
        <v>0</v>
      </c>
      <c r="J1568" s="4534"/>
      <c r="K1568" s="4534"/>
    </row>
    <row r="1569" spans="1:11" ht="13.5" customHeight="1">
      <c r="A1569" s="4167">
        <v>3.2</v>
      </c>
      <c r="B1569" s="4734" t="s">
        <v>4349</v>
      </c>
      <c r="C1569" s="4659">
        <v>5360.92</v>
      </c>
      <c r="D1569" s="4593" t="s">
        <v>1</v>
      </c>
      <c r="E1569" s="4318"/>
      <c r="F1569" s="4318">
        <f t="shared" si="95"/>
        <v>0</v>
      </c>
      <c r="J1569" s="4534"/>
      <c r="K1569" s="4534"/>
    </row>
    <row r="1570" spans="1:11" ht="12.75" customHeight="1">
      <c r="A1570" s="4167"/>
      <c r="B1570" s="4692"/>
      <c r="C1570" s="4659"/>
      <c r="D1570" s="4593"/>
      <c r="E1570" s="4318"/>
      <c r="F1570" s="4318"/>
      <c r="J1570" s="4534"/>
      <c r="K1570" s="4534"/>
    </row>
    <row r="1571" spans="1:11" ht="13.5" customHeight="1">
      <c r="A1571" s="4168">
        <v>4</v>
      </c>
      <c r="B1571" s="4168" t="s">
        <v>4247</v>
      </c>
      <c r="C1571" s="4659"/>
      <c r="D1571" s="4593"/>
      <c r="E1571" s="4318"/>
      <c r="F1571" s="4318"/>
      <c r="J1571" s="4534"/>
      <c r="K1571" s="4534"/>
    </row>
    <row r="1572" spans="1:11" ht="13.5" customHeight="1">
      <c r="A1572" s="4167">
        <v>4.0999999999999996</v>
      </c>
      <c r="B1572" s="4734" t="s">
        <v>4350</v>
      </c>
      <c r="C1572" s="4659">
        <v>2356.42</v>
      </c>
      <c r="D1572" s="4593" t="s">
        <v>1</v>
      </c>
      <c r="E1572" s="4318"/>
      <c r="F1572" s="4318">
        <f t="shared" ref="F1572:F1573" si="96">ROUND(C1572*E1572,2)</f>
        <v>0</v>
      </c>
      <c r="J1572" s="4534"/>
      <c r="K1572" s="4534"/>
    </row>
    <row r="1573" spans="1:11" ht="13.5" customHeight="1">
      <c r="A1573" s="4167">
        <v>4.2</v>
      </c>
      <c r="B1573" s="4734" t="s">
        <v>4351</v>
      </c>
      <c r="C1573" s="4659">
        <v>5255.8</v>
      </c>
      <c r="D1573" s="4593" t="s">
        <v>1</v>
      </c>
      <c r="E1573" s="4318"/>
      <c r="F1573" s="4318">
        <f t="shared" si="96"/>
        <v>0</v>
      </c>
      <c r="J1573" s="4534"/>
      <c r="K1573" s="4534"/>
    </row>
    <row r="1574" spans="1:11" ht="12.75" customHeight="1">
      <c r="A1574" s="4167"/>
      <c r="B1574" s="4692"/>
      <c r="C1574" s="4659"/>
      <c r="D1574" s="4593"/>
      <c r="E1574" s="4318"/>
      <c r="F1574" s="4318"/>
      <c r="J1574" s="4534"/>
      <c r="K1574" s="4534"/>
    </row>
    <row r="1575" spans="1:11" ht="13.5" customHeight="1">
      <c r="A1575" s="4168">
        <v>5</v>
      </c>
      <c r="B1575" s="4681" t="s">
        <v>4673</v>
      </c>
      <c r="C1575" s="4659"/>
      <c r="D1575" s="4593"/>
      <c r="E1575" s="4318"/>
      <c r="F1575" s="4318"/>
      <c r="J1575" s="4534"/>
      <c r="K1575" s="4534"/>
    </row>
    <row r="1576" spans="1:11" ht="13.5" customHeight="1">
      <c r="A1576" s="4692">
        <v>5.0999999999999996</v>
      </c>
      <c r="B1576" s="4692" t="s">
        <v>4674</v>
      </c>
      <c r="C1576" s="4916">
        <v>1</v>
      </c>
      <c r="D1576" s="4593" t="s">
        <v>2433</v>
      </c>
      <c r="E1576" s="5039"/>
      <c r="F1576" s="5039">
        <f t="shared" ref="F1576:F1594" si="97">ROUND(C1576*E1576,2)</f>
        <v>0</v>
      </c>
      <c r="J1576" s="4534"/>
      <c r="K1576" s="4534"/>
    </row>
    <row r="1577" spans="1:11" ht="13.5" customHeight="1">
      <c r="A1577" s="4692">
        <v>5.2</v>
      </c>
      <c r="B1577" s="4692" t="s">
        <v>4634</v>
      </c>
      <c r="C1577" s="4916">
        <v>1</v>
      </c>
      <c r="D1577" s="4593" t="s">
        <v>2433</v>
      </c>
      <c r="E1577" s="5039"/>
      <c r="F1577" s="5039">
        <f t="shared" si="97"/>
        <v>0</v>
      </c>
      <c r="J1577" s="4534"/>
      <c r="K1577" s="4534"/>
    </row>
    <row r="1578" spans="1:11" ht="13.5" customHeight="1">
      <c r="A1578" s="4692">
        <v>5.3</v>
      </c>
      <c r="B1578" s="4692" t="s">
        <v>4635</v>
      </c>
      <c r="C1578" s="4916">
        <v>7</v>
      </c>
      <c r="D1578" s="4593" t="s">
        <v>2433</v>
      </c>
      <c r="E1578" s="5039"/>
      <c r="F1578" s="5039">
        <f t="shared" si="97"/>
        <v>0</v>
      </c>
      <c r="J1578" s="4534"/>
      <c r="K1578" s="4534"/>
    </row>
    <row r="1579" spans="1:11" ht="13.5" customHeight="1">
      <c r="A1579" s="4692">
        <v>5.4</v>
      </c>
      <c r="B1579" s="4692" t="s">
        <v>4636</v>
      </c>
      <c r="C1579" s="4916">
        <v>8</v>
      </c>
      <c r="D1579" s="4593" t="s">
        <v>2433</v>
      </c>
      <c r="E1579" s="5039"/>
      <c r="F1579" s="5039">
        <f t="shared" si="97"/>
        <v>0</v>
      </c>
      <c r="J1579" s="4534"/>
      <c r="K1579" s="4534"/>
    </row>
    <row r="1580" spans="1:11" ht="13.5" customHeight="1">
      <c r="A1580" s="4692">
        <v>5.5</v>
      </c>
      <c r="B1580" s="4692" t="s">
        <v>4637</v>
      </c>
      <c r="C1580" s="4916">
        <v>17</v>
      </c>
      <c r="D1580" s="4593" t="s">
        <v>2433</v>
      </c>
      <c r="E1580" s="5039"/>
      <c r="F1580" s="5039">
        <f t="shared" si="97"/>
        <v>0</v>
      </c>
      <c r="J1580" s="4534"/>
      <c r="K1580" s="4534"/>
    </row>
    <row r="1581" spans="1:11" ht="13.5" customHeight="1">
      <c r="A1581" s="4692">
        <v>5.6</v>
      </c>
      <c r="B1581" s="4692" t="s">
        <v>4675</v>
      </c>
      <c r="C1581" s="4916">
        <v>2</v>
      </c>
      <c r="D1581" s="4593" t="s">
        <v>2433</v>
      </c>
      <c r="E1581" s="5039"/>
      <c r="F1581" s="5039">
        <f t="shared" si="97"/>
        <v>0</v>
      </c>
      <c r="J1581" s="4534"/>
      <c r="K1581" s="4534"/>
    </row>
    <row r="1582" spans="1:11" ht="13.5" customHeight="1">
      <c r="A1582" s="4692">
        <v>5.7</v>
      </c>
      <c r="B1582" s="4692" t="s">
        <v>4676</v>
      </c>
      <c r="C1582" s="4916">
        <v>1</v>
      </c>
      <c r="D1582" s="4593" t="s">
        <v>2433</v>
      </c>
      <c r="E1582" s="5039"/>
      <c r="F1582" s="5039">
        <f t="shared" si="97"/>
        <v>0</v>
      </c>
      <c r="J1582" s="4534"/>
      <c r="K1582" s="4534"/>
    </row>
    <row r="1583" spans="1:11" ht="13.5" customHeight="1">
      <c r="A1583" s="4692">
        <v>5.8</v>
      </c>
      <c r="B1583" s="4692" t="s">
        <v>4638</v>
      </c>
      <c r="C1583" s="4916">
        <v>23</v>
      </c>
      <c r="D1583" s="4593" t="s">
        <v>2433</v>
      </c>
      <c r="E1583" s="5039"/>
      <c r="F1583" s="5039">
        <f t="shared" si="97"/>
        <v>0</v>
      </c>
      <c r="J1583" s="4534"/>
      <c r="K1583" s="4534"/>
    </row>
    <row r="1584" spans="1:11" ht="13.5" customHeight="1">
      <c r="A1584" s="4692">
        <v>5.9</v>
      </c>
      <c r="B1584" s="4692" t="s">
        <v>4639</v>
      </c>
      <c r="C1584" s="4916">
        <v>18</v>
      </c>
      <c r="D1584" s="4593" t="s">
        <v>2433</v>
      </c>
      <c r="E1584" s="5039"/>
      <c r="F1584" s="5039">
        <f t="shared" si="97"/>
        <v>0</v>
      </c>
      <c r="J1584" s="4534"/>
      <c r="K1584" s="4534"/>
    </row>
    <row r="1585" spans="1:11" ht="13.5" customHeight="1">
      <c r="A1585" s="4927">
        <v>5.0999999999999996</v>
      </c>
      <c r="B1585" s="4692" t="s">
        <v>4677</v>
      </c>
      <c r="C1585" s="4916">
        <v>4</v>
      </c>
      <c r="D1585" s="4593" t="s">
        <v>2433</v>
      </c>
      <c r="E1585" s="5039"/>
      <c r="F1585" s="5039">
        <f t="shared" si="97"/>
        <v>0</v>
      </c>
      <c r="J1585" s="4534"/>
      <c r="K1585" s="4534"/>
    </row>
    <row r="1586" spans="1:11" ht="13.5" customHeight="1">
      <c r="A1586" s="4692">
        <v>5.1100000000000003</v>
      </c>
      <c r="B1586" s="4692" t="s">
        <v>4678</v>
      </c>
      <c r="C1586" s="4916">
        <v>1</v>
      </c>
      <c r="D1586" s="4593" t="s">
        <v>2433</v>
      </c>
      <c r="E1586" s="5039"/>
      <c r="F1586" s="5039">
        <f t="shared" si="97"/>
        <v>0</v>
      </c>
      <c r="J1586" s="4534"/>
      <c r="K1586" s="4534"/>
    </row>
    <row r="1587" spans="1:11" ht="13.5" customHeight="1">
      <c r="A1587" s="4927">
        <v>5.12</v>
      </c>
      <c r="B1587" s="4692" t="s">
        <v>4645</v>
      </c>
      <c r="C1587" s="4916">
        <v>23</v>
      </c>
      <c r="D1587" s="4593" t="s">
        <v>2433</v>
      </c>
      <c r="E1587" s="5039"/>
      <c r="F1587" s="5039">
        <f t="shared" si="97"/>
        <v>0</v>
      </c>
      <c r="J1587" s="4534"/>
      <c r="K1587" s="4534"/>
    </row>
    <row r="1588" spans="1:11" ht="13.5" customHeight="1">
      <c r="A1588" s="4692">
        <v>5.13</v>
      </c>
      <c r="B1588" s="4692" t="s">
        <v>4640</v>
      </c>
      <c r="C1588" s="4916">
        <v>2</v>
      </c>
      <c r="D1588" s="4593" t="s">
        <v>2433</v>
      </c>
      <c r="E1588" s="5039"/>
      <c r="F1588" s="5039">
        <f t="shared" si="97"/>
        <v>0</v>
      </c>
      <c r="J1588" s="4534"/>
      <c r="K1588" s="4534"/>
    </row>
    <row r="1589" spans="1:11" ht="13.5" customHeight="1">
      <c r="A1589" s="4927">
        <v>5.14</v>
      </c>
      <c r="B1589" s="4692" t="s">
        <v>4641</v>
      </c>
      <c r="C1589" s="4916">
        <v>41</v>
      </c>
      <c r="D1589" s="4593" t="s">
        <v>2433</v>
      </c>
      <c r="E1589" s="5039"/>
      <c r="F1589" s="5039">
        <f t="shared" si="97"/>
        <v>0</v>
      </c>
      <c r="J1589" s="4534"/>
      <c r="K1589" s="4534"/>
    </row>
    <row r="1590" spans="1:11" ht="13.5" customHeight="1">
      <c r="A1590" s="4692">
        <v>5.15</v>
      </c>
      <c r="B1590" s="4692" t="s">
        <v>4642</v>
      </c>
      <c r="C1590" s="4916">
        <v>3</v>
      </c>
      <c r="D1590" s="4593" t="s">
        <v>2433</v>
      </c>
      <c r="E1590" s="5039"/>
      <c r="F1590" s="5039">
        <f t="shared" si="97"/>
        <v>0</v>
      </c>
      <c r="J1590" s="4534"/>
      <c r="K1590" s="4534"/>
    </row>
    <row r="1591" spans="1:11" ht="13.5" customHeight="1">
      <c r="A1591" s="4927">
        <v>5.16</v>
      </c>
      <c r="B1591" s="4692" t="s">
        <v>4643</v>
      </c>
      <c r="C1591" s="4916">
        <v>3</v>
      </c>
      <c r="D1591" s="4593" t="s">
        <v>2433</v>
      </c>
      <c r="E1591" s="5039"/>
      <c r="F1591" s="5039">
        <f t="shared" si="97"/>
        <v>0</v>
      </c>
      <c r="J1591" s="4534"/>
      <c r="K1591" s="4534"/>
    </row>
    <row r="1592" spans="1:11" ht="13.5" customHeight="1">
      <c r="A1592" s="4692">
        <v>5.17</v>
      </c>
      <c r="B1592" s="4692" t="s">
        <v>4644</v>
      </c>
      <c r="C1592" s="4916">
        <v>1</v>
      </c>
      <c r="D1592" s="4593" t="s">
        <v>2433</v>
      </c>
      <c r="E1592" s="5039"/>
      <c r="F1592" s="5039">
        <f t="shared" si="97"/>
        <v>0</v>
      </c>
      <c r="J1592" s="4534"/>
      <c r="K1592" s="4534"/>
    </row>
    <row r="1593" spans="1:11" ht="13.5" customHeight="1">
      <c r="A1593" s="4692">
        <v>5.18</v>
      </c>
      <c r="B1593" s="4692" t="s">
        <v>4680</v>
      </c>
      <c r="C1593" s="4916">
        <v>5.92</v>
      </c>
      <c r="D1593" s="4593" t="s">
        <v>4679</v>
      </c>
      <c r="E1593" s="5039"/>
      <c r="F1593" s="5039">
        <f t="shared" si="97"/>
        <v>0</v>
      </c>
      <c r="J1593" s="4534"/>
      <c r="K1593" s="4534"/>
    </row>
    <row r="1594" spans="1:11" ht="13.5" customHeight="1">
      <c r="A1594" s="4927">
        <v>5.19</v>
      </c>
      <c r="B1594" s="4692" t="s">
        <v>4257</v>
      </c>
      <c r="C1594" s="4659">
        <v>6</v>
      </c>
      <c r="D1594" s="4593" t="s">
        <v>2433</v>
      </c>
      <c r="E1594" s="4318"/>
      <c r="F1594" s="4318">
        <f t="shared" si="97"/>
        <v>0</v>
      </c>
      <c r="J1594" s="4534"/>
      <c r="K1594" s="4534"/>
    </row>
    <row r="1595" spans="1:11">
      <c r="A1595" s="4167"/>
      <c r="B1595" s="4692"/>
      <c r="C1595" s="4659"/>
      <c r="D1595" s="4593"/>
      <c r="E1595" s="4318"/>
      <c r="F1595" s="4318"/>
      <c r="J1595" s="4534"/>
      <c r="K1595" s="4534"/>
    </row>
    <row r="1596" spans="1:11" ht="45">
      <c r="A1596" s="4168">
        <v>6</v>
      </c>
      <c r="B1596" s="4763" t="s">
        <v>4717</v>
      </c>
      <c r="C1596" s="4659"/>
      <c r="D1596" s="4167"/>
      <c r="E1596" s="4318"/>
      <c r="F1596" s="4318"/>
      <c r="J1596" s="4534"/>
      <c r="K1596" s="4534"/>
    </row>
    <row r="1597" spans="1:11" ht="13.5" customHeight="1">
      <c r="A1597" s="4167">
        <v>6.1</v>
      </c>
      <c r="B1597" s="4692" t="s">
        <v>4352</v>
      </c>
      <c r="C1597" s="4659">
        <v>8</v>
      </c>
      <c r="D1597" s="4593" t="s">
        <v>2433</v>
      </c>
      <c r="E1597" s="4318"/>
      <c r="F1597" s="4318">
        <f t="shared" ref="F1597:F1599" si="98">ROUND(C1597*E1597,2)</f>
        <v>0</v>
      </c>
      <c r="J1597" s="4534"/>
      <c r="K1597" s="4534"/>
    </row>
    <row r="1598" spans="1:11" ht="13.5" customHeight="1">
      <c r="A1598" s="4167">
        <v>6.2</v>
      </c>
      <c r="B1598" s="4692" t="s">
        <v>4353</v>
      </c>
      <c r="C1598" s="4659">
        <v>18</v>
      </c>
      <c r="D1598" s="4593" t="s">
        <v>2433</v>
      </c>
      <c r="E1598" s="4318"/>
      <c r="F1598" s="4318">
        <f t="shared" si="98"/>
        <v>0</v>
      </c>
      <c r="J1598" s="4534"/>
      <c r="K1598" s="4534"/>
    </row>
    <row r="1599" spans="1:11" ht="13.5" customHeight="1">
      <c r="A1599" s="4650">
        <v>6.3</v>
      </c>
      <c r="B1599" s="4915" t="s">
        <v>4354</v>
      </c>
      <c r="C1599" s="4733">
        <v>25</v>
      </c>
      <c r="D1599" s="4732" t="s">
        <v>2433</v>
      </c>
      <c r="E1599" s="4980"/>
      <c r="F1599" s="4980">
        <f t="shared" si="98"/>
        <v>0</v>
      </c>
      <c r="J1599" s="4534"/>
      <c r="K1599" s="4534"/>
    </row>
    <row r="1600" spans="1:11">
      <c r="A1600" s="4167"/>
      <c r="B1600" s="4692"/>
      <c r="C1600" s="4659"/>
      <c r="D1600" s="4167"/>
      <c r="E1600" s="4318"/>
      <c r="F1600" s="4318"/>
      <c r="J1600" s="4534"/>
      <c r="K1600" s="4534"/>
    </row>
    <row r="1601" spans="1:11" ht="13.5" customHeight="1">
      <c r="A1601" s="4168">
        <v>7</v>
      </c>
      <c r="B1601" s="4168" t="s">
        <v>3194</v>
      </c>
      <c r="C1601" s="4659"/>
      <c r="D1601" s="4167"/>
      <c r="E1601" s="4318"/>
      <c r="F1601" s="4318"/>
      <c r="J1601" s="4534"/>
      <c r="K1601" s="4534"/>
    </row>
    <row r="1602" spans="1:11" ht="13.5" customHeight="1">
      <c r="A1602" s="4167">
        <v>7.1</v>
      </c>
      <c r="B1602" s="4692" t="s">
        <v>4622</v>
      </c>
      <c r="C1602" s="4659">
        <v>1600</v>
      </c>
      <c r="D1602" s="4593" t="s">
        <v>2433</v>
      </c>
      <c r="E1602" s="4318"/>
      <c r="F1602" s="4318">
        <f t="shared" ref="F1602:F1603" si="99">ROUND(C1602*E1602,2)</f>
        <v>0</v>
      </c>
      <c r="J1602" s="4534"/>
      <c r="K1602" s="4534"/>
    </row>
    <row r="1603" spans="1:11" ht="13.5" customHeight="1">
      <c r="A1603" s="4167">
        <v>7.2</v>
      </c>
      <c r="B1603" s="4692" t="s">
        <v>4623</v>
      </c>
      <c r="C1603" s="4659">
        <v>173</v>
      </c>
      <c r="D1603" s="4593" t="s">
        <v>2433</v>
      </c>
      <c r="E1603" s="4318"/>
      <c r="F1603" s="4318">
        <f t="shared" si="99"/>
        <v>0</v>
      </c>
      <c r="J1603" s="4534"/>
      <c r="K1603" s="4534"/>
    </row>
    <row r="1604" spans="1:11">
      <c r="A1604" s="4167"/>
      <c r="B1604" s="4692"/>
      <c r="C1604" s="4659"/>
      <c r="D1604" s="4167"/>
      <c r="E1604" s="4318"/>
      <c r="F1604" s="4318"/>
      <c r="J1604" s="4534"/>
      <c r="K1604" s="4534"/>
    </row>
    <row r="1605" spans="1:11" ht="13.5" customHeight="1">
      <c r="A1605" s="4168">
        <v>8</v>
      </c>
      <c r="B1605" s="4168" t="s">
        <v>4281</v>
      </c>
      <c r="C1605" s="4659"/>
      <c r="D1605" s="4167"/>
      <c r="E1605" s="4318"/>
      <c r="F1605" s="4318"/>
      <c r="J1605" s="4534"/>
      <c r="K1605" s="4534"/>
    </row>
    <row r="1606" spans="1:11" ht="13.5" customHeight="1">
      <c r="A1606" s="4167">
        <v>8.1</v>
      </c>
      <c r="B1606" s="4734" t="s">
        <v>4355</v>
      </c>
      <c r="C1606" s="4659">
        <v>2356.42</v>
      </c>
      <c r="D1606" s="4593" t="s">
        <v>1</v>
      </c>
      <c r="E1606" s="4318"/>
      <c r="F1606" s="4318">
        <f t="shared" ref="F1606:F1607" si="100">ROUND(C1606*E1606,2)</f>
        <v>0</v>
      </c>
      <c r="J1606" s="4534"/>
      <c r="K1606" s="4534"/>
    </row>
    <row r="1607" spans="1:11" ht="13.5" customHeight="1">
      <c r="A1607" s="4167">
        <v>8.1999999999999993</v>
      </c>
      <c r="B1607" s="4734" t="s">
        <v>4356</v>
      </c>
      <c r="C1607" s="4659">
        <v>5255.8</v>
      </c>
      <c r="D1607" s="4593" t="s">
        <v>1</v>
      </c>
      <c r="E1607" s="4318"/>
      <c r="F1607" s="4318">
        <f t="shared" si="100"/>
        <v>0</v>
      </c>
      <c r="J1607" s="4534"/>
      <c r="K1607" s="4534"/>
    </row>
    <row r="1608" spans="1:11">
      <c r="A1608" s="4167"/>
      <c r="B1608" s="4692"/>
      <c r="C1608" s="4659"/>
      <c r="D1608" s="4167"/>
      <c r="E1608" s="4318"/>
      <c r="F1608" s="4318"/>
      <c r="J1608" s="4534"/>
      <c r="K1608" s="4534"/>
    </row>
    <row r="1609" spans="1:11" ht="13.5" customHeight="1">
      <c r="A1609" s="4168">
        <v>9</v>
      </c>
      <c r="B1609" s="4168" t="s">
        <v>4357</v>
      </c>
      <c r="C1609" s="4659"/>
      <c r="D1609" s="4167"/>
      <c r="E1609" s="4318"/>
      <c r="F1609" s="4318"/>
      <c r="G1609" s="4534"/>
      <c r="H1609" s="4534"/>
      <c r="I1609" s="4534"/>
      <c r="J1609" s="4534"/>
      <c r="K1609" s="4534"/>
    </row>
    <row r="1610" spans="1:11" ht="13.5" customHeight="1">
      <c r="A1610" s="4167">
        <v>9.1</v>
      </c>
      <c r="B1610" s="4692" t="s">
        <v>4337</v>
      </c>
      <c r="C1610" s="4903">
        <v>3574.08</v>
      </c>
      <c r="D1610" s="4923" t="s">
        <v>1</v>
      </c>
      <c r="E1610" s="4318"/>
      <c r="F1610" s="4318">
        <f t="shared" ref="F1610:F1622" si="101">ROUND(C1610*E1610,2)</f>
        <v>0</v>
      </c>
      <c r="J1610" s="4534"/>
      <c r="K1610" s="4534"/>
    </row>
    <row r="1611" spans="1:11" ht="13.5" customHeight="1">
      <c r="A1611" s="4167">
        <v>9.1999999999999993</v>
      </c>
      <c r="B1611" s="4692" t="s">
        <v>4358</v>
      </c>
      <c r="C1611" s="4903">
        <v>1219.17</v>
      </c>
      <c r="D1611" s="4923" t="s">
        <v>2432</v>
      </c>
      <c r="E1611" s="4318"/>
      <c r="F1611" s="4318">
        <f t="shared" si="101"/>
        <v>0</v>
      </c>
      <c r="J1611" s="4534"/>
      <c r="K1611" s="4534"/>
    </row>
    <row r="1612" spans="1:11" ht="13.5" customHeight="1">
      <c r="A1612" s="4167">
        <v>9.3000000000000007</v>
      </c>
      <c r="B1612" s="4692" t="s">
        <v>4338</v>
      </c>
      <c r="C1612" s="4903">
        <v>292.60000000000002</v>
      </c>
      <c r="D1612" s="4923" t="s">
        <v>2430</v>
      </c>
      <c r="E1612" s="4318"/>
      <c r="F1612" s="4318">
        <f t="shared" si="101"/>
        <v>0</v>
      </c>
      <c r="J1612" s="4534"/>
      <c r="K1612" s="4534"/>
    </row>
    <row r="1613" spans="1:11" ht="13.5" customHeight="1">
      <c r="A1613" s="4167">
        <v>9.4</v>
      </c>
      <c r="B1613" s="4734" t="s">
        <v>4339</v>
      </c>
      <c r="C1613" s="4659">
        <v>243.83</v>
      </c>
      <c r="D1613" s="4595" t="s">
        <v>2430</v>
      </c>
      <c r="E1613" s="4318"/>
      <c r="F1613" s="4318">
        <f t="shared" si="101"/>
        <v>0</v>
      </c>
      <c r="J1613" s="4534"/>
      <c r="K1613" s="4534"/>
    </row>
    <row r="1614" spans="1:11" ht="30" customHeight="1">
      <c r="A1614" s="4167">
        <v>9.5</v>
      </c>
      <c r="B1614" s="4734" t="s">
        <v>4340</v>
      </c>
      <c r="C1614" s="4903">
        <v>86.61</v>
      </c>
      <c r="D1614" s="4923" t="s">
        <v>2430</v>
      </c>
      <c r="E1614" s="4318"/>
      <c r="F1614" s="4318">
        <f t="shared" si="101"/>
        <v>0</v>
      </c>
      <c r="J1614" s="4534"/>
      <c r="K1614" s="4534"/>
    </row>
    <row r="1615" spans="1:11" ht="13.5" customHeight="1">
      <c r="A1615" s="4167">
        <v>9.6</v>
      </c>
      <c r="B1615" s="4692" t="s">
        <v>4341</v>
      </c>
      <c r="C1615" s="4659">
        <v>1219.17</v>
      </c>
      <c r="D1615" s="4595" t="s">
        <v>2432</v>
      </c>
      <c r="E1615" s="4318"/>
      <c r="F1615" s="4318">
        <f t="shared" si="101"/>
        <v>0</v>
      </c>
      <c r="J1615" s="4534"/>
      <c r="K1615" s="4534"/>
    </row>
    <row r="1616" spans="1:11" ht="30" customHeight="1">
      <c r="A1616" s="4167">
        <v>9.6999999999999993</v>
      </c>
      <c r="B1616" s="4734" t="s">
        <v>4359</v>
      </c>
      <c r="C1616" s="4659">
        <v>1523.96</v>
      </c>
      <c r="D1616" s="4595" t="s">
        <v>2432</v>
      </c>
      <c r="E1616" s="4318"/>
      <c r="F1616" s="4318">
        <f t="shared" si="101"/>
        <v>0</v>
      </c>
      <c r="J1616" s="4534"/>
      <c r="K1616" s="4534"/>
    </row>
    <row r="1617" spans="1:13" ht="13.5" customHeight="1">
      <c r="A1617" s="4167">
        <v>9.8000000000000007</v>
      </c>
      <c r="B1617" s="4692" t="s">
        <v>4360</v>
      </c>
      <c r="C1617" s="4659">
        <v>5653.89</v>
      </c>
      <c r="D1617" s="4595" t="s">
        <v>4243</v>
      </c>
      <c r="E1617" s="4318"/>
      <c r="F1617" s="4318">
        <f t="shared" si="101"/>
        <v>0</v>
      </c>
      <c r="H1617" s="4534"/>
      <c r="J1617" s="4534"/>
      <c r="K1617" s="4534"/>
    </row>
    <row r="1618" spans="1:13" ht="13.5" customHeight="1">
      <c r="A1618" s="4167">
        <v>9.9</v>
      </c>
      <c r="B1618" s="4692" t="s">
        <v>4361</v>
      </c>
      <c r="C1618" s="4659">
        <v>14630.05</v>
      </c>
      <c r="D1618" s="4595" t="s">
        <v>4243</v>
      </c>
      <c r="E1618" s="4318"/>
      <c r="F1618" s="4318">
        <f t="shared" si="101"/>
        <v>0</v>
      </c>
      <c r="H1618" s="4534"/>
      <c r="J1618" s="4534"/>
      <c r="K1618" s="4534"/>
    </row>
    <row r="1619" spans="1:13">
      <c r="A1619" s="4167"/>
      <c r="B1619" s="4692" t="s">
        <v>2564</v>
      </c>
      <c r="C1619" s="4709"/>
      <c r="D1619" s="4924"/>
      <c r="E1619" s="4318"/>
      <c r="F1619" s="4318"/>
      <c r="H1619" s="4534"/>
      <c r="J1619" s="4534"/>
      <c r="K1619" s="4534"/>
    </row>
    <row r="1620" spans="1:13" ht="30" customHeight="1">
      <c r="A1620" s="4167">
        <v>10</v>
      </c>
      <c r="B1620" s="4734" t="s">
        <v>4362</v>
      </c>
      <c r="C1620" s="4659">
        <v>7612.22</v>
      </c>
      <c r="D1620" s="4924" t="s">
        <v>1</v>
      </c>
      <c r="E1620" s="4318"/>
      <c r="F1620" s="4318">
        <f t="shared" si="101"/>
        <v>0</v>
      </c>
      <c r="J1620" s="4534"/>
      <c r="K1620" s="4534"/>
    </row>
    <row r="1621" spans="1:13" ht="13.5" customHeight="1">
      <c r="A1621" s="4167">
        <v>11</v>
      </c>
      <c r="B1621" s="4734" t="s">
        <v>4363</v>
      </c>
      <c r="C1621" s="4659">
        <v>7612.22</v>
      </c>
      <c r="D1621" s="4924" t="s">
        <v>1</v>
      </c>
      <c r="E1621" s="4318"/>
      <c r="F1621" s="4318">
        <f t="shared" si="101"/>
        <v>0</v>
      </c>
      <c r="J1621" s="4534"/>
      <c r="K1621" s="4534"/>
    </row>
    <row r="1622" spans="1:13" ht="13.5" customHeight="1">
      <c r="A1622" s="4167">
        <v>12</v>
      </c>
      <c r="B1622" s="4692" t="s">
        <v>4153</v>
      </c>
      <c r="C1622" s="4659">
        <v>7612.22</v>
      </c>
      <c r="D1622" s="4924" t="s">
        <v>1</v>
      </c>
      <c r="E1622" s="4318"/>
      <c r="F1622" s="4318">
        <f t="shared" si="101"/>
        <v>0</v>
      </c>
      <c r="J1622" s="4534"/>
      <c r="K1622" s="4534"/>
    </row>
    <row r="1623" spans="1:13" ht="5.0999999999999996" customHeight="1">
      <c r="A1623" s="4167"/>
      <c r="B1623" s="4692"/>
      <c r="C1623" s="4659"/>
      <c r="D1623" s="4167"/>
      <c r="E1623" s="4318"/>
      <c r="F1623" s="4318"/>
      <c r="J1623" s="4534"/>
      <c r="K1623" s="4534"/>
    </row>
    <row r="1624" spans="1:13" s="4620" customFormat="1" ht="12.75">
      <c r="A1624" s="4928"/>
      <c r="B1624" s="4929" t="str">
        <f>"SUB-TOTAL "&amp;A1557</f>
        <v>SUB-TOTAL D</v>
      </c>
      <c r="C1624" s="4930"/>
      <c r="D1624" s="4928"/>
      <c r="E1624" s="5040"/>
      <c r="F1624" s="5024">
        <f>ROUND(SUM(F1559:F1622),2)</f>
        <v>0</v>
      </c>
      <c r="J1624" s="4622"/>
      <c r="K1624" s="4621"/>
      <c r="L1624" s="4621"/>
      <c r="M1624" s="4621"/>
    </row>
    <row r="1625" spans="1:13" s="4557" customFormat="1" ht="15">
      <c r="A1625" s="4167"/>
      <c r="B1625" s="4676"/>
      <c r="C1625" s="4659"/>
      <c r="D1625" s="4167"/>
      <c r="E1625" s="4318"/>
      <c r="F1625" s="4985"/>
      <c r="J1625" s="4575"/>
      <c r="K1625" s="4572"/>
      <c r="L1625" s="4572"/>
      <c r="M1625" s="4572"/>
    </row>
    <row r="1626" spans="1:13" s="4639" customFormat="1" ht="15" customHeight="1">
      <c r="A1626" s="4786" t="s">
        <v>540</v>
      </c>
      <c r="B1626" s="4168" t="s">
        <v>3719</v>
      </c>
      <c r="C1626" s="4821"/>
      <c r="D1626" s="4820"/>
      <c r="E1626" s="4961"/>
      <c r="F1626" s="4961"/>
      <c r="G1626" s="4570"/>
      <c r="H1626" s="4534"/>
      <c r="I1626" s="4533"/>
    </row>
    <row r="1627" spans="1:13" ht="56.25" customHeight="1">
      <c r="A1627" s="4839">
        <v>1</v>
      </c>
      <c r="B1627" s="4812" t="s">
        <v>4709</v>
      </c>
      <c r="C1627" s="4367">
        <v>6</v>
      </c>
      <c r="D1627" s="4669" t="s">
        <v>2433</v>
      </c>
      <c r="E1627" s="4318"/>
      <c r="F1627" s="4961">
        <f>IF(C1627&gt;0,(ROUND((E1627*C1627),2))," ")</f>
        <v>0</v>
      </c>
      <c r="G1627" s="4570"/>
      <c r="H1627" s="4534"/>
      <c r="I1627" s="4533"/>
    </row>
    <row r="1628" spans="1:13" ht="42.75">
      <c r="A1628" s="4839">
        <v>2</v>
      </c>
      <c r="B1628" s="4812" t="s">
        <v>4713</v>
      </c>
      <c r="C1628" s="4367">
        <v>1200</v>
      </c>
      <c r="D1628" s="4669" t="s">
        <v>2432</v>
      </c>
      <c r="E1628" s="4961"/>
      <c r="F1628" s="4961">
        <f t="shared" ref="F1628:F1630" si="102">IF(C1628&gt;0,(ROUND((E1628*C1628),2))," ")</f>
        <v>0</v>
      </c>
      <c r="G1628" s="4570"/>
      <c r="H1628" s="4534"/>
      <c r="I1628" s="4533"/>
    </row>
    <row r="1629" spans="1:13">
      <c r="A1629" s="4839">
        <v>3</v>
      </c>
      <c r="B1629" s="4812" t="s">
        <v>4712</v>
      </c>
      <c r="C1629" s="4367">
        <v>6240</v>
      </c>
      <c r="D1629" s="4669" t="s">
        <v>4243</v>
      </c>
      <c r="E1629" s="4961"/>
      <c r="F1629" s="4961">
        <f t="shared" si="102"/>
        <v>0</v>
      </c>
      <c r="G1629" s="4570"/>
      <c r="H1629" s="4534"/>
      <c r="I1629" s="4533"/>
    </row>
    <row r="1630" spans="1:13" ht="28.5" customHeight="1">
      <c r="A1630" s="4839">
        <v>4</v>
      </c>
      <c r="B1630" s="4931" t="s">
        <v>4494</v>
      </c>
      <c r="C1630" s="4365"/>
      <c r="D1630" s="4669" t="s">
        <v>4050</v>
      </c>
      <c r="E1630" s="4961"/>
      <c r="F1630" s="4961" t="str">
        <f t="shared" si="102"/>
        <v xml:space="preserve"> </v>
      </c>
      <c r="G1630" s="4570"/>
      <c r="H1630" s="4534"/>
      <c r="I1630" s="4533"/>
    </row>
    <row r="1631" spans="1:13" s="4539" customFormat="1" ht="45.75" customHeight="1">
      <c r="A1631" s="4654">
        <v>5</v>
      </c>
      <c r="B1631" s="4931" t="s">
        <v>3965</v>
      </c>
      <c r="C1631" s="4727">
        <v>1</v>
      </c>
      <c r="D1631" s="4600" t="s">
        <v>42</v>
      </c>
      <c r="E1631" s="4318"/>
      <c r="F1631" s="4318">
        <f>+ROUND((E1631*C1631),2)</f>
        <v>0</v>
      </c>
      <c r="G1631" s="4570"/>
      <c r="H1631" s="4534"/>
      <c r="I1631" s="4533"/>
      <c r="J1631" s="4576"/>
    </row>
    <row r="1632" spans="1:13" s="4539" customFormat="1" ht="18" customHeight="1">
      <c r="A1632" s="4654">
        <v>6</v>
      </c>
      <c r="B1632" s="4931" t="s">
        <v>3966</v>
      </c>
      <c r="C1632" s="5051"/>
      <c r="D1632" s="4669" t="s">
        <v>4050</v>
      </c>
      <c r="E1632" s="4318"/>
      <c r="F1632" s="4318">
        <f>+ROUND((E1632*C1632),2)</f>
        <v>0</v>
      </c>
      <c r="G1632" s="4570"/>
      <c r="H1632" s="4534"/>
      <c r="I1632" s="4533"/>
      <c r="J1632" s="4576"/>
    </row>
    <row r="1633" spans="1:12" s="4268" customFormat="1" ht="12.75" customHeight="1">
      <c r="A1633" s="4860"/>
      <c r="B1633" s="4860" t="s">
        <v>4413</v>
      </c>
      <c r="C1633" s="4861"/>
      <c r="D1633" s="4861"/>
      <c r="E1633" s="5023"/>
      <c r="F1633" s="5023">
        <f>SUM(F1627:F1632)</f>
        <v>0</v>
      </c>
      <c r="G1633" s="4619"/>
      <c r="H1633" s="4580"/>
      <c r="I1633" s="4243"/>
      <c r="J1633" s="4623"/>
      <c r="K1633" s="3531"/>
      <c r="L1633" s="3531"/>
    </row>
    <row r="1634" spans="1:12" s="4242" customFormat="1" ht="12.75">
      <c r="A1634" s="4932"/>
      <c r="B1634" s="4933" t="s">
        <v>15</v>
      </c>
      <c r="C1634" s="4934"/>
      <c r="D1634" s="4935"/>
      <c r="E1634" s="5041"/>
      <c r="F1634" s="4994">
        <f>+F1633+F1624+F1555+F1315+F368</f>
        <v>0</v>
      </c>
      <c r="G1634" s="4619"/>
      <c r="H1634" s="4580"/>
      <c r="I1634" s="4640"/>
    </row>
    <row r="1635" spans="1:12" s="4242" customFormat="1" ht="12.75">
      <c r="A1635" s="4936"/>
      <c r="B1635" s="4783" t="s">
        <v>15</v>
      </c>
      <c r="C1635" s="4937"/>
      <c r="D1635" s="4938"/>
      <c r="E1635" s="5042"/>
      <c r="F1635" s="4997">
        <f>+F1634</f>
        <v>0</v>
      </c>
      <c r="G1635" s="4619"/>
      <c r="H1635" s="4580"/>
      <c r="I1635" s="4640"/>
    </row>
    <row r="1636" spans="1:12">
      <c r="A1636" s="4583"/>
      <c r="B1636" s="4788"/>
      <c r="C1636" s="4367"/>
      <c r="D1636" s="4939"/>
      <c r="E1636" s="4365"/>
      <c r="F1636" s="4961" t="str">
        <f t="shared" ref="F1636" si="103">IF(C1636&gt;0,(ROUND((E1636*C1636),2))," ")</f>
        <v xml:space="preserve"> </v>
      </c>
      <c r="G1636" s="4577"/>
      <c r="H1636" s="4534"/>
      <c r="I1636" s="4639"/>
    </row>
    <row r="1637" spans="1:12" s="4557" customFormat="1" ht="15" collapsed="1">
      <c r="A1637" s="4855"/>
      <c r="B1637" s="4818" t="s">
        <v>16</v>
      </c>
      <c r="C1637" s="4168"/>
      <c r="D1637" s="4752"/>
      <c r="E1637" s="4985"/>
      <c r="F1637" s="4985"/>
      <c r="G1637" s="4578"/>
      <c r="H1637" s="4572"/>
      <c r="J1637" s="4572"/>
      <c r="K1637" s="4579"/>
    </row>
    <row r="1638" spans="1:12">
      <c r="A1638" s="4583"/>
      <c r="B1638" s="4940" t="s">
        <v>3576</v>
      </c>
      <c r="C1638" s="4941">
        <v>0.1</v>
      </c>
      <c r="D1638" s="4939"/>
      <c r="E1638" s="5043"/>
      <c r="F1638" s="4961">
        <f>+C1638*$F$1634</f>
        <v>0</v>
      </c>
      <c r="G1638" s="4577"/>
      <c r="H1638" s="4534"/>
      <c r="I1638" s="4639"/>
    </row>
    <row r="1639" spans="1:12">
      <c r="A1639" s="4583"/>
      <c r="B1639" s="4940" t="s">
        <v>3577</v>
      </c>
      <c r="C1639" s="4941">
        <v>0.05</v>
      </c>
      <c r="D1639" s="4939"/>
      <c r="E1639" s="5043"/>
      <c r="F1639" s="4961">
        <f t="shared" ref="F1639:F1649" si="104">+C1639*$F$1634</f>
        <v>0</v>
      </c>
      <c r="G1639" s="4577"/>
      <c r="H1639" s="4534"/>
      <c r="I1639" s="4639"/>
    </row>
    <row r="1640" spans="1:12">
      <c r="A1640" s="4583"/>
      <c r="B1640" s="4940" t="s">
        <v>3578</v>
      </c>
      <c r="C1640" s="4941">
        <v>0.03</v>
      </c>
      <c r="D1640" s="4939"/>
      <c r="E1640" s="5043"/>
      <c r="F1640" s="4961">
        <f t="shared" si="104"/>
        <v>0</v>
      </c>
      <c r="G1640" s="4577"/>
      <c r="H1640" s="4534"/>
      <c r="I1640" s="4639"/>
    </row>
    <row r="1641" spans="1:12">
      <c r="A1641" s="4583"/>
      <c r="B1641" s="4940" t="s">
        <v>4492</v>
      </c>
      <c r="C1641" s="4941">
        <v>0.04</v>
      </c>
      <c r="D1641" s="4939"/>
      <c r="E1641" s="5043"/>
      <c r="F1641" s="4961">
        <f t="shared" si="104"/>
        <v>0</v>
      </c>
      <c r="G1641" s="4577"/>
      <c r="H1641" s="4534"/>
      <c r="I1641" s="4639"/>
    </row>
    <row r="1642" spans="1:12">
      <c r="A1642" s="4583"/>
      <c r="B1642" s="4940" t="s">
        <v>3580</v>
      </c>
      <c r="C1642" s="4941">
        <v>0.03</v>
      </c>
      <c r="D1642" s="4939"/>
      <c r="E1642" s="5043"/>
      <c r="F1642" s="4961">
        <f t="shared" si="104"/>
        <v>0</v>
      </c>
      <c r="G1642" s="4577"/>
      <c r="H1642" s="4534"/>
      <c r="I1642" s="4639"/>
    </row>
    <row r="1643" spans="1:12">
      <c r="A1643" s="4583"/>
      <c r="B1643" s="4940" t="s">
        <v>3581</v>
      </c>
      <c r="C1643" s="4941">
        <v>0.01</v>
      </c>
      <c r="D1643" s="4939"/>
      <c r="E1643" s="5043"/>
      <c r="F1643" s="4961">
        <f t="shared" si="104"/>
        <v>0</v>
      </c>
      <c r="G1643" s="4577"/>
      <c r="H1643" s="4534"/>
      <c r="I1643" s="4639"/>
    </row>
    <row r="1644" spans="1:12">
      <c r="A1644" s="4583"/>
      <c r="B1644" s="4940" t="s">
        <v>4493</v>
      </c>
      <c r="C1644" s="4941">
        <v>0.18</v>
      </c>
      <c r="D1644" s="4939"/>
      <c r="E1644" s="5043"/>
      <c r="F1644" s="4961">
        <f>+C1644*$F$1638</f>
        <v>0</v>
      </c>
      <c r="G1644" s="4577"/>
      <c r="H1644" s="4534"/>
      <c r="I1644" s="4639"/>
    </row>
    <row r="1645" spans="1:12">
      <c r="A1645" s="4666"/>
      <c r="B1645" s="4940" t="s">
        <v>3582</v>
      </c>
      <c r="C1645" s="4941">
        <v>0.1</v>
      </c>
      <c r="D1645" s="4939"/>
      <c r="E1645" s="5043"/>
      <c r="F1645" s="4961">
        <f t="shared" si="104"/>
        <v>0</v>
      </c>
      <c r="G1645" s="4577"/>
      <c r="H1645" s="4534"/>
      <c r="I1645" s="4639"/>
    </row>
    <row r="1646" spans="1:12">
      <c r="A1646" s="4666"/>
      <c r="B1646" s="4940" t="s">
        <v>4710</v>
      </c>
      <c r="C1646" s="4941">
        <v>0.05</v>
      </c>
      <c r="D1646" s="4939"/>
      <c r="E1646" s="5043"/>
      <c r="F1646" s="4961">
        <f t="shared" si="104"/>
        <v>0</v>
      </c>
      <c r="G1646" s="4577"/>
      <c r="H1646" s="4534"/>
      <c r="I1646" s="4639"/>
    </row>
    <row r="1647" spans="1:12">
      <c r="A1647" s="4666"/>
      <c r="B1647" s="4940" t="s">
        <v>3583</v>
      </c>
      <c r="C1647" s="4941">
        <v>1.4999999999999999E-2</v>
      </c>
      <c r="D1647" s="4939"/>
      <c r="E1647" s="5043"/>
      <c r="F1647" s="4961">
        <f t="shared" si="104"/>
        <v>0</v>
      </c>
      <c r="G1647" s="4577"/>
      <c r="H1647" s="4534"/>
      <c r="I1647" s="4639"/>
    </row>
    <row r="1648" spans="1:12">
      <c r="A1648" s="4666"/>
      <c r="B1648" s="4940" t="s">
        <v>459</v>
      </c>
      <c r="C1648" s="4941">
        <v>1E-3</v>
      </c>
      <c r="D1648" s="4939"/>
      <c r="E1648" s="5043"/>
      <c r="F1648" s="4961">
        <f t="shared" si="104"/>
        <v>0</v>
      </c>
      <c r="G1648" s="4577"/>
      <c r="H1648" s="4534"/>
      <c r="I1648" s="4639"/>
    </row>
    <row r="1649" spans="1:9">
      <c r="A1649" s="4666"/>
      <c r="B1649" s="4940" t="s">
        <v>3584</v>
      </c>
      <c r="C1649" s="4941">
        <v>0.05</v>
      </c>
      <c r="D1649" s="4939"/>
      <c r="E1649" s="5043"/>
      <c r="F1649" s="4961">
        <f t="shared" si="104"/>
        <v>0</v>
      </c>
      <c r="G1649" s="4577"/>
      <c r="H1649" s="4534"/>
      <c r="I1649" s="4639"/>
    </row>
    <row r="1650" spans="1:9">
      <c r="A1650" s="4584"/>
      <c r="B1650" s="4942" t="s">
        <v>4414</v>
      </c>
      <c r="C1650" s="4943">
        <v>1</v>
      </c>
      <c r="D1650" s="4608" t="s">
        <v>42</v>
      </c>
      <c r="E1650" s="5044"/>
      <c r="F1650" s="5045">
        <f>E1650*C1650</f>
        <v>0</v>
      </c>
      <c r="H1650" s="4534"/>
      <c r="I1650" s="4534"/>
    </row>
    <row r="1651" spans="1:9">
      <c r="A1651" s="4583"/>
      <c r="B1651" s="4940" t="s">
        <v>3955</v>
      </c>
      <c r="C1651" s="4367">
        <v>1</v>
      </c>
      <c r="D1651" s="4939" t="s">
        <v>42</v>
      </c>
      <c r="E1651" s="4961"/>
      <c r="F1651" s="4961">
        <f>+E1651*C1651</f>
        <v>0</v>
      </c>
      <c r="G1651" s="4577"/>
      <c r="H1651" s="4534"/>
      <c r="I1651" s="4639"/>
    </row>
    <row r="1652" spans="1:9">
      <c r="A1652" s="4583"/>
      <c r="B1652" s="4940" t="s">
        <v>2742</v>
      </c>
      <c r="C1652" s="4367">
        <v>1</v>
      </c>
      <c r="D1652" s="4939" t="s">
        <v>42</v>
      </c>
      <c r="E1652" s="4961"/>
      <c r="F1652" s="4961">
        <f>+E1652*C1652</f>
        <v>0</v>
      </c>
      <c r="G1652" s="4577"/>
      <c r="H1652" s="4534"/>
      <c r="I1652" s="4639"/>
    </row>
    <row r="1653" spans="1:9">
      <c r="A1653" s="4583"/>
      <c r="B1653" s="4940" t="s">
        <v>3585</v>
      </c>
      <c r="C1653" s="4367">
        <v>1</v>
      </c>
      <c r="D1653" s="4669" t="s">
        <v>2433</v>
      </c>
      <c r="E1653" s="4961"/>
      <c r="F1653" s="4961">
        <f>E1653*C1653</f>
        <v>0</v>
      </c>
      <c r="G1653" s="4577"/>
      <c r="H1653" s="4534"/>
      <c r="I1653" s="4639"/>
    </row>
    <row r="1654" spans="1:9">
      <c r="A1654" s="4583"/>
      <c r="B1654" s="4940" t="s">
        <v>3574</v>
      </c>
      <c r="C1654" s="4367">
        <v>1</v>
      </c>
      <c r="D1654" s="4669" t="s">
        <v>2433</v>
      </c>
      <c r="E1654" s="4961"/>
      <c r="F1654" s="4961">
        <f>E1654*C1654</f>
        <v>0</v>
      </c>
      <c r="G1654" s="4577"/>
      <c r="H1654" s="4534"/>
      <c r="I1654" s="4639"/>
    </row>
    <row r="1655" spans="1:9" ht="15">
      <c r="A1655" s="4666"/>
      <c r="B1655" s="4944" t="s">
        <v>23</v>
      </c>
      <c r="C1655" s="4185"/>
      <c r="D1655" s="4945"/>
      <c r="E1655" s="5046"/>
      <c r="F1655" s="5017">
        <f>SUBTOTAL(9,F1637:F1654)</f>
        <v>0</v>
      </c>
      <c r="G1655" s="4536"/>
      <c r="H1655" s="4534"/>
      <c r="I1655" s="4639"/>
    </row>
    <row r="1656" spans="1:9" s="4626" customFormat="1" ht="13.5" thickBot="1">
      <c r="A1656" s="4946"/>
      <c r="B1656" s="4947" t="s">
        <v>3962</v>
      </c>
      <c r="C1656" s="4948"/>
      <c r="D1656" s="4949"/>
      <c r="E1656" s="5047"/>
      <c r="F1656" s="5048">
        <f>+F1655+F1634</f>
        <v>0</v>
      </c>
      <c r="G1656" s="4624"/>
      <c r="H1656" s="4625"/>
    </row>
    <row r="1657" spans="1:9" s="4268" customFormat="1" ht="12.75">
      <c r="A1657" s="4735"/>
      <c r="B1657" s="4818"/>
      <c r="C1657" s="4167"/>
      <c r="D1657" s="4593"/>
      <c r="E1657" s="4979"/>
      <c r="F1657" s="4985"/>
      <c r="G1657" s="4627"/>
      <c r="H1657" s="4213"/>
    </row>
    <row r="1658" spans="1:9" s="4626" customFormat="1" ht="12.75">
      <c r="A1658" s="4950"/>
      <c r="B1658" s="4951" t="s">
        <v>3963</v>
      </c>
      <c r="C1658" s="4952"/>
      <c r="D1658" s="4953"/>
      <c r="E1658" s="5049"/>
      <c r="F1658" s="5050">
        <f>+F1656</f>
        <v>0</v>
      </c>
      <c r="G1658" s="4624"/>
      <c r="H1658" s="4625"/>
    </row>
    <row r="1659" spans="1:9" s="4238" customFormat="1" ht="12.75">
      <c r="A1659" s="4954"/>
      <c r="B1659" s="4955"/>
      <c r="C1659" s="4956"/>
      <c r="D1659" s="4957"/>
      <c r="E1659" s="4958"/>
      <c r="F1659" s="4958"/>
      <c r="G1659" s="4226"/>
    </row>
    <row r="1660" spans="1:9" s="4238" customFormat="1" ht="12.75">
      <c r="A1660" s="4954"/>
      <c r="B1660" s="4955"/>
      <c r="C1660" s="4956"/>
      <c r="D1660" s="4957"/>
      <c r="E1660" s="4958"/>
      <c r="F1660" s="4958"/>
      <c r="G1660" s="4226"/>
    </row>
    <row r="1661" spans="1:9">
      <c r="G1661" s="4577"/>
    </row>
    <row r="1662" spans="1:9">
      <c r="G1662" s="4577"/>
    </row>
  </sheetData>
  <sheetProtection algorithmName="SHA-512" hashValue="4jDzOYkuz1VjROVmkRXeXps9Koeyi3dOKHhxFvAKDIs0u+rZxjdj4DGpMvWhQn/tOnKORmABKzBnTwuH1m5nbA==" saltValue="V9ncG0GX1vsY/8k+5eZk+Q==" spinCount="100000" sheet="1" objects="1" scenarios="1"/>
  <mergeCells count="5">
    <mergeCell ref="A2:F2"/>
    <mergeCell ref="A3:F3"/>
    <mergeCell ref="A4:F4"/>
    <mergeCell ref="A5:F5"/>
    <mergeCell ref="B8:E8"/>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rintOptions horizontalCentered="1"/>
  <pageMargins left="0.11811023622047245" right="0.11811023622047245" top="0.19685039370078741" bottom="0.35433070866141736" header="0.31496062992125984" footer="0.27559055118110237"/>
  <pageSetup scale="78" fitToHeight="35" orientation="portrait" horizontalDpi="4294967295" verticalDpi="4294967295" r:id="rId1"/>
  <headerFooter>
    <oddFooter>&amp;CConstrucción Acueducto Villarpando&amp;RPágina &amp;P de &amp;N</oddFooter>
  </headerFooter>
  <rowBreaks count="33" manualBreakCount="33">
    <brk id="66" max="5" man="1"/>
    <brk id="113" max="5" man="1"/>
    <brk id="149" max="5" man="1"/>
    <brk id="201" max="5" man="1"/>
    <brk id="253" max="5" man="1"/>
    <brk id="293" max="5" man="1"/>
    <brk id="344" max="5" man="1"/>
    <brk id="393" max="5" man="1"/>
    <brk id="444" max="5" man="1"/>
    <brk id="477" max="5" man="1"/>
    <brk id="526" max="5" man="1"/>
    <brk id="577" max="5" man="1"/>
    <brk id="626" max="5" man="1"/>
    <brk id="678" max="5" man="1"/>
    <brk id="736" max="5" man="1"/>
    <brk id="792" max="5" man="1"/>
    <brk id="848" max="5" man="1"/>
    <brk id="903" max="5" man="1"/>
    <brk id="957" max="5" man="1"/>
    <brk id="1015" max="5" man="1"/>
    <brk id="1071" max="5" man="1"/>
    <brk id="1127" max="5" man="1"/>
    <brk id="1181" max="5" man="1"/>
    <brk id="1214" max="5" man="1"/>
    <brk id="1265" max="5" man="1"/>
    <brk id="1315" max="5" man="1"/>
    <brk id="1357" max="5" man="1"/>
    <brk id="1405" max="5" man="1"/>
    <brk id="1455" max="5" man="1"/>
    <brk id="1502" max="5" man="1"/>
    <brk id="1555" max="5" man="1"/>
    <brk id="1599" max="5" man="1"/>
    <brk id="1634" max="5" man="1"/>
  </rowBreaks>
  <ignoredErrors>
    <ignoredError sqref="F16:F1643 F1645:F166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B2:O270"/>
  <sheetViews>
    <sheetView topLeftCell="C1" zoomScale="115" zoomScaleNormal="115" workbookViewId="0">
      <selection activeCell="F4" sqref="F4"/>
    </sheetView>
  </sheetViews>
  <sheetFormatPr baseColWidth="10" defaultColWidth="11.42578125" defaultRowHeight="12.75"/>
  <cols>
    <col min="1" max="1" width="11.42578125" style="3144"/>
    <col min="2" max="2" width="46.5703125" style="524" customWidth="1"/>
    <col min="3" max="3" width="12.28515625" style="524" customWidth="1"/>
    <col min="4" max="5" width="11.42578125" style="524"/>
    <col min="6" max="6" width="16.42578125" style="524" customWidth="1"/>
    <col min="7" max="7" width="16.140625" style="524" bestFit="1" customWidth="1"/>
    <col min="8" max="9" width="11.42578125" style="524"/>
    <col min="10" max="11" width="11.42578125" style="3144"/>
    <col min="12" max="12" width="13.85546875" style="3144" bestFit="1" customWidth="1"/>
    <col min="13" max="13" width="13" style="3144" bestFit="1" customWidth="1"/>
    <col min="14" max="16384" width="11.42578125" style="3144"/>
  </cols>
  <sheetData>
    <row r="2" spans="2:12">
      <c r="B2" s="2024" t="s">
        <v>2601</v>
      </c>
      <c r="C2" s="2024"/>
    </row>
    <row r="3" spans="2:12" ht="13.5" thickBot="1">
      <c r="B3" s="524" t="s">
        <v>2569</v>
      </c>
      <c r="D3" s="524">
        <f>SUM(D4:D11)</f>
        <v>3627.63</v>
      </c>
      <c r="F3" s="524" t="s">
        <v>2570</v>
      </c>
      <c r="H3" s="524" t="s">
        <v>1896</v>
      </c>
      <c r="I3" s="2024">
        <f>SUM(H4:H11)</f>
        <v>4880.78</v>
      </c>
    </row>
    <row r="4" spans="2:12">
      <c r="B4" s="524" t="s">
        <v>2571</v>
      </c>
      <c r="D4" s="524">
        <v>653.34</v>
      </c>
      <c r="E4" s="524" t="s">
        <v>207</v>
      </c>
      <c r="F4" s="524">
        <v>0.55000000000000004</v>
      </c>
      <c r="G4" s="524" t="s">
        <v>2550</v>
      </c>
      <c r="H4" s="3150">
        <f t="shared" ref="H4:H11" si="0">F4*D4</f>
        <v>359.34</v>
      </c>
      <c r="J4" s="524"/>
      <c r="K4" s="524"/>
      <c r="L4" s="524"/>
    </row>
    <row r="5" spans="2:12">
      <c r="B5" s="524" t="s">
        <v>2572</v>
      </c>
      <c r="D5" s="524">
        <v>761.12</v>
      </c>
      <c r="E5" s="524" t="s">
        <v>207</v>
      </c>
      <c r="F5" s="524">
        <v>0.53</v>
      </c>
      <c r="G5" s="524" t="s">
        <v>2550</v>
      </c>
      <c r="H5" s="3151">
        <f t="shared" si="0"/>
        <v>403.39</v>
      </c>
      <c r="J5" s="524"/>
      <c r="K5" s="524"/>
      <c r="L5" s="524"/>
    </row>
    <row r="6" spans="2:12">
      <c r="B6" s="524" t="s">
        <v>2573</v>
      </c>
      <c r="D6" s="524">
        <v>1022.87</v>
      </c>
      <c r="E6" s="524" t="s">
        <v>207</v>
      </c>
      <c r="F6" s="524">
        <v>0.6</v>
      </c>
      <c r="G6" s="524" t="s">
        <v>2550</v>
      </c>
      <c r="H6" s="3151">
        <f t="shared" si="0"/>
        <v>613.72</v>
      </c>
      <c r="J6" s="524"/>
      <c r="K6" s="524"/>
      <c r="L6" s="524"/>
    </row>
    <row r="7" spans="2:12">
      <c r="B7" s="524" t="s">
        <v>2574</v>
      </c>
      <c r="D7" s="524">
        <f>3.7*50/2</f>
        <v>92.5</v>
      </c>
      <c r="E7" s="524" t="s">
        <v>207</v>
      </c>
      <c r="F7" s="524">
        <v>3.2</v>
      </c>
      <c r="G7" s="524" t="s">
        <v>2550</v>
      </c>
      <c r="H7" s="3151">
        <f t="shared" si="0"/>
        <v>296</v>
      </c>
      <c r="J7" s="524"/>
      <c r="K7" s="524"/>
      <c r="L7" s="524"/>
    </row>
    <row r="8" spans="2:12">
      <c r="B8" s="524" t="s">
        <v>2575</v>
      </c>
      <c r="D8" s="524">
        <v>624.51</v>
      </c>
      <c r="E8" s="524" t="s">
        <v>207</v>
      </c>
      <c r="F8" s="524">
        <v>3.2</v>
      </c>
      <c r="G8" s="524" t="s">
        <v>2550</v>
      </c>
      <c r="H8" s="3151">
        <f t="shared" si="0"/>
        <v>1998.43</v>
      </c>
      <c r="J8" s="524"/>
      <c r="K8" s="524"/>
      <c r="L8" s="524"/>
    </row>
    <row r="9" spans="2:12">
      <c r="B9" s="524" t="s">
        <v>2576</v>
      </c>
      <c r="D9" s="524">
        <f>3.7*50/2</f>
        <v>92.5</v>
      </c>
      <c r="E9" s="524" t="s">
        <v>207</v>
      </c>
      <c r="F9" s="524">
        <v>3.2</v>
      </c>
      <c r="G9" s="524" t="s">
        <v>2550</v>
      </c>
      <c r="H9" s="3151">
        <f t="shared" si="0"/>
        <v>296</v>
      </c>
      <c r="J9" s="524"/>
      <c r="K9" s="524"/>
      <c r="L9" s="524"/>
    </row>
    <row r="10" spans="2:12">
      <c r="B10" s="524" t="s">
        <v>2577</v>
      </c>
      <c r="D10" s="524">
        <f>36.6*3</f>
        <v>109.8</v>
      </c>
      <c r="E10" s="524" t="s">
        <v>207</v>
      </c>
      <c r="F10" s="524">
        <v>2.4</v>
      </c>
      <c r="G10" s="524" t="s">
        <v>2550</v>
      </c>
      <c r="H10" s="3151">
        <f t="shared" si="0"/>
        <v>263.52</v>
      </c>
      <c r="J10" s="524"/>
      <c r="K10" s="524"/>
      <c r="L10" s="524"/>
    </row>
    <row r="11" spans="2:12" ht="13.5" thickBot="1">
      <c r="B11" s="524" t="s">
        <v>2578</v>
      </c>
      <c r="D11" s="524">
        <v>270.99</v>
      </c>
      <c r="E11" s="524" t="s">
        <v>207</v>
      </c>
      <c r="F11" s="524">
        <v>2.4</v>
      </c>
      <c r="G11" s="524" t="s">
        <v>2550</v>
      </c>
      <c r="H11" s="3152">
        <f t="shared" si="0"/>
        <v>650.38</v>
      </c>
      <c r="J11" s="524"/>
      <c r="K11" s="524"/>
      <c r="L11" s="524"/>
    </row>
    <row r="12" spans="2:12">
      <c r="J12" s="524"/>
      <c r="K12" s="524"/>
      <c r="L12" s="524"/>
    </row>
    <row r="13" spans="2:12">
      <c r="B13" s="2024" t="s">
        <v>2972</v>
      </c>
      <c r="C13" s="2024"/>
      <c r="J13" s="524"/>
      <c r="K13" s="524"/>
      <c r="L13" s="524"/>
    </row>
    <row r="14" spans="2:12" ht="13.5" thickBot="1">
      <c r="I14" s="2024">
        <f>SUM(H15:H22)</f>
        <v>725.52</v>
      </c>
      <c r="J14" s="524"/>
      <c r="K14" s="524"/>
      <c r="L14" s="524"/>
    </row>
    <row r="15" spans="2:12">
      <c r="B15" s="524" t="s">
        <v>2571</v>
      </c>
      <c r="D15" s="524">
        <v>653.34</v>
      </c>
      <c r="E15" s="524" t="s">
        <v>207</v>
      </c>
      <c r="F15" s="524">
        <v>0.2</v>
      </c>
      <c r="G15" s="524" t="s">
        <v>2550</v>
      </c>
      <c r="H15" s="3150">
        <f t="shared" ref="H15:H22" si="1">F15*D15</f>
        <v>130.66999999999999</v>
      </c>
      <c r="J15" s="524"/>
      <c r="K15" s="524"/>
      <c r="L15" s="524"/>
    </row>
    <row r="16" spans="2:12">
      <c r="B16" s="524" t="s">
        <v>2572</v>
      </c>
      <c r="D16" s="524">
        <v>761.12</v>
      </c>
      <c r="E16" s="524" t="s">
        <v>207</v>
      </c>
      <c r="F16" s="524">
        <v>0.2</v>
      </c>
      <c r="G16" s="524" t="s">
        <v>2550</v>
      </c>
      <c r="H16" s="3151">
        <f t="shared" si="1"/>
        <v>152.22</v>
      </c>
      <c r="J16" s="524"/>
      <c r="K16" s="524"/>
      <c r="L16" s="524"/>
    </row>
    <row r="17" spans="2:12">
      <c r="B17" s="524" t="s">
        <v>2573</v>
      </c>
      <c r="D17" s="524">
        <v>1022.87</v>
      </c>
      <c r="E17" s="524" t="s">
        <v>207</v>
      </c>
      <c r="F17" s="524">
        <v>0.2</v>
      </c>
      <c r="G17" s="524" t="s">
        <v>2550</v>
      </c>
      <c r="H17" s="3151">
        <f t="shared" si="1"/>
        <v>204.57</v>
      </c>
      <c r="J17" s="524"/>
      <c r="K17" s="524"/>
      <c r="L17" s="524"/>
    </row>
    <row r="18" spans="2:12">
      <c r="B18" s="524" t="s">
        <v>2574</v>
      </c>
      <c r="D18" s="524">
        <f>3.7*50/2</f>
        <v>92.5</v>
      </c>
      <c r="E18" s="524" t="s">
        <v>207</v>
      </c>
      <c r="F18" s="524">
        <v>0.2</v>
      </c>
      <c r="G18" s="524" t="s">
        <v>2550</v>
      </c>
      <c r="H18" s="3151">
        <f t="shared" si="1"/>
        <v>18.5</v>
      </c>
      <c r="J18" s="524"/>
      <c r="K18" s="524"/>
      <c r="L18" s="524"/>
    </row>
    <row r="19" spans="2:12">
      <c r="B19" s="524" t="s">
        <v>2575</v>
      </c>
      <c r="D19" s="524">
        <v>624.51</v>
      </c>
      <c r="E19" s="524" t="s">
        <v>207</v>
      </c>
      <c r="F19" s="524">
        <v>0.2</v>
      </c>
      <c r="G19" s="524" t="s">
        <v>2550</v>
      </c>
      <c r="H19" s="3151">
        <f t="shared" si="1"/>
        <v>124.9</v>
      </c>
      <c r="J19" s="524"/>
      <c r="K19" s="524"/>
      <c r="L19" s="524"/>
    </row>
    <row r="20" spans="2:12">
      <c r="B20" s="524" t="s">
        <v>2576</v>
      </c>
      <c r="D20" s="524">
        <f>3.7*50/2</f>
        <v>92.5</v>
      </c>
      <c r="E20" s="524" t="s">
        <v>207</v>
      </c>
      <c r="F20" s="524">
        <v>0.2</v>
      </c>
      <c r="G20" s="524" t="s">
        <v>2550</v>
      </c>
      <c r="H20" s="3151">
        <f t="shared" si="1"/>
        <v>18.5</v>
      </c>
      <c r="J20" s="524"/>
      <c r="K20" s="524"/>
      <c r="L20" s="524"/>
    </row>
    <row r="21" spans="2:12">
      <c r="B21" s="524" t="s">
        <v>2577</v>
      </c>
      <c r="D21" s="524">
        <f>36.6*3</f>
        <v>109.8</v>
      </c>
      <c r="E21" s="524" t="s">
        <v>207</v>
      </c>
      <c r="F21" s="524">
        <v>0.2</v>
      </c>
      <c r="G21" s="524" t="s">
        <v>2550</v>
      </c>
      <c r="H21" s="3151">
        <f t="shared" si="1"/>
        <v>21.96</v>
      </c>
      <c r="J21" s="524"/>
      <c r="K21" s="524"/>
      <c r="L21" s="524"/>
    </row>
    <row r="22" spans="2:12" ht="13.5" thickBot="1">
      <c r="B22" s="524" t="s">
        <v>2578</v>
      </c>
      <c r="D22" s="524">
        <v>270.99</v>
      </c>
      <c r="E22" s="524" t="s">
        <v>207</v>
      </c>
      <c r="F22" s="524">
        <v>0.2</v>
      </c>
      <c r="G22" s="524" t="s">
        <v>2550</v>
      </c>
      <c r="H22" s="3152">
        <f t="shared" si="1"/>
        <v>54.2</v>
      </c>
      <c r="J22" s="524"/>
      <c r="K22" s="524"/>
      <c r="L22" s="524"/>
    </row>
    <row r="23" spans="2:12">
      <c r="J23" s="524"/>
      <c r="K23" s="524"/>
      <c r="L23" s="524"/>
    </row>
    <row r="24" spans="2:12">
      <c r="J24" s="524"/>
      <c r="K24" s="524"/>
      <c r="L24" s="524"/>
    </row>
    <row r="25" spans="2:12">
      <c r="J25" s="524"/>
      <c r="K25" s="524"/>
      <c r="L25" s="524"/>
    </row>
    <row r="26" spans="2:12">
      <c r="B26" s="524" t="s">
        <v>2579</v>
      </c>
      <c r="F26" s="524" t="s">
        <v>2580</v>
      </c>
      <c r="I26" s="524">
        <f>SUM(H27:H29)</f>
        <v>638.83000000000004</v>
      </c>
      <c r="J26" s="524"/>
      <c r="K26" s="524"/>
      <c r="L26" s="524"/>
    </row>
    <row r="27" spans="2:12">
      <c r="B27" s="524" t="s">
        <v>2581</v>
      </c>
      <c r="D27" s="524">
        <v>9.67</v>
      </c>
      <c r="E27" s="524" t="s">
        <v>207</v>
      </c>
      <c r="F27" s="524">
        <v>2.91</v>
      </c>
      <c r="G27" s="524" t="s">
        <v>2550</v>
      </c>
      <c r="H27" s="524">
        <f>D27*F27</f>
        <v>28.14</v>
      </c>
      <c r="J27" s="524"/>
      <c r="K27" s="524"/>
      <c r="L27" s="524"/>
    </row>
    <row r="28" spans="2:12">
      <c r="B28" s="524" t="s">
        <v>2582</v>
      </c>
      <c r="D28" s="524">
        <f>4.6*2</f>
        <v>9.1999999999999993</v>
      </c>
      <c r="E28" s="524" t="s">
        <v>207</v>
      </c>
      <c r="F28" s="524">
        <f>7.81</f>
        <v>7.81</v>
      </c>
      <c r="G28" s="524" t="s">
        <v>2550</v>
      </c>
      <c r="H28" s="524">
        <f>D28*F28</f>
        <v>71.849999999999994</v>
      </c>
      <c r="J28" s="524"/>
      <c r="K28" s="524"/>
      <c r="L28" s="524"/>
    </row>
    <row r="29" spans="2:12">
      <c r="B29" s="524" t="s">
        <v>2583</v>
      </c>
      <c r="D29" s="524">
        <f>14.43*2.4</f>
        <v>34.630000000000003</v>
      </c>
      <c r="E29" s="524" t="s">
        <v>207</v>
      </c>
      <c r="F29" s="524">
        <v>15.56</v>
      </c>
      <c r="G29" s="524" t="s">
        <v>2550</v>
      </c>
      <c r="H29" s="524">
        <f>D29*F29</f>
        <v>538.84</v>
      </c>
      <c r="J29" s="524"/>
      <c r="K29" s="524"/>
      <c r="L29" s="524"/>
    </row>
    <row r="30" spans="2:12">
      <c r="J30" s="524"/>
      <c r="K30" s="524"/>
      <c r="L30" s="524"/>
    </row>
    <row r="31" spans="2:12">
      <c r="J31" s="524"/>
      <c r="K31" s="524"/>
      <c r="L31" s="524"/>
    </row>
    <row r="32" spans="2:12">
      <c r="D32" s="524" t="s">
        <v>2584</v>
      </c>
      <c r="F32" s="524" t="s">
        <v>2584</v>
      </c>
      <c r="J32" s="524"/>
      <c r="K32" s="524"/>
      <c r="L32" s="524"/>
    </row>
    <row r="33" spans="2:13">
      <c r="B33" s="524" t="s">
        <v>2585</v>
      </c>
      <c r="D33" s="524">
        <v>40.92</v>
      </c>
      <c r="E33" s="524" t="s">
        <v>207</v>
      </c>
      <c r="F33" s="524">
        <f>4.75+0.6</f>
        <v>5.35</v>
      </c>
      <c r="G33" s="524" t="s">
        <v>2550</v>
      </c>
      <c r="H33" s="524">
        <f>D33*F33</f>
        <v>218.92</v>
      </c>
      <c r="J33" s="524"/>
      <c r="K33" s="524"/>
      <c r="L33" s="524"/>
    </row>
    <row r="34" spans="2:13" s="3552" customFormat="1">
      <c r="B34" s="524" t="s">
        <v>3008</v>
      </c>
      <c r="C34" s="524"/>
      <c r="D34" s="524">
        <v>29.1</v>
      </c>
      <c r="E34" s="524"/>
      <c r="F34" s="524">
        <v>4.75</v>
      </c>
      <c r="G34" s="524"/>
      <c r="H34" s="524">
        <f>D34*F34</f>
        <v>138.22999999999999</v>
      </c>
      <c r="I34" s="524">
        <f>H33-H34</f>
        <v>80.69</v>
      </c>
      <c r="J34" s="524"/>
      <c r="K34" s="524"/>
      <c r="L34" s="524"/>
    </row>
    <row r="35" spans="2:13" s="3552" customFormat="1">
      <c r="B35" s="524"/>
      <c r="C35" s="524"/>
      <c r="D35" s="524"/>
      <c r="E35" s="524"/>
      <c r="F35" s="524"/>
      <c r="G35" s="524"/>
      <c r="H35" s="524"/>
      <c r="I35" s="524"/>
      <c r="J35" s="524"/>
      <c r="K35" s="524"/>
      <c r="L35" s="524"/>
    </row>
    <row r="36" spans="2:13" s="3552" customFormat="1">
      <c r="B36" s="524"/>
      <c r="C36" s="524"/>
      <c r="D36" s="524"/>
      <c r="E36" s="524"/>
      <c r="F36" s="524"/>
      <c r="G36" s="524"/>
      <c r="H36" s="524"/>
      <c r="I36" s="524"/>
      <c r="J36" s="524"/>
      <c r="K36" s="524"/>
      <c r="L36" s="524"/>
    </row>
    <row r="37" spans="2:13" s="3552" customFormat="1">
      <c r="B37" s="524"/>
      <c r="C37" s="524"/>
      <c r="D37" s="524"/>
      <c r="E37" s="524"/>
      <c r="F37" s="524"/>
      <c r="G37" s="524"/>
      <c r="H37" s="524"/>
      <c r="I37" s="524"/>
      <c r="J37" s="524"/>
      <c r="K37" s="524"/>
      <c r="L37" s="524"/>
    </row>
    <row r="38" spans="2:13" s="3552" customFormat="1">
      <c r="B38" s="524"/>
      <c r="C38" s="524"/>
      <c r="D38" s="524"/>
      <c r="E38" s="524"/>
      <c r="F38" s="524"/>
      <c r="G38" s="524"/>
      <c r="H38" s="524"/>
      <c r="I38" s="524"/>
      <c r="J38" s="524"/>
      <c r="K38" s="524"/>
      <c r="L38" s="524"/>
    </row>
    <row r="39" spans="2:13" s="3552" customFormat="1">
      <c r="B39" s="524"/>
      <c r="C39" s="524"/>
      <c r="D39" s="524"/>
      <c r="E39" s="524"/>
      <c r="F39" s="524"/>
      <c r="G39" s="524"/>
      <c r="H39" s="524"/>
      <c r="I39" s="524"/>
      <c r="J39" s="524"/>
      <c r="K39" s="524"/>
      <c r="L39" s="524"/>
    </row>
    <row r="40" spans="2:13">
      <c r="B40" s="2024" t="s">
        <v>2586</v>
      </c>
      <c r="C40" s="2024"/>
      <c r="D40" s="524">
        <v>26.8</v>
      </c>
      <c r="F40" s="524">
        <f>8.6+0.6*2</f>
        <v>9.8000000000000007</v>
      </c>
      <c r="G40" s="524" t="s">
        <v>2550</v>
      </c>
      <c r="H40" s="524">
        <f>D40*F40</f>
        <v>262.64</v>
      </c>
      <c r="J40" s="524"/>
      <c r="K40" s="524"/>
      <c r="L40" s="524"/>
    </row>
    <row r="41" spans="2:13" s="3552" customFormat="1">
      <c r="B41" s="524" t="s">
        <v>3008</v>
      </c>
      <c r="C41" s="524"/>
      <c r="D41" s="524">
        <v>21.95</v>
      </c>
      <c r="E41" s="524"/>
      <c r="F41" s="524">
        <v>8.75</v>
      </c>
      <c r="G41" s="524" t="s">
        <v>2550</v>
      </c>
      <c r="H41" s="524">
        <f>D41*F41</f>
        <v>192.06</v>
      </c>
      <c r="I41" s="524"/>
      <c r="J41" s="524"/>
      <c r="K41" s="524"/>
      <c r="L41" s="524"/>
    </row>
    <row r="42" spans="2:13" s="3552" customFormat="1">
      <c r="B42" s="2024"/>
      <c r="C42" s="2024"/>
      <c r="E42" s="524"/>
      <c r="F42" s="524"/>
      <c r="G42" s="524"/>
      <c r="H42" s="524"/>
      <c r="I42" s="524">
        <f>H40-H41</f>
        <v>70.58</v>
      </c>
      <c r="J42" s="524"/>
      <c r="K42" s="524"/>
      <c r="L42" s="524" t="s">
        <v>3028</v>
      </c>
      <c r="M42" s="3569" t="s">
        <v>3029</v>
      </c>
    </row>
    <row r="43" spans="2:13" s="3552" customFormat="1">
      <c r="B43" s="2024" t="s">
        <v>3009</v>
      </c>
      <c r="C43" s="2024"/>
      <c r="D43" s="474" t="s">
        <v>3015</v>
      </c>
      <c r="E43" s="3159" t="s">
        <v>3011</v>
      </c>
      <c r="F43" s="3159" t="s">
        <v>3012</v>
      </c>
      <c r="G43" s="3159" t="s">
        <v>3013</v>
      </c>
      <c r="H43" s="3159"/>
      <c r="I43" s="3159"/>
      <c r="J43" s="3159"/>
      <c r="K43" s="524"/>
      <c r="L43" s="524"/>
      <c r="M43" s="3552">
        <f>SUM(M46:M49)</f>
        <v>171.685</v>
      </c>
    </row>
    <row r="44" spans="2:13" s="3552" customFormat="1">
      <c r="B44" s="3143" t="s">
        <v>3010</v>
      </c>
      <c r="C44" s="3143"/>
      <c r="D44" s="3159">
        <v>1</v>
      </c>
      <c r="E44" s="3159">
        <f>8.33+1.6+4.11</f>
        <v>14.04</v>
      </c>
      <c r="F44" s="3159">
        <f>4.74+0.5</f>
        <v>5.24</v>
      </c>
      <c r="G44" s="3159">
        <v>0.3</v>
      </c>
      <c r="H44" s="3159">
        <f>D44*E44*F44*G44</f>
        <v>22.07</v>
      </c>
      <c r="I44" s="3159"/>
      <c r="J44" s="524"/>
      <c r="K44" s="524"/>
      <c r="L44" s="524"/>
    </row>
    <row r="45" spans="2:13" s="1737" customFormat="1">
      <c r="B45" s="3570" t="s">
        <v>3014</v>
      </c>
      <c r="C45" s="3570"/>
      <c r="D45" s="3571"/>
      <c r="E45" s="3571"/>
      <c r="F45" s="3571"/>
      <c r="G45" s="3571"/>
      <c r="H45" s="3571"/>
      <c r="I45" s="3572"/>
      <c r="J45" s="2024"/>
      <c r="K45" s="2024"/>
      <c r="L45" s="2024"/>
    </row>
    <row r="46" spans="2:13" s="3552" customFormat="1">
      <c r="B46" s="3143" t="s">
        <v>3016</v>
      </c>
      <c r="C46" s="3143"/>
      <c r="D46" s="3159">
        <v>3</v>
      </c>
      <c r="E46" s="5188">
        <v>38.29</v>
      </c>
      <c r="F46" s="5188"/>
      <c r="G46" s="3159">
        <v>0.25</v>
      </c>
      <c r="H46" s="3159">
        <f>D46*E46*G46</f>
        <v>28.72</v>
      </c>
      <c r="I46" s="3159">
        <f>SUM(H46:H48)</f>
        <v>32.58</v>
      </c>
      <c r="J46" s="524"/>
      <c r="K46" s="524"/>
      <c r="L46" s="524"/>
      <c r="M46" s="3552">
        <f>E46*4</f>
        <v>153.16</v>
      </c>
    </row>
    <row r="47" spans="2:13" s="3552" customFormat="1">
      <c r="B47" s="3143" t="s">
        <v>3017</v>
      </c>
      <c r="C47" s="3143"/>
      <c r="D47" s="3159">
        <v>1</v>
      </c>
      <c r="E47" s="3159">
        <v>4.75</v>
      </c>
      <c r="F47" s="3159">
        <v>2.0499999999999998</v>
      </c>
      <c r="G47" s="3159">
        <v>0.25</v>
      </c>
      <c r="H47" s="3159">
        <f>D47*E47*F47*G47</f>
        <v>2.4300000000000002</v>
      </c>
      <c r="I47" s="3159"/>
      <c r="J47" s="524"/>
      <c r="K47" s="524"/>
      <c r="L47" s="524"/>
      <c r="M47" s="3552">
        <f>E47*F47</f>
        <v>9.7375000000000007</v>
      </c>
    </row>
    <row r="48" spans="2:13">
      <c r="B48" s="3143" t="s">
        <v>3018</v>
      </c>
      <c r="C48" s="3143"/>
      <c r="D48" s="3159">
        <v>1</v>
      </c>
      <c r="E48" s="3159">
        <v>4.75</v>
      </c>
      <c r="F48" s="3159">
        <v>1.2</v>
      </c>
      <c r="G48" s="3159">
        <v>0.25</v>
      </c>
      <c r="H48" s="3159">
        <f>D48*E48*F48*G48</f>
        <v>1.43</v>
      </c>
      <c r="I48" s="3159"/>
      <c r="J48" s="524"/>
      <c r="K48" s="524"/>
      <c r="L48" s="524"/>
      <c r="M48" s="3569">
        <f>E48*F48</f>
        <v>5.7</v>
      </c>
    </row>
    <row r="49" spans="2:13" s="3569" customFormat="1">
      <c r="B49" s="3143" t="s">
        <v>3019</v>
      </c>
      <c r="C49" s="3143"/>
      <c r="D49" s="3159">
        <v>1</v>
      </c>
      <c r="E49" s="3159">
        <v>4.75</v>
      </c>
      <c r="F49" s="3159">
        <v>0.65</v>
      </c>
      <c r="G49" s="3159">
        <v>0.25</v>
      </c>
      <c r="I49" s="3159">
        <f>D49*E49*F49*G49</f>
        <v>0.77</v>
      </c>
      <c r="J49" s="524"/>
      <c r="K49" s="524"/>
      <c r="L49" s="524"/>
      <c r="M49" s="3569">
        <f>E49*F49</f>
        <v>3.0874999999999999</v>
      </c>
    </row>
    <row r="50" spans="2:13" s="3569" customFormat="1">
      <c r="B50" s="3143"/>
      <c r="C50" s="3143"/>
      <c r="D50" s="3159"/>
      <c r="E50" s="3159"/>
      <c r="F50" s="3159"/>
      <c r="G50" s="3159"/>
      <c r="H50" s="3159"/>
      <c r="I50" s="3159"/>
      <c r="J50" s="524"/>
      <c r="K50" s="524"/>
      <c r="L50" s="524"/>
    </row>
    <row r="51" spans="2:13" s="3569" customFormat="1">
      <c r="B51" s="3143"/>
      <c r="C51" s="3143"/>
      <c r="D51" s="3159"/>
      <c r="E51" s="3159"/>
      <c r="F51" s="3159"/>
      <c r="G51" s="3159"/>
      <c r="H51" s="3159"/>
      <c r="I51" s="3159"/>
      <c r="J51" s="524"/>
      <c r="K51" s="524"/>
      <c r="L51" s="524">
        <f>SUM(L53:L56)</f>
        <v>39.5</v>
      </c>
      <c r="M51" s="524">
        <f>SUM(M53:M56)</f>
        <v>158.15</v>
      </c>
    </row>
    <row r="52" spans="2:13" s="3569" customFormat="1">
      <c r="B52" s="3143" t="s">
        <v>3023</v>
      </c>
      <c r="C52" s="3143"/>
      <c r="D52" s="3159"/>
      <c r="E52" s="3159"/>
      <c r="F52" s="3159"/>
      <c r="G52" s="3159"/>
      <c r="H52" s="3159"/>
      <c r="I52" s="3159"/>
      <c r="J52" s="524"/>
      <c r="L52" s="524" t="s">
        <v>3028</v>
      </c>
      <c r="M52" s="3569" t="s">
        <v>3029</v>
      </c>
    </row>
    <row r="53" spans="2:13" s="3569" customFormat="1">
      <c r="B53" s="3143" t="s">
        <v>3024</v>
      </c>
      <c r="C53" s="3143"/>
      <c r="D53" s="3159">
        <v>1</v>
      </c>
      <c r="E53" s="3159">
        <v>8.75</v>
      </c>
      <c r="F53" s="3159">
        <v>0.25</v>
      </c>
      <c r="G53" s="3159">
        <v>2.6</v>
      </c>
      <c r="H53" s="3159">
        <f>D53*E53*F53*G53</f>
        <v>5.69</v>
      </c>
      <c r="I53" s="3159">
        <f>SUM(H53:H55)</f>
        <v>30.2</v>
      </c>
      <c r="J53" s="524"/>
      <c r="K53" s="524">
        <f>D53*E53*G53</f>
        <v>22.75</v>
      </c>
      <c r="L53" s="524">
        <f>E53*1</f>
        <v>8.75</v>
      </c>
      <c r="M53" s="524">
        <f>E53*G53</f>
        <v>22.75</v>
      </c>
    </row>
    <row r="54" spans="2:13" s="3569" customFormat="1">
      <c r="B54" s="3143" t="s">
        <v>3024</v>
      </c>
      <c r="C54" s="3143"/>
      <c r="D54" s="3159">
        <v>3</v>
      </c>
      <c r="E54" s="3159">
        <v>11</v>
      </c>
      <c r="F54" s="3159">
        <v>0.25</v>
      </c>
      <c r="G54" s="3159">
        <v>2.6</v>
      </c>
      <c r="H54" s="3159">
        <f t="shared" ref="H54:H56" si="2">D54*E54*F54*G54</f>
        <v>21.45</v>
      </c>
      <c r="I54" s="3159"/>
      <c r="J54" s="524"/>
      <c r="K54" s="524">
        <f t="shared" ref="K54:K56" si="3">D54*E54*G54</f>
        <v>85.8</v>
      </c>
      <c r="L54" s="3569">
        <f>E54*1*2</f>
        <v>22</v>
      </c>
      <c r="M54" s="524">
        <f>E54*G54*4</f>
        <v>114.4</v>
      </c>
    </row>
    <row r="55" spans="2:13" s="3569" customFormat="1">
      <c r="B55" s="3143" t="s">
        <v>3025</v>
      </c>
      <c r="C55" s="3143"/>
      <c r="D55" s="3159">
        <v>1</v>
      </c>
      <c r="E55" s="3159">
        <v>8.75</v>
      </c>
      <c r="F55" s="3159">
        <v>0.25</v>
      </c>
      <c r="G55" s="3159">
        <v>1.4</v>
      </c>
      <c r="H55" s="3159">
        <f t="shared" si="2"/>
        <v>3.06</v>
      </c>
      <c r="I55" s="3159"/>
      <c r="J55" s="524"/>
      <c r="K55" s="524">
        <f t="shared" si="3"/>
        <v>12.25</v>
      </c>
      <c r="L55" s="524"/>
      <c r="M55" s="3569">
        <f>D55*E55*G55</f>
        <v>12.25</v>
      </c>
    </row>
    <row r="56" spans="2:13" s="3569" customFormat="1">
      <c r="B56" s="3143" t="s">
        <v>3026</v>
      </c>
      <c r="C56" s="3143"/>
      <c r="D56" s="3159">
        <v>1</v>
      </c>
      <c r="E56" s="3159">
        <v>8.75</v>
      </c>
      <c r="F56" s="3159">
        <v>0.15</v>
      </c>
      <c r="G56" s="3159">
        <v>1</v>
      </c>
      <c r="H56" s="3159">
        <f t="shared" si="2"/>
        <v>1.31</v>
      </c>
      <c r="I56" s="3159">
        <f>H56</f>
        <v>1.31</v>
      </c>
      <c r="J56" s="524"/>
      <c r="K56" s="524">
        <f t="shared" si="3"/>
        <v>8.75</v>
      </c>
      <c r="L56" s="524">
        <f>E56*G56</f>
        <v>8.75</v>
      </c>
      <c r="M56" s="524">
        <f>L56</f>
        <v>8.75</v>
      </c>
    </row>
    <row r="57" spans="2:13" s="3569" customFormat="1">
      <c r="B57" s="3143"/>
      <c r="C57" s="3143"/>
      <c r="D57" s="3159"/>
      <c r="E57" s="3159"/>
      <c r="F57" s="3159"/>
      <c r="G57" s="3159"/>
      <c r="H57" s="3159"/>
      <c r="I57" s="3159"/>
      <c r="J57" s="524"/>
      <c r="K57" s="524"/>
      <c r="L57" s="524"/>
    </row>
    <row r="58" spans="2:13">
      <c r="J58" s="524"/>
      <c r="K58" s="524"/>
      <c r="L58" s="524"/>
    </row>
    <row r="59" spans="2:13" s="3537" customFormat="1">
      <c r="B59" s="2024" t="s">
        <v>2979</v>
      </c>
      <c r="C59" s="2024"/>
      <c r="D59" s="524"/>
      <c r="E59" s="524"/>
      <c r="F59" s="524"/>
      <c r="G59" s="524"/>
      <c r="H59" s="524"/>
      <c r="I59" s="524">
        <f>SUM(H60:H61)</f>
        <v>4.87</v>
      </c>
      <c r="J59" s="524"/>
      <c r="K59" s="524"/>
      <c r="L59" s="524"/>
    </row>
    <row r="60" spans="2:13" s="3537" customFormat="1">
      <c r="B60" s="524" t="s">
        <v>2980</v>
      </c>
      <c r="C60" s="524"/>
      <c r="D60" s="524">
        <v>1.5</v>
      </c>
      <c r="E60" s="524">
        <v>1.3</v>
      </c>
      <c r="F60" s="524">
        <v>1</v>
      </c>
      <c r="G60" s="524">
        <f>1.1</f>
        <v>1.1000000000000001</v>
      </c>
      <c r="H60" s="524">
        <f>D60*E60*F60*G60</f>
        <v>2.15</v>
      </c>
      <c r="I60" s="524"/>
      <c r="J60" s="524"/>
      <c r="K60" s="524"/>
      <c r="L60" s="524"/>
    </row>
    <row r="61" spans="2:13" s="3537" customFormat="1">
      <c r="B61" s="524" t="s">
        <v>2981</v>
      </c>
      <c r="C61" s="524"/>
      <c r="D61" s="524">
        <v>1.9</v>
      </c>
      <c r="E61" s="524">
        <v>1.3</v>
      </c>
      <c r="F61" s="524">
        <v>1</v>
      </c>
      <c r="G61" s="524">
        <f>1.1</f>
        <v>1.1000000000000001</v>
      </c>
      <c r="H61" s="524">
        <f>D61*E61*F61*G61</f>
        <v>2.72</v>
      </c>
      <c r="I61" s="524"/>
      <c r="J61" s="524"/>
      <c r="K61" s="524"/>
      <c r="L61" s="524"/>
    </row>
    <row r="62" spans="2:13" s="3537" customFormat="1">
      <c r="B62" s="524"/>
      <c r="C62" s="524"/>
      <c r="D62" s="524"/>
      <c r="E62" s="524"/>
      <c r="F62" s="524"/>
      <c r="G62" s="524"/>
      <c r="H62" s="524"/>
      <c r="I62" s="524"/>
      <c r="J62" s="524"/>
      <c r="K62" s="524"/>
      <c r="L62" s="524"/>
    </row>
    <row r="63" spans="2:13" s="3537" customFormat="1">
      <c r="B63" s="524"/>
      <c r="C63" s="524"/>
      <c r="D63" s="524"/>
      <c r="E63" s="524"/>
      <c r="F63" s="524"/>
      <c r="G63" s="524"/>
      <c r="H63" s="524"/>
      <c r="I63" s="524"/>
      <c r="J63" s="524"/>
      <c r="K63" s="524"/>
      <c r="L63" s="524"/>
    </row>
    <row r="64" spans="2:13" s="3537" customFormat="1">
      <c r="B64" s="524"/>
      <c r="C64" s="524"/>
      <c r="D64" s="524"/>
      <c r="E64" s="524"/>
      <c r="F64" s="524"/>
      <c r="G64" s="524"/>
      <c r="H64" s="524"/>
      <c r="I64" s="524"/>
      <c r="J64" s="524"/>
      <c r="K64" s="524"/>
      <c r="L64" s="524"/>
    </row>
    <row r="65" spans="2:12" s="3537" customFormat="1">
      <c r="B65" s="524"/>
      <c r="C65" s="524"/>
      <c r="D65" s="524"/>
      <c r="E65" s="524"/>
      <c r="F65" s="524"/>
      <c r="G65" s="524"/>
      <c r="H65" s="524"/>
      <c r="I65" s="524"/>
      <c r="J65" s="524"/>
      <c r="K65" s="524"/>
      <c r="L65" s="524"/>
    </row>
    <row r="66" spans="2:12" s="3537" customFormat="1">
      <c r="B66" s="524"/>
      <c r="C66" s="524"/>
      <c r="D66" s="524"/>
      <c r="E66" s="524"/>
      <c r="F66" s="524"/>
      <c r="G66" s="524"/>
      <c r="H66" s="524"/>
      <c r="I66" s="524"/>
      <c r="J66" s="524"/>
      <c r="K66" s="524"/>
      <c r="L66" s="524"/>
    </row>
    <row r="67" spans="2:12" s="3537" customFormat="1">
      <c r="B67" s="524"/>
      <c r="C67" s="524"/>
      <c r="D67" s="524"/>
      <c r="E67" s="524"/>
      <c r="F67" s="524"/>
      <c r="G67" s="524"/>
      <c r="H67" s="524"/>
      <c r="I67" s="524"/>
      <c r="J67" s="524"/>
      <c r="K67" s="524"/>
      <c r="L67" s="524"/>
    </row>
    <row r="68" spans="2:12" s="3537" customFormat="1">
      <c r="B68" s="524"/>
      <c r="C68" s="524"/>
      <c r="D68" s="524"/>
      <c r="E68" s="524"/>
      <c r="F68" s="524"/>
      <c r="G68" s="524"/>
      <c r="H68" s="524"/>
      <c r="I68" s="524"/>
      <c r="J68" s="524"/>
      <c r="K68" s="524"/>
      <c r="L68" s="524"/>
    </row>
    <row r="69" spans="2:12" s="3537" customFormat="1">
      <c r="B69" s="524"/>
      <c r="C69" s="524"/>
      <c r="D69" s="524"/>
      <c r="E69" s="524"/>
      <c r="F69" s="524"/>
      <c r="G69" s="524"/>
      <c r="H69" s="524"/>
      <c r="I69" s="524"/>
      <c r="J69" s="524"/>
      <c r="K69" s="524"/>
      <c r="L69" s="524"/>
    </row>
    <row r="70" spans="2:12">
      <c r="J70" s="524"/>
      <c r="K70" s="524"/>
      <c r="L70" s="524"/>
    </row>
    <row r="71" spans="2:12">
      <c r="J71" s="524"/>
      <c r="K71" s="524"/>
      <c r="L71" s="524"/>
    </row>
    <row r="72" spans="2:12">
      <c r="J72" s="524"/>
      <c r="K72" s="524"/>
      <c r="L72" s="524"/>
    </row>
    <row r="73" spans="2:12">
      <c r="J73" s="524"/>
      <c r="K73" s="524"/>
      <c r="L73" s="524"/>
    </row>
    <row r="74" spans="2:12">
      <c r="J74" s="524"/>
      <c r="K74" s="524"/>
      <c r="L74" s="524"/>
    </row>
    <row r="75" spans="2:12">
      <c r="J75" s="524"/>
      <c r="K75" s="524"/>
      <c r="L75" s="524"/>
    </row>
    <row r="76" spans="2:12">
      <c r="J76" s="524"/>
      <c r="K76" s="524"/>
      <c r="L76" s="524"/>
    </row>
    <row r="77" spans="2:12">
      <c r="B77" s="2024" t="s">
        <v>2587</v>
      </c>
      <c r="C77" s="2024"/>
      <c r="J77" s="524"/>
      <c r="K77" s="524"/>
      <c r="L77" s="524"/>
    </row>
    <row r="78" spans="2:12">
      <c r="B78" s="2024"/>
      <c r="C78" s="2024"/>
      <c r="J78" s="524"/>
      <c r="K78" s="524"/>
      <c r="L78" s="524"/>
    </row>
    <row r="79" spans="2:12">
      <c r="B79" s="2024" t="s">
        <v>2588</v>
      </c>
      <c r="C79" s="2024"/>
      <c r="J79" s="524"/>
      <c r="K79" s="524"/>
      <c r="L79" s="524"/>
    </row>
    <row r="80" spans="2:12">
      <c r="B80" s="2024"/>
      <c r="C80" s="2024"/>
      <c r="J80" s="524"/>
      <c r="K80" s="524"/>
      <c r="L80" s="524"/>
    </row>
    <row r="81" spans="2:12">
      <c r="B81" s="524" t="s">
        <v>2589</v>
      </c>
      <c r="F81" s="524" t="s">
        <v>2590</v>
      </c>
      <c r="I81" s="524">
        <f>SUM(H82:H87)</f>
        <v>70.62</v>
      </c>
      <c r="J81" s="524"/>
      <c r="K81" s="524"/>
      <c r="L81" s="524"/>
    </row>
    <row r="82" spans="2:12">
      <c r="B82" s="524" t="s">
        <v>2581</v>
      </c>
      <c r="D82" s="524">
        <f>4.86*1.64</f>
        <v>7.97</v>
      </c>
      <c r="E82" s="524" t="s">
        <v>207</v>
      </c>
      <c r="F82" s="524">
        <f>0.85+0.75+0.4</f>
        <v>2</v>
      </c>
      <c r="G82" s="524" t="s">
        <v>2550</v>
      </c>
      <c r="H82" s="524">
        <f t="shared" ref="H82:H87" si="4">F82*D82</f>
        <v>15.94</v>
      </c>
      <c r="J82" s="524"/>
      <c r="K82" s="524"/>
      <c r="L82" s="524"/>
    </row>
    <row r="83" spans="2:12">
      <c r="B83" s="524" t="s">
        <v>2591</v>
      </c>
      <c r="D83" s="524">
        <f>0.4*1.64</f>
        <v>0.66</v>
      </c>
      <c r="E83" s="524" t="s">
        <v>207</v>
      </c>
      <c r="F83" s="524">
        <f>7.41-0.9+0.4</f>
        <v>6.91</v>
      </c>
      <c r="G83" s="524" t="s">
        <v>2550</v>
      </c>
      <c r="H83" s="524">
        <f t="shared" si="4"/>
        <v>4.5599999999999996</v>
      </c>
      <c r="J83" s="524"/>
      <c r="K83" s="524"/>
      <c r="L83" s="524"/>
    </row>
    <row r="84" spans="2:12">
      <c r="B84" s="524" t="s">
        <v>2582</v>
      </c>
      <c r="D84" s="524">
        <f>4.6*1.64</f>
        <v>7.54</v>
      </c>
      <c r="E84" s="524" t="s">
        <v>207</v>
      </c>
      <c r="F84" s="524">
        <v>1.2</v>
      </c>
      <c r="G84" s="524" t="s">
        <v>2550</v>
      </c>
      <c r="H84" s="524">
        <f t="shared" si="4"/>
        <v>9.0500000000000007</v>
      </c>
      <c r="J84" s="524"/>
      <c r="K84" s="524"/>
      <c r="L84" s="524"/>
    </row>
    <row r="85" spans="2:12">
      <c r="B85" s="524" t="s">
        <v>2592</v>
      </c>
      <c r="D85" s="524">
        <f>0.4*2.05</f>
        <v>0.82</v>
      </c>
      <c r="E85" s="524" t="s">
        <v>207</v>
      </c>
      <c r="F85" s="524">
        <f>8.15+0.4</f>
        <v>8.5500000000000007</v>
      </c>
      <c r="G85" s="524" t="s">
        <v>2550</v>
      </c>
      <c r="H85" s="524">
        <f t="shared" si="4"/>
        <v>7.01</v>
      </c>
      <c r="J85" s="524"/>
      <c r="K85" s="524"/>
      <c r="L85" s="524"/>
    </row>
    <row r="86" spans="2:12">
      <c r="B86" s="524" t="s">
        <v>2593</v>
      </c>
      <c r="D86" s="524">
        <f>13.45*2.05</f>
        <v>27.57</v>
      </c>
      <c r="E86" s="524" t="s">
        <v>207</v>
      </c>
      <c r="F86" s="524">
        <v>1.2</v>
      </c>
      <c r="G86" s="524" t="s">
        <v>2550</v>
      </c>
      <c r="H86" s="524">
        <f t="shared" si="4"/>
        <v>33.08</v>
      </c>
      <c r="J86" s="524"/>
      <c r="K86" s="524"/>
      <c r="L86" s="524"/>
    </row>
    <row r="87" spans="2:12">
      <c r="B87" s="524" t="s">
        <v>2594</v>
      </c>
      <c r="D87" s="524">
        <f>0.4*2.05</f>
        <v>0.82</v>
      </c>
      <c r="E87" s="524" t="s">
        <v>1896</v>
      </c>
      <c r="F87" s="524">
        <v>1.2</v>
      </c>
      <c r="G87" s="524" t="s">
        <v>2550</v>
      </c>
      <c r="H87" s="524">
        <f t="shared" si="4"/>
        <v>0.98</v>
      </c>
      <c r="J87" s="524"/>
      <c r="K87" s="524"/>
      <c r="L87" s="524"/>
    </row>
    <row r="88" spans="2:12">
      <c r="J88" s="524"/>
      <c r="K88" s="524"/>
      <c r="L88" s="524"/>
    </row>
    <row r="89" spans="2:12">
      <c r="J89" s="524"/>
      <c r="K89" s="524"/>
      <c r="L89" s="524"/>
    </row>
    <row r="90" spans="2:12">
      <c r="J90" s="524"/>
      <c r="K90" s="524"/>
      <c r="L90" s="524"/>
    </row>
    <row r="92" spans="2:12" s="3537" customFormat="1">
      <c r="B92" s="524"/>
      <c r="C92" s="524"/>
      <c r="D92" s="524"/>
      <c r="E92" s="524"/>
      <c r="F92" s="524"/>
      <c r="G92" s="524"/>
      <c r="H92" s="524"/>
      <c r="I92" s="524"/>
    </row>
    <row r="93" spans="2:12" s="3537" customFormat="1">
      <c r="B93" s="524"/>
      <c r="C93" s="524"/>
      <c r="D93" s="524"/>
      <c r="E93" s="524"/>
      <c r="F93" s="524"/>
      <c r="G93" s="524"/>
      <c r="H93" s="524"/>
      <c r="I93" s="524"/>
    </row>
    <row r="94" spans="2:12" s="3537" customFormat="1">
      <c r="B94" s="524"/>
      <c r="C94" s="524"/>
      <c r="D94" s="524"/>
      <c r="E94" s="524"/>
      <c r="F94" s="524"/>
      <c r="G94" s="524"/>
      <c r="H94" s="524"/>
      <c r="I94" s="524"/>
    </row>
    <row r="95" spans="2:12" s="3537" customFormat="1">
      <c r="B95" s="524"/>
      <c r="C95" s="524"/>
      <c r="D95" s="524"/>
      <c r="E95" s="524"/>
      <c r="F95" s="524"/>
      <c r="G95" s="524"/>
      <c r="H95" s="524"/>
      <c r="I95" s="524"/>
    </row>
    <row r="96" spans="2:12" s="3537" customFormat="1">
      <c r="B96" s="524"/>
      <c r="C96" s="524"/>
      <c r="D96" s="524"/>
      <c r="E96" s="524"/>
      <c r="F96" s="524"/>
      <c r="G96" s="524"/>
      <c r="H96" s="524"/>
      <c r="I96" s="524"/>
    </row>
    <row r="97" spans="2:15" s="3537" customFormat="1">
      <c r="B97" s="524"/>
      <c r="C97" s="524"/>
      <c r="D97" s="524"/>
      <c r="E97" s="524"/>
      <c r="F97" s="524"/>
      <c r="G97" s="524"/>
      <c r="H97" s="524"/>
      <c r="I97" s="524"/>
    </row>
    <row r="98" spans="2:15" s="3537" customFormat="1">
      <c r="B98" s="524"/>
      <c r="C98" s="524"/>
      <c r="D98" s="524"/>
      <c r="E98" s="524"/>
      <c r="F98" s="524"/>
      <c r="G98" s="524"/>
      <c r="H98" s="524"/>
      <c r="I98" s="524"/>
    </row>
    <row r="99" spans="2:15" s="3537" customFormat="1">
      <c r="B99" s="524"/>
      <c r="C99" s="524"/>
      <c r="D99" s="524"/>
      <c r="E99" s="524"/>
      <c r="F99" s="524"/>
      <c r="G99" s="524"/>
      <c r="H99" s="524"/>
      <c r="I99" s="524"/>
    </row>
    <row r="100" spans="2:15" s="3537" customFormat="1">
      <c r="B100" s="524"/>
      <c r="C100" s="524"/>
      <c r="D100" s="524"/>
      <c r="E100" s="524"/>
      <c r="F100" s="524"/>
      <c r="G100" s="524"/>
      <c r="H100" s="524"/>
      <c r="I100" s="524"/>
    </row>
    <row r="101" spans="2:15" s="3537" customFormat="1">
      <c r="B101" s="524"/>
      <c r="C101" s="524"/>
      <c r="D101" s="524"/>
      <c r="E101" s="524"/>
      <c r="F101" s="524"/>
      <c r="G101" s="524"/>
      <c r="H101" s="524"/>
      <c r="I101" s="524"/>
    </row>
    <row r="102" spans="2:15" s="3537" customFormat="1">
      <c r="B102" s="524"/>
      <c r="C102" s="524"/>
      <c r="D102" s="524"/>
      <c r="E102" s="524"/>
      <c r="F102" s="524"/>
      <c r="G102" s="524"/>
      <c r="H102" s="524"/>
      <c r="I102" s="524"/>
    </row>
    <row r="103" spans="2:15" s="3537" customFormat="1">
      <c r="B103" s="524"/>
      <c r="C103" s="524"/>
      <c r="D103" s="524"/>
      <c r="E103" s="524"/>
      <c r="F103" s="524"/>
      <c r="G103" s="524"/>
      <c r="H103" s="524"/>
      <c r="I103" s="524"/>
    </row>
    <row r="107" spans="2:15">
      <c r="B107" s="3149" t="s">
        <v>2598</v>
      </c>
      <c r="C107" s="3149"/>
      <c r="D107" s="3147"/>
      <c r="E107" s="3147"/>
      <c r="F107" s="3147"/>
      <c r="G107" s="3147"/>
      <c r="H107" s="3147"/>
      <c r="I107" s="3147"/>
      <c r="J107" s="3148"/>
      <c r="K107" s="3148"/>
      <c r="L107" s="3148"/>
      <c r="M107" s="3148"/>
      <c r="N107" s="3148"/>
      <c r="O107" s="3148"/>
    </row>
    <row r="113" spans="2:15" s="3153" customFormat="1">
      <c r="B113" s="3149" t="s">
        <v>2609</v>
      </c>
      <c r="C113" s="3149"/>
      <c r="D113" s="3147"/>
      <c r="E113" s="3147"/>
      <c r="F113" s="3147"/>
      <c r="G113" s="3147"/>
      <c r="H113" s="3147"/>
      <c r="I113" s="3147"/>
      <c r="J113" s="3148"/>
      <c r="K113" s="3148"/>
      <c r="L113" s="3148"/>
      <c r="M113" s="3148"/>
      <c r="N113" s="3148"/>
      <c r="O113" s="3148"/>
    </row>
    <row r="115" spans="2:15">
      <c r="B115" s="2024" t="s">
        <v>1904</v>
      </c>
      <c r="C115" s="2024"/>
      <c r="F115" s="524" t="s">
        <v>2566</v>
      </c>
      <c r="G115" s="524" t="s">
        <v>2610</v>
      </c>
      <c r="H115" s="524" t="s">
        <v>2611</v>
      </c>
      <c r="J115" s="524"/>
    </row>
    <row r="116" spans="2:15">
      <c r="B116" s="1905" t="s">
        <v>3553</v>
      </c>
      <c r="C116" s="1905">
        <v>5</v>
      </c>
      <c r="D116" s="1907">
        <v>1</v>
      </c>
      <c r="E116" s="524">
        <v>1</v>
      </c>
      <c r="F116" s="4188">
        <v>0.3</v>
      </c>
      <c r="G116" s="524">
        <f>D116*E116*C116</f>
        <v>5</v>
      </c>
      <c r="H116" s="524">
        <v>0.9</v>
      </c>
      <c r="I116" s="524">
        <f>G116*H116</f>
        <v>4.5</v>
      </c>
      <c r="J116" s="524"/>
    </row>
    <row r="117" spans="2:15">
      <c r="B117" s="1905" t="s">
        <v>3554</v>
      </c>
      <c r="C117" s="1905">
        <v>1</v>
      </c>
      <c r="D117" s="1907">
        <f>0.77+36.31</f>
        <v>37.08</v>
      </c>
      <c r="E117" s="524">
        <v>0.6</v>
      </c>
      <c r="F117" s="4188">
        <v>0.45</v>
      </c>
      <c r="G117" s="524">
        <f>D117*E117*C117</f>
        <v>22.25</v>
      </c>
      <c r="H117" s="524">
        <v>0.9</v>
      </c>
      <c r="I117" s="524">
        <f>G117*H117</f>
        <v>20.03</v>
      </c>
      <c r="J117" s="524"/>
    </row>
    <row r="118" spans="2:15">
      <c r="B118" s="40" t="s">
        <v>2357</v>
      </c>
      <c r="C118" s="40"/>
      <c r="D118" s="1907"/>
      <c r="F118" s="4188"/>
      <c r="J118" s="524"/>
    </row>
    <row r="119" spans="2:15">
      <c r="J119" s="2024">
        <f>SUM(I116:I118)</f>
        <v>24.53</v>
      </c>
    </row>
    <row r="120" spans="2:15">
      <c r="B120" s="2024" t="s">
        <v>2612</v>
      </c>
      <c r="C120" s="524">
        <f>J119-J123</f>
        <v>16.36</v>
      </c>
    </row>
    <row r="121" spans="2:15">
      <c r="B121" s="524" t="s">
        <v>3555</v>
      </c>
      <c r="C121" s="3144"/>
      <c r="F121" s="524">
        <f>380.5-380-0.15</f>
        <v>0.35</v>
      </c>
      <c r="G121" s="524">
        <v>59.93</v>
      </c>
    </row>
    <row r="122" spans="2:15" s="4189" customFormat="1">
      <c r="B122" s="524"/>
      <c r="C122" s="524"/>
      <c r="D122" s="524"/>
      <c r="E122" s="524"/>
      <c r="F122" s="524"/>
      <c r="G122" s="524"/>
      <c r="H122" s="524"/>
      <c r="I122" s="524"/>
    </row>
    <row r="123" spans="2:15">
      <c r="B123" s="524" t="s">
        <v>2613</v>
      </c>
      <c r="J123" s="524">
        <f>SUM(I125:I127)</f>
        <v>8.17</v>
      </c>
    </row>
    <row r="125" spans="2:15">
      <c r="B125" s="1905" t="s">
        <v>3553</v>
      </c>
      <c r="C125" s="1905">
        <v>5</v>
      </c>
      <c r="D125" s="1907">
        <v>1</v>
      </c>
      <c r="E125" s="524">
        <v>1</v>
      </c>
      <c r="F125" s="4188">
        <v>0.3</v>
      </c>
      <c r="I125" s="524">
        <f>C125*D125*E125*F125</f>
        <v>1.5</v>
      </c>
    </row>
    <row r="126" spans="2:15">
      <c r="B126" s="1905" t="s">
        <v>3554</v>
      </c>
      <c r="C126" s="1905">
        <v>1</v>
      </c>
      <c r="D126" s="1907">
        <f>0.77+36.31</f>
        <v>37.08</v>
      </c>
      <c r="E126" s="524">
        <v>0.6</v>
      </c>
      <c r="F126" s="4188">
        <v>0.3</v>
      </c>
      <c r="I126" s="524">
        <f>C126*D126*E126*F126</f>
        <v>6.67</v>
      </c>
    </row>
    <row r="127" spans="2:15">
      <c r="D127" s="524">
        <f>0.325*9</f>
        <v>2.93</v>
      </c>
    </row>
    <row r="130" spans="2:14">
      <c r="B130" s="2024" t="s">
        <v>2636</v>
      </c>
      <c r="C130" s="2024"/>
      <c r="D130" s="3159" t="s">
        <v>1896</v>
      </c>
      <c r="E130" s="3159" t="s">
        <v>207</v>
      </c>
    </row>
    <row r="131" spans="2:14" s="3158" customFormat="1">
      <c r="B131" s="3174" t="s">
        <v>2568</v>
      </c>
      <c r="C131" s="3174"/>
      <c r="E131" s="524">
        <f>SUM(E132:E140)</f>
        <v>322.02999999999997</v>
      </c>
      <c r="F131" s="524"/>
      <c r="G131" s="524"/>
      <c r="H131" s="524"/>
      <c r="I131" s="524"/>
    </row>
    <row r="132" spans="2:14" s="3158" customFormat="1">
      <c r="B132" s="524" t="s">
        <v>2446</v>
      </c>
      <c r="C132" s="524"/>
      <c r="D132" s="3159">
        <v>1.1599999999999999</v>
      </c>
      <c r="E132" s="524">
        <f>D132/(0.4*0.4)*0.4*4</f>
        <v>11.6</v>
      </c>
      <c r="F132" s="524"/>
      <c r="G132" s="524"/>
      <c r="H132" s="524"/>
      <c r="I132" s="524"/>
    </row>
    <row r="133" spans="2:14" s="3158" customFormat="1">
      <c r="B133" s="524" t="s">
        <v>2354</v>
      </c>
      <c r="C133" s="524"/>
      <c r="D133" s="3159">
        <v>6.98</v>
      </c>
      <c r="E133" s="524">
        <f>0.35*4*D133/(0.35*0.35)</f>
        <v>79.77</v>
      </c>
      <c r="F133" s="524"/>
      <c r="G133" s="524"/>
      <c r="H133" s="524"/>
      <c r="I133" s="524"/>
    </row>
    <row r="134" spans="2:14" s="3158" customFormat="1">
      <c r="B134" s="524" t="s">
        <v>2355</v>
      </c>
      <c r="C134" s="524"/>
      <c r="D134" s="3159">
        <v>3.04</v>
      </c>
      <c r="E134" s="524">
        <f>D134/(0.25*0.5)*(0.25+0.38*2)</f>
        <v>24.56</v>
      </c>
      <c r="F134" s="524"/>
      <c r="G134" s="524"/>
      <c r="H134" s="524"/>
      <c r="I134" s="524"/>
    </row>
    <row r="135" spans="2:14" s="3158" customFormat="1">
      <c r="B135" s="524" t="s">
        <v>2356</v>
      </c>
      <c r="C135" s="524"/>
      <c r="D135" s="3159">
        <v>5.31</v>
      </c>
      <c r="E135" s="524">
        <f>D135/(0.25*0.4)*(0.25*0.28*2)</f>
        <v>7.43</v>
      </c>
      <c r="F135" s="524"/>
      <c r="G135" s="524"/>
      <c r="H135" s="524"/>
      <c r="I135" s="524"/>
    </row>
    <row r="136" spans="2:14" s="3158" customFormat="1">
      <c r="B136" s="524" t="s">
        <v>2358</v>
      </c>
      <c r="C136" s="524"/>
      <c r="D136" s="3159">
        <v>8.4700000000000006</v>
      </c>
      <c r="E136" s="524">
        <f>D136/0.15</f>
        <v>56.47</v>
      </c>
      <c r="F136" s="524"/>
      <c r="G136" s="524"/>
      <c r="H136" s="524"/>
      <c r="I136" s="524"/>
    </row>
    <row r="137" spans="2:14" s="3158" customFormat="1">
      <c r="B137" s="524" t="s">
        <v>2359</v>
      </c>
      <c r="C137" s="524"/>
      <c r="D137" s="3159">
        <v>11.09</v>
      </c>
      <c r="E137" s="524">
        <f>D137/0.15</f>
        <v>73.930000000000007</v>
      </c>
      <c r="F137" s="524"/>
      <c r="G137" s="524"/>
      <c r="H137" s="524"/>
      <c r="I137" s="524"/>
    </row>
    <row r="138" spans="2:14" s="3158" customFormat="1">
      <c r="B138" s="524" t="s">
        <v>2607</v>
      </c>
      <c r="C138" s="524"/>
      <c r="D138" s="3159">
        <v>6.26</v>
      </c>
      <c r="E138" s="524">
        <f>D138/0.2</f>
        <v>31.3</v>
      </c>
      <c r="F138" s="524"/>
      <c r="G138" s="524"/>
      <c r="H138" s="524"/>
      <c r="I138" s="524"/>
    </row>
    <row r="139" spans="2:14" s="3158" customFormat="1">
      <c r="B139" s="524" t="s">
        <v>2608</v>
      </c>
      <c r="C139" s="524"/>
      <c r="D139" s="3159">
        <v>0.85</v>
      </c>
      <c r="E139" s="524">
        <f>D139/0.15</f>
        <v>5.67</v>
      </c>
      <c r="F139" s="524"/>
      <c r="G139" s="524"/>
      <c r="H139" s="524"/>
      <c r="I139" s="524"/>
    </row>
    <row r="140" spans="2:14" s="3158" customFormat="1">
      <c r="B140" s="524" t="s">
        <v>2607</v>
      </c>
      <c r="C140" s="524"/>
      <c r="D140" s="3159">
        <v>6.26</v>
      </c>
      <c r="E140" s="524">
        <f>D140/0.2</f>
        <v>31.3</v>
      </c>
      <c r="F140" s="524"/>
      <c r="G140" s="524"/>
      <c r="H140" s="524"/>
      <c r="I140" s="524"/>
    </row>
    <row r="141" spans="2:14" s="3158" customFormat="1">
      <c r="B141" s="524"/>
      <c r="C141" s="524"/>
      <c r="D141" s="524"/>
      <c r="E141" s="524"/>
      <c r="F141" s="524"/>
      <c r="G141" s="524"/>
      <c r="H141" s="524"/>
      <c r="I141" s="524"/>
    </row>
    <row r="142" spans="2:14" s="3158" customFormat="1">
      <c r="C142" s="4189"/>
      <c r="D142" s="524"/>
      <c r="E142" s="524"/>
      <c r="F142" s="524"/>
      <c r="G142" s="524"/>
      <c r="H142" s="524"/>
      <c r="I142" s="3159" t="s">
        <v>12</v>
      </c>
      <c r="K142" s="3158" t="s">
        <v>2965</v>
      </c>
      <c r="L142" s="3158" t="s">
        <v>2630</v>
      </c>
      <c r="N142" s="3158">
        <f>SUM(M143:M144)</f>
        <v>295.36200000000002</v>
      </c>
    </row>
    <row r="143" spans="2:14" s="3158" customFormat="1">
      <c r="B143" s="524" t="s">
        <v>2637</v>
      </c>
      <c r="C143" s="524"/>
      <c r="D143" s="524">
        <f>203.22*2+E131</f>
        <v>728.47</v>
      </c>
      <c r="E143" s="524"/>
      <c r="F143" s="524">
        <f>47.04*2.8</f>
        <v>131.71</v>
      </c>
      <c r="G143" s="524" t="s">
        <v>2963</v>
      </c>
      <c r="H143" s="4202">
        <v>49.5</v>
      </c>
      <c r="I143" s="4202">
        <v>2.8</v>
      </c>
      <c r="J143" s="3158">
        <f>H143*I143</f>
        <v>138.6</v>
      </c>
      <c r="K143" s="3158">
        <f>2.1*1.6</f>
        <v>3.36</v>
      </c>
      <c r="L143" s="3158">
        <f>1.4*1*4+1.8*1+0.5*0.5</f>
        <v>7.65</v>
      </c>
      <c r="M143" s="3158">
        <f>J143-K143-L143</f>
        <v>127.59</v>
      </c>
    </row>
    <row r="144" spans="2:14" s="3158" customFormat="1">
      <c r="B144" s="524"/>
      <c r="C144" s="524"/>
      <c r="D144" s="524"/>
      <c r="E144" s="524"/>
      <c r="F144" s="524"/>
      <c r="G144" s="524" t="s">
        <v>2964</v>
      </c>
      <c r="H144" s="4202">
        <v>48.56</v>
      </c>
      <c r="I144" s="4202">
        <f>3.45+0.25</f>
        <v>3.7</v>
      </c>
      <c r="J144" s="3530">
        <f>H144*I144</f>
        <v>179.672</v>
      </c>
      <c r="K144" s="3158">
        <f>1*2.1</f>
        <v>2.1</v>
      </c>
      <c r="L144" s="3158">
        <f>1.2*1*2+1*1.4*4+1.8*1*1</f>
        <v>9.8000000000000007</v>
      </c>
      <c r="M144" s="3530">
        <f>J144-K144-L144</f>
        <v>167.77199999999999</v>
      </c>
    </row>
    <row r="145" spans="2:14" s="3158" customFormat="1">
      <c r="B145" s="524" t="s">
        <v>2361</v>
      </c>
      <c r="C145" s="524"/>
      <c r="D145" s="524"/>
      <c r="E145" s="524"/>
      <c r="F145" s="524"/>
      <c r="G145" s="524" t="s">
        <v>3562</v>
      </c>
      <c r="H145" s="524"/>
      <c r="I145" s="524"/>
      <c r="M145" s="3530">
        <f>21.05*2</f>
        <v>42.1</v>
      </c>
    </row>
    <row r="146" spans="2:14" s="3158" customFormat="1">
      <c r="B146" s="524" t="s">
        <v>3539</v>
      </c>
      <c r="C146" s="524"/>
      <c r="D146" s="524"/>
      <c r="E146" s="524"/>
      <c r="F146" s="524"/>
      <c r="G146" s="524" t="s">
        <v>2966</v>
      </c>
      <c r="H146" s="524">
        <v>33.4</v>
      </c>
      <c r="I146" s="524">
        <v>6.2</v>
      </c>
      <c r="J146" s="3158">
        <f>H146*I146</f>
        <v>207.08</v>
      </c>
      <c r="K146" s="3158">
        <f>SUM(K143:K144)</f>
        <v>5.46</v>
      </c>
      <c r="L146" s="3530">
        <f>SUM(L143:L144)</f>
        <v>17.45</v>
      </c>
      <c r="M146" s="3530">
        <f t="shared" ref="M146" si="5">J146-K146-L146</f>
        <v>184.17</v>
      </c>
    </row>
    <row r="147" spans="2:14" s="3158" customFormat="1">
      <c r="B147" s="524" t="s">
        <v>1548</v>
      </c>
      <c r="C147" s="524"/>
      <c r="D147" s="524"/>
      <c r="E147" s="524"/>
      <c r="F147" s="524"/>
      <c r="G147" s="524"/>
      <c r="H147" s="524"/>
      <c r="I147" s="524"/>
      <c r="N147" s="3158">
        <f>SUM(M143:M146)</f>
        <v>521.63199999999995</v>
      </c>
    </row>
    <row r="148" spans="2:14" s="3158" customFormat="1">
      <c r="B148" s="524" t="s">
        <v>2362</v>
      </c>
      <c r="C148" s="524"/>
      <c r="D148" s="524"/>
      <c r="E148" s="524"/>
      <c r="F148" s="524" t="s">
        <v>200</v>
      </c>
      <c r="G148" s="524" t="s">
        <v>200</v>
      </c>
      <c r="H148" s="524">
        <f>2+40</f>
        <v>42</v>
      </c>
      <c r="I148" s="524">
        <v>0.4</v>
      </c>
      <c r="J148" s="3536">
        <f>H148*I148</f>
        <v>16.8</v>
      </c>
      <c r="M148" s="3536">
        <f>J148-K148-L148</f>
        <v>16.8</v>
      </c>
    </row>
    <row r="149" spans="2:14" s="3158" customFormat="1">
      <c r="B149" s="524" t="s">
        <v>2363</v>
      </c>
      <c r="C149" s="524"/>
      <c r="D149" s="524"/>
      <c r="E149" s="524"/>
      <c r="F149" s="524" t="s">
        <v>2968</v>
      </c>
      <c r="G149" s="524" t="s">
        <v>2963</v>
      </c>
      <c r="H149" s="524">
        <f>H148-0.9-0.8</f>
        <v>40.299999999999997</v>
      </c>
      <c r="I149" s="524">
        <f>I143+0.5</f>
        <v>3.3</v>
      </c>
      <c r="J149" s="3536">
        <f>H149*I149</f>
        <v>132.99</v>
      </c>
      <c r="K149" s="3536">
        <f>K143</f>
        <v>3.36</v>
      </c>
      <c r="L149" s="3536">
        <f>L143</f>
        <v>7.65</v>
      </c>
      <c r="M149" s="3536">
        <f>J149-K149-L149</f>
        <v>121.98</v>
      </c>
    </row>
    <row r="150" spans="2:14" s="3158" customFormat="1">
      <c r="B150" s="524" t="s">
        <v>2364</v>
      </c>
      <c r="C150" s="524"/>
      <c r="D150" s="524"/>
      <c r="E150" s="524"/>
      <c r="F150" s="524" t="s">
        <v>2968</v>
      </c>
      <c r="G150" s="524" t="s">
        <v>2967</v>
      </c>
      <c r="H150" s="524">
        <v>45.37</v>
      </c>
      <c r="I150" s="524">
        <f>-0.45+3.7</f>
        <v>3.25</v>
      </c>
      <c r="J150" s="3536">
        <f>H150*I150</f>
        <v>147.45249999999999</v>
      </c>
      <c r="K150" s="3158">
        <f>K144</f>
        <v>2.1</v>
      </c>
      <c r="L150" s="3536">
        <f>L144</f>
        <v>9.8000000000000007</v>
      </c>
      <c r="M150" s="3536">
        <f>J150-K150-L150</f>
        <v>135.55250000000001</v>
      </c>
    </row>
    <row r="151" spans="2:14" s="3158" customFormat="1">
      <c r="B151" s="524" t="s">
        <v>2365</v>
      </c>
      <c r="C151" s="524"/>
      <c r="D151" s="524"/>
      <c r="E151" s="524"/>
      <c r="F151" s="524"/>
      <c r="G151" s="524"/>
      <c r="H151" s="524"/>
      <c r="I151" s="524"/>
      <c r="N151" s="3158">
        <f>SUM(M149:M150)</f>
        <v>257.53250000000003</v>
      </c>
    </row>
    <row r="152" spans="2:14" s="3158" customFormat="1">
      <c r="B152" s="524" t="s">
        <v>2366</v>
      </c>
      <c r="C152" s="524"/>
      <c r="D152" s="524"/>
      <c r="E152" s="524"/>
      <c r="F152" s="524"/>
      <c r="G152" s="524"/>
      <c r="H152" s="524"/>
      <c r="I152" s="524"/>
    </row>
    <row r="153" spans="2:14" s="3158" customFormat="1">
      <c r="B153" s="524" t="s">
        <v>2367</v>
      </c>
      <c r="C153" s="524"/>
      <c r="D153" s="524"/>
      <c r="E153" s="524"/>
      <c r="F153" s="524"/>
      <c r="G153" s="524"/>
      <c r="H153" s="524"/>
      <c r="I153" s="524"/>
    </row>
    <row r="154" spans="2:14" s="3158" customFormat="1">
      <c r="B154" s="524" t="s">
        <v>2368</v>
      </c>
      <c r="C154" s="524"/>
      <c r="D154" s="524"/>
      <c r="E154" s="524"/>
      <c r="F154" s="524"/>
      <c r="G154" s="524"/>
      <c r="H154" s="524"/>
      <c r="I154" s="524"/>
    </row>
    <row r="155" spans="2:14" s="3158" customFormat="1">
      <c r="B155" s="524" t="s">
        <v>2369</v>
      </c>
      <c r="C155" s="524"/>
      <c r="D155" s="524"/>
      <c r="E155" s="524"/>
      <c r="F155" s="524"/>
      <c r="G155" s="524"/>
      <c r="H155" s="524"/>
      <c r="I155" s="524"/>
    </row>
    <row r="156" spans="2:14" s="3158" customFormat="1">
      <c r="B156" s="524" t="s">
        <v>2352</v>
      </c>
      <c r="C156" s="524"/>
      <c r="D156" s="524"/>
      <c r="E156" s="524"/>
      <c r="F156" s="524"/>
      <c r="G156" s="524"/>
      <c r="H156" s="524"/>
      <c r="I156" s="524"/>
    </row>
    <row r="157" spans="2:14" s="3158" customFormat="1">
      <c r="B157" s="524" t="s">
        <v>2346</v>
      </c>
      <c r="C157" s="524"/>
      <c r="D157" s="524"/>
      <c r="E157" s="524"/>
      <c r="F157" s="524"/>
      <c r="G157" s="524"/>
      <c r="H157" s="524"/>
      <c r="I157" s="524"/>
    </row>
    <row r="158" spans="2:14" s="3158" customFormat="1">
      <c r="B158" s="524"/>
      <c r="C158" s="524"/>
      <c r="D158" s="524"/>
      <c r="E158" s="524"/>
      <c r="F158" s="524"/>
      <c r="G158" s="524"/>
      <c r="H158" s="524"/>
      <c r="I158" s="524"/>
    </row>
    <row r="159" spans="2:14" s="3158" customFormat="1">
      <c r="B159" s="524"/>
      <c r="C159" s="524"/>
      <c r="D159" s="524"/>
      <c r="E159" s="524"/>
      <c r="F159" s="524"/>
      <c r="G159" s="524"/>
      <c r="H159" s="524"/>
      <c r="I159" s="524"/>
    </row>
    <row r="160" spans="2:14" s="3158" customFormat="1">
      <c r="B160" s="524"/>
      <c r="C160" s="524"/>
      <c r="D160" s="524"/>
      <c r="E160" s="524"/>
      <c r="F160" s="524"/>
      <c r="G160" s="524"/>
      <c r="H160" s="524"/>
      <c r="I160" s="524"/>
    </row>
    <row r="161" spans="2:15" s="3158" customFormat="1">
      <c r="B161" s="524" t="s">
        <v>2630</v>
      </c>
      <c r="C161" s="524"/>
      <c r="D161" s="524">
        <f>(1.4*5+1.2*4+0.5)*3.28*1.4*3.28</f>
        <v>185.26</v>
      </c>
      <c r="E161" s="524"/>
      <c r="F161" s="524"/>
      <c r="G161" s="524"/>
      <c r="H161" s="524"/>
      <c r="I161" s="524"/>
    </row>
    <row r="162" spans="2:15" s="3158" customFormat="1">
      <c r="B162" s="524"/>
      <c r="C162" s="524"/>
      <c r="D162" s="524"/>
      <c r="E162" s="524"/>
      <c r="F162" s="524"/>
      <c r="G162" s="524"/>
      <c r="H162" s="524"/>
      <c r="I162" s="524"/>
    </row>
    <row r="163" spans="2:15" s="3158" customFormat="1">
      <c r="B163" s="524"/>
      <c r="C163" s="524"/>
      <c r="D163" s="524"/>
      <c r="E163" s="524"/>
      <c r="F163" s="524"/>
      <c r="G163" s="524"/>
      <c r="H163" s="524"/>
      <c r="I163" s="524"/>
    </row>
    <row r="164" spans="2:15" s="3530" customFormat="1">
      <c r="B164" s="3149" t="s">
        <v>1771</v>
      </c>
      <c r="C164" s="3149"/>
      <c r="D164" s="3147"/>
      <c r="E164" s="3147"/>
      <c r="F164" s="3147"/>
      <c r="G164" s="3147"/>
      <c r="H164" s="3147"/>
      <c r="I164" s="3147"/>
      <c r="J164" s="3148"/>
      <c r="K164" s="3148"/>
      <c r="L164" s="3148"/>
      <c r="M164" s="3148"/>
      <c r="N164" s="3148"/>
      <c r="O164" s="3148"/>
    </row>
    <row r="165" spans="2:15" s="3158" customFormat="1">
      <c r="B165" s="524"/>
      <c r="C165" s="524"/>
      <c r="D165" s="524"/>
      <c r="E165" s="524"/>
      <c r="F165" s="524"/>
      <c r="G165" s="524"/>
      <c r="H165" s="524"/>
      <c r="I165" s="524"/>
    </row>
    <row r="166" spans="2:15" s="3158" customFormat="1">
      <c r="B166" s="524"/>
      <c r="C166" s="524"/>
      <c r="D166" s="524"/>
      <c r="E166" s="524"/>
      <c r="F166" s="524"/>
      <c r="G166" s="524"/>
      <c r="H166" s="524"/>
      <c r="I166" s="524"/>
    </row>
    <row r="167" spans="2:15" s="3158" customFormat="1">
      <c r="B167" s="2024" t="s">
        <v>1904</v>
      </c>
      <c r="C167" s="2024"/>
      <c r="D167" s="524" t="s">
        <v>2942</v>
      </c>
      <c r="E167" s="524" t="s">
        <v>2611</v>
      </c>
      <c r="F167" s="524"/>
      <c r="G167" s="524">
        <f>SUM(F168:F169)</f>
        <v>11.8</v>
      </c>
      <c r="H167" s="524"/>
      <c r="I167" s="524"/>
    </row>
    <row r="168" spans="2:15" s="3158" customFormat="1">
      <c r="B168" s="524" t="s">
        <v>2941</v>
      </c>
      <c r="C168" s="524"/>
      <c r="D168" s="524">
        <v>8.7200000000000006</v>
      </c>
      <c r="E168" s="524">
        <v>0.85</v>
      </c>
      <c r="F168" s="524">
        <f>E168*D168</f>
        <v>7.41</v>
      </c>
      <c r="G168" s="524"/>
      <c r="H168" s="524"/>
      <c r="I168" s="524"/>
    </row>
    <row r="169" spans="2:15" s="3158" customFormat="1">
      <c r="B169" s="524" t="s">
        <v>2621</v>
      </c>
      <c r="C169" s="524"/>
      <c r="D169" s="524">
        <v>5.17</v>
      </c>
      <c r="E169" s="524">
        <v>0.85</v>
      </c>
      <c r="F169" s="524">
        <f>E169*D169</f>
        <v>4.3899999999999997</v>
      </c>
      <c r="G169" s="524"/>
      <c r="H169" s="524"/>
      <c r="I169" s="524"/>
    </row>
    <row r="170" spans="2:15" s="3158" customFormat="1">
      <c r="B170" s="524"/>
      <c r="C170" s="524"/>
      <c r="D170" s="524"/>
      <c r="E170" s="524"/>
      <c r="F170" s="524"/>
      <c r="G170" s="524"/>
      <c r="H170" s="524"/>
      <c r="I170" s="524"/>
    </row>
    <row r="171" spans="2:15" s="3158" customFormat="1">
      <c r="B171" s="2024" t="s">
        <v>2612</v>
      </c>
      <c r="C171" s="2024"/>
      <c r="D171" s="524"/>
      <c r="E171" s="524"/>
      <c r="F171" s="524"/>
      <c r="G171" s="524"/>
      <c r="H171" s="524"/>
      <c r="I171" s="524"/>
    </row>
    <row r="172" spans="2:15" s="3158" customFormat="1">
      <c r="B172" s="524" t="s">
        <v>2943</v>
      </c>
      <c r="C172" s="524"/>
      <c r="D172" s="524">
        <f>G167</f>
        <v>11.8</v>
      </c>
      <c r="E172" s="524"/>
      <c r="F172" s="524"/>
      <c r="G172" s="524">
        <f>D172-D173</f>
        <v>7.9</v>
      </c>
      <c r="H172" s="524"/>
      <c r="I172" s="524"/>
    </row>
    <row r="173" spans="2:15" s="3158" customFormat="1">
      <c r="B173" s="524" t="s">
        <v>2944</v>
      </c>
      <c r="C173" s="524"/>
      <c r="D173" s="524">
        <f>D176+D177</f>
        <v>3.9</v>
      </c>
      <c r="E173" s="524"/>
      <c r="F173" s="524"/>
      <c r="G173" s="524"/>
      <c r="H173" s="524"/>
      <c r="I173" s="524"/>
    </row>
    <row r="174" spans="2:15" s="3158" customFormat="1">
      <c r="B174" s="524" t="s">
        <v>2947</v>
      </c>
      <c r="C174" s="524"/>
      <c r="D174" s="524"/>
      <c r="E174" s="524"/>
      <c r="F174" s="524"/>
      <c r="G174" s="524">
        <f>D173*1.35</f>
        <v>5.27</v>
      </c>
      <c r="H174" s="524"/>
      <c r="I174" s="524"/>
    </row>
    <row r="175" spans="2:15" s="3158" customFormat="1">
      <c r="B175" s="524"/>
      <c r="C175" s="524"/>
      <c r="D175" s="524" t="s">
        <v>2619</v>
      </c>
      <c r="E175" s="524"/>
      <c r="F175" s="524"/>
      <c r="G175" s="524"/>
      <c r="H175" s="524"/>
      <c r="I175" s="524"/>
    </row>
    <row r="176" spans="2:15" s="3158" customFormat="1">
      <c r="B176" s="524" t="s">
        <v>2945</v>
      </c>
      <c r="C176" s="524"/>
      <c r="D176" s="524">
        <v>2.61</v>
      </c>
      <c r="E176" s="524"/>
      <c r="F176" s="524"/>
      <c r="G176" s="524"/>
      <c r="H176" s="524"/>
      <c r="I176" s="524"/>
    </row>
    <row r="177" spans="2:9" s="3158" customFormat="1">
      <c r="B177" s="524" t="s">
        <v>2946</v>
      </c>
      <c r="C177" s="524"/>
      <c r="D177" s="524">
        <v>1.29</v>
      </c>
      <c r="E177" s="524"/>
      <c r="F177" s="524"/>
      <c r="G177" s="524"/>
      <c r="H177" s="524"/>
      <c r="I177" s="524"/>
    </row>
    <row r="178" spans="2:9" s="3158" customFormat="1">
      <c r="B178" s="524"/>
      <c r="C178" s="524"/>
      <c r="D178" s="524"/>
      <c r="E178" s="524"/>
      <c r="F178" s="524"/>
      <c r="G178" s="524"/>
      <c r="H178" s="524"/>
      <c r="I178" s="524"/>
    </row>
    <row r="179" spans="2:9" s="3158" customFormat="1">
      <c r="B179" s="524"/>
      <c r="C179" s="524"/>
      <c r="D179" s="524"/>
      <c r="E179" s="524"/>
      <c r="F179" s="524"/>
      <c r="G179" s="524"/>
      <c r="H179" s="524"/>
      <c r="I179" s="524"/>
    </row>
    <row r="180" spans="2:9" s="3158" customFormat="1">
      <c r="B180" s="524"/>
      <c r="C180" s="524"/>
      <c r="D180" s="524"/>
      <c r="E180" s="524"/>
      <c r="F180" s="524"/>
      <c r="G180" s="524"/>
      <c r="H180" s="524"/>
      <c r="I180" s="524"/>
    </row>
    <row r="181" spans="2:9" s="3158" customFormat="1">
      <c r="B181" s="524"/>
      <c r="C181" s="524"/>
      <c r="D181" s="524"/>
      <c r="E181" s="524"/>
      <c r="F181" s="524"/>
      <c r="G181" s="524"/>
      <c r="H181" s="524"/>
      <c r="I181" s="524"/>
    </row>
    <row r="182" spans="2:9" s="3158" customFormat="1">
      <c r="B182" s="524"/>
      <c r="C182" s="524"/>
      <c r="D182" s="524"/>
      <c r="E182" s="524"/>
      <c r="F182" s="524"/>
      <c r="G182" s="524"/>
      <c r="H182" s="524"/>
      <c r="I182" s="524"/>
    </row>
    <row r="183" spans="2:9" s="3158" customFormat="1">
      <c r="B183" s="524"/>
      <c r="C183" s="524"/>
      <c r="D183" s="524"/>
      <c r="E183" s="524"/>
      <c r="F183" s="524"/>
      <c r="G183" s="524"/>
      <c r="H183" s="524"/>
      <c r="I183" s="524"/>
    </row>
    <row r="184" spans="2:9" s="3158" customFormat="1">
      <c r="B184" s="524"/>
      <c r="C184" s="524"/>
      <c r="D184" s="524"/>
      <c r="E184" s="524"/>
      <c r="F184" s="524"/>
      <c r="G184" s="524"/>
      <c r="H184" s="524"/>
      <c r="I184" s="524"/>
    </row>
    <row r="185" spans="2:9" s="3158" customFormat="1">
      <c r="B185" s="524"/>
      <c r="C185" s="524"/>
      <c r="D185" s="524"/>
      <c r="E185" s="524"/>
      <c r="F185" s="524"/>
      <c r="G185" s="524"/>
      <c r="H185" s="524"/>
      <c r="I185" s="524"/>
    </row>
    <row r="186" spans="2:9" s="3158" customFormat="1">
      <c r="B186" s="524"/>
      <c r="C186" s="524"/>
      <c r="D186" s="524"/>
      <c r="E186" s="524"/>
      <c r="F186" s="524"/>
      <c r="G186" s="524"/>
      <c r="H186" s="524"/>
      <c r="I186" s="524"/>
    </row>
    <row r="187" spans="2:9" s="3158" customFormat="1">
      <c r="B187" s="524"/>
      <c r="C187" s="524"/>
      <c r="D187" s="524"/>
      <c r="E187" s="524"/>
      <c r="F187" s="524"/>
      <c r="G187" s="524"/>
      <c r="H187" s="524"/>
      <c r="I187" s="524"/>
    </row>
    <row r="188" spans="2:9" s="3158" customFormat="1">
      <c r="B188" s="524"/>
      <c r="C188" s="524"/>
      <c r="D188" s="524"/>
      <c r="E188" s="524"/>
      <c r="F188" s="524"/>
      <c r="G188" s="524"/>
      <c r="H188" s="524"/>
      <c r="I188" s="524"/>
    </row>
    <row r="189" spans="2:9" s="3158" customFormat="1">
      <c r="B189" s="524"/>
      <c r="C189" s="524"/>
      <c r="D189" s="524"/>
      <c r="E189" s="524"/>
      <c r="F189" s="524"/>
      <c r="G189" s="524"/>
      <c r="H189" s="524"/>
      <c r="I189" s="524"/>
    </row>
    <row r="190" spans="2:9" s="3158" customFormat="1">
      <c r="B190" s="524"/>
      <c r="C190" s="524"/>
      <c r="D190" s="524"/>
      <c r="E190" s="524"/>
      <c r="F190" s="524"/>
      <c r="G190" s="524"/>
      <c r="H190" s="524"/>
      <c r="I190" s="524"/>
    </row>
    <row r="191" spans="2:9" s="3158" customFormat="1">
      <c r="B191" s="524"/>
      <c r="C191" s="524"/>
      <c r="D191" s="524"/>
      <c r="E191" s="524"/>
      <c r="F191" s="524"/>
      <c r="G191" s="524"/>
      <c r="H191" s="524"/>
      <c r="I191" s="524"/>
    </row>
    <row r="192" spans="2:9" s="3158" customFormat="1">
      <c r="B192" s="524"/>
      <c r="C192" s="524"/>
      <c r="D192" s="524"/>
      <c r="E192" s="524"/>
      <c r="F192" s="524"/>
      <c r="G192" s="524"/>
      <c r="H192" s="524"/>
      <c r="I192" s="524"/>
    </row>
    <row r="193" spans="2:15" s="3158" customFormat="1">
      <c r="B193" s="524"/>
      <c r="C193" s="524"/>
      <c r="D193" s="524"/>
      <c r="E193" s="524"/>
      <c r="F193" s="524"/>
      <c r="G193" s="524"/>
      <c r="H193" s="524"/>
      <c r="I193" s="524"/>
    </row>
    <row r="194" spans="2:15" s="3158" customFormat="1">
      <c r="B194" s="524"/>
      <c r="C194" s="524"/>
      <c r="D194" s="524"/>
      <c r="E194" s="524"/>
      <c r="F194" s="524"/>
      <c r="G194" s="524"/>
      <c r="H194" s="524"/>
      <c r="I194" s="524"/>
    </row>
    <row r="195" spans="2:15" s="3158" customFormat="1">
      <c r="B195" s="524"/>
      <c r="C195" s="524"/>
      <c r="D195" s="524"/>
      <c r="E195" s="524"/>
      <c r="F195" s="524"/>
      <c r="G195" s="524"/>
      <c r="H195" s="524"/>
      <c r="I195" s="524"/>
    </row>
    <row r="196" spans="2:15" s="3158" customFormat="1">
      <c r="B196" s="524"/>
      <c r="C196" s="524"/>
      <c r="D196" s="524"/>
      <c r="E196" s="524"/>
      <c r="F196" s="524"/>
      <c r="G196" s="524"/>
      <c r="H196" s="524"/>
      <c r="I196" s="524"/>
    </row>
    <row r="197" spans="2:15" s="3158" customFormat="1">
      <c r="B197" s="524"/>
      <c r="C197" s="524"/>
      <c r="D197" s="524"/>
      <c r="E197" s="524"/>
      <c r="F197" s="524"/>
      <c r="G197" s="524"/>
      <c r="H197" s="524"/>
      <c r="I197" s="524"/>
    </row>
    <row r="198" spans="2:15" s="3158" customFormat="1">
      <c r="B198" s="524"/>
      <c r="C198" s="524"/>
      <c r="D198" s="524"/>
      <c r="E198" s="524"/>
      <c r="F198" s="524"/>
      <c r="G198" s="524"/>
      <c r="H198" s="524"/>
      <c r="I198" s="524"/>
    </row>
    <row r="199" spans="2:15" s="3156" customFormat="1">
      <c r="B199" s="3149" t="s">
        <v>2614</v>
      </c>
      <c r="C199" s="3149"/>
      <c r="D199" s="3147"/>
      <c r="E199" s="3147"/>
      <c r="F199" s="3147"/>
      <c r="G199" s="3147"/>
      <c r="H199" s="3147"/>
      <c r="I199" s="3147"/>
      <c r="J199" s="3148"/>
      <c r="K199" s="3148"/>
      <c r="L199" s="3148"/>
      <c r="M199" s="3148"/>
      <c r="N199" s="3148"/>
      <c r="O199" s="3148"/>
    </row>
    <row r="200" spans="2:15">
      <c r="B200" s="2024" t="s">
        <v>1904</v>
      </c>
      <c r="C200" s="2024"/>
      <c r="D200" s="3159" t="s">
        <v>2563</v>
      </c>
      <c r="E200" s="3159" t="s">
        <v>2616</v>
      </c>
      <c r="F200" s="3159" t="s">
        <v>2617</v>
      </c>
      <c r="G200" s="3159" t="s">
        <v>2618</v>
      </c>
      <c r="H200" s="524" t="s">
        <v>2619</v>
      </c>
    </row>
    <row r="201" spans="2:15" s="3157" customFormat="1">
      <c r="B201" s="524" t="s">
        <v>2621</v>
      </c>
      <c r="C201" s="524"/>
      <c r="D201" s="3159">
        <v>1</v>
      </c>
      <c r="E201" s="3159">
        <v>63.13</v>
      </c>
      <c r="F201" s="3159">
        <v>0.45</v>
      </c>
      <c r="G201" s="3159">
        <v>1.05</v>
      </c>
      <c r="H201" s="3159">
        <f>D201*E201*F201*G201</f>
        <v>29.83</v>
      </c>
      <c r="I201" s="524"/>
    </row>
    <row r="202" spans="2:15" s="3157" customFormat="1">
      <c r="B202" s="524"/>
      <c r="C202" s="524"/>
      <c r="D202" s="3159"/>
      <c r="E202" s="3159"/>
      <c r="F202" s="3159"/>
      <c r="G202" s="3159"/>
      <c r="H202" s="524"/>
      <c r="I202" s="524"/>
    </row>
    <row r="203" spans="2:15" s="3157" customFormat="1">
      <c r="B203" s="3160" t="s">
        <v>2612</v>
      </c>
      <c r="C203" s="4195"/>
      <c r="D203" s="3161"/>
      <c r="E203" s="3161"/>
      <c r="F203" s="3161"/>
      <c r="G203" s="3161"/>
      <c r="H203" s="3162"/>
      <c r="I203" s="3163">
        <f>SUM(H204:H206)</f>
        <v>28.25</v>
      </c>
    </row>
    <row r="204" spans="2:15" s="3157" customFormat="1">
      <c r="B204" s="3164" t="s">
        <v>1904</v>
      </c>
      <c r="C204" s="3166"/>
      <c r="D204" s="3165"/>
      <c r="E204" s="3165"/>
      <c r="F204" s="3165"/>
      <c r="G204" s="3165"/>
      <c r="H204" s="3166">
        <f>H201</f>
        <v>29.83</v>
      </c>
      <c r="I204" s="3167"/>
    </row>
    <row r="205" spans="2:15" s="3157" customFormat="1">
      <c r="B205" s="3164" t="s">
        <v>2622</v>
      </c>
      <c r="C205" s="3166"/>
      <c r="D205" s="3165">
        <f>-H209</f>
        <v>-8.24</v>
      </c>
      <c r="E205" s="3165"/>
      <c r="F205" s="3165"/>
      <c r="G205" s="3165"/>
      <c r="H205" s="3166">
        <f>D205</f>
        <v>-8.24</v>
      </c>
      <c r="I205" s="3167"/>
    </row>
    <row r="206" spans="2:15" s="3157" customFormat="1">
      <c r="B206" s="3168" t="s">
        <v>2623</v>
      </c>
      <c r="C206" s="3170"/>
      <c r="D206" s="3169">
        <f>66.62</f>
        <v>66.62</v>
      </c>
      <c r="E206" s="3169"/>
      <c r="F206" s="3169">
        <v>0.1</v>
      </c>
      <c r="G206" s="3169"/>
      <c r="H206" s="3170">
        <f>F206*D206</f>
        <v>6.66</v>
      </c>
      <c r="I206" s="3171"/>
    </row>
    <row r="207" spans="2:15" s="3157" customFormat="1">
      <c r="B207" s="524"/>
      <c r="C207" s="524"/>
      <c r="D207" s="3159"/>
      <c r="E207" s="3159"/>
      <c r="F207" s="3159"/>
      <c r="G207" s="3159"/>
      <c r="H207" s="524"/>
      <c r="I207" s="524"/>
    </row>
    <row r="208" spans="2:15" s="1737" customFormat="1">
      <c r="B208" s="2024" t="s">
        <v>2624</v>
      </c>
      <c r="C208" s="2024"/>
      <c r="D208" s="3172"/>
      <c r="E208" s="3172"/>
      <c r="F208" s="3172"/>
      <c r="G208" s="3172"/>
      <c r="H208" s="2024"/>
      <c r="I208" s="2024"/>
    </row>
    <row r="209" spans="2:9">
      <c r="B209" s="524" t="s">
        <v>2615</v>
      </c>
      <c r="D209" s="3159">
        <v>1</v>
      </c>
      <c r="E209" s="3159">
        <v>61</v>
      </c>
      <c r="F209" s="3159">
        <v>0.45</v>
      </c>
      <c r="G209" s="3159">
        <v>0.3</v>
      </c>
      <c r="H209" s="3159">
        <f>D209*E209*F209*G209</f>
        <v>8.24</v>
      </c>
    </row>
    <row r="212" spans="2:9" s="1737" customFormat="1">
      <c r="B212" s="2024" t="s">
        <v>2625</v>
      </c>
      <c r="C212" s="2024"/>
      <c r="D212" s="3172"/>
      <c r="E212" s="3172"/>
      <c r="F212" s="3172"/>
      <c r="G212" s="3172"/>
      <c r="H212" s="2024"/>
      <c r="I212" s="2024"/>
    </row>
    <row r="213" spans="2:9">
      <c r="B213" s="524" t="s">
        <v>2626</v>
      </c>
      <c r="D213" s="524">
        <v>1</v>
      </c>
      <c r="E213" s="524">
        <v>63.13</v>
      </c>
      <c r="G213" s="524">
        <f>1.05-0.3</f>
        <v>0.75</v>
      </c>
      <c r="H213" s="524">
        <f>G213*E213*D213</f>
        <v>47.35</v>
      </c>
    </row>
    <row r="214" spans="2:9">
      <c r="B214" s="524" t="s">
        <v>2627</v>
      </c>
      <c r="D214" s="524">
        <v>1</v>
      </c>
      <c r="E214" s="524">
        <v>63.13</v>
      </c>
      <c r="G214" s="524">
        <v>2.6</v>
      </c>
      <c r="H214" s="524">
        <f>G214*E214*D214</f>
        <v>164.14</v>
      </c>
      <c r="I214" s="524">
        <f>SUM(H214:H223)</f>
        <v>140.78</v>
      </c>
    </row>
    <row r="215" spans="2:9">
      <c r="B215" s="524" t="s">
        <v>2628</v>
      </c>
      <c r="D215" s="524">
        <v>-1</v>
      </c>
      <c r="E215" s="524">
        <v>1</v>
      </c>
      <c r="G215" s="524">
        <v>2.2000000000000002</v>
      </c>
      <c r="H215" s="524">
        <f t="shared" ref="H215:H223" si="6">G215*E215*D215</f>
        <v>-2.2000000000000002</v>
      </c>
    </row>
    <row r="216" spans="2:9">
      <c r="B216" s="524" t="s">
        <v>2628</v>
      </c>
      <c r="D216" s="524">
        <v>-1</v>
      </c>
      <c r="E216" s="524">
        <v>0.9</v>
      </c>
      <c r="G216" s="524">
        <v>2.2000000000000002</v>
      </c>
      <c r="H216" s="524">
        <f t="shared" si="6"/>
        <v>-1.98</v>
      </c>
    </row>
    <row r="217" spans="2:9">
      <c r="B217" s="524" t="s">
        <v>2628</v>
      </c>
      <c r="D217" s="524">
        <v>-4</v>
      </c>
      <c r="E217" s="524">
        <v>0.85</v>
      </c>
      <c r="G217" s="524">
        <v>2.2000000000000002</v>
      </c>
      <c r="H217" s="524">
        <f t="shared" si="6"/>
        <v>-7.48</v>
      </c>
    </row>
    <row r="218" spans="2:9">
      <c r="B218" s="524" t="s">
        <v>2630</v>
      </c>
      <c r="D218" s="524">
        <v>-1</v>
      </c>
      <c r="E218" s="524">
        <v>0.8</v>
      </c>
      <c r="G218" s="524">
        <v>1</v>
      </c>
      <c r="H218" s="524">
        <f t="shared" si="6"/>
        <v>-0.8</v>
      </c>
    </row>
    <row r="219" spans="2:9">
      <c r="B219" s="524" t="s">
        <v>2630</v>
      </c>
      <c r="D219" s="524">
        <v>-1</v>
      </c>
      <c r="E219" s="524">
        <v>2.4</v>
      </c>
      <c r="G219" s="524">
        <v>1</v>
      </c>
      <c r="H219" s="524">
        <f t="shared" si="6"/>
        <v>-2.4</v>
      </c>
    </row>
    <row r="220" spans="2:9">
      <c r="B220" s="524" t="s">
        <v>2630</v>
      </c>
      <c r="D220" s="524">
        <v>-1</v>
      </c>
      <c r="E220" s="524">
        <v>1.3</v>
      </c>
      <c r="G220" s="524">
        <v>1</v>
      </c>
      <c r="H220" s="524">
        <f t="shared" si="6"/>
        <v>-1.3</v>
      </c>
    </row>
    <row r="221" spans="2:9">
      <c r="B221" s="524" t="s">
        <v>2630</v>
      </c>
      <c r="D221" s="524">
        <v>-3</v>
      </c>
      <c r="E221" s="524">
        <v>1.2</v>
      </c>
      <c r="G221" s="524">
        <v>1</v>
      </c>
      <c r="H221" s="524">
        <f t="shared" si="6"/>
        <v>-3.6</v>
      </c>
    </row>
    <row r="222" spans="2:9">
      <c r="B222" s="524" t="s">
        <v>2630</v>
      </c>
      <c r="D222" s="524">
        <v>-3</v>
      </c>
      <c r="E222" s="524">
        <v>1</v>
      </c>
      <c r="G222" s="524">
        <v>1</v>
      </c>
      <c r="H222" s="524">
        <f t="shared" si="6"/>
        <v>-3</v>
      </c>
    </row>
    <row r="223" spans="2:9">
      <c r="B223" s="524" t="s">
        <v>2630</v>
      </c>
      <c r="D223" s="524">
        <v>-1</v>
      </c>
      <c r="E223" s="524">
        <v>0.6</v>
      </c>
      <c r="G223" s="524">
        <v>1</v>
      </c>
      <c r="H223" s="524">
        <f t="shared" si="6"/>
        <v>-0.6</v>
      </c>
    </row>
    <row r="228" spans="2:15" s="3537" customFormat="1">
      <c r="B228" s="3149" t="s">
        <v>3149</v>
      </c>
      <c r="C228" s="3149"/>
      <c r="D228" s="3147"/>
      <c r="E228" s="3147"/>
      <c r="F228" s="3147"/>
      <c r="G228" s="3147"/>
      <c r="H228" s="3147"/>
      <c r="I228" s="3147"/>
      <c r="J228" s="3148"/>
      <c r="K228" s="3148"/>
      <c r="L228" s="3148"/>
      <c r="M228" s="3148"/>
      <c r="N228" s="3148"/>
      <c r="O228" s="3148"/>
    </row>
    <row r="229" spans="2:15">
      <c r="I229" s="524">
        <f>SUM(H230:H232)</f>
        <v>8.73</v>
      </c>
    </row>
    <row r="230" spans="2:15">
      <c r="B230" s="524" t="s">
        <v>2987</v>
      </c>
      <c r="D230" s="524">
        <f>3.85*2+3.4*2</f>
        <v>14.5</v>
      </c>
      <c r="E230" s="524">
        <v>0.6</v>
      </c>
      <c r="F230" s="524">
        <v>0.9</v>
      </c>
      <c r="H230" s="524">
        <f>D230*E230*F230</f>
        <v>7.83</v>
      </c>
    </row>
    <row r="231" spans="2:15">
      <c r="B231" s="524" t="s">
        <v>3150</v>
      </c>
      <c r="D231" s="524">
        <v>1</v>
      </c>
      <c r="E231" s="524">
        <v>1</v>
      </c>
      <c r="F231" s="524">
        <v>0.9</v>
      </c>
      <c r="H231" s="524">
        <f>D231*E231*F231</f>
        <v>0.9</v>
      </c>
    </row>
    <row r="233" spans="2:15">
      <c r="B233" s="524" t="s">
        <v>2988</v>
      </c>
      <c r="F233" s="524">
        <f>I229-I235</f>
        <v>3.18</v>
      </c>
    </row>
    <row r="235" spans="2:15">
      <c r="B235" s="524" t="s">
        <v>2989</v>
      </c>
      <c r="I235" s="524">
        <f>SUM(H236:H240)</f>
        <v>5.55</v>
      </c>
    </row>
    <row r="236" spans="2:15">
      <c r="B236" s="524" t="s">
        <v>2990</v>
      </c>
      <c r="D236" s="524">
        <f>D230</f>
        <v>14.5</v>
      </c>
      <c r="E236" s="524">
        <v>0.3</v>
      </c>
      <c r="F236" s="524">
        <v>0.6</v>
      </c>
      <c r="G236" s="524">
        <v>1</v>
      </c>
      <c r="H236" s="524">
        <f>D236*E236*F236*G236</f>
        <v>2.61</v>
      </c>
    </row>
    <row r="237" spans="2:15">
      <c r="B237" s="524" t="s">
        <v>3151</v>
      </c>
      <c r="D237" s="524">
        <v>1</v>
      </c>
      <c r="E237" s="524">
        <v>1</v>
      </c>
      <c r="F237" s="524">
        <v>0.3</v>
      </c>
      <c r="G237" s="524">
        <v>4</v>
      </c>
      <c r="H237" s="524">
        <f t="shared" ref="H237:H240" si="7">D237*E237*F237*G237</f>
        <v>1.2</v>
      </c>
    </row>
    <row r="239" spans="2:15">
      <c r="B239" s="524" t="s">
        <v>2991</v>
      </c>
      <c r="D239" s="524">
        <f>D230</f>
        <v>14.5</v>
      </c>
      <c r="E239" s="524">
        <v>0.2</v>
      </c>
      <c r="F239" s="524">
        <v>0.4</v>
      </c>
      <c r="G239" s="524">
        <v>1</v>
      </c>
      <c r="H239" s="524">
        <f t="shared" si="7"/>
        <v>1.1599999999999999</v>
      </c>
    </row>
    <row r="240" spans="2:15">
      <c r="B240" s="524" t="s">
        <v>3152</v>
      </c>
      <c r="D240" s="524">
        <f>D239</f>
        <v>14.5</v>
      </c>
      <c r="E240" s="524">
        <f>E239</f>
        <v>0.2</v>
      </c>
      <c r="F240" s="524">
        <v>0.2</v>
      </c>
      <c r="G240" s="524">
        <v>1</v>
      </c>
      <c r="H240" s="524">
        <f t="shared" si="7"/>
        <v>0.57999999999999996</v>
      </c>
    </row>
    <row r="241" spans="2:15">
      <c r="B241" s="524" t="s">
        <v>3010</v>
      </c>
    </row>
    <row r="242" spans="2:15" s="3742" customFormat="1">
      <c r="B242" s="524"/>
      <c r="C242" s="524"/>
      <c r="D242" s="524"/>
      <c r="E242" s="524"/>
      <c r="F242" s="524"/>
      <c r="G242" s="524"/>
      <c r="H242" s="524"/>
      <c r="I242" s="524"/>
    </row>
    <row r="243" spans="2:15" s="3573" customFormat="1">
      <c r="B243" s="3149" t="s">
        <v>3032</v>
      </c>
      <c r="C243" s="3149"/>
      <c r="D243" s="3147"/>
      <c r="E243" s="3147"/>
      <c r="F243" s="3147"/>
      <c r="G243" s="3147"/>
      <c r="H243" s="3147"/>
      <c r="I243" s="3147"/>
      <c r="J243" s="3148"/>
      <c r="K243" s="3148"/>
      <c r="L243" s="3148"/>
      <c r="M243" s="3148"/>
      <c r="N243" s="3148"/>
      <c r="O243" s="3148"/>
    </row>
    <row r="244" spans="2:15">
      <c r="D244" s="5188" t="s">
        <v>3034</v>
      </c>
      <c r="E244" s="5188"/>
    </row>
    <row r="245" spans="2:15">
      <c r="B245" s="3576"/>
      <c r="C245" s="3576"/>
      <c r="D245" s="3574" t="s">
        <v>3033</v>
      </c>
      <c r="E245" s="3574" t="s">
        <v>3035</v>
      </c>
      <c r="F245" s="3574" t="s">
        <v>12</v>
      </c>
    </row>
    <row r="246" spans="2:15">
      <c r="B246" s="3577" t="s">
        <v>3045</v>
      </c>
      <c r="C246" s="3577"/>
      <c r="D246" s="3575">
        <v>378.5</v>
      </c>
      <c r="E246" s="3575">
        <v>377.3</v>
      </c>
      <c r="F246" s="3575">
        <f>D246-E246</f>
        <v>1.2</v>
      </c>
      <c r="G246" s="3579">
        <v>1</v>
      </c>
      <c r="H246" s="3578" t="s">
        <v>3038</v>
      </c>
      <c r="I246" s="524">
        <v>1.5</v>
      </c>
    </row>
    <row r="247" spans="2:15">
      <c r="B247" s="3577" t="s">
        <v>3042</v>
      </c>
      <c r="C247" s="3577"/>
      <c r="D247" s="3575">
        <v>380</v>
      </c>
      <c r="E247" s="3575">
        <v>377.7</v>
      </c>
      <c r="F247" s="3575">
        <f>D247-E247</f>
        <v>2.2999999999999998</v>
      </c>
      <c r="G247" s="5189">
        <v>2</v>
      </c>
      <c r="H247" s="5182" t="s">
        <v>3036</v>
      </c>
      <c r="I247" s="524">
        <v>2.5</v>
      </c>
    </row>
    <row r="248" spans="2:15">
      <c r="B248" s="3577" t="s">
        <v>3043</v>
      </c>
      <c r="C248" s="3577"/>
      <c r="D248" s="3575">
        <v>380</v>
      </c>
      <c r="E248" s="3575">
        <v>377.7</v>
      </c>
      <c r="F248" s="3575">
        <f t="shared" ref="F248:F256" si="8">D248-E248</f>
        <v>2.2999999999999998</v>
      </c>
      <c r="G248" s="5189"/>
      <c r="H248" s="5183"/>
    </row>
    <row r="249" spans="2:15">
      <c r="B249" s="3577" t="s">
        <v>3044</v>
      </c>
      <c r="C249" s="3577"/>
      <c r="D249" s="3575">
        <v>380</v>
      </c>
      <c r="E249" s="3575">
        <v>377.3</v>
      </c>
      <c r="F249" s="3575">
        <f t="shared" si="8"/>
        <v>2.7</v>
      </c>
      <c r="G249" s="5185">
        <v>5</v>
      </c>
      <c r="H249" s="5182" t="s">
        <v>3037</v>
      </c>
      <c r="I249" s="524">
        <v>3</v>
      </c>
    </row>
    <row r="250" spans="2:15">
      <c r="B250" s="3577" t="s">
        <v>3049</v>
      </c>
      <c r="C250" s="3577"/>
      <c r="D250" s="3575">
        <v>336</v>
      </c>
      <c r="E250" s="3575">
        <v>333.05</v>
      </c>
      <c r="F250" s="3575">
        <f>D250-E250</f>
        <v>2.95</v>
      </c>
      <c r="G250" s="5186"/>
      <c r="H250" s="5184"/>
      <c r="I250" s="524">
        <v>3</v>
      </c>
    </row>
    <row r="251" spans="2:15">
      <c r="B251" s="3577" t="s">
        <v>3050</v>
      </c>
      <c r="C251" s="3577"/>
      <c r="D251" s="3575">
        <v>310</v>
      </c>
      <c r="E251" s="3575">
        <v>307.2</v>
      </c>
      <c r="F251" s="3575">
        <f>D251-E251</f>
        <v>2.8</v>
      </c>
      <c r="G251" s="5186"/>
      <c r="H251" s="5184"/>
      <c r="I251" s="524">
        <v>3</v>
      </c>
    </row>
    <row r="252" spans="2:15">
      <c r="B252" s="3577" t="s">
        <v>3051</v>
      </c>
      <c r="C252" s="3577"/>
      <c r="D252" s="3575">
        <v>299</v>
      </c>
      <c r="E252" s="3575">
        <v>296.27</v>
      </c>
      <c r="F252" s="3575">
        <v>3</v>
      </c>
      <c r="G252" s="5186"/>
      <c r="H252" s="5184"/>
    </row>
    <row r="253" spans="2:15">
      <c r="B253" s="3577" t="s">
        <v>3052</v>
      </c>
      <c r="C253" s="3577"/>
      <c r="D253" s="3575">
        <v>294</v>
      </c>
      <c r="E253" s="3575">
        <v>290.16000000000003</v>
      </c>
      <c r="F253" s="3575">
        <v>3</v>
      </c>
      <c r="G253" s="5187"/>
      <c r="H253" s="5183"/>
    </row>
    <row r="254" spans="2:15">
      <c r="B254" s="3577" t="s">
        <v>3048</v>
      </c>
      <c r="C254" s="3577"/>
      <c r="D254" s="3575">
        <v>362.5</v>
      </c>
      <c r="E254" s="3575">
        <v>359.2</v>
      </c>
      <c r="F254" s="3575">
        <f>D254-E254</f>
        <v>3.3</v>
      </c>
      <c r="G254" s="3579">
        <v>1</v>
      </c>
      <c r="H254" s="3579" t="s">
        <v>3041</v>
      </c>
    </row>
    <row r="255" spans="2:15">
      <c r="B255" s="3577" t="s">
        <v>3046</v>
      </c>
      <c r="C255" s="3577"/>
      <c r="D255" s="3575">
        <v>377.5</v>
      </c>
      <c r="E255" s="3575">
        <v>372.65</v>
      </c>
      <c r="F255" s="3575">
        <f t="shared" si="8"/>
        <v>4.8499999999999996</v>
      </c>
      <c r="G255" s="3579">
        <v>1</v>
      </c>
      <c r="H255" s="3579" t="s">
        <v>3039</v>
      </c>
    </row>
    <row r="256" spans="2:15">
      <c r="B256" s="3577" t="s">
        <v>3047</v>
      </c>
      <c r="C256" s="3577"/>
      <c r="D256" s="3575">
        <v>377.5</v>
      </c>
      <c r="E256" s="3575">
        <v>372.2</v>
      </c>
      <c r="F256" s="3575">
        <f t="shared" si="8"/>
        <v>5.3</v>
      </c>
      <c r="G256" s="3579">
        <v>1</v>
      </c>
      <c r="H256" s="3579" t="s">
        <v>3040</v>
      </c>
    </row>
    <row r="257" spans="2:6">
      <c r="B257" s="3576"/>
      <c r="C257" s="3576"/>
    </row>
    <row r="258" spans="2:6">
      <c r="B258" s="3576"/>
      <c r="C258" s="3576"/>
    </row>
    <row r="259" spans="2:6">
      <c r="B259" s="3576"/>
      <c r="C259" s="3576"/>
    </row>
    <row r="260" spans="2:6" ht="25.5">
      <c r="B260" s="3580" t="s">
        <v>3058</v>
      </c>
      <c r="C260" s="3580"/>
      <c r="D260" s="3574" t="s">
        <v>3055</v>
      </c>
      <c r="E260" s="3574" t="s">
        <v>3056</v>
      </c>
      <c r="F260" s="3574" t="s">
        <v>3057</v>
      </c>
    </row>
    <row r="261" spans="2:6">
      <c r="B261" s="524" t="s">
        <v>2605</v>
      </c>
    </row>
    <row r="262" spans="2:6">
      <c r="B262" s="524" t="s">
        <v>3053</v>
      </c>
    </row>
    <row r="263" spans="2:6">
      <c r="B263" s="524" t="s">
        <v>3054</v>
      </c>
    </row>
    <row r="266" spans="2:6">
      <c r="B266" s="3576" t="s">
        <v>3059</v>
      </c>
      <c r="C266" s="3576"/>
    </row>
    <row r="270" spans="2:6">
      <c r="B270" s="3576" t="s">
        <v>3060</v>
      </c>
      <c r="C270" s="3576"/>
    </row>
  </sheetData>
  <customSheetViews>
    <customSheetView guid="{43BC9397-3E8C-478C-B548-E4A845A7F82B}" scale="115" topLeftCell="A217">
      <selection activeCell="C235" sqref="C235"/>
      <pageMargins left="0.7" right="0.7" top="0.75" bottom="0.75" header="0.3" footer="0.3"/>
      <pageSetup paperSize="9" orientation="portrait" horizontalDpi="2400" verticalDpi="2400" r:id="rId1"/>
      <headerFooter>
        <oddFooter>1</oddFooter>
      </headerFooter>
    </customSheetView>
  </customSheetViews>
  <mergeCells count="6">
    <mergeCell ref="H247:H248"/>
    <mergeCell ref="H249:H253"/>
    <mergeCell ref="G249:G253"/>
    <mergeCell ref="E46:F46"/>
    <mergeCell ref="D244:E244"/>
    <mergeCell ref="G247:G248"/>
  </mergeCells>
  <pageMargins left="0.7" right="0.7" top="0.75" bottom="0.75" header="0.3" footer="0.3"/>
  <pageSetup paperSize="9" orientation="portrait" horizontalDpi="2400" verticalDpi="2400" r:id="rId2"/>
  <headerFooter>
    <oddFoote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
  <sheetViews>
    <sheetView workbookViewId="0"/>
  </sheetViews>
  <sheetFormatPr baseColWidth="10" defaultRowHeight="12.75"/>
  <sheetData>
    <row r="1" spans="1:2" ht="204">
      <c r="A1" s="4190" t="s">
        <v>3523</v>
      </c>
      <c r="B1">
        <v>1</v>
      </c>
    </row>
  </sheetData>
  <customSheetViews>
    <customSheetView guid="{43BC9397-3E8C-478C-B548-E4A845A7F82B}" state="very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M146"/>
  <sheetViews>
    <sheetView topLeftCell="A5" workbookViewId="0">
      <selection activeCell="A5" sqref="A5"/>
    </sheetView>
  </sheetViews>
  <sheetFormatPr baseColWidth="10" defaultColWidth="11.42578125" defaultRowHeight="12.75"/>
  <cols>
    <col min="1" max="2" width="11.42578125" style="474"/>
    <col min="3" max="3" width="9" customWidth="1"/>
  </cols>
  <sheetData>
    <row r="3" spans="1:4">
      <c r="A3" s="5066" t="s">
        <v>3128</v>
      </c>
      <c r="B3" s="5066"/>
      <c r="C3" s="5066"/>
      <c r="D3" s="5066"/>
    </row>
    <row r="4" spans="1:4" ht="13.5" thickBot="1"/>
    <row r="5" spans="1:4" ht="13.5" thickBot="1">
      <c r="A5" s="3761" t="s">
        <v>3129</v>
      </c>
      <c r="B5" s="3762">
        <v>1</v>
      </c>
      <c r="C5" s="3763"/>
      <c r="D5" s="3764"/>
    </row>
    <row r="6" spans="1:4">
      <c r="A6" s="3748" t="s">
        <v>3133</v>
      </c>
      <c r="B6" s="3758">
        <v>2.93</v>
      </c>
      <c r="C6" s="510"/>
      <c r="D6" s="1899"/>
    </row>
    <row r="7" spans="1:4" ht="13.5" thickBot="1">
      <c r="A7" s="3756" t="s">
        <v>3134</v>
      </c>
      <c r="B7" s="3757">
        <v>2.78</v>
      </c>
      <c r="C7" s="510"/>
      <c r="D7" s="1899"/>
    </row>
    <row r="8" spans="1:4">
      <c r="A8" s="3745" t="s">
        <v>3130</v>
      </c>
      <c r="B8" s="3755">
        <v>0</v>
      </c>
      <c r="C8" s="510"/>
      <c r="D8" s="1899"/>
    </row>
    <row r="9" spans="1:4">
      <c r="A9" s="3748" t="s">
        <v>3131</v>
      </c>
      <c r="B9" s="3758">
        <v>5.03</v>
      </c>
      <c r="C9" s="510"/>
      <c r="D9" s="1899"/>
    </row>
    <row r="10" spans="1:4">
      <c r="A10" s="3748" t="s">
        <v>540</v>
      </c>
      <c r="B10" s="3758">
        <v>1.86</v>
      </c>
      <c r="C10" s="510"/>
      <c r="D10" s="1899"/>
    </row>
    <row r="11" spans="1:4" ht="13.5" thickBot="1">
      <c r="A11" s="3756" t="s">
        <v>3132</v>
      </c>
      <c r="B11" s="3757">
        <v>0</v>
      </c>
      <c r="C11" s="510"/>
      <c r="D11" s="1899"/>
    </row>
    <row r="12" spans="1:4" s="3742" customFormat="1">
      <c r="A12" s="3745" t="s">
        <v>3139</v>
      </c>
      <c r="B12" s="3755">
        <v>0.3</v>
      </c>
      <c r="C12" s="510"/>
      <c r="D12" s="1899"/>
    </row>
    <row r="13" spans="1:4" s="3742" customFormat="1">
      <c r="A13" s="3748" t="s">
        <v>3140</v>
      </c>
      <c r="B13" s="3758">
        <v>0</v>
      </c>
      <c r="C13" s="510"/>
      <c r="D13" s="1899"/>
    </row>
    <row r="14" spans="1:4" s="3742" customFormat="1">
      <c r="A14" s="3748" t="s">
        <v>3141</v>
      </c>
      <c r="B14" s="3758">
        <v>0</v>
      </c>
      <c r="C14" s="510"/>
      <c r="D14" s="1899"/>
    </row>
    <row r="15" spans="1:4" s="3742" customFormat="1" ht="13.5" thickBot="1">
      <c r="A15" s="3748" t="s">
        <v>3142</v>
      </c>
      <c r="B15" s="3758">
        <v>0.3</v>
      </c>
      <c r="C15" s="510"/>
      <c r="D15" s="1899"/>
    </row>
    <row r="16" spans="1:4">
      <c r="A16" s="3759" t="s">
        <v>3135</v>
      </c>
      <c r="B16" s="3746">
        <f>ROUNDUP(B7/0.3,0)/2</f>
        <v>5</v>
      </c>
      <c r="C16" s="3760">
        <f>B6+B14+0.2*2+B15+B10/3</f>
        <v>4.25</v>
      </c>
      <c r="D16" s="3747">
        <f>B16*C16*0.0123</f>
        <v>0.26137500000000002</v>
      </c>
    </row>
    <row r="17" spans="1:4" s="3742" customFormat="1">
      <c r="A17" s="3749" t="s">
        <v>3136</v>
      </c>
      <c r="B17" s="3155">
        <f>ROUNDUP(B7/0.3,0)/2</f>
        <v>5</v>
      </c>
      <c r="C17" s="3750">
        <f>B6+B14+0.2*2+B15+B11/3</f>
        <v>3.63</v>
      </c>
      <c r="D17" s="1899">
        <f t="shared" ref="D17:D19" si="0">B17*C17*0.0123</f>
        <v>0.223245</v>
      </c>
    </row>
    <row r="18" spans="1:4">
      <c r="A18" s="3749" t="s">
        <v>3137</v>
      </c>
      <c r="B18" s="3155">
        <f>ROUNDUP(B6/0.3,0)/2</f>
        <v>5</v>
      </c>
      <c r="C18" s="510">
        <f>0.2*2+B12+B13+B7+B8/3</f>
        <v>3.48</v>
      </c>
      <c r="D18" s="1899">
        <f t="shared" si="0"/>
        <v>0.21401999999999999</v>
      </c>
    </row>
    <row r="19" spans="1:4" ht="13.5" thickBot="1">
      <c r="A19" s="3751" t="s">
        <v>3138</v>
      </c>
      <c r="B19" s="3752">
        <f>ROUNDUP(B6/0.3,0)/2</f>
        <v>5</v>
      </c>
      <c r="C19" s="3753">
        <f>0.2*2+B12+B13+B7+B9/3</f>
        <v>5.16</v>
      </c>
      <c r="D19" s="3754">
        <f t="shared" si="0"/>
        <v>0.31734000000000001</v>
      </c>
    </row>
    <row r="20" spans="1:4" ht="13.5" thickBot="1"/>
    <row r="21" spans="1:4" ht="13.5" thickBot="1">
      <c r="A21" s="3761" t="s">
        <v>3129</v>
      </c>
      <c r="B21" s="3762">
        <v>2</v>
      </c>
      <c r="C21" s="3763"/>
      <c r="D21" s="3764"/>
    </row>
    <row r="22" spans="1:4">
      <c r="A22" s="3748" t="s">
        <v>3133</v>
      </c>
      <c r="B22" s="3758">
        <v>1.86</v>
      </c>
      <c r="C22" s="510"/>
      <c r="D22" s="1899"/>
    </row>
    <row r="23" spans="1:4" ht="13.5" thickBot="1">
      <c r="A23" s="3756" t="s">
        <v>3134</v>
      </c>
      <c r="B23" s="3757">
        <v>2.81</v>
      </c>
      <c r="C23" s="510"/>
      <c r="D23" s="1899"/>
    </row>
    <row r="24" spans="1:4">
      <c r="A24" s="3745" t="s">
        <v>3130</v>
      </c>
      <c r="B24" s="3755">
        <v>0</v>
      </c>
      <c r="C24" s="510"/>
      <c r="D24" s="1899"/>
    </row>
    <row r="25" spans="1:4">
      <c r="A25" s="3748" t="s">
        <v>3131</v>
      </c>
      <c r="B25" s="3758">
        <v>2.93</v>
      </c>
      <c r="C25" s="510"/>
      <c r="D25" s="1899"/>
    </row>
    <row r="26" spans="1:4">
      <c r="A26" s="3748" t="s">
        <v>540</v>
      </c>
      <c r="B26" s="3758">
        <v>2.88</v>
      </c>
      <c r="C26" s="510"/>
      <c r="D26" s="1899"/>
    </row>
    <row r="27" spans="1:4" ht="13.5" thickBot="1">
      <c r="A27" s="3756" t="s">
        <v>3132</v>
      </c>
      <c r="B27" s="3757">
        <v>2.93</v>
      </c>
      <c r="C27" s="510"/>
      <c r="D27" s="1899"/>
    </row>
    <row r="28" spans="1:4" s="3742" customFormat="1">
      <c r="A28" s="3745" t="s">
        <v>3139</v>
      </c>
      <c r="B28" s="3755">
        <v>0.3</v>
      </c>
      <c r="C28" s="510"/>
      <c r="D28" s="1899"/>
    </row>
    <row r="29" spans="1:4" s="3742" customFormat="1">
      <c r="A29" s="3748" t="s">
        <v>3140</v>
      </c>
      <c r="B29" s="3758">
        <v>0</v>
      </c>
      <c r="C29" s="510"/>
      <c r="D29" s="1899"/>
    </row>
    <row r="30" spans="1:4" s="3742" customFormat="1">
      <c r="A30" s="3748" t="s">
        <v>3141</v>
      </c>
      <c r="B30" s="3758">
        <v>0</v>
      </c>
      <c r="C30" s="510"/>
      <c r="D30" s="1899"/>
    </row>
    <row r="31" spans="1:4" s="3742" customFormat="1" ht="13.5" thickBot="1">
      <c r="A31" s="3748" t="s">
        <v>3142</v>
      </c>
      <c r="B31" s="3758">
        <v>0</v>
      </c>
      <c r="C31" s="510"/>
      <c r="D31" s="1899"/>
    </row>
    <row r="32" spans="1:4">
      <c r="A32" s="3759" t="s">
        <v>3135</v>
      </c>
      <c r="B32" s="3746">
        <f>ROUNDUP(B23/0.3,0)/2</f>
        <v>5</v>
      </c>
      <c r="C32" s="3760">
        <f>B22+B30+0.2*2+B31+B26/3</f>
        <v>3.22</v>
      </c>
      <c r="D32" s="3747">
        <f>B32*C32*0.0123</f>
        <v>0.19803000000000001</v>
      </c>
    </row>
    <row r="33" spans="1:4">
      <c r="A33" s="3749" t="s">
        <v>3136</v>
      </c>
      <c r="B33" s="3155">
        <f>ROUNDUP(B23/0.3,0)/2</f>
        <v>5</v>
      </c>
      <c r="C33" s="3750">
        <f>B22+B30+0.2*2+B31+B27/3</f>
        <v>3.24</v>
      </c>
      <c r="D33" s="1899">
        <f t="shared" ref="D33:D35" si="1">B33*C33*0.0123</f>
        <v>0.19925999999999999</v>
      </c>
    </row>
    <row r="34" spans="1:4">
      <c r="A34" s="3749" t="s">
        <v>3137</v>
      </c>
      <c r="B34" s="3155">
        <f>ROUNDUP(B22/0.3,0)/2</f>
        <v>3.5</v>
      </c>
      <c r="C34" s="510">
        <f>0.2*2+B28+B29+B23+B24/3</f>
        <v>3.51</v>
      </c>
      <c r="D34" s="1899">
        <f t="shared" si="1"/>
        <v>0.1511055</v>
      </c>
    </row>
    <row r="35" spans="1:4" ht="13.5" thickBot="1">
      <c r="A35" s="3751" t="s">
        <v>3138</v>
      </c>
      <c r="B35" s="3752">
        <f>ROUNDUP(B22/0.3,0)/2</f>
        <v>3.5</v>
      </c>
      <c r="C35" s="3753">
        <f>0.2*2+B28+B29+B23+B25/3</f>
        <v>4.49</v>
      </c>
      <c r="D35" s="3754">
        <f t="shared" si="1"/>
        <v>0.19329450000000001</v>
      </c>
    </row>
    <row r="36" spans="1:4" ht="13.5" thickBot="1"/>
    <row r="37" spans="1:4" ht="13.5" thickBot="1">
      <c r="A37" s="3761" t="s">
        <v>3129</v>
      </c>
      <c r="B37" s="3762">
        <v>4</v>
      </c>
      <c r="C37" s="3763"/>
      <c r="D37" s="3764"/>
    </row>
    <row r="38" spans="1:4">
      <c r="A38" s="3748" t="s">
        <v>3133</v>
      </c>
      <c r="B38" s="3758">
        <v>2.88</v>
      </c>
      <c r="C38" s="510"/>
      <c r="D38" s="1899"/>
    </row>
    <row r="39" spans="1:4" ht="13.5" thickBot="1">
      <c r="A39" s="3756" t="s">
        <v>3134</v>
      </c>
      <c r="B39" s="3757">
        <v>2.78</v>
      </c>
      <c r="C39" s="510"/>
      <c r="D39" s="1899"/>
    </row>
    <row r="40" spans="1:4">
      <c r="A40" s="3745" t="s">
        <v>3130</v>
      </c>
      <c r="B40" s="3755">
        <v>0</v>
      </c>
      <c r="C40" s="510"/>
      <c r="D40" s="1899"/>
    </row>
    <row r="41" spans="1:4">
      <c r="A41" s="3748" t="s">
        <v>3131</v>
      </c>
      <c r="B41" s="3758">
        <v>2.93</v>
      </c>
      <c r="C41" s="510"/>
      <c r="D41" s="1899"/>
    </row>
    <row r="42" spans="1:4">
      <c r="A42" s="3748" t="s">
        <v>540</v>
      </c>
      <c r="B42" s="3758">
        <v>0.3</v>
      </c>
      <c r="C42" s="510"/>
      <c r="D42" s="1899"/>
    </row>
    <row r="43" spans="1:4" ht="13.5" thickBot="1">
      <c r="A43" s="3756" t="s">
        <v>3132</v>
      </c>
      <c r="B43" s="3757">
        <v>1.86</v>
      </c>
      <c r="C43" s="510"/>
      <c r="D43" s="1899"/>
    </row>
    <row r="44" spans="1:4" s="3742" customFormat="1">
      <c r="A44" s="3745" t="s">
        <v>3139</v>
      </c>
      <c r="B44" s="3755">
        <v>0.3</v>
      </c>
      <c r="C44" s="510"/>
      <c r="D44" s="1899"/>
    </row>
    <row r="45" spans="1:4" s="3742" customFormat="1">
      <c r="A45" s="3748" t="s">
        <v>3140</v>
      </c>
      <c r="B45" s="3758">
        <v>0</v>
      </c>
      <c r="C45" s="510"/>
      <c r="D45" s="1899"/>
    </row>
    <row r="46" spans="1:4" s="3742" customFormat="1">
      <c r="A46" s="3748" t="s">
        <v>3141</v>
      </c>
      <c r="B46" s="3758">
        <v>0.3</v>
      </c>
      <c r="C46" s="510"/>
      <c r="D46" s="1899"/>
    </row>
    <row r="47" spans="1:4" s="3742" customFormat="1" ht="13.5" thickBot="1">
      <c r="A47" s="3748" t="s">
        <v>3142</v>
      </c>
      <c r="B47" s="3758">
        <v>0</v>
      </c>
      <c r="C47" s="510"/>
      <c r="D47" s="1899"/>
    </row>
    <row r="48" spans="1:4">
      <c r="A48" s="3759" t="s">
        <v>3135</v>
      </c>
      <c r="B48" s="3746">
        <f>ROUNDUP(B39/0.3,0)/2</f>
        <v>5</v>
      </c>
      <c r="C48" s="3760">
        <f>B38+B46+0.2*2+B47+B42/3</f>
        <v>3.68</v>
      </c>
      <c r="D48" s="3747">
        <f>B48*C48*0.0123</f>
        <v>0.22631999999999999</v>
      </c>
    </row>
    <row r="49" spans="1:13">
      <c r="A49" s="3749" t="s">
        <v>3136</v>
      </c>
      <c r="B49" s="3155">
        <f>ROUNDUP(B39/0.3,0)/2</f>
        <v>5</v>
      </c>
      <c r="C49" s="3750">
        <f>B38+B46+0.2*2+B47+B43/3</f>
        <v>4.2</v>
      </c>
      <c r="D49" s="1899">
        <f t="shared" ref="D49:D51" si="2">B49*C49*0.0123</f>
        <v>0.25829999999999997</v>
      </c>
    </row>
    <row r="50" spans="1:13">
      <c r="A50" s="3749" t="s">
        <v>3137</v>
      </c>
      <c r="B50" s="3155">
        <f>ROUNDUP(B38/0.3,0)/2</f>
        <v>5</v>
      </c>
      <c r="C50" s="510">
        <f>0.2*2+B44+B45+B39+B40/3</f>
        <v>3.48</v>
      </c>
      <c r="D50" s="1899">
        <f t="shared" si="2"/>
        <v>0.21401999999999999</v>
      </c>
    </row>
    <row r="51" spans="1:13" ht="13.5" thickBot="1">
      <c r="A51" s="3751" t="s">
        <v>3138</v>
      </c>
      <c r="B51" s="3752">
        <f>ROUNDUP(B38/0.3,0)/2</f>
        <v>5</v>
      </c>
      <c r="C51" s="3753">
        <f>0.2*2+B44+B45+B39+B41/3</f>
        <v>4.46</v>
      </c>
      <c r="D51" s="3754">
        <f t="shared" si="2"/>
        <v>0.27428999999999998</v>
      </c>
    </row>
    <row r="52" spans="1:13" ht="13.5" thickBot="1"/>
    <row r="53" spans="1:13" ht="13.5" thickBot="1">
      <c r="A53" s="3761" t="s">
        <v>3129</v>
      </c>
      <c r="B53" s="3762">
        <v>4</v>
      </c>
      <c r="C53" s="3763"/>
      <c r="D53" s="3764"/>
      <c r="M53">
        <f>36*25/3.28*0.0219</f>
        <v>6.0091463414634196</v>
      </c>
    </row>
    <row r="54" spans="1:13">
      <c r="A54" s="3748" t="s">
        <v>3133</v>
      </c>
      <c r="B54" s="3758">
        <v>2.88</v>
      </c>
      <c r="C54" s="510"/>
      <c r="D54" s="1899"/>
    </row>
    <row r="55" spans="1:13" ht="13.5" thickBot="1">
      <c r="A55" s="3756" t="s">
        <v>3134</v>
      </c>
      <c r="B55" s="3757">
        <v>2.78</v>
      </c>
      <c r="C55" s="510"/>
      <c r="D55" s="1899"/>
    </row>
    <row r="56" spans="1:13">
      <c r="A56" s="3745" t="s">
        <v>3130</v>
      </c>
      <c r="B56" s="3755">
        <v>0</v>
      </c>
      <c r="C56" s="510"/>
      <c r="D56" s="1899"/>
    </row>
    <row r="57" spans="1:13">
      <c r="A57" s="3748" t="s">
        <v>3131</v>
      </c>
      <c r="B57" s="3758">
        <v>2.93</v>
      </c>
      <c r="C57" s="510"/>
      <c r="D57" s="1899"/>
    </row>
    <row r="58" spans="1:13">
      <c r="A58" s="3748" t="s">
        <v>540</v>
      </c>
      <c r="B58" s="3758">
        <v>0.3</v>
      </c>
      <c r="C58" s="510"/>
      <c r="D58" s="1899"/>
    </row>
    <row r="59" spans="1:13" ht="13.5" thickBot="1">
      <c r="A59" s="3756" t="s">
        <v>3132</v>
      </c>
      <c r="B59" s="3757">
        <v>1.86</v>
      </c>
      <c r="C59" s="510"/>
      <c r="D59" s="1899"/>
    </row>
    <row r="60" spans="1:13">
      <c r="A60" s="3745" t="s">
        <v>3139</v>
      </c>
      <c r="B60" s="3755">
        <v>0.3</v>
      </c>
      <c r="C60" s="510"/>
      <c r="D60" s="1899"/>
    </row>
    <row r="61" spans="1:13">
      <c r="A61" s="3748" t="s">
        <v>3140</v>
      </c>
      <c r="B61" s="3758">
        <v>0</v>
      </c>
      <c r="C61" s="510"/>
      <c r="D61" s="1899"/>
    </row>
    <row r="62" spans="1:13">
      <c r="A62" s="3748" t="s">
        <v>3141</v>
      </c>
      <c r="B62" s="3758">
        <v>0.3</v>
      </c>
      <c r="C62" s="510"/>
      <c r="D62" s="1899"/>
    </row>
    <row r="63" spans="1:13" ht="13.5" thickBot="1">
      <c r="A63" s="3748" t="s">
        <v>3142</v>
      </c>
      <c r="B63" s="3758">
        <v>0</v>
      </c>
      <c r="C63" s="510"/>
      <c r="D63" s="1899"/>
    </row>
    <row r="64" spans="1:13">
      <c r="A64" s="3759" t="s">
        <v>3135</v>
      </c>
      <c r="B64" s="3746">
        <f>ROUNDUP(B55/0.3,0)/2</f>
        <v>5</v>
      </c>
      <c r="C64" s="3760">
        <f>B54+B62+0.2*2+B63+B58/3</f>
        <v>3.68</v>
      </c>
      <c r="D64" s="3747">
        <f>B64*C64*0.0123</f>
        <v>0.22631999999999999</v>
      </c>
    </row>
    <row r="65" spans="1:4">
      <c r="A65" s="3749" t="s">
        <v>3136</v>
      </c>
      <c r="B65" s="3155">
        <f>ROUNDUP(B55/0.3,0)/2</f>
        <v>5</v>
      </c>
      <c r="C65" s="3750">
        <f>B54+B62+0.2*2+B63+B59/3</f>
        <v>4.2</v>
      </c>
      <c r="D65" s="1899">
        <f t="shared" ref="D65:D67" si="3">B65*C65*0.0123</f>
        <v>0.25829999999999997</v>
      </c>
    </row>
    <row r="66" spans="1:4">
      <c r="A66" s="3749" t="s">
        <v>3137</v>
      </c>
      <c r="B66" s="3155">
        <f>ROUNDUP(B54/0.3,0)/2</f>
        <v>5</v>
      </c>
      <c r="C66" s="510">
        <f>0.2*2+B60+B61+B55+B56/3</f>
        <v>3.48</v>
      </c>
      <c r="D66" s="1899">
        <f t="shared" si="3"/>
        <v>0.21401999999999999</v>
      </c>
    </row>
    <row r="67" spans="1:4" ht="13.5" thickBot="1">
      <c r="A67" s="3751" t="s">
        <v>3138</v>
      </c>
      <c r="B67" s="3752">
        <f>ROUNDUP(B54/0.3,0)/2</f>
        <v>5</v>
      </c>
      <c r="C67" s="3753">
        <f>0.2*2+B60+B61+B55+B57/3</f>
        <v>4.46</v>
      </c>
      <c r="D67" s="3754">
        <f t="shared" si="3"/>
        <v>0.27428999999999998</v>
      </c>
    </row>
    <row r="68" spans="1:4" ht="13.5" thickBot="1"/>
    <row r="69" spans="1:4" ht="13.5" thickBot="1">
      <c r="A69" s="3761" t="s">
        <v>3129</v>
      </c>
      <c r="B69" s="3762">
        <v>5</v>
      </c>
      <c r="C69" s="3763"/>
      <c r="D69" s="3764"/>
    </row>
    <row r="70" spans="1:4">
      <c r="A70" s="3748" t="s">
        <v>3133</v>
      </c>
      <c r="B70" s="3758">
        <v>2.2999999999999998</v>
      </c>
      <c r="C70" s="510"/>
      <c r="D70" s="1899"/>
    </row>
    <row r="71" spans="1:4" ht="13.5" thickBot="1">
      <c r="A71" s="3756" t="s">
        <v>3134</v>
      </c>
      <c r="B71" s="3757">
        <v>2.93</v>
      </c>
      <c r="C71" s="510"/>
      <c r="D71" s="1899"/>
    </row>
    <row r="72" spans="1:4">
      <c r="A72" s="3745" t="s">
        <v>3130</v>
      </c>
      <c r="B72" s="3755">
        <v>0</v>
      </c>
      <c r="C72" s="510"/>
      <c r="D72" s="1899"/>
    </row>
    <row r="73" spans="1:4">
      <c r="A73" s="3748" t="s">
        <v>3131</v>
      </c>
      <c r="B73" s="3758">
        <v>0</v>
      </c>
      <c r="C73" s="510"/>
      <c r="D73" s="1899"/>
    </row>
    <row r="74" spans="1:4">
      <c r="A74" s="3748" t="s">
        <v>540</v>
      </c>
      <c r="B74" s="3758">
        <v>3.17</v>
      </c>
      <c r="C74" s="510"/>
      <c r="D74" s="1899"/>
    </row>
    <row r="75" spans="1:4" ht="13.5" thickBot="1">
      <c r="A75" s="3756" t="s">
        <v>3132</v>
      </c>
      <c r="B75" s="3757">
        <v>0</v>
      </c>
      <c r="C75" s="510"/>
      <c r="D75" s="1899"/>
    </row>
    <row r="76" spans="1:4">
      <c r="A76" s="3745" t="s">
        <v>3139</v>
      </c>
      <c r="B76" s="3755">
        <v>1</v>
      </c>
      <c r="C76" s="510"/>
      <c r="D76" s="1899"/>
    </row>
    <row r="77" spans="1:4">
      <c r="A77" s="3748" t="s">
        <v>3140</v>
      </c>
      <c r="B77" s="3758">
        <v>0.3</v>
      </c>
      <c r="C77" s="510"/>
      <c r="D77" s="1899"/>
    </row>
    <row r="78" spans="1:4">
      <c r="A78" s="3748" t="s">
        <v>3141</v>
      </c>
      <c r="B78" s="3758">
        <v>0</v>
      </c>
      <c r="C78" s="510"/>
      <c r="D78" s="1899"/>
    </row>
    <row r="79" spans="1:4" ht="13.5" thickBot="1">
      <c r="A79" s="3748" t="s">
        <v>3142</v>
      </c>
      <c r="B79" s="3758">
        <v>0.3</v>
      </c>
      <c r="C79" s="510"/>
      <c r="D79" s="1899"/>
    </row>
    <row r="80" spans="1:4">
      <c r="A80" s="3759" t="s">
        <v>3135</v>
      </c>
      <c r="B80" s="3746">
        <f>ROUNDUP(B71/0.3,0)/2</f>
        <v>5</v>
      </c>
      <c r="C80" s="3760">
        <f>B70+B78+0.2*2+B79+B74/3</f>
        <v>4.0599999999999996</v>
      </c>
      <c r="D80" s="3747">
        <f>B80*C80*0.0123</f>
        <v>0.24969</v>
      </c>
    </row>
    <row r="81" spans="1:4">
      <c r="A81" s="3749" t="s">
        <v>3136</v>
      </c>
      <c r="B81" s="3155">
        <f>ROUNDUP(B71/0.3,0)/2</f>
        <v>5</v>
      </c>
      <c r="C81" s="3750">
        <f>B70+B78+0.2*2+B79+B75/3</f>
        <v>3</v>
      </c>
      <c r="D81" s="1899">
        <f t="shared" ref="D81:D83" si="4">B81*C81*0.0123</f>
        <v>0.1845</v>
      </c>
    </row>
    <row r="82" spans="1:4">
      <c r="A82" s="3749" t="s">
        <v>3137</v>
      </c>
      <c r="B82" s="3155">
        <f>ROUNDUP(B70/0.3,0)/2</f>
        <v>4</v>
      </c>
      <c r="C82" s="510">
        <f>0.2*2+B76+B77+B71+B72/3</f>
        <v>4.63</v>
      </c>
      <c r="D82" s="1899">
        <f t="shared" si="4"/>
        <v>0.227796</v>
      </c>
    </row>
    <row r="83" spans="1:4" ht="13.5" thickBot="1">
      <c r="A83" s="3751" t="s">
        <v>3138</v>
      </c>
      <c r="B83" s="3752">
        <f>ROUNDUP(B70/0.3,0)/2</f>
        <v>4</v>
      </c>
      <c r="C83" s="3753">
        <f>0.2*2+B76+B77+B71+B73/3</f>
        <v>4.63</v>
      </c>
      <c r="D83" s="3754">
        <f t="shared" si="4"/>
        <v>0.227796</v>
      </c>
    </row>
    <row r="84" spans="1:4" ht="13.5" thickBot="1"/>
    <row r="85" spans="1:4" ht="13.5" thickBot="1">
      <c r="A85" s="3761" t="s">
        <v>3129</v>
      </c>
      <c r="B85" s="3762">
        <v>6</v>
      </c>
      <c r="C85" s="3763"/>
      <c r="D85" s="3764"/>
    </row>
    <row r="86" spans="1:4">
      <c r="A86" s="3748" t="s">
        <v>3133</v>
      </c>
      <c r="B86" s="3758">
        <v>3.17</v>
      </c>
      <c r="C86" s="510"/>
      <c r="D86" s="1899"/>
    </row>
    <row r="87" spans="1:4" ht="13.5" thickBot="1">
      <c r="A87" s="3756" t="s">
        <v>3134</v>
      </c>
      <c r="B87" s="3757">
        <v>5.03</v>
      </c>
      <c r="C87" s="510"/>
      <c r="D87" s="1899"/>
    </row>
    <row r="88" spans="1:4">
      <c r="A88" s="3745" t="s">
        <v>3130</v>
      </c>
      <c r="B88" s="3755">
        <v>2.78</v>
      </c>
      <c r="C88" s="510"/>
      <c r="D88" s="1899"/>
    </row>
    <row r="89" spans="1:4">
      <c r="A89" s="3748" t="s">
        <v>3131</v>
      </c>
      <c r="B89" s="3758">
        <v>0</v>
      </c>
      <c r="C89" s="510"/>
      <c r="D89" s="1899"/>
    </row>
    <row r="90" spans="1:4">
      <c r="A90" s="3748" t="s">
        <v>540</v>
      </c>
      <c r="B90" s="3758">
        <v>3.9</v>
      </c>
      <c r="C90" s="510"/>
      <c r="D90" s="1899"/>
    </row>
    <row r="91" spans="1:4" ht="13.5" thickBot="1">
      <c r="A91" s="3756" t="s">
        <v>3132</v>
      </c>
      <c r="B91" s="3757">
        <v>2.2999999999999998</v>
      </c>
      <c r="C91" s="510"/>
      <c r="D91" s="1899"/>
    </row>
    <row r="92" spans="1:4">
      <c r="A92" s="3745" t="s">
        <v>3139</v>
      </c>
      <c r="B92" s="3755">
        <v>0</v>
      </c>
      <c r="C92" s="510"/>
      <c r="D92" s="1899"/>
    </row>
    <row r="93" spans="1:4">
      <c r="A93" s="3748" t="s">
        <v>3140</v>
      </c>
      <c r="B93" s="3758">
        <v>0.3</v>
      </c>
      <c r="C93" s="510"/>
      <c r="D93" s="1899"/>
    </row>
    <row r="94" spans="1:4">
      <c r="A94" s="3748" t="s">
        <v>3141</v>
      </c>
      <c r="B94" s="3758">
        <v>0</v>
      </c>
      <c r="C94" s="510"/>
      <c r="D94" s="1899"/>
    </row>
    <row r="95" spans="1:4" ht="13.5" thickBot="1">
      <c r="A95" s="3748" t="s">
        <v>3142</v>
      </c>
      <c r="B95" s="3758">
        <v>0</v>
      </c>
      <c r="C95" s="510"/>
      <c r="D95" s="1899"/>
    </row>
    <row r="96" spans="1:4">
      <c r="A96" s="3759" t="s">
        <v>3135</v>
      </c>
      <c r="B96" s="3746">
        <f>ROUNDUP(ROUNDUP(B87/0.2,0)/2,0)</f>
        <v>13</v>
      </c>
      <c r="C96" s="3760">
        <f>B86+B94+0.2*2+B95+B90/3</f>
        <v>4.87</v>
      </c>
      <c r="D96" s="3747">
        <f>B96*C96*0.0123</f>
        <v>0.77871299999999999</v>
      </c>
    </row>
    <row r="97" spans="1:4">
      <c r="A97" s="3749" t="s">
        <v>3136</v>
      </c>
      <c r="B97" s="3155">
        <f>ROUNDUP(ROUNDUP(B87/0.2,0)/2,0)</f>
        <v>13</v>
      </c>
      <c r="C97" s="3750">
        <f>B86+B94+0.2*2+B95+B91/3</f>
        <v>4.34</v>
      </c>
      <c r="D97" s="1899">
        <f t="shared" ref="D97:D99" si="5">B97*C97*0.0123</f>
        <v>0.69396599999999997</v>
      </c>
    </row>
    <row r="98" spans="1:4">
      <c r="A98" s="3749" t="s">
        <v>3137</v>
      </c>
      <c r="B98" s="3155">
        <f>ROUNDUP(ROUNDUP(B86/0.3,0)/2,0)</f>
        <v>6</v>
      </c>
      <c r="C98" s="510">
        <f>0.2*2+B92+B93+B87+B88/3</f>
        <v>6.6566666666666698</v>
      </c>
      <c r="D98" s="1899">
        <f t="shared" si="5"/>
        <v>0.49126199999999998</v>
      </c>
    </row>
    <row r="99" spans="1:4" ht="13.5" thickBot="1">
      <c r="A99" s="3751" t="s">
        <v>3138</v>
      </c>
      <c r="B99" s="3752">
        <f>ROUNDUP(ROUNDUP(B86/0.3,0)/2,0)</f>
        <v>6</v>
      </c>
      <c r="C99" s="3753">
        <f>0.2*2+B92+B93+B87+B89/3</f>
        <v>5.73</v>
      </c>
      <c r="D99" s="3754">
        <f t="shared" si="5"/>
        <v>0.42287400000000003</v>
      </c>
    </row>
    <row r="100" spans="1:4" ht="13.5" thickBot="1"/>
    <row r="101" spans="1:4" ht="13.5" thickBot="1">
      <c r="A101" s="3761" t="s">
        <v>3129</v>
      </c>
      <c r="B101" s="3762">
        <v>7</v>
      </c>
      <c r="C101" s="3763"/>
      <c r="D101" s="3764"/>
    </row>
    <row r="102" spans="1:4">
      <c r="A102" s="3748" t="s">
        <v>3133</v>
      </c>
      <c r="B102" s="3758">
        <v>3.9</v>
      </c>
      <c r="C102" s="510"/>
      <c r="D102" s="1899"/>
    </row>
    <row r="103" spans="1:4" ht="13.5" thickBot="1">
      <c r="A103" s="3756" t="s">
        <v>3134</v>
      </c>
      <c r="B103" s="3757">
        <v>2.93</v>
      </c>
      <c r="C103" s="510"/>
      <c r="D103" s="1899"/>
    </row>
    <row r="104" spans="1:4">
      <c r="A104" s="3745" t="s">
        <v>3130</v>
      </c>
      <c r="B104" s="3755">
        <v>2.78</v>
      </c>
      <c r="C104" s="510"/>
      <c r="D104" s="1899"/>
    </row>
    <row r="105" spans="1:4">
      <c r="A105" s="3748" t="s">
        <v>3131</v>
      </c>
      <c r="B105" s="3758">
        <v>1.95</v>
      </c>
      <c r="C105" s="510"/>
      <c r="D105" s="1899"/>
    </row>
    <row r="106" spans="1:4">
      <c r="A106" s="3748" t="s">
        <v>540</v>
      </c>
      <c r="B106" s="3758">
        <v>0</v>
      </c>
      <c r="C106" s="510"/>
      <c r="D106" s="1899"/>
    </row>
    <row r="107" spans="1:4" ht="13.5" thickBot="1">
      <c r="A107" s="3756" t="s">
        <v>3132</v>
      </c>
      <c r="B107" s="3757">
        <v>3.17</v>
      </c>
      <c r="C107" s="510"/>
      <c r="D107" s="1899"/>
    </row>
    <row r="108" spans="1:4">
      <c r="A108" s="3745" t="s">
        <v>3139</v>
      </c>
      <c r="B108" s="3755">
        <v>0</v>
      </c>
      <c r="C108" s="510"/>
      <c r="D108" s="1899"/>
    </row>
    <row r="109" spans="1:4">
      <c r="A109" s="3748" t="s">
        <v>3140</v>
      </c>
      <c r="B109" s="3758">
        <v>0</v>
      </c>
      <c r="C109" s="510"/>
      <c r="D109" s="1899"/>
    </row>
    <row r="110" spans="1:4">
      <c r="A110" s="3748" t="s">
        <v>3141</v>
      </c>
      <c r="B110" s="3758">
        <v>0.3</v>
      </c>
      <c r="C110" s="510"/>
      <c r="D110" s="1899"/>
    </row>
    <row r="111" spans="1:4" ht="13.5" thickBot="1">
      <c r="A111" s="3748" t="s">
        <v>3142</v>
      </c>
      <c r="B111" s="3758">
        <v>0</v>
      </c>
      <c r="C111" s="510"/>
      <c r="D111" s="1899"/>
    </row>
    <row r="112" spans="1:4">
      <c r="A112" s="3759" t="s">
        <v>3135</v>
      </c>
      <c r="B112" s="3746">
        <f>ROUNDUP(ROUNDUP(B103/0.3,0)/2,0)</f>
        <v>5</v>
      </c>
      <c r="C112" s="3760">
        <f>B102+B110+0.2*2+B111+B106/3</f>
        <v>4.5999999999999996</v>
      </c>
      <c r="D112" s="3747">
        <f>B112*C112*0.0123</f>
        <v>0.28289999999999998</v>
      </c>
    </row>
    <row r="113" spans="1:4">
      <c r="A113" s="3749" t="s">
        <v>3136</v>
      </c>
      <c r="B113" s="3155">
        <f>ROUNDUP(ROUNDUP(B103/0.3,0)/2,0)</f>
        <v>5</v>
      </c>
      <c r="C113" s="3750">
        <f>B102+B110+0.2*2+B111+B107/3</f>
        <v>5.66</v>
      </c>
      <c r="D113" s="1899">
        <f t="shared" ref="D113:D115" si="6">B113*C113*0.0123</f>
        <v>0.34809000000000001</v>
      </c>
    </row>
    <row r="114" spans="1:4">
      <c r="A114" s="3749" t="s">
        <v>3137</v>
      </c>
      <c r="B114" s="3155">
        <f>ROUNDUP(ROUNDUP(B102/0.3,0)/2,0)</f>
        <v>7</v>
      </c>
      <c r="C114" s="510">
        <f>0.2*2+B108+B109+B103+B104/3</f>
        <v>4.2566666666666704</v>
      </c>
      <c r="D114" s="1899">
        <f t="shared" si="6"/>
        <v>0.36649900000000002</v>
      </c>
    </row>
    <row r="115" spans="1:4" ht="13.5" thickBot="1">
      <c r="A115" s="3751" t="s">
        <v>3138</v>
      </c>
      <c r="B115" s="3752">
        <f>ROUNDUP(ROUNDUP(B102/0.3,0)/2,0)</f>
        <v>7</v>
      </c>
      <c r="C115" s="3753">
        <f>0.2*2+B108+B109+B103+B105/3</f>
        <v>3.98</v>
      </c>
      <c r="D115" s="3754">
        <f t="shared" si="6"/>
        <v>0.34267799999999998</v>
      </c>
    </row>
    <row r="116" spans="1:4" ht="13.5" thickBot="1"/>
    <row r="117" spans="1:4" ht="13.5" thickBot="1">
      <c r="A117" s="3761" t="s">
        <v>3129</v>
      </c>
      <c r="B117" s="3762">
        <v>8</v>
      </c>
      <c r="C117" s="3763"/>
      <c r="D117" s="3764"/>
    </row>
    <row r="118" spans="1:4">
      <c r="A118" s="3748" t="s">
        <v>3133</v>
      </c>
      <c r="B118" s="3758">
        <v>3.91</v>
      </c>
      <c r="C118" s="510"/>
      <c r="D118" s="1899"/>
    </row>
    <row r="119" spans="1:4" ht="13.5" thickBot="1">
      <c r="A119" s="3756" t="s">
        <v>3134</v>
      </c>
      <c r="B119" s="3757">
        <v>1.95</v>
      </c>
      <c r="C119" s="510"/>
      <c r="D119" s="1899"/>
    </row>
    <row r="120" spans="1:4">
      <c r="A120" s="3745" t="s">
        <v>3130</v>
      </c>
      <c r="B120" s="3755">
        <v>10.96</v>
      </c>
      <c r="C120" s="510"/>
      <c r="D120" s="1899"/>
    </row>
    <row r="121" spans="1:4">
      <c r="A121" s="3748" t="s">
        <v>3131</v>
      </c>
      <c r="B121" s="3758">
        <v>0</v>
      </c>
      <c r="C121" s="510"/>
      <c r="D121" s="1899"/>
    </row>
    <row r="122" spans="1:4">
      <c r="A122" s="3748" t="s">
        <v>540</v>
      </c>
      <c r="B122" s="3758">
        <v>0</v>
      </c>
      <c r="C122" s="510"/>
      <c r="D122" s="1899"/>
    </row>
    <row r="123" spans="1:4" ht="13.5" thickBot="1">
      <c r="A123" s="3756" t="s">
        <v>3132</v>
      </c>
      <c r="B123" s="3757">
        <v>3.17</v>
      </c>
      <c r="C123" s="510"/>
      <c r="D123" s="1899"/>
    </row>
    <row r="124" spans="1:4">
      <c r="A124" s="3745" t="s">
        <v>3139</v>
      </c>
      <c r="B124" s="3755">
        <v>0</v>
      </c>
      <c r="C124" s="510"/>
      <c r="D124" s="1899"/>
    </row>
    <row r="125" spans="1:4">
      <c r="A125" s="3748" t="s">
        <v>3140</v>
      </c>
      <c r="B125" s="3758">
        <v>0.3</v>
      </c>
      <c r="C125" s="510"/>
      <c r="D125" s="1899"/>
    </row>
    <row r="126" spans="1:4">
      <c r="A126" s="3748" t="s">
        <v>3141</v>
      </c>
      <c r="B126" s="3758">
        <v>0.3</v>
      </c>
      <c r="C126" s="510"/>
      <c r="D126" s="1899"/>
    </row>
    <row r="127" spans="1:4" ht="13.5" thickBot="1">
      <c r="A127" s="3748" t="s">
        <v>3142</v>
      </c>
      <c r="B127" s="3758">
        <v>0</v>
      </c>
      <c r="C127" s="510"/>
      <c r="D127" s="1899"/>
    </row>
    <row r="128" spans="1:4">
      <c r="A128" s="3759" t="s">
        <v>3135</v>
      </c>
      <c r="B128" s="3746">
        <f>ROUNDUP(ROUNDUP(B119/0.3,0)/2,0)</f>
        <v>4</v>
      </c>
      <c r="C128" s="3760">
        <f>B118+B126+0.2*2+B127+B122/3</f>
        <v>4.6100000000000003</v>
      </c>
      <c r="D128" s="3747">
        <f>B128*C128*0.0123</f>
        <v>0.22681200000000001</v>
      </c>
    </row>
    <row r="129" spans="1:5">
      <c r="A129" s="3749" t="s">
        <v>3136</v>
      </c>
      <c r="B129" s="3155">
        <f>ROUNDUP(ROUNDUP(B119/0.3,0)/2,0)</f>
        <v>4</v>
      </c>
      <c r="C129" s="3750">
        <f>B118+B126+0.2*2+B127+B123/3</f>
        <v>5.67</v>
      </c>
      <c r="D129" s="1899">
        <f t="shared" ref="D129:D131" si="7">B129*C129*0.0123</f>
        <v>0.27896399999999999</v>
      </c>
    </row>
    <row r="130" spans="1:5">
      <c r="A130" s="3749" t="s">
        <v>3137</v>
      </c>
      <c r="B130" s="3155">
        <f>ROUNDUP(ROUNDUP(B118/0.3,0)/2,0)</f>
        <v>7</v>
      </c>
      <c r="C130" s="510">
        <f>0.2*2+B124+B125+B119+B120/3</f>
        <v>6.3033333333333301</v>
      </c>
      <c r="D130" s="1899">
        <f t="shared" si="7"/>
        <v>0.542717</v>
      </c>
    </row>
    <row r="131" spans="1:5" ht="13.5" thickBot="1">
      <c r="A131" s="3751" t="s">
        <v>3138</v>
      </c>
      <c r="B131" s="3752">
        <f>ROUNDUP(ROUNDUP(B118/0.3,0)/2,0)</f>
        <v>7</v>
      </c>
      <c r="C131" s="3753">
        <f>0.2*2+B124+B125+B119+B121/3</f>
        <v>2.65</v>
      </c>
      <c r="D131" s="3754">
        <f t="shared" si="7"/>
        <v>0.22816500000000001</v>
      </c>
    </row>
    <row r="134" spans="1:5">
      <c r="A134" s="474" t="s">
        <v>3143</v>
      </c>
    </row>
    <row r="135" spans="1:5">
      <c r="A135" s="474" t="s">
        <v>3144</v>
      </c>
      <c r="B135" s="474">
        <f>ROUNDUP(3.17/0.3,0)</f>
        <v>11</v>
      </c>
      <c r="C135">
        <f>2.78/3+0.2+5.03/3</f>
        <v>2.8033333333333301</v>
      </c>
      <c r="D135">
        <f>0.0123*C135*B135</f>
        <v>0.37929099999999999</v>
      </c>
    </row>
    <row r="136" spans="1:5">
      <c r="A136" s="474" t="s">
        <v>3145</v>
      </c>
      <c r="B136" s="474">
        <f>ROUNDUP(3.9/0.3,0)</f>
        <v>13</v>
      </c>
      <c r="C136" s="3742">
        <f>2.78/3+0.2+2.93/3</f>
        <v>2.1033333333333299</v>
      </c>
      <c r="D136" s="3742">
        <f t="shared" ref="D136:D140" si="8">0.0123*C136*B136</f>
        <v>0.33632299999999898</v>
      </c>
    </row>
    <row r="137" spans="1:5">
      <c r="A137" s="474" t="s">
        <v>3146</v>
      </c>
      <c r="B137" s="474">
        <f>ROUNDUP(3.9/0.3,0)</f>
        <v>13</v>
      </c>
      <c r="C137" s="3742">
        <f>1.95/3+0.2+2.93/3</f>
        <v>1.82666666666667</v>
      </c>
      <c r="D137" s="3742">
        <f t="shared" si="8"/>
        <v>0.29208400000000101</v>
      </c>
    </row>
    <row r="138" spans="1:5">
      <c r="D138" s="3742"/>
    </row>
    <row r="139" spans="1:5">
      <c r="A139" s="474" t="s">
        <v>3147</v>
      </c>
      <c r="B139" s="474">
        <f>ROUNDUP(2.93/0.3,0)</f>
        <v>10</v>
      </c>
      <c r="C139">
        <f>2.3/3+0.2+3.17/3</f>
        <v>2.0233333333333299</v>
      </c>
      <c r="D139" s="3742">
        <f t="shared" si="8"/>
        <v>0.24887000000000001</v>
      </c>
    </row>
    <row r="140" spans="1:5">
      <c r="A140" s="474" t="s">
        <v>3148</v>
      </c>
      <c r="B140" s="474">
        <f>ROUNDUP(2.93/0.3,0)</f>
        <v>10</v>
      </c>
      <c r="C140" s="3742">
        <f>3.9/3+0.2+3.17/3</f>
        <v>2.5566666666666702</v>
      </c>
      <c r="D140" s="3742">
        <f t="shared" si="8"/>
        <v>0.31447000000000003</v>
      </c>
    </row>
    <row r="142" spans="1:5">
      <c r="D142">
        <f>SUM(D5:D141)</f>
        <v>11.16799</v>
      </c>
    </row>
    <row r="144" spans="1:5">
      <c r="D144">
        <f>D142*1.15</f>
        <v>12.8431885</v>
      </c>
      <c r="E144" t="s">
        <v>242</v>
      </c>
    </row>
    <row r="145" spans="2:4">
      <c r="B145" s="474" t="s">
        <v>2</v>
      </c>
      <c r="D145">
        <f>75.5*0.1</f>
        <v>7.55</v>
      </c>
    </row>
    <row r="146" spans="2:4">
      <c r="D146">
        <f>D144/D145</f>
        <v>1.7010845695364201</v>
      </c>
    </row>
  </sheetData>
  <customSheetViews>
    <customSheetView guid="{43BC9397-3E8C-478C-B548-E4A845A7F82B}" topLeftCell="A109">
      <selection activeCell="D145" sqref="D145"/>
      <pageMargins left="0.7" right="0.7" top="0.75" bottom="0.75" header="0.3" footer="0.3"/>
      <pageSetup paperSize="9" orientation="portrait" r:id="rId1"/>
    </customSheetView>
  </customSheetViews>
  <mergeCells count="1">
    <mergeCell ref="A3:D3"/>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3:Q72"/>
  <sheetViews>
    <sheetView workbookViewId="0"/>
  </sheetViews>
  <sheetFormatPr baseColWidth="10" defaultColWidth="11.42578125" defaultRowHeight="12.75"/>
  <sheetData>
    <row r="3" spans="1:17">
      <c r="B3" t="s">
        <v>2528</v>
      </c>
    </row>
    <row r="4" spans="1:17">
      <c r="B4" s="2029" t="s">
        <v>2529</v>
      </c>
      <c r="C4" t="s">
        <v>2530</v>
      </c>
    </row>
    <row r="5" spans="1:17">
      <c r="B5" s="2029" t="s">
        <v>2531</v>
      </c>
      <c r="C5" t="s">
        <v>2532</v>
      </c>
    </row>
    <row r="6" spans="1:17">
      <c r="A6" s="2029"/>
      <c r="B6" s="2029" t="s">
        <v>2533</v>
      </c>
      <c r="C6" t="s">
        <v>2534</v>
      </c>
    </row>
    <row r="7" spans="1:17">
      <c r="A7" s="2029"/>
      <c r="B7" s="2029" t="s">
        <v>2535</v>
      </c>
      <c r="C7" t="s">
        <v>2536</v>
      </c>
    </row>
    <row r="8" spans="1:17">
      <c r="A8" s="2029"/>
      <c r="B8" s="2029" t="s">
        <v>2537</v>
      </c>
      <c r="C8" t="s">
        <v>2538</v>
      </c>
    </row>
    <row r="9" spans="1:17">
      <c r="A9" s="2029"/>
      <c r="B9" s="2029">
        <v>5.0999999999999996</v>
      </c>
      <c r="C9" t="s">
        <v>2539</v>
      </c>
    </row>
    <row r="10" spans="1:17">
      <c r="A10" s="2029"/>
      <c r="B10" s="2029">
        <v>5.2</v>
      </c>
      <c r="C10" t="s">
        <v>2540</v>
      </c>
    </row>
    <row r="11" spans="1:17">
      <c r="A11" s="2029"/>
      <c r="B11" s="2029" t="s">
        <v>2541</v>
      </c>
      <c r="C11" t="s">
        <v>2542</v>
      </c>
    </row>
    <row r="12" spans="1:17">
      <c r="A12" s="2029"/>
      <c r="B12" s="2029" t="s">
        <v>2543</v>
      </c>
      <c r="C12" t="s">
        <v>2544</v>
      </c>
    </row>
    <row r="13" spans="1:17">
      <c r="A13" s="2029"/>
      <c r="B13" s="2029"/>
    </row>
    <row r="14" spans="1:17">
      <c r="A14" s="2029"/>
      <c r="B14" s="2029"/>
    </row>
    <row r="15" spans="1:17" s="3537" customFormat="1">
      <c r="A15" s="122"/>
      <c r="B15" s="122"/>
      <c r="C15" s="122"/>
      <c r="D15" s="122"/>
      <c r="E15" s="122"/>
      <c r="F15" s="122"/>
      <c r="G15" s="122"/>
      <c r="H15" s="122"/>
      <c r="I15" s="122"/>
      <c r="J15" s="122"/>
      <c r="K15" s="122"/>
      <c r="L15" s="122"/>
      <c r="M15" s="122"/>
      <c r="N15" s="122"/>
      <c r="O15" s="122"/>
    </row>
    <row r="16" spans="1:17" s="3537" customFormat="1" ht="13.5" thickBot="1">
      <c r="A16" s="61"/>
      <c r="B16" s="59"/>
      <c r="C16" s="59"/>
      <c r="D16" s="59"/>
      <c r="E16" s="5065" t="s">
        <v>65</v>
      </c>
      <c r="F16" s="5065"/>
      <c r="G16" s="62"/>
      <c r="H16" s="5065" t="s">
        <v>66</v>
      </c>
      <c r="I16" s="5065"/>
      <c r="J16" s="62"/>
      <c r="K16" s="5065" t="s">
        <v>67</v>
      </c>
      <c r="L16" s="5065"/>
      <c r="M16" s="62"/>
      <c r="N16" s="5065" t="s">
        <v>68</v>
      </c>
      <c r="O16" s="5065"/>
      <c r="P16" s="59"/>
      <c r="Q16" s="58"/>
    </row>
    <row r="17" spans="1:17" s="3537" customFormat="1" ht="13.5" thickBot="1">
      <c r="A17" s="61"/>
      <c r="B17" s="59"/>
      <c r="C17" s="63" t="s">
        <v>69</v>
      </c>
      <c r="D17" s="59"/>
      <c r="E17" s="64" t="s">
        <v>70</v>
      </c>
      <c r="F17" s="3541" t="s">
        <v>71</v>
      </c>
      <c r="G17" s="62"/>
      <c r="H17" s="64" t="s">
        <v>70</v>
      </c>
      <c r="I17" s="3541" t="s">
        <v>71</v>
      </c>
      <c r="J17" s="62"/>
      <c r="K17" s="64" t="s">
        <v>70</v>
      </c>
      <c r="L17" s="3541" t="s">
        <v>71</v>
      </c>
      <c r="M17" s="62"/>
      <c r="N17" s="64" t="s">
        <v>70</v>
      </c>
      <c r="O17" s="3541" t="s">
        <v>72</v>
      </c>
      <c r="P17" s="59"/>
      <c r="Q17" s="58"/>
    </row>
    <row r="18" spans="1:17" s="3537" customFormat="1">
      <c r="A18" s="66"/>
      <c r="B18" s="3542" t="s">
        <v>73</v>
      </c>
      <c r="C18" s="68"/>
      <c r="D18" s="69"/>
      <c r="E18" s="70">
        <v>0.63</v>
      </c>
      <c r="F18" s="71">
        <f t="shared" ref="F18:F22" si="0">+E18*C18</f>
        <v>0</v>
      </c>
      <c r="G18" s="69"/>
      <c r="H18" s="72">
        <v>0.06</v>
      </c>
      <c r="I18" s="71">
        <f t="shared" ref="I18" si="1">+H18*C18</f>
        <v>0</v>
      </c>
      <c r="J18" s="69"/>
      <c r="K18" s="73">
        <v>2E-3</v>
      </c>
      <c r="L18" s="71">
        <f t="shared" ref="L18:L22" si="2">+K18*C18</f>
        <v>0</v>
      </c>
      <c r="M18" s="69"/>
      <c r="N18" s="74">
        <v>1.388E-2</v>
      </c>
      <c r="O18" s="71">
        <f t="shared" ref="O18:O34" si="3">+N18*C18</f>
        <v>0</v>
      </c>
      <c r="P18" s="69"/>
      <c r="Q18" s="58"/>
    </row>
    <row r="19" spans="1:17" s="3537" customFormat="1">
      <c r="A19" s="66"/>
      <c r="B19" s="3542" t="s">
        <v>74</v>
      </c>
      <c r="C19" s="22"/>
      <c r="D19" s="69"/>
      <c r="E19" s="70">
        <f>0.8*1.08</f>
        <v>0.86</v>
      </c>
      <c r="F19" s="3543">
        <f t="shared" si="0"/>
        <v>0</v>
      </c>
      <c r="G19" s="69"/>
      <c r="H19" s="3544">
        <v>0.06</v>
      </c>
      <c r="I19" s="3543">
        <f>+H19*C19</f>
        <v>0</v>
      </c>
      <c r="J19" s="69"/>
      <c r="K19" s="3545">
        <v>4.5999999999999999E-3</v>
      </c>
      <c r="L19" s="3543">
        <f t="shared" si="2"/>
        <v>0</v>
      </c>
      <c r="M19" s="69"/>
      <c r="N19" s="3546">
        <v>1.7860000000000001E-2</v>
      </c>
      <c r="O19" s="3543">
        <f t="shared" si="3"/>
        <v>0</v>
      </c>
      <c r="P19" s="69"/>
      <c r="Q19" s="58"/>
    </row>
    <row r="20" spans="1:17" s="3537" customFormat="1">
      <c r="A20" s="66"/>
      <c r="B20" s="3542" t="s">
        <v>75</v>
      </c>
      <c r="C20" s="3547"/>
      <c r="D20" s="69"/>
      <c r="E20" s="70">
        <f>0.8*1.1</f>
        <v>0.88</v>
      </c>
      <c r="F20" s="3543">
        <f t="shared" si="0"/>
        <v>0</v>
      </c>
      <c r="G20" s="69"/>
      <c r="H20" s="3544">
        <v>0.06</v>
      </c>
      <c r="I20" s="3543">
        <f t="shared" ref="I20" si="4">+H20*C20</f>
        <v>0</v>
      </c>
      <c r="J20" s="69"/>
      <c r="K20" s="3545">
        <v>8.0999999999999996E-3</v>
      </c>
      <c r="L20" s="3543">
        <f t="shared" si="2"/>
        <v>0</v>
      </c>
      <c r="M20" s="69"/>
      <c r="N20" s="3546">
        <v>2.5000000000000001E-2</v>
      </c>
      <c r="O20" s="3543">
        <f t="shared" si="3"/>
        <v>0</v>
      </c>
      <c r="P20" s="69"/>
      <c r="Q20" s="58"/>
    </row>
    <row r="21" spans="1:17" s="3537" customFormat="1">
      <c r="A21" s="66"/>
      <c r="B21" s="3542" t="s">
        <v>76</v>
      </c>
      <c r="C21" s="3542"/>
      <c r="D21" s="69"/>
      <c r="E21" s="70">
        <f>0.8*1.15</f>
        <v>0.92</v>
      </c>
      <c r="F21" s="3543">
        <f t="shared" si="0"/>
        <v>0</v>
      </c>
      <c r="G21" s="69"/>
      <c r="H21" s="3544">
        <v>7.0000000000000007E-2</v>
      </c>
      <c r="I21" s="3543">
        <f>+H21*C21</f>
        <v>0</v>
      </c>
      <c r="J21" s="69"/>
      <c r="K21" s="3545">
        <v>1.8200000000000001E-2</v>
      </c>
      <c r="L21" s="3543">
        <f t="shared" si="2"/>
        <v>0</v>
      </c>
      <c r="M21" s="69"/>
      <c r="N21" s="3546">
        <v>7.8100000000000003E-2</v>
      </c>
      <c r="O21" s="3543">
        <f t="shared" si="3"/>
        <v>0</v>
      </c>
      <c r="P21" s="69"/>
      <c r="Q21" s="58"/>
    </row>
    <row r="22" spans="1:17" s="3537" customFormat="1">
      <c r="A22" s="66"/>
      <c r="B22" s="3542" t="s">
        <v>77</v>
      </c>
      <c r="C22" s="3542"/>
      <c r="D22" s="69"/>
      <c r="E22" s="70">
        <f>0.8*1.2</f>
        <v>0.96</v>
      </c>
      <c r="F22" s="3543">
        <f t="shared" si="0"/>
        <v>0</v>
      </c>
      <c r="G22" s="69"/>
      <c r="H22" s="3544">
        <v>7.4999999999999997E-2</v>
      </c>
      <c r="I22" s="3543">
        <f>+H22*C22</f>
        <v>0</v>
      </c>
      <c r="J22" s="69"/>
      <c r="K22" s="3545">
        <v>3.2399999999999998E-2</v>
      </c>
      <c r="L22" s="3543">
        <f t="shared" si="2"/>
        <v>0</v>
      </c>
      <c r="M22" s="69"/>
      <c r="N22" s="3546">
        <v>0.156</v>
      </c>
      <c r="O22" s="3543">
        <f t="shared" si="3"/>
        <v>0</v>
      </c>
      <c r="P22" s="69"/>
      <c r="Q22" s="58"/>
    </row>
    <row r="23" spans="1:17" s="3537" customFormat="1">
      <c r="A23" s="66"/>
      <c r="B23" s="3542" t="s">
        <v>78</v>
      </c>
      <c r="C23" s="3542"/>
      <c r="D23" s="69"/>
      <c r="E23" s="70">
        <v>1</v>
      </c>
      <c r="F23" s="3543">
        <f>+E23*C23</f>
        <v>0</v>
      </c>
      <c r="G23" s="69"/>
      <c r="H23" s="3544">
        <v>0.08</v>
      </c>
      <c r="I23" s="3543">
        <f t="shared" ref="I23:I27" si="5">+H23*C23</f>
        <v>0</v>
      </c>
      <c r="J23" s="69"/>
      <c r="K23" s="3545">
        <v>5.0700000000000002E-2</v>
      </c>
      <c r="L23" s="3543">
        <f>+K23*C23</f>
        <v>0</v>
      </c>
      <c r="M23" s="69"/>
      <c r="N23" s="3546">
        <v>0.23430000000000001</v>
      </c>
      <c r="O23" s="3543">
        <f t="shared" si="3"/>
        <v>0</v>
      </c>
      <c r="P23" s="69"/>
      <c r="Q23" s="58"/>
    </row>
    <row r="24" spans="1:17" s="3537" customFormat="1">
      <c r="A24" s="66"/>
      <c r="B24" s="3542" t="s">
        <v>79</v>
      </c>
      <c r="C24" s="3542">
        <f>24.79+10.6</f>
        <v>35.39</v>
      </c>
      <c r="D24" s="69"/>
      <c r="E24" s="70">
        <v>1.1100000000000001</v>
      </c>
      <c r="F24" s="3543">
        <f t="shared" ref="F24:F34" si="6">+E24*C24</f>
        <v>39.28</v>
      </c>
      <c r="G24" s="69"/>
      <c r="H24" s="3544">
        <v>8.5000000000000006E-2</v>
      </c>
      <c r="I24" s="3543">
        <f t="shared" si="5"/>
        <v>3.01</v>
      </c>
      <c r="J24" s="69"/>
      <c r="K24" s="3545">
        <v>7.2999999999999995E-2</v>
      </c>
      <c r="L24" s="3543">
        <f t="shared" ref="L24:L34" si="7">+K24*C24</f>
        <v>2.58</v>
      </c>
      <c r="M24" s="69"/>
      <c r="N24" s="3546">
        <v>0.3125</v>
      </c>
      <c r="O24" s="3543">
        <f t="shared" si="3"/>
        <v>11.06</v>
      </c>
      <c r="P24" s="69"/>
      <c r="Q24" s="58"/>
    </row>
    <row r="25" spans="1:17" s="3537" customFormat="1">
      <c r="A25" s="66"/>
      <c r="B25" s="3542" t="s">
        <v>80</v>
      </c>
      <c r="C25" s="3542"/>
      <c r="D25" s="69"/>
      <c r="E25" s="70">
        <v>1.22</v>
      </c>
      <c r="F25" s="3543">
        <f t="shared" si="6"/>
        <v>0</v>
      </c>
      <c r="G25" s="69"/>
      <c r="H25" s="3544">
        <v>0.09</v>
      </c>
      <c r="I25" s="3543">
        <f t="shared" si="5"/>
        <v>0</v>
      </c>
      <c r="J25" s="69"/>
      <c r="K25" s="3545">
        <v>9.9299999999999999E-2</v>
      </c>
      <c r="L25" s="3543">
        <f t="shared" si="7"/>
        <v>0</v>
      </c>
      <c r="M25" s="69"/>
      <c r="N25" s="3546"/>
      <c r="O25" s="3543">
        <f t="shared" si="3"/>
        <v>0</v>
      </c>
      <c r="P25" s="69"/>
      <c r="Q25" s="58"/>
    </row>
    <row r="26" spans="1:17" s="3537" customFormat="1">
      <c r="A26" s="66"/>
      <c r="B26" s="3542" t="s">
        <v>81</v>
      </c>
      <c r="C26" s="3542"/>
      <c r="D26" s="69"/>
      <c r="E26" s="70">
        <v>1.4</v>
      </c>
      <c r="F26" s="3543">
        <f t="shared" si="6"/>
        <v>0</v>
      </c>
      <c r="G26" s="69"/>
      <c r="H26" s="3544">
        <v>0.1</v>
      </c>
      <c r="I26" s="3543">
        <f t="shared" si="5"/>
        <v>0</v>
      </c>
      <c r="J26" s="69"/>
      <c r="K26" s="3545">
        <v>0.12970000000000001</v>
      </c>
      <c r="L26" s="3543">
        <f t="shared" si="7"/>
        <v>0</v>
      </c>
      <c r="M26" s="69"/>
      <c r="N26" s="3546">
        <v>0.41660000000000003</v>
      </c>
      <c r="O26" s="3543">
        <f t="shared" si="3"/>
        <v>0</v>
      </c>
      <c r="P26" s="69"/>
      <c r="Q26" s="58"/>
    </row>
    <row r="27" spans="1:17" s="3537" customFormat="1">
      <c r="A27" s="66"/>
      <c r="B27" s="3542" t="s">
        <v>82</v>
      </c>
      <c r="C27" s="3542"/>
      <c r="D27" s="69"/>
      <c r="E27" s="70">
        <v>1.67</v>
      </c>
      <c r="F27" s="3543">
        <f t="shared" si="6"/>
        <v>0</v>
      </c>
      <c r="G27" s="69"/>
      <c r="H27" s="3544">
        <v>0.115</v>
      </c>
      <c r="I27" s="3543">
        <f t="shared" si="5"/>
        <v>0</v>
      </c>
      <c r="J27" s="69"/>
      <c r="K27" s="3545">
        <v>0.16420000000000001</v>
      </c>
      <c r="L27" s="3543">
        <f t="shared" si="7"/>
        <v>0</v>
      </c>
      <c r="M27" s="69"/>
      <c r="N27" s="3546"/>
      <c r="O27" s="3543">
        <f t="shared" si="3"/>
        <v>0</v>
      </c>
      <c r="P27" s="69"/>
      <c r="Q27" s="58"/>
    </row>
    <row r="28" spans="1:17" s="3537" customFormat="1">
      <c r="A28" s="66"/>
      <c r="B28" s="3542" t="s">
        <v>83</v>
      </c>
      <c r="C28" s="3542"/>
      <c r="D28" s="69"/>
      <c r="E28" s="70">
        <v>1.8</v>
      </c>
      <c r="F28" s="3543">
        <f t="shared" si="6"/>
        <v>0</v>
      </c>
      <c r="G28" s="69"/>
      <c r="H28" s="3544">
        <v>0.12</v>
      </c>
      <c r="I28" s="3543">
        <f t="shared" ref="I28:I33" si="8">+H28*C28</f>
        <v>0</v>
      </c>
      <c r="J28" s="69"/>
      <c r="K28" s="3545">
        <v>0.20269999999999999</v>
      </c>
      <c r="L28" s="3543">
        <f t="shared" si="7"/>
        <v>0</v>
      </c>
      <c r="M28" s="69"/>
      <c r="N28" s="3546"/>
      <c r="O28" s="3543">
        <f t="shared" si="3"/>
        <v>0</v>
      </c>
      <c r="P28" s="69"/>
      <c r="Q28" s="58"/>
    </row>
    <row r="29" spans="1:17" s="3537" customFormat="1">
      <c r="A29" s="66"/>
      <c r="B29" s="3542" t="s">
        <v>84</v>
      </c>
      <c r="C29" s="3542"/>
      <c r="D29" s="69"/>
      <c r="E29" s="70">
        <v>2.15</v>
      </c>
      <c r="F29" s="3543">
        <f t="shared" si="6"/>
        <v>0</v>
      </c>
      <c r="G29" s="69"/>
      <c r="H29" s="3544"/>
      <c r="I29" s="3543">
        <f t="shared" si="8"/>
        <v>0</v>
      </c>
      <c r="J29" s="69"/>
      <c r="K29" s="3545">
        <v>0.29189999999999999</v>
      </c>
      <c r="L29" s="3543">
        <f t="shared" si="7"/>
        <v>0</v>
      </c>
      <c r="M29" s="69"/>
      <c r="N29" s="3546"/>
      <c r="O29" s="3543">
        <f t="shared" si="3"/>
        <v>0</v>
      </c>
      <c r="P29" s="69"/>
      <c r="Q29" s="58"/>
    </row>
    <row r="30" spans="1:17" s="3537" customFormat="1">
      <c r="A30" s="66"/>
      <c r="B30" s="3542" t="s">
        <v>85</v>
      </c>
      <c r="C30" s="3542"/>
      <c r="D30" s="69"/>
      <c r="E30" s="70">
        <v>2.78</v>
      </c>
      <c r="F30" s="3543">
        <f t="shared" si="6"/>
        <v>0</v>
      </c>
      <c r="G30" s="69"/>
      <c r="H30" s="3544"/>
      <c r="I30" s="3543">
        <f t="shared" si="8"/>
        <v>0</v>
      </c>
      <c r="J30" s="69"/>
      <c r="K30" s="3545">
        <v>0.45600000000000002</v>
      </c>
      <c r="L30" s="3543">
        <f t="shared" si="7"/>
        <v>0</v>
      </c>
      <c r="M30" s="69"/>
      <c r="N30" s="3546"/>
      <c r="O30" s="3543">
        <f t="shared" si="3"/>
        <v>0</v>
      </c>
      <c r="P30" s="69"/>
      <c r="Q30" s="58"/>
    </row>
    <row r="31" spans="1:17" s="3537" customFormat="1">
      <c r="A31" s="66"/>
      <c r="B31" s="3542" t="s">
        <v>86</v>
      </c>
      <c r="C31" s="3542"/>
      <c r="D31" s="69"/>
      <c r="E31" s="70">
        <v>3.72</v>
      </c>
      <c r="F31" s="3543">
        <f t="shared" si="6"/>
        <v>0</v>
      </c>
      <c r="G31" s="69"/>
      <c r="H31" s="3544"/>
      <c r="I31" s="3543">
        <f t="shared" si="8"/>
        <v>0</v>
      </c>
      <c r="J31" s="69"/>
      <c r="K31" s="3545">
        <v>0.65669999999999995</v>
      </c>
      <c r="L31" s="3543">
        <f t="shared" si="7"/>
        <v>0</v>
      </c>
      <c r="M31" s="69"/>
      <c r="N31" s="3546"/>
      <c r="O31" s="3543">
        <f t="shared" si="3"/>
        <v>0</v>
      </c>
      <c r="P31" s="69"/>
      <c r="Q31" s="58"/>
    </row>
    <row r="32" spans="1:17" s="3537" customFormat="1">
      <c r="A32" s="66"/>
      <c r="B32" s="3542" t="s">
        <v>87</v>
      </c>
      <c r="C32" s="3542"/>
      <c r="D32" s="69"/>
      <c r="E32" s="70">
        <v>3.95</v>
      </c>
      <c r="F32" s="3543">
        <f t="shared" si="6"/>
        <v>0</v>
      </c>
      <c r="G32" s="69"/>
      <c r="H32" s="3544"/>
      <c r="I32" s="3543">
        <f t="shared" si="8"/>
        <v>0</v>
      </c>
      <c r="J32" s="69"/>
      <c r="K32" s="3545">
        <v>0.73170000000000002</v>
      </c>
      <c r="L32" s="3543">
        <f t="shared" si="7"/>
        <v>0</v>
      </c>
      <c r="M32" s="69"/>
      <c r="N32" s="3546"/>
      <c r="O32" s="3543">
        <f t="shared" si="3"/>
        <v>0</v>
      </c>
      <c r="P32" s="69"/>
      <c r="Q32" s="58"/>
    </row>
    <row r="33" spans="1:17" s="3537" customFormat="1">
      <c r="A33" s="66"/>
      <c r="B33" s="3542" t="s">
        <v>88</v>
      </c>
      <c r="C33" s="3542"/>
      <c r="D33" s="69"/>
      <c r="E33" s="70">
        <v>4.16</v>
      </c>
      <c r="F33" s="3543">
        <f t="shared" si="6"/>
        <v>0</v>
      </c>
      <c r="G33" s="69"/>
      <c r="H33" s="3544"/>
      <c r="I33" s="3543">
        <f t="shared" si="8"/>
        <v>0</v>
      </c>
      <c r="J33" s="69"/>
      <c r="K33" s="3545">
        <v>0.81069999999999998</v>
      </c>
      <c r="L33" s="3543">
        <f t="shared" si="7"/>
        <v>0</v>
      </c>
      <c r="M33" s="69"/>
      <c r="N33" s="3546"/>
      <c r="O33" s="3543">
        <f t="shared" si="3"/>
        <v>0</v>
      </c>
      <c r="P33" s="69"/>
      <c r="Q33" s="58"/>
    </row>
    <row r="34" spans="1:17" s="3537" customFormat="1" ht="13.5" thickBot="1">
      <c r="A34" s="66"/>
      <c r="B34" s="3548" t="s">
        <v>89</v>
      </c>
      <c r="C34" s="3548"/>
      <c r="D34" s="69"/>
      <c r="E34" s="70">
        <v>4.3600000000000003</v>
      </c>
      <c r="F34" s="3543">
        <f t="shared" si="6"/>
        <v>0</v>
      </c>
      <c r="G34" s="69"/>
      <c r="H34" s="3544"/>
      <c r="I34" s="3543">
        <f>+H34*C34</f>
        <v>0</v>
      </c>
      <c r="J34" s="69"/>
      <c r="K34" s="3545">
        <v>0.89380000000000004</v>
      </c>
      <c r="L34" s="3543">
        <f t="shared" si="7"/>
        <v>0</v>
      </c>
      <c r="M34" s="69"/>
      <c r="N34" s="3546"/>
      <c r="O34" s="3543">
        <f t="shared" si="3"/>
        <v>0</v>
      </c>
      <c r="P34" s="69"/>
      <c r="Q34" s="58"/>
    </row>
    <row r="35" spans="1:17" s="3537" customFormat="1" ht="16.5" thickBot="1">
      <c r="A35" s="80" t="s">
        <v>90</v>
      </c>
      <c r="B35" s="81"/>
      <c r="C35" s="82">
        <f>SUM(C18:C34)</f>
        <v>35.39</v>
      </c>
      <c r="D35" s="69"/>
      <c r="E35" s="69"/>
      <c r="F35" s="69"/>
      <c r="G35" s="69"/>
      <c r="H35" s="69"/>
      <c r="I35" s="69"/>
      <c r="J35" s="69"/>
      <c r="K35" s="69"/>
      <c r="L35" s="69"/>
      <c r="M35" s="69"/>
      <c r="N35" s="69"/>
      <c r="O35" s="69"/>
      <c r="P35" s="69"/>
      <c r="Q35" s="58"/>
    </row>
    <row r="36" spans="1:17" s="3537" customFormat="1" ht="13.5" thickBot="1">
      <c r="A36" s="83"/>
      <c r="B36" s="69"/>
      <c r="C36" s="84"/>
      <c r="D36" s="69"/>
      <c r="E36" s="69"/>
      <c r="F36" s="69"/>
      <c r="G36" s="69"/>
      <c r="H36" s="69"/>
      <c r="I36" s="69"/>
      <c r="J36" s="69"/>
      <c r="K36" s="69"/>
      <c r="L36" s="69"/>
      <c r="M36" s="69"/>
      <c r="N36" s="69"/>
      <c r="O36" s="69"/>
      <c r="P36" s="69"/>
      <c r="Q36" s="58"/>
    </row>
    <row r="37" spans="1:17" s="3537" customFormat="1" ht="16.5" thickBot="1">
      <c r="A37" s="69"/>
      <c r="B37" s="69"/>
      <c r="C37" s="85" t="s">
        <v>91</v>
      </c>
      <c r="D37" s="66"/>
      <c r="E37" s="86" t="s">
        <v>92</v>
      </c>
      <c r="F37" s="3549">
        <f>SUM(F18:F34)</f>
        <v>39.28</v>
      </c>
      <c r="G37" s="87"/>
      <c r="H37" s="86" t="s">
        <v>93</v>
      </c>
      <c r="I37" s="3549">
        <f>SUM(I18:I34)</f>
        <v>3.01</v>
      </c>
      <c r="J37" s="87"/>
      <c r="K37" s="86" t="s">
        <v>94</v>
      </c>
      <c r="L37" s="82">
        <f>SUM(L18:L34)</f>
        <v>2.58</v>
      </c>
      <c r="M37" s="87"/>
      <c r="N37" s="86" t="s">
        <v>95</v>
      </c>
      <c r="O37" s="82">
        <f>(SUM(O18:O34)/6)*0.25</f>
        <v>0.46</v>
      </c>
      <c r="P37" s="69"/>
      <c r="Q37" s="58"/>
    </row>
    <row r="38" spans="1:17" s="3537" customFormat="1" ht="13.5" thickBot="1">
      <c r="A38" s="69"/>
      <c r="B38" s="69"/>
      <c r="C38" s="69"/>
      <c r="D38" s="69"/>
      <c r="E38" s="69"/>
      <c r="F38" s="88"/>
      <c r="G38" s="69"/>
      <c r="H38" s="69"/>
      <c r="I38" s="69"/>
      <c r="J38" s="69"/>
      <c r="K38" s="69"/>
      <c r="L38" s="69"/>
      <c r="M38" s="69"/>
      <c r="N38" s="69"/>
      <c r="O38" s="69"/>
      <c r="P38" s="69"/>
      <c r="Q38" s="58"/>
    </row>
    <row r="39" spans="1:17" s="3537" customFormat="1" ht="16.5" thickBot="1">
      <c r="A39" s="69"/>
      <c r="B39" s="69"/>
      <c r="C39" s="89" t="s">
        <v>96</v>
      </c>
      <c r="D39" s="90"/>
      <c r="E39" s="90"/>
      <c r="F39" s="90"/>
      <c r="G39" s="90"/>
      <c r="H39" s="91"/>
      <c r="I39" s="92">
        <f>(F37-I37-L37)*0.95</f>
        <v>32.01</v>
      </c>
      <c r="J39" s="69"/>
      <c r="K39" s="69"/>
      <c r="L39" s="69"/>
      <c r="M39" s="69"/>
      <c r="N39" s="69"/>
      <c r="O39" s="69"/>
      <c r="P39" s="69"/>
      <c r="Q39" s="58"/>
    </row>
    <row r="40" spans="1:17" s="3537" customFormat="1" ht="13.5" thickBot="1">
      <c r="A40" s="69"/>
      <c r="B40" s="69"/>
      <c r="C40" s="69"/>
      <c r="D40" s="69"/>
      <c r="E40" s="69"/>
      <c r="F40" s="88"/>
      <c r="G40" s="69"/>
      <c r="H40" s="69"/>
      <c r="I40" s="69"/>
      <c r="J40" s="69"/>
      <c r="K40" s="69"/>
      <c r="L40" s="69"/>
      <c r="M40" s="69"/>
      <c r="N40" s="69"/>
      <c r="O40" s="69"/>
      <c r="P40" s="69"/>
      <c r="Q40" s="58"/>
    </row>
    <row r="41" spans="1:17" s="3537" customFormat="1" ht="16.5" thickBot="1">
      <c r="A41" s="69"/>
      <c r="B41" s="69"/>
      <c r="C41" s="89" t="s">
        <v>97</v>
      </c>
      <c r="D41" s="93"/>
      <c r="E41" s="93"/>
      <c r="F41" s="93"/>
      <c r="G41" s="93"/>
      <c r="H41" s="94"/>
      <c r="I41" s="95">
        <f>((F37-I39)*1.25)</f>
        <v>9.09</v>
      </c>
      <c r="J41" s="69"/>
      <c r="K41" s="69"/>
      <c r="L41" s="69"/>
      <c r="M41" s="69"/>
      <c r="N41" s="69"/>
      <c r="O41" s="69"/>
      <c r="P41" s="69"/>
      <c r="Q41" s="58"/>
    </row>
    <row r="42" spans="1:17" s="3537" customFormat="1">
      <c r="A42" s="59"/>
      <c r="B42" s="69"/>
      <c r="C42" s="69"/>
      <c r="D42" s="69"/>
      <c r="E42" s="69"/>
      <c r="F42" s="69"/>
      <c r="G42" s="69"/>
      <c r="H42" s="69"/>
      <c r="I42" s="69"/>
      <c r="J42" s="69"/>
      <c r="K42" s="69"/>
      <c r="L42" s="69"/>
      <c r="M42" s="69"/>
      <c r="N42" s="69"/>
      <c r="O42" s="69"/>
      <c r="P42" s="69"/>
      <c r="Q42" s="58"/>
    </row>
    <row r="43" spans="1:17" s="3537" customFormat="1">
      <c r="A43" s="69"/>
      <c r="B43" s="69"/>
      <c r="C43" s="5065" t="s">
        <v>98</v>
      </c>
      <c r="D43" s="5065"/>
      <c r="E43" s="5065"/>
      <c r="F43" s="5065"/>
      <c r="G43" s="69"/>
      <c r="H43" s="69"/>
      <c r="I43" s="69"/>
      <c r="J43" s="69"/>
      <c r="K43" s="69"/>
      <c r="L43" s="69"/>
      <c r="M43" s="69"/>
      <c r="N43" s="69"/>
      <c r="O43" s="69"/>
      <c r="P43" s="69"/>
      <c r="Q43" s="58"/>
    </row>
    <row r="44" spans="1:17" s="3537" customFormat="1" ht="13.5" thickBot="1">
      <c r="A44" s="69"/>
      <c r="B44" s="69"/>
      <c r="C44" s="69"/>
      <c r="D44" s="69"/>
      <c r="E44" s="69"/>
      <c r="F44" s="69"/>
      <c r="G44" s="69"/>
      <c r="H44" s="69"/>
      <c r="I44" s="69"/>
      <c r="J44" s="69"/>
      <c r="K44" s="69"/>
      <c r="L44" s="69"/>
      <c r="M44" s="69"/>
      <c r="N44" s="69"/>
      <c r="O44" s="69"/>
      <c r="P44" s="69"/>
      <c r="Q44" s="58"/>
    </row>
    <row r="45" spans="1:17" s="3537" customFormat="1" ht="13.5" thickBot="1">
      <c r="A45" s="69"/>
      <c r="B45" s="88"/>
      <c r="C45" s="96" t="s">
        <v>99</v>
      </c>
      <c r="D45" s="88"/>
      <c r="E45" s="96" t="s">
        <v>100</v>
      </c>
      <c r="F45" s="97" t="s">
        <v>101</v>
      </c>
      <c r="G45" s="69"/>
      <c r="H45" s="69"/>
      <c r="I45" s="69"/>
      <c r="J45" s="69"/>
      <c r="K45" s="69"/>
      <c r="L45" s="69"/>
      <c r="M45" s="69"/>
      <c r="N45" s="69"/>
      <c r="O45" s="69"/>
      <c r="P45" s="69"/>
      <c r="Q45" s="58"/>
    </row>
    <row r="46" spans="1:17" s="3537" customFormat="1">
      <c r="A46" s="69"/>
      <c r="B46" s="3542" t="s">
        <v>73</v>
      </c>
      <c r="C46" s="71">
        <f t="shared" ref="C46:C62" si="9">C18</f>
        <v>0</v>
      </c>
      <c r="D46" s="88"/>
      <c r="E46" s="98">
        <v>0.02</v>
      </c>
      <c r="F46" s="99">
        <f t="shared" ref="F46:F49" si="10">(E46*C46)+C46</f>
        <v>0</v>
      </c>
      <c r="G46" s="69"/>
      <c r="H46" s="69"/>
      <c r="I46" s="69"/>
      <c r="J46" s="69"/>
      <c r="K46" s="69"/>
      <c r="L46" s="69"/>
      <c r="M46" s="69"/>
      <c r="N46" s="69"/>
      <c r="O46" s="69"/>
      <c r="P46" s="69"/>
      <c r="Q46" s="58"/>
    </row>
    <row r="47" spans="1:17" s="3537" customFormat="1">
      <c r="A47" s="69"/>
      <c r="B47" s="3542" t="s">
        <v>74</v>
      </c>
      <c r="C47" s="71">
        <f t="shared" si="9"/>
        <v>0</v>
      </c>
      <c r="D47" s="88"/>
      <c r="E47" s="3550">
        <v>0.02</v>
      </c>
      <c r="F47" s="3551">
        <f t="shared" si="10"/>
        <v>0</v>
      </c>
      <c r="G47" s="69"/>
      <c r="H47" s="69"/>
      <c r="I47" s="69"/>
      <c r="J47" s="69"/>
      <c r="K47" s="69"/>
      <c r="L47" s="69"/>
      <c r="M47" s="69"/>
      <c r="N47" s="69"/>
      <c r="O47" s="69"/>
      <c r="P47" s="69"/>
      <c r="Q47" s="58"/>
    </row>
    <row r="48" spans="1:17" s="3537" customFormat="1">
      <c r="A48" s="69"/>
      <c r="B48" s="3542" t="s">
        <v>75</v>
      </c>
      <c r="C48" s="71">
        <f t="shared" si="9"/>
        <v>0</v>
      </c>
      <c r="D48" s="88"/>
      <c r="E48" s="3550">
        <v>0.02</v>
      </c>
      <c r="F48" s="3551">
        <f t="shared" si="10"/>
        <v>0</v>
      </c>
      <c r="G48" s="69"/>
      <c r="H48" s="69"/>
      <c r="I48" s="69"/>
      <c r="J48" s="69"/>
      <c r="K48" s="69"/>
      <c r="L48" s="69"/>
      <c r="M48" s="69"/>
      <c r="N48" s="69"/>
      <c r="O48" s="69"/>
      <c r="P48" s="69"/>
      <c r="Q48" s="58"/>
    </row>
    <row r="49" spans="1:17" s="3537" customFormat="1">
      <c r="A49" s="69"/>
      <c r="B49" s="3542" t="s">
        <v>76</v>
      </c>
      <c r="C49" s="71">
        <f t="shared" si="9"/>
        <v>0</v>
      </c>
      <c r="D49" s="88"/>
      <c r="E49" s="3550">
        <v>0.03</v>
      </c>
      <c r="F49" s="3551">
        <f t="shared" si="10"/>
        <v>0</v>
      </c>
      <c r="G49" s="69"/>
      <c r="H49" s="69"/>
      <c r="I49" s="69"/>
      <c r="J49" s="69"/>
      <c r="K49" s="69"/>
      <c r="L49" s="69"/>
      <c r="M49" s="69"/>
      <c r="N49" s="69"/>
      <c r="O49" s="69"/>
      <c r="P49" s="69"/>
      <c r="Q49" s="58"/>
    </row>
    <row r="50" spans="1:17" s="3537" customFormat="1">
      <c r="A50" s="69"/>
      <c r="B50" s="3542" t="s">
        <v>77</v>
      </c>
      <c r="C50" s="71">
        <f t="shared" si="9"/>
        <v>0</v>
      </c>
      <c r="D50" s="88"/>
      <c r="E50" s="3550">
        <v>0.03</v>
      </c>
      <c r="F50" s="3551">
        <f>(E50*C50)+C50</f>
        <v>0</v>
      </c>
      <c r="G50" s="69"/>
      <c r="H50" s="69"/>
      <c r="I50" s="69"/>
      <c r="J50" s="69"/>
      <c r="K50" s="69"/>
      <c r="L50" s="69"/>
      <c r="M50" s="69"/>
      <c r="N50" s="69"/>
      <c r="O50" s="69"/>
      <c r="P50" s="69"/>
      <c r="Q50" s="58"/>
    </row>
    <row r="51" spans="1:17" s="3537" customFormat="1">
      <c r="A51" s="69"/>
      <c r="B51" s="3542" t="s">
        <v>78</v>
      </c>
      <c r="C51" s="71">
        <f t="shared" si="9"/>
        <v>0</v>
      </c>
      <c r="D51" s="88"/>
      <c r="E51" s="3550">
        <v>0.04</v>
      </c>
      <c r="F51" s="3551">
        <f t="shared" ref="F51:F62" si="11">(E51*C51)+C51</f>
        <v>0</v>
      </c>
      <c r="G51" s="69"/>
      <c r="H51" s="69"/>
      <c r="I51" s="69"/>
      <c r="J51" s="69"/>
      <c r="K51" s="69"/>
      <c r="L51" s="69"/>
      <c r="M51" s="69"/>
      <c r="N51" s="69"/>
      <c r="O51" s="69"/>
      <c r="P51" s="69"/>
      <c r="Q51" s="58"/>
    </row>
    <row r="52" spans="1:17" s="3537" customFormat="1">
      <c r="A52" s="69"/>
      <c r="B52" s="3542" t="s">
        <v>79</v>
      </c>
      <c r="C52" s="71">
        <f t="shared" si="9"/>
        <v>35.39</v>
      </c>
      <c r="D52" s="88"/>
      <c r="E52" s="3550">
        <v>0.04</v>
      </c>
      <c r="F52" s="3551">
        <f t="shared" si="11"/>
        <v>36.81</v>
      </c>
      <c r="G52" s="69"/>
      <c r="H52" s="69"/>
      <c r="I52" s="69"/>
      <c r="J52" s="69"/>
      <c r="K52" s="69"/>
      <c r="L52" s="69"/>
      <c r="M52" s="69"/>
      <c r="N52" s="69"/>
      <c r="O52" s="69"/>
      <c r="P52" s="69"/>
      <c r="Q52" s="58"/>
    </row>
    <row r="53" spans="1:17" s="3537" customFormat="1">
      <c r="A53" s="69"/>
      <c r="B53" s="3542" t="s">
        <v>80</v>
      </c>
      <c r="C53" s="71">
        <f t="shared" si="9"/>
        <v>0</v>
      </c>
      <c r="D53" s="88"/>
      <c r="E53" s="3550">
        <v>0.04</v>
      </c>
      <c r="F53" s="3551">
        <f t="shared" si="11"/>
        <v>0</v>
      </c>
      <c r="G53" s="69"/>
      <c r="H53" s="69"/>
      <c r="I53" s="69"/>
      <c r="J53" s="69"/>
      <c r="K53" s="69"/>
      <c r="L53" s="69"/>
      <c r="M53" s="69"/>
      <c r="N53" s="69"/>
      <c r="O53" s="69"/>
      <c r="P53" s="69"/>
      <c r="Q53" s="58"/>
    </row>
    <row r="54" spans="1:17" s="3537" customFormat="1">
      <c r="A54" s="69"/>
      <c r="B54" s="3542" t="s">
        <v>81</v>
      </c>
      <c r="C54" s="71">
        <f t="shared" si="9"/>
        <v>0</v>
      </c>
      <c r="D54" s="88"/>
      <c r="E54" s="3550">
        <v>0.05</v>
      </c>
      <c r="F54" s="3551">
        <f t="shared" si="11"/>
        <v>0</v>
      </c>
      <c r="G54" s="69"/>
      <c r="H54" s="69"/>
      <c r="I54" s="69"/>
      <c r="J54" s="69"/>
      <c r="K54" s="69"/>
      <c r="L54" s="69"/>
      <c r="M54" s="69"/>
      <c r="N54" s="69"/>
      <c r="O54" s="69"/>
      <c r="P54" s="69"/>
      <c r="Q54" s="58"/>
    </row>
    <row r="55" spans="1:17" s="3537" customFormat="1">
      <c r="A55" s="69"/>
      <c r="B55" s="3542" t="s">
        <v>82</v>
      </c>
      <c r="C55" s="71">
        <f>C27</f>
        <v>0</v>
      </c>
      <c r="D55" s="88"/>
      <c r="E55" s="3550">
        <v>0.05</v>
      </c>
      <c r="F55" s="3551">
        <f t="shared" si="11"/>
        <v>0</v>
      </c>
      <c r="G55" s="69"/>
      <c r="H55" s="69"/>
      <c r="I55" s="69"/>
      <c r="J55" s="69"/>
      <c r="K55" s="69"/>
      <c r="L55" s="69"/>
      <c r="M55" s="69"/>
      <c r="N55" s="69"/>
      <c r="O55" s="69"/>
      <c r="P55" s="69"/>
      <c r="Q55" s="58"/>
    </row>
    <row r="56" spans="1:17" s="3537" customFormat="1">
      <c r="A56" s="69"/>
      <c r="B56" s="3542" t="s">
        <v>83</v>
      </c>
      <c r="C56" s="71">
        <f>+C28</f>
        <v>0</v>
      </c>
      <c r="D56" s="88"/>
      <c r="E56" s="3550">
        <v>0.06</v>
      </c>
      <c r="F56" s="3551">
        <f t="shared" si="11"/>
        <v>0</v>
      </c>
      <c r="G56" s="69"/>
      <c r="H56" s="69"/>
      <c r="I56" s="69"/>
      <c r="J56" s="69"/>
      <c r="K56" s="69"/>
      <c r="L56" s="69"/>
      <c r="M56" s="69"/>
      <c r="N56" s="69"/>
      <c r="O56" s="69"/>
      <c r="P56" s="69"/>
      <c r="Q56" s="58"/>
    </row>
    <row r="57" spans="1:17" s="3537" customFormat="1">
      <c r="A57" s="69"/>
      <c r="B57" s="3542" t="s">
        <v>84</v>
      </c>
      <c r="C57" s="71">
        <f t="shared" si="9"/>
        <v>0</v>
      </c>
      <c r="D57" s="88"/>
      <c r="E57" s="3550">
        <v>7.0000000000000007E-2</v>
      </c>
      <c r="F57" s="3551">
        <f t="shared" si="11"/>
        <v>0</v>
      </c>
      <c r="G57" s="69"/>
      <c r="H57" s="69"/>
      <c r="I57" s="69"/>
      <c r="J57" s="69"/>
      <c r="K57" s="69"/>
      <c r="L57" s="69"/>
      <c r="M57" s="69"/>
      <c r="N57" s="69"/>
      <c r="O57" s="69"/>
      <c r="P57" s="69"/>
      <c r="Q57" s="58"/>
    </row>
    <row r="58" spans="1:17" s="3537" customFormat="1">
      <c r="A58" s="69"/>
      <c r="B58" s="3542" t="s">
        <v>85</v>
      </c>
      <c r="C58" s="71">
        <f t="shared" si="9"/>
        <v>0</v>
      </c>
      <c r="D58" s="88"/>
      <c r="E58" s="3550"/>
      <c r="F58" s="3551">
        <f t="shared" si="11"/>
        <v>0</v>
      </c>
      <c r="G58" s="69"/>
      <c r="H58" s="69"/>
      <c r="I58" s="69"/>
      <c r="J58" s="69"/>
      <c r="K58" s="69"/>
      <c r="L58" s="69"/>
      <c r="M58" s="69"/>
      <c r="N58" s="69"/>
      <c r="O58" s="69"/>
      <c r="P58" s="69"/>
      <c r="Q58" s="58"/>
    </row>
    <row r="59" spans="1:17" s="3537" customFormat="1">
      <c r="A59" s="69"/>
      <c r="B59" s="3542" t="s">
        <v>86</v>
      </c>
      <c r="C59" s="71">
        <f t="shared" si="9"/>
        <v>0</v>
      </c>
      <c r="D59" s="88"/>
      <c r="E59" s="3550"/>
      <c r="F59" s="3551">
        <f t="shared" si="11"/>
        <v>0</v>
      </c>
      <c r="G59" s="69"/>
      <c r="H59" s="69"/>
      <c r="I59" s="69"/>
      <c r="J59" s="69"/>
      <c r="K59" s="69"/>
      <c r="L59" s="69"/>
      <c r="M59" s="69"/>
      <c r="N59" s="69"/>
      <c r="O59" s="69"/>
      <c r="P59" s="69"/>
      <c r="Q59" s="58"/>
    </row>
    <row r="60" spans="1:17" s="3537" customFormat="1">
      <c r="A60" s="69"/>
      <c r="B60" s="3542" t="s">
        <v>87</v>
      </c>
      <c r="C60" s="71">
        <f t="shared" si="9"/>
        <v>0</v>
      </c>
      <c r="D60" s="88"/>
      <c r="E60" s="3550"/>
      <c r="F60" s="3551">
        <f t="shared" si="11"/>
        <v>0</v>
      </c>
      <c r="G60" s="69"/>
      <c r="H60" s="69"/>
      <c r="I60" s="69"/>
      <c r="J60" s="69"/>
      <c r="K60" s="69"/>
      <c r="L60" s="69"/>
      <c r="M60" s="69"/>
      <c r="N60" s="69"/>
      <c r="O60" s="69"/>
      <c r="P60" s="69"/>
      <c r="Q60" s="58"/>
    </row>
    <row r="61" spans="1:17" s="3537" customFormat="1">
      <c r="A61" s="69"/>
      <c r="B61" s="3542" t="s">
        <v>88</v>
      </c>
      <c r="C61" s="71">
        <f t="shared" si="9"/>
        <v>0</v>
      </c>
      <c r="D61" s="88"/>
      <c r="E61" s="3550"/>
      <c r="F61" s="3551">
        <f t="shared" si="11"/>
        <v>0</v>
      </c>
      <c r="G61" s="69"/>
      <c r="H61" s="69"/>
      <c r="I61" s="69"/>
      <c r="J61" s="69"/>
      <c r="K61" s="69"/>
      <c r="L61" s="69"/>
      <c r="M61" s="69"/>
      <c r="N61" s="69"/>
      <c r="O61" s="69"/>
      <c r="P61" s="69"/>
      <c r="Q61" s="58"/>
    </row>
    <row r="62" spans="1:17" s="3537" customFormat="1">
      <c r="A62" s="69"/>
      <c r="B62" s="3542" t="s">
        <v>89</v>
      </c>
      <c r="C62" s="71">
        <f t="shared" si="9"/>
        <v>0</v>
      </c>
      <c r="D62" s="88"/>
      <c r="E62" s="3550"/>
      <c r="F62" s="3551">
        <f t="shared" si="11"/>
        <v>0</v>
      </c>
      <c r="G62" s="69"/>
      <c r="H62" s="69"/>
      <c r="I62" s="69"/>
      <c r="J62" s="69"/>
      <c r="K62" s="69"/>
      <c r="L62" s="69"/>
      <c r="M62" s="69"/>
      <c r="N62" s="69"/>
      <c r="O62" s="69"/>
      <c r="P62" s="69"/>
      <c r="Q62" s="58"/>
    </row>
    <row r="63" spans="1:17" s="3537" customFormat="1" ht="13.5" thickBot="1">
      <c r="A63" s="69"/>
      <c r="B63" s="69"/>
      <c r="C63" s="69"/>
      <c r="D63" s="69"/>
      <c r="E63" s="69"/>
      <c r="F63" s="69"/>
      <c r="G63" s="69"/>
      <c r="H63" s="69"/>
      <c r="I63" s="69"/>
      <c r="J63" s="69"/>
      <c r="K63" s="69"/>
      <c r="L63" s="69"/>
      <c r="M63" s="69"/>
      <c r="N63" s="69"/>
      <c r="O63" s="69"/>
      <c r="P63" s="69"/>
      <c r="Q63" s="58"/>
    </row>
    <row r="64" spans="1:17" s="3537" customFormat="1" ht="15.75">
      <c r="A64" s="69"/>
      <c r="B64" s="69"/>
      <c r="C64" s="102" t="s">
        <v>102</v>
      </c>
      <c r="D64" s="103"/>
      <c r="E64" s="103"/>
      <c r="F64" s="103"/>
      <c r="G64" s="103"/>
      <c r="H64" s="103"/>
      <c r="I64" s="104"/>
      <c r="J64" s="69"/>
      <c r="K64" s="69"/>
      <c r="L64" s="69"/>
      <c r="M64" s="69"/>
      <c r="N64" s="69"/>
      <c r="O64" s="69"/>
      <c r="P64" s="69"/>
      <c r="Q64" s="58"/>
    </row>
    <row r="65" spans="1:17" s="3537" customFormat="1">
      <c r="A65" s="69"/>
      <c r="B65" s="69"/>
      <c r="C65" s="105"/>
      <c r="D65" s="106"/>
      <c r="E65" s="106"/>
      <c r="F65" s="106"/>
      <c r="G65" s="106"/>
      <c r="H65" s="106"/>
      <c r="I65" s="107"/>
      <c r="J65" s="69"/>
      <c r="K65" s="69"/>
      <c r="L65" s="69"/>
      <c r="M65" s="69"/>
      <c r="N65" s="69"/>
      <c r="O65" s="69"/>
      <c r="P65" s="69"/>
      <c r="Q65" s="58"/>
    </row>
    <row r="66" spans="1:17" s="3537" customFormat="1">
      <c r="A66" s="69"/>
      <c r="B66" s="69"/>
      <c r="C66" s="105" t="s">
        <v>103</v>
      </c>
      <c r="D66" s="106"/>
      <c r="E66" s="106"/>
      <c r="F66" s="108" t="s">
        <v>46</v>
      </c>
      <c r="G66" s="106"/>
      <c r="H66" s="106"/>
      <c r="I66" s="109" t="s">
        <v>104</v>
      </c>
      <c r="J66" s="69"/>
      <c r="K66" s="69"/>
      <c r="L66" s="69"/>
      <c r="M66" s="69"/>
      <c r="N66" s="69"/>
      <c r="O66" s="69"/>
      <c r="P66" s="69"/>
      <c r="Q66" s="58"/>
    </row>
    <row r="67" spans="1:17" s="3537" customFormat="1">
      <c r="A67" s="69"/>
      <c r="B67" s="69"/>
      <c r="C67" s="110" t="s">
        <v>105</v>
      </c>
      <c r="D67" s="106"/>
      <c r="E67" s="106"/>
      <c r="F67" s="111">
        <v>0.6</v>
      </c>
      <c r="G67" s="106"/>
      <c r="H67" s="112"/>
      <c r="I67" s="113">
        <f>F37*F67</f>
        <v>23.57</v>
      </c>
      <c r="J67" s="69"/>
      <c r="K67" s="69"/>
      <c r="L67" s="69"/>
      <c r="M67" s="69"/>
      <c r="N67" s="69"/>
      <c r="O67" s="69"/>
      <c r="P67" s="69"/>
      <c r="Q67" s="58"/>
    </row>
    <row r="68" spans="1:17" s="3537" customFormat="1">
      <c r="A68" s="69"/>
      <c r="B68" s="69"/>
      <c r="C68" s="110" t="s">
        <v>106</v>
      </c>
      <c r="D68" s="106"/>
      <c r="E68" s="106"/>
      <c r="F68" s="111">
        <v>0.2</v>
      </c>
      <c r="G68" s="106"/>
      <c r="H68" s="112"/>
      <c r="I68" s="113">
        <f>F37*F68</f>
        <v>7.86</v>
      </c>
      <c r="J68" s="69"/>
      <c r="K68" s="69"/>
      <c r="L68" s="69"/>
      <c r="M68" s="69"/>
      <c r="N68" s="69"/>
      <c r="O68" s="69"/>
      <c r="P68" s="69"/>
      <c r="Q68" s="58"/>
    </row>
    <row r="69" spans="1:17" s="3537" customFormat="1">
      <c r="A69" s="69"/>
      <c r="B69" s="69"/>
      <c r="C69" s="110" t="s">
        <v>107</v>
      </c>
      <c r="D69" s="106"/>
      <c r="E69" s="106"/>
      <c r="F69" s="111">
        <v>0.2</v>
      </c>
      <c r="G69" s="106"/>
      <c r="H69" s="112"/>
      <c r="I69" s="113">
        <f>F37*F69</f>
        <v>7.86</v>
      </c>
      <c r="J69" s="69"/>
      <c r="K69" s="69"/>
      <c r="L69" s="69"/>
      <c r="M69" s="69"/>
      <c r="N69" s="69"/>
      <c r="O69" s="69"/>
      <c r="P69" s="69"/>
      <c r="Q69" s="58"/>
    </row>
    <row r="70" spans="1:17" s="3537" customFormat="1">
      <c r="A70" s="69"/>
      <c r="B70" s="69"/>
      <c r="C70" s="110" t="s">
        <v>108</v>
      </c>
      <c r="D70" s="106"/>
      <c r="E70" s="106"/>
      <c r="F70" s="114">
        <v>0</v>
      </c>
      <c r="G70" s="106"/>
      <c r="H70" s="112"/>
      <c r="I70" s="115">
        <f>F37*F70</f>
        <v>0</v>
      </c>
      <c r="J70" s="69"/>
      <c r="K70" s="69"/>
      <c r="L70" s="69"/>
      <c r="M70" s="69"/>
      <c r="N70" s="69"/>
      <c r="O70" s="69"/>
      <c r="P70" s="69"/>
      <c r="Q70" s="58"/>
    </row>
    <row r="71" spans="1:17" s="3537" customFormat="1" ht="13.5" thickBot="1">
      <c r="A71" s="69"/>
      <c r="B71" s="69"/>
      <c r="C71" s="116"/>
      <c r="D71" s="117"/>
      <c r="E71" s="117"/>
      <c r="F71" s="118">
        <f>SUM(F67:F70)</f>
        <v>1</v>
      </c>
      <c r="G71" s="117"/>
      <c r="H71" s="119"/>
      <c r="I71" s="120">
        <f>SUM(I67:I70)</f>
        <v>39.29</v>
      </c>
      <c r="J71" s="69"/>
      <c r="K71" s="69"/>
      <c r="L71" s="69"/>
      <c r="M71" s="69"/>
      <c r="N71" s="69"/>
      <c r="O71" s="69"/>
      <c r="P71" s="69"/>
      <c r="Q71" s="58"/>
    </row>
    <row r="72" spans="1:17" s="3537" customFormat="1">
      <c r="A72" s="122"/>
      <c r="B72" s="122"/>
      <c r="C72" s="122"/>
      <c r="D72" s="122"/>
      <c r="E72" s="122"/>
      <c r="F72" s="122"/>
      <c r="G72" s="122"/>
      <c r="H72" s="122"/>
      <c r="I72" s="122"/>
      <c r="J72" s="122"/>
      <c r="K72" s="122"/>
      <c r="L72" s="122"/>
      <c r="M72" s="122"/>
      <c r="N72" s="122"/>
      <c r="O72" s="122"/>
      <c r="P72" s="122"/>
    </row>
  </sheetData>
  <customSheetViews>
    <customSheetView guid="{43BC9397-3E8C-478C-B548-E4A845A7F82B}">
      <pageMargins left="0.7" right="0.7" top="0.75" bottom="0.75" header="0.3" footer="0.3"/>
      <pageSetup paperSize="9" orientation="portrait" r:id="rId1"/>
    </customSheetView>
  </customSheetViews>
  <mergeCells count="5">
    <mergeCell ref="E16:F16"/>
    <mergeCell ref="H16:I16"/>
    <mergeCell ref="K16:L16"/>
    <mergeCell ref="N16:O16"/>
    <mergeCell ref="C43:F43"/>
  </mergeCell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E1399"/>
  <sheetViews>
    <sheetView workbookViewId="0"/>
  </sheetViews>
  <sheetFormatPr baseColWidth="10" defaultColWidth="11.42578125" defaultRowHeight="12.75"/>
  <cols>
    <col min="1" max="1" width="4" style="1083" customWidth="1"/>
    <col min="2" max="2" width="23.140625" style="1083" customWidth="1"/>
    <col min="3" max="3" width="11.42578125" style="1235"/>
    <col min="4" max="5" width="11.42578125" style="1083"/>
    <col min="6" max="6" width="15" style="1083" customWidth="1"/>
    <col min="7" max="8" width="11.42578125" style="1083"/>
    <col min="9" max="9" width="46.5703125" style="1916" customWidth="1"/>
    <col min="10" max="10" width="5.42578125" style="1916" customWidth="1"/>
    <col min="11" max="11" width="5.28515625" style="1916" customWidth="1"/>
    <col min="12" max="12" width="8.42578125" style="1916" customWidth="1"/>
    <col min="13" max="31" width="11.5703125" style="1916" customWidth="1"/>
    <col min="32" max="16384" width="11.42578125" style="1083"/>
  </cols>
  <sheetData>
    <row r="1" spans="2:31" ht="15.75">
      <c r="B1" s="1082"/>
      <c r="C1" s="1601"/>
      <c r="D1" s="1082"/>
      <c r="E1" s="1082"/>
      <c r="F1" s="1082"/>
    </row>
    <row r="2" spans="2:31">
      <c r="B2" s="5190" t="s">
        <v>1025</v>
      </c>
      <c r="C2" s="5190"/>
      <c r="D2" s="5190"/>
      <c r="E2" s="5190"/>
      <c r="F2" s="5190"/>
    </row>
    <row r="3" spans="2:31">
      <c r="B3" s="3241" t="s">
        <v>117</v>
      </c>
      <c r="C3" s="3242" t="s">
        <v>118</v>
      </c>
      <c r="D3" s="3243">
        <v>1</v>
      </c>
      <c r="E3" s="3244">
        <v>2.5</v>
      </c>
      <c r="F3" s="3245">
        <f t="shared" ref="F3:F11" si="0">E3*D3</f>
        <v>2.5</v>
      </c>
    </row>
    <row r="4" spans="2:31" ht="22.5">
      <c r="B4" s="3241" t="s">
        <v>119</v>
      </c>
      <c r="C4" s="3242" t="s">
        <v>1026</v>
      </c>
      <c r="D4" s="3245">
        <v>1</v>
      </c>
      <c r="E4" s="3244">
        <v>325</v>
      </c>
      <c r="F4" s="3245">
        <f t="shared" si="0"/>
        <v>325</v>
      </c>
    </row>
    <row r="5" spans="2:31">
      <c r="B5" s="3241" t="s">
        <v>1545</v>
      </c>
      <c r="C5" s="3242" t="s">
        <v>1026</v>
      </c>
      <c r="D5" s="3245">
        <v>1</v>
      </c>
      <c r="E5" s="3244">
        <v>271.02</v>
      </c>
      <c r="F5" s="3245">
        <f t="shared" si="0"/>
        <v>271.02</v>
      </c>
    </row>
    <row r="6" spans="2:31">
      <c r="B6" s="3241" t="s">
        <v>1027</v>
      </c>
      <c r="C6" s="3242" t="s">
        <v>2</v>
      </c>
      <c r="D6" s="3245">
        <v>1</v>
      </c>
      <c r="E6" s="3244">
        <v>1100</v>
      </c>
      <c r="F6" s="3245">
        <f t="shared" si="0"/>
        <v>1100</v>
      </c>
    </row>
    <row r="7" spans="2:31">
      <c r="B7" s="3241" t="s">
        <v>1028</v>
      </c>
      <c r="C7" s="3242" t="s">
        <v>2</v>
      </c>
      <c r="D7" s="3245">
        <v>1</v>
      </c>
      <c r="E7" s="3244">
        <v>1200</v>
      </c>
      <c r="F7" s="3245">
        <f t="shared" si="0"/>
        <v>1200</v>
      </c>
    </row>
    <row r="8" spans="2:31" s="1235" customFormat="1" ht="24" customHeight="1">
      <c r="B8" s="3246" t="s">
        <v>1029</v>
      </c>
      <c r="C8" s="3247" t="s">
        <v>2</v>
      </c>
      <c r="D8" s="3248">
        <v>1</v>
      </c>
      <c r="E8" s="3249">
        <v>1100</v>
      </c>
      <c r="F8" s="3248">
        <f t="shared" si="0"/>
        <v>1100</v>
      </c>
      <c r="I8" s="3250"/>
      <c r="J8" s="3250"/>
      <c r="K8" s="3250"/>
      <c r="L8" s="3250"/>
      <c r="M8" s="3250"/>
      <c r="N8" s="3250"/>
      <c r="O8" s="3250"/>
      <c r="P8" s="3250"/>
      <c r="Q8" s="3250"/>
      <c r="R8" s="3250"/>
      <c r="S8" s="3250"/>
      <c r="T8" s="3250"/>
      <c r="U8" s="3250"/>
      <c r="V8" s="3250"/>
      <c r="W8" s="3250"/>
      <c r="X8" s="3250"/>
      <c r="Y8" s="3250"/>
      <c r="Z8" s="3250"/>
      <c r="AA8" s="3250"/>
      <c r="AB8" s="3250"/>
      <c r="AC8" s="3250"/>
      <c r="AD8" s="3250"/>
      <c r="AE8" s="3250"/>
    </row>
    <row r="9" spans="2:31">
      <c r="B9" s="3241" t="s">
        <v>1546</v>
      </c>
      <c r="C9" s="3242" t="s">
        <v>127</v>
      </c>
      <c r="D9" s="3245">
        <v>1</v>
      </c>
      <c r="E9" s="3245">
        <v>1</v>
      </c>
      <c r="F9" s="3245">
        <f t="shared" si="0"/>
        <v>1</v>
      </c>
    </row>
    <row r="10" spans="2:31">
      <c r="B10" s="3241" t="s">
        <v>8</v>
      </c>
      <c r="C10" s="3242" t="s">
        <v>127</v>
      </c>
      <c r="D10" s="3245">
        <v>1</v>
      </c>
      <c r="E10" s="3251">
        <v>12.5</v>
      </c>
      <c r="F10" s="3245">
        <f t="shared" si="0"/>
        <v>12.5</v>
      </c>
    </row>
    <row r="11" spans="2:31">
      <c r="B11" s="3241" t="s">
        <v>125</v>
      </c>
      <c r="C11" s="3242" t="s">
        <v>126</v>
      </c>
      <c r="D11" s="3245">
        <v>1</v>
      </c>
      <c r="E11" s="3244">
        <v>2500</v>
      </c>
      <c r="F11" s="3245">
        <f t="shared" si="0"/>
        <v>2500</v>
      </c>
    </row>
    <row r="12" spans="2:31">
      <c r="B12" s="1087"/>
      <c r="C12" s="1603"/>
      <c r="D12" s="1087"/>
      <c r="E12" s="1087"/>
      <c r="F12" s="1087"/>
    </row>
    <row r="13" spans="2:31">
      <c r="B13" s="1088" t="s">
        <v>129</v>
      </c>
      <c r="C13" s="1603"/>
      <c r="D13" s="1087"/>
      <c r="E13" s="1087"/>
      <c r="F13" s="1087"/>
    </row>
    <row r="14" spans="2:31">
      <c r="B14" s="3252" t="s">
        <v>130</v>
      </c>
      <c r="C14" s="3253" t="s">
        <v>2</v>
      </c>
      <c r="D14" s="3254">
        <v>1</v>
      </c>
      <c r="E14" s="3254">
        <f>+F6</f>
        <v>1100</v>
      </c>
      <c r="F14" s="3245">
        <f>E14*D14</f>
        <v>1100</v>
      </c>
    </row>
    <row r="15" spans="2:31">
      <c r="B15" s="3252" t="s">
        <v>131</v>
      </c>
      <c r="C15" s="3255" t="s">
        <v>2</v>
      </c>
      <c r="D15" s="3254">
        <v>1</v>
      </c>
      <c r="E15" s="3254">
        <v>15</v>
      </c>
      <c r="F15" s="3245">
        <f>E15*D15</f>
        <v>15</v>
      </c>
    </row>
    <row r="16" spans="2:31">
      <c r="B16" s="3256"/>
      <c r="C16" s="3257" t="s">
        <v>315</v>
      </c>
      <c r="D16" s="3254"/>
      <c r="E16" s="3254"/>
      <c r="F16" s="3258">
        <f>SUM(F14:F15)</f>
        <v>1115</v>
      </c>
    </row>
    <row r="17" spans="2:31">
      <c r="B17" s="1087"/>
      <c r="C17" s="1603"/>
      <c r="D17" s="1087"/>
      <c r="E17" s="1087"/>
      <c r="F17" s="1093"/>
    </row>
    <row r="18" spans="2:31">
      <c r="B18" s="1088" t="s">
        <v>133</v>
      </c>
      <c r="C18" s="1603"/>
      <c r="D18" s="1087"/>
      <c r="E18" s="1087"/>
      <c r="F18" s="1087"/>
    </row>
    <row r="19" spans="2:31">
      <c r="B19" s="3252" t="s">
        <v>130</v>
      </c>
      <c r="C19" s="3253" t="s">
        <v>2</v>
      </c>
      <c r="D19" s="3254">
        <v>1</v>
      </c>
      <c r="E19" s="3254">
        <f>+F7</f>
        <v>1200</v>
      </c>
      <c r="F19" s="3245">
        <f>E19*D19</f>
        <v>1200</v>
      </c>
    </row>
    <row r="20" spans="2:31">
      <c r="B20" s="3252" t="s">
        <v>131</v>
      </c>
      <c r="C20" s="3255" t="s">
        <v>2</v>
      </c>
      <c r="D20" s="3254">
        <v>1</v>
      </c>
      <c r="E20" s="3254">
        <v>15</v>
      </c>
      <c r="F20" s="3245">
        <f>E20*D20</f>
        <v>15</v>
      </c>
    </row>
    <row r="21" spans="2:31">
      <c r="B21" s="3252"/>
      <c r="C21" s="3257" t="s">
        <v>315</v>
      </c>
      <c r="D21" s="3254"/>
      <c r="E21" s="3254"/>
      <c r="F21" s="3258">
        <f>SUM(F19:F20)</f>
        <v>1215</v>
      </c>
    </row>
    <row r="22" spans="2:31">
      <c r="B22" s="1087"/>
      <c r="C22" s="1606"/>
      <c r="D22" s="1094"/>
      <c r="E22" s="1094"/>
      <c r="F22" s="1095"/>
    </row>
    <row r="23" spans="2:31">
      <c r="B23" s="3259" t="s">
        <v>1030</v>
      </c>
      <c r="C23" s="3260"/>
      <c r="D23" s="3252"/>
      <c r="E23" s="3252"/>
      <c r="F23" s="3252"/>
    </row>
    <row r="24" spans="2:31" s="1235" customFormat="1" ht="22.5">
      <c r="B24" s="3246" t="s">
        <v>1547</v>
      </c>
      <c r="C24" s="3253" t="s">
        <v>2</v>
      </c>
      <c r="D24" s="3261">
        <v>1.02</v>
      </c>
      <c r="E24" s="3261">
        <v>7995</v>
      </c>
      <c r="F24" s="3248">
        <f>E24*D24</f>
        <v>8154.9</v>
      </c>
      <c r="I24" s="3250"/>
      <c r="J24" s="3250"/>
      <c r="K24" s="3250"/>
      <c r="L24" s="3250"/>
      <c r="M24" s="3250"/>
      <c r="N24" s="3250"/>
      <c r="O24" s="3250"/>
      <c r="P24" s="3250"/>
      <c r="Q24" s="3250"/>
      <c r="R24" s="3250"/>
      <c r="S24" s="3250"/>
      <c r="T24" s="3250"/>
      <c r="U24" s="3250"/>
      <c r="V24" s="3250"/>
      <c r="W24" s="3250"/>
      <c r="X24" s="3250"/>
      <c r="Y24" s="3250"/>
      <c r="Z24" s="3250"/>
      <c r="AA24" s="3250"/>
      <c r="AB24" s="3250"/>
      <c r="AC24" s="3250"/>
      <c r="AD24" s="3250"/>
      <c r="AE24" s="3250"/>
    </row>
    <row r="25" spans="2:31">
      <c r="B25" s="3252"/>
      <c r="C25" s="3260"/>
      <c r="D25" s="3252"/>
      <c r="E25" s="3262" t="s">
        <v>1031</v>
      </c>
      <c r="F25" s="3263">
        <f>SUM(F24:F24)</f>
        <v>8154.9</v>
      </c>
    </row>
    <row r="26" spans="2:31">
      <c r="B26" s="1087"/>
      <c r="C26" s="1606"/>
      <c r="D26" s="1094"/>
      <c r="E26" s="1094"/>
      <c r="F26" s="1095"/>
    </row>
    <row r="27" spans="2:31">
      <c r="B27" s="3259" t="s">
        <v>1032</v>
      </c>
      <c r="C27" s="3260"/>
      <c r="D27" s="3252"/>
      <c r="E27" s="3252"/>
      <c r="F27" s="3252"/>
    </row>
    <row r="28" spans="2:31">
      <c r="B28" s="3252" t="s">
        <v>122</v>
      </c>
      <c r="C28" s="3253" t="s">
        <v>2</v>
      </c>
      <c r="D28" s="3254">
        <v>0.45</v>
      </c>
      <c r="E28" s="3254">
        <f>+F16</f>
        <v>1115</v>
      </c>
      <c r="F28" s="3245">
        <f>E28*D28</f>
        <v>501.75</v>
      </c>
    </row>
    <row r="29" spans="2:31">
      <c r="B29" s="3252" t="s">
        <v>124</v>
      </c>
      <c r="C29" s="3253" t="s">
        <v>2</v>
      </c>
      <c r="D29" s="3254">
        <v>0.9</v>
      </c>
      <c r="E29" s="3254">
        <f>+F21</f>
        <v>1215</v>
      </c>
      <c r="F29" s="3245">
        <f>E29*D29</f>
        <v>1093.5</v>
      </c>
    </row>
    <row r="30" spans="2:31">
      <c r="B30" s="3252" t="s">
        <v>142</v>
      </c>
      <c r="C30" s="3253" t="s">
        <v>1026</v>
      </c>
      <c r="D30" s="3254">
        <v>13</v>
      </c>
      <c r="E30" s="3254">
        <f>+F4</f>
        <v>325</v>
      </c>
      <c r="F30" s="3245">
        <f>E30*D30</f>
        <v>4225</v>
      </c>
    </row>
    <row r="31" spans="2:31">
      <c r="B31" s="3252" t="s">
        <v>117</v>
      </c>
      <c r="C31" s="3253" t="s">
        <v>118</v>
      </c>
      <c r="D31" s="3254">
        <v>60</v>
      </c>
      <c r="E31" s="3254">
        <f>+F3</f>
        <v>2.5</v>
      </c>
      <c r="F31" s="3245">
        <f>E31*D31</f>
        <v>150</v>
      </c>
    </row>
    <row r="32" spans="2:31">
      <c r="B32" s="3252" t="s">
        <v>139</v>
      </c>
      <c r="C32" s="3253" t="s">
        <v>2</v>
      </c>
      <c r="D32" s="3254">
        <v>1</v>
      </c>
      <c r="E32" s="3254">
        <v>950</v>
      </c>
      <c r="F32" s="3245">
        <f>E32*D32</f>
        <v>950</v>
      </c>
    </row>
    <row r="33" spans="2:31">
      <c r="B33" s="3252" t="s">
        <v>140</v>
      </c>
      <c r="C33" s="3260"/>
      <c r="D33" s="3252"/>
      <c r="E33" s="3252"/>
      <c r="F33" s="3264">
        <f>SUM(F28+F29+F30+F31)*0.02</f>
        <v>119.41</v>
      </c>
    </row>
    <row r="34" spans="2:31">
      <c r="B34" s="3252"/>
      <c r="C34" s="3260"/>
      <c r="D34" s="3252"/>
      <c r="E34" s="3262" t="s">
        <v>1031</v>
      </c>
      <c r="F34" s="3265">
        <f>SUM(F28:F33)</f>
        <v>7039.66</v>
      </c>
    </row>
    <row r="35" spans="2:31">
      <c r="B35" s="3266"/>
      <c r="C35" s="3267"/>
      <c r="D35" s="3266"/>
      <c r="E35" s="3268"/>
      <c r="F35" s="3269"/>
    </row>
    <row r="36" spans="2:31">
      <c r="B36" s="3259" t="s">
        <v>1565</v>
      </c>
      <c r="C36" s="3260"/>
      <c r="D36" s="3252"/>
      <c r="E36" s="3252"/>
      <c r="F36" s="3252"/>
    </row>
    <row r="37" spans="2:31">
      <c r="B37" s="3252" t="s">
        <v>122</v>
      </c>
      <c r="C37" s="3253" t="s">
        <v>2</v>
      </c>
      <c r="D37" s="3254">
        <v>0.45</v>
      </c>
      <c r="E37" s="3254">
        <f>+E28</f>
        <v>1115</v>
      </c>
      <c r="F37" s="3245">
        <f>E37*D37</f>
        <v>501.75</v>
      </c>
    </row>
    <row r="38" spans="2:31">
      <c r="B38" s="3252" t="s">
        <v>124</v>
      </c>
      <c r="C38" s="3253" t="s">
        <v>2</v>
      </c>
      <c r="D38" s="3254">
        <v>0.9</v>
      </c>
      <c r="E38" s="3254">
        <f>+E29</f>
        <v>1215</v>
      </c>
      <c r="F38" s="3245">
        <f>E38*D38</f>
        <v>1093.5</v>
      </c>
    </row>
    <row r="39" spans="2:31">
      <c r="B39" s="3252" t="s">
        <v>142</v>
      </c>
      <c r="C39" s="3253" t="s">
        <v>1026</v>
      </c>
      <c r="D39" s="3254">
        <v>7</v>
      </c>
      <c r="E39" s="3254">
        <f>+E30</f>
        <v>325</v>
      </c>
      <c r="F39" s="3245">
        <f>E39*D39</f>
        <v>2275</v>
      </c>
    </row>
    <row r="40" spans="2:31">
      <c r="B40" s="3252" t="s">
        <v>117</v>
      </c>
      <c r="C40" s="3253" t="s">
        <v>118</v>
      </c>
      <c r="D40" s="3254">
        <v>60</v>
      </c>
      <c r="E40" s="3254">
        <f>+E31</f>
        <v>2.5</v>
      </c>
      <c r="F40" s="3245">
        <f>E40*D40</f>
        <v>150</v>
      </c>
    </row>
    <row r="41" spans="2:31">
      <c r="B41" s="3252" t="s">
        <v>139</v>
      </c>
      <c r="C41" s="3253" t="s">
        <v>2</v>
      </c>
      <c r="D41" s="3254">
        <v>1</v>
      </c>
      <c r="E41" s="3254">
        <v>950</v>
      </c>
      <c r="F41" s="3245">
        <f>E41*D41</f>
        <v>950</v>
      </c>
    </row>
    <row r="42" spans="2:31">
      <c r="B42" s="3252" t="s">
        <v>140</v>
      </c>
      <c r="C42" s="3260"/>
      <c r="D42" s="3252"/>
      <c r="E42" s="3252"/>
      <c r="F42" s="3264">
        <f>SUM(F37+F38+F39+F40)*0.02</f>
        <v>80.41</v>
      </c>
    </row>
    <row r="43" spans="2:31">
      <c r="B43" s="3252"/>
      <c r="C43" s="3260"/>
      <c r="D43" s="3252"/>
      <c r="E43" s="3262" t="s">
        <v>1031</v>
      </c>
      <c r="F43" s="3265">
        <f>SUM(F37:F42)</f>
        <v>5050.66</v>
      </c>
    </row>
    <row r="44" spans="2:31">
      <c r="B44" s="3266"/>
      <c r="C44" s="3267"/>
      <c r="D44" s="3266"/>
      <c r="E44" s="3268"/>
      <c r="F44" s="3269"/>
    </row>
    <row r="45" spans="2:31">
      <c r="B45" s="3259" t="s">
        <v>1565</v>
      </c>
      <c r="C45" s="3260"/>
      <c r="D45" s="3252"/>
      <c r="E45" s="3252"/>
      <c r="F45" s="3252"/>
    </row>
    <row r="46" spans="2:31" s="1235" customFormat="1" ht="22.5">
      <c r="B46" s="3246" t="s">
        <v>1566</v>
      </c>
      <c r="C46" s="3253" t="s">
        <v>2</v>
      </c>
      <c r="D46" s="3261">
        <v>1.02</v>
      </c>
      <c r="E46" s="3261">
        <v>6925</v>
      </c>
      <c r="F46" s="3248">
        <f>E46*D46</f>
        <v>7063.5</v>
      </c>
      <c r="I46" s="3250"/>
      <c r="J46" s="3250"/>
      <c r="K46" s="3250"/>
      <c r="L46" s="3250"/>
      <c r="M46" s="3250"/>
      <c r="N46" s="3250"/>
      <c r="O46" s="3250"/>
      <c r="P46" s="3250"/>
      <c r="Q46" s="3250"/>
      <c r="R46" s="3250"/>
      <c r="S46" s="3250"/>
      <c r="T46" s="3250"/>
      <c r="U46" s="3250"/>
      <c r="V46" s="3250"/>
      <c r="W46" s="3250"/>
      <c r="X46" s="3250"/>
      <c r="Y46" s="3250"/>
      <c r="Z46" s="3250"/>
      <c r="AA46" s="3250"/>
      <c r="AB46" s="3250"/>
      <c r="AC46" s="3250"/>
      <c r="AD46" s="3250"/>
      <c r="AE46" s="3250"/>
    </row>
    <row r="47" spans="2:31">
      <c r="B47" s="3252"/>
      <c r="C47" s="3260"/>
      <c r="D47" s="3252"/>
      <c r="E47" s="3262" t="s">
        <v>1031</v>
      </c>
      <c r="F47" s="3263">
        <f>SUM(F46:F46)</f>
        <v>7063.5</v>
      </c>
    </row>
    <row r="48" spans="2:31">
      <c r="B48" s="1087"/>
      <c r="C48" s="1606"/>
      <c r="D48" s="1094"/>
      <c r="E48" s="1094"/>
      <c r="F48" s="1095"/>
    </row>
    <row r="49" spans="2:31">
      <c r="B49" s="3259" t="s">
        <v>1033</v>
      </c>
      <c r="C49" s="3260"/>
      <c r="D49" s="3252"/>
      <c r="E49" s="3252"/>
      <c r="F49" s="3252"/>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row>
    <row r="50" spans="2:31">
      <c r="B50" s="3252" t="s">
        <v>122</v>
      </c>
      <c r="C50" s="3270" t="s">
        <v>2</v>
      </c>
      <c r="D50" s="3254">
        <v>0.52</v>
      </c>
      <c r="E50" s="3254">
        <f>SUM(F16)</f>
        <v>1115</v>
      </c>
      <c r="F50" s="3245">
        <f>E50*D50</f>
        <v>579.79999999999995</v>
      </c>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row>
    <row r="51" spans="2:31">
      <c r="B51" s="3252" t="s">
        <v>124</v>
      </c>
      <c r="C51" s="3270" t="s">
        <v>2</v>
      </c>
      <c r="D51" s="3254">
        <v>0.85</v>
      </c>
      <c r="E51" s="3254">
        <f>F21</f>
        <v>1215</v>
      </c>
      <c r="F51" s="3245">
        <f>E51*D51</f>
        <v>1032.75</v>
      </c>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row>
    <row r="52" spans="2:31">
      <c r="B52" s="3252" t="s">
        <v>135</v>
      </c>
      <c r="C52" s="3270" t="s">
        <v>1026</v>
      </c>
      <c r="D52" s="3254">
        <v>6.44</v>
      </c>
      <c r="E52" s="3254">
        <f>F4</f>
        <v>325</v>
      </c>
      <c r="F52" s="3245">
        <f>E52*D52</f>
        <v>2093</v>
      </c>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row>
    <row r="53" spans="2:31">
      <c r="B53" s="3252" t="s">
        <v>117</v>
      </c>
      <c r="C53" s="3270" t="s">
        <v>118</v>
      </c>
      <c r="D53" s="3254">
        <v>60</v>
      </c>
      <c r="E53" s="3254">
        <f>F3</f>
        <v>2.5</v>
      </c>
      <c r="F53" s="3245">
        <f>E53*D53</f>
        <v>150</v>
      </c>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row>
    <row r="54" spans="2:31">
      <c r="B54" s="3252" t="s">
        <v>139</v>
      </c>
      <c r="C54" s="3270" t="s">
        <v>2</v>
      </c>
      <c r="D54" s="3254">
        <v>1</v>
      </c>
      <c r="E54" s="3254">
        <v>850</v>
      </c>
      <c r="F54" s="3245">
        <f>E54*D54</f>
        <v>850</v>
      </c>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row>
    <row r="55" spans="2:31">
      <c r="B55" s="3252" t="s">
        <v>140</v>
      </c>
      <c r="C55" s="3270"/>
      <c r="D55" s="3254"/>
      <c r="E55" s="3254"/>
      <c r="F55" s="3264">
        <f>SUM(F50+F51+F52+F53)*0.02</f>
        <v>77.11</v>
      </c>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row>
    <row r="56" spans="2:31">
      <c r="B56" s="3252"/>
      <c r="C56" s="3255"/>
      <c r="D56" s="3252"/>
      <c r="E56" s="3262" t="s">
        <v>1031</v>
      </c>
      <c r="F56" s="3263">
        <f>SUM(F50:F55)</f>
        <v>4782.66</v>
      </c>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row>
    <row r="57" spans="2:31">
      <c r="B57" s="1087"/>
      <c r="C57" s="1608"/>
      <c r="D57" s="1087"/>
      <c r="E57" s="1100"/>
      <c r="F57" s="1095"/>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row>
    <row r="58" spans="2:31">
      <c r="B58" s="1101" t="s">
        <v>1043</v>
      </c>
      <c r="C58" s="1615"/>
      <c r="D58" s="1094"/>
      <c r="E58" s="1095"/>
      <c r="F58" s="1103"/>
    </row>
    <row r="59" spans="2:31">
      <c r="B59" s="3252" t="s">
        <v>181</v>
      </c>
      <c r="C59" s="3270" t="s">
        <v>126</v>
      </c>
      <c r="D59" s="3254">
        <v>1</v>
      </c>
      <c r="E59" s="3245">
        <v>2500</v>
      </c>
      <c r="F59" s="3245">
        <f>E59*D59</f>
        <v>2500</v>
      </c>
    </row>
    <row r="60" spans="2:31">
      <c r="B60" s="3271" t="s">
        <v>41</v>
      </c>
      <c r="C60" s="3270" t="s">
        <v>126</v>
      </c>
      <c r="D60" s="3254">
        <v>1</v>
      </c>
      <c r="E60" s="3245">
        <v>323</v>
      </c>
      <c r="F60" s="3245">
        <f>E60*D60</f>
        <v>323</v>
      </c>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61" spans="2:31">
      <c r="B61" s="3252" t="s">
        <v>1044</v>
      </c>
      <c r="C61" s="3270" t="s">
        <v>183</v>
      </c>
      <c r="D61" s="3254">
        <v>2</v>
      </c>
      <c r="E61" s="3272">
        <v>45</v>
      </c>
      <c r="F61" s="3245">
        <f>E61*D61</f>
        <v>90</v>
      </c>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row>
    <row r="62" spans="2:31">
      <c r="B62" s="3252"/>
      <c r="C62" s="3270"/>
      <c r="D62" s="3254"/>
      <c r="E62" s="3263" t="s">
        <v>1031</v>
      </c>
      <c r="F62" s="3273">
        <f>SUM(F59:F61)</f>
        <v>2913</v>
      </c>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row>
    <row r="63" spans="2:31">
      <c r="B63" s="1087"/>
      <c r="C63" s="1615"/>
      <c r="D63" s="1094"/>
      <c r="E63" s="1095"/>
      <c r="F63" s="110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row>
    <row r="64" spans="2:31">
      <c r="B64" s="1101" t="s">
        <v>1034</v>
      </c>
      <c r="C64" s="1608"/>
      <c r="D64" s="1087"/>
      <c r="E64" s="1087"/>
      <c r="F64" s="1087"/>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row>
    <row r="65" spans="2:31">
      <c r="B65" s="3252" t="s">
        <v>145</v>
      </c>
      <c r="C65" s="3270" t="s">
        <v>2</v>
      </c>
      <c r="D65" s="3254">
        <v>1</v>
      </c>
      <c r="E65" s="3254">
        <f>+F8</f>
        <v>1100</v>
      </c>
      <c r="F65" s="3245">
        <f>E65*D65</f>
        <v>1100</v>
      </c>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c r="AE65" s="1083"/>
    </row>
    <row r="66" spans="2:31">
      <c r="B66" s="3252" t="s">
        <v>131</v>
      </c>
      <c r="C66" s="3255" t="s">
        <v>2</v>
      </c>
      <c r="D66" s="3254">
        <v>1</v>
      </c>
      <c r="E66" s="3254">
        <v>15</v>
      </c>
      <c r="F66" s="3245">
        <f>E66*D66</f>
        <v>15</v>
      </c>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row>
    <row r="67" spans="2:31">
      <c r="B67" s="3252"/>
      <c r="C67" s="3255"/>
      <c r="D67" s="3252"/>
      <c r="E67" s="3262" t="s">
        <v>1031</v>
      </c>
      <c r="F67" s="3263">
        <f>SUM(F65:F66)</f>
        <v>1115</v>
      </c>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c r="AE67" s="1083"/>
    </row>
    <row r="68" spans="2:31">
      <c r="B68" s="1087"/>
      <c r="C68" s="1603"/>
      <c r="D68" s="1087"/>
      <c r="E68" s="1087"/>
      <c r="F68" s="1087"/>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row>
    <row r="69" spans="2:31">
      <c r="B69" s="1088" t="s">
        <v>146</v>
      </c>
      <c r="C69" s="1603"/>
      <c r="D69" s="1087"/>
      <c r="E69" s="1087"/>
      <c r="F69" s="1087"/>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row>
    <row r="70" spans="2:31">
      <c r="B70" s="3252" t="s">
        <v>122</v>
      </c>
      <c r="C70" s="3270" t="s">
        <v>2</v>
      </c>
      <c r="D70" s="3254">
        <v>1.02</v>
      </c>
      <c r="E70" s="3254">
        <f>+$F$67</f>
        <v>1115</v>
      </c>
      <c r="F70" s="3245">
        <f>E70*D70</f>
        <v>1137.3</v>
      </c>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row>
    <row r="71" spans="2:31">
      <c r="B71" s="3252" t="s">
        <v>135</v>
      </c>
      <c r="C71" s="3270" t="s">
        <v>1026</v>
      </c>
      <c r="D71" s="3254">
        <v>9.4600000000000009</v>
      </c>
      <c r="E71" s="3254">
        <f>F4</f>
        <v>325</v>
      </c>
      <c r="F71" s="3245">
        <f>E71*D71</f>
        <v>3074.5</v>
      </c>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row>
    <row r="72" spans="2:31">
      <c r="B72" s="3252" t="s">
        <v>117</v>
      </c>
      <c r="C72" s="3270" t="s">
        <v>118</v>
      </c>
      <c r="D72" s="3254">
        <v>50</v>
      </c>
      <c r="E72" s="3254">
        <f>$F$3</f>
        <v>2.5</v>
      </c>
      <c r="F72" s="3245">
        <f>E72*D72</f>
        <v>125</v>
      </c>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row>
    <row r="73" spans="2:31">
      <c r="B73" s="3252" t="s">
        <v>121</v>
      </c>
      <c r="C73" s="3270" t="s">
        <v>1026</v>
      </c>
      <c r="D73" s="3254">
        <v>3.07</v>
      </c>
      <c r="E73" s="3254">
        <f>$F$5</f>
        <v>271.02</v>
      </c>
      <c r="F73" s="3245">
        <f>E73*D73</f>
        <v>832.03</v>
      </c>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row>
    <row r="74" spans="2:31">
      <c r="B74" s="3252" t="s">
        <v>147</v>
      </c>
      <c r="C74" s="3270" t="s">
        <v>148</v>
      </c>
      <c r="D74" s="3254">
        <v>0.5</v>
      </c>
      <c r="E74" s="3254">
        <v>659</v>
      </c>
      <c r="F74" s="3245">
        <f>E74*D74</f>
        <v>329.5</v>
      </c>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row>
    <row r="75" spans="2:31">
      <c r="B75" s="3252" t="s">
        <v>149</v>
      </c>
      <c r="C75" s="3270"/>
      <c r="D75" s="3254"/>
      <c r="E75" s="3254"/>
      <c r="F75" s="3264">
        <f>SUM(F71+F72+F70+F73)*0.03</f>
        <v>155.06</v>
      </c>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row>
    <row r="76" spans="2:31">
      <c r="B76" s="3252" t="s">
        <v>43</v>
      </c>
      <c r="C76" s="3255"/>
      <c r="D76" s="3252"/>
      <c r="E76" s="3263" t="s">
        <v>1031</v>
      </c>
      <c r="F76" s="3263">
        <f>SUM(F70:F75)</f>
        <v>5653.39</v>
      </c>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row>
    <row r="77" spans="2:31" ht="13.5" thickBot="1">
      <c r="B77" s="1087"/>
      <c r="C77" s="1608"/>
      <c r="D77" s="1087"/>
      <c r="E77" s="1095"/>
      <c r="F77" s="1095"/>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row>
    <row r="78" spans="2:31" ht="13.5" thickTop="1">
      <c r="B78" s="1718" t="s">
        <v>150</v>
      </c>
      <c r="C78" s="1719"/>
      <c r="D78" s="1679"/>
      <c r="E78" s="1679"/>
      <c r="F78" s="1916"/>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row>
    <row r="79" spans="2:31">
      <c r="B79" s="3274" t="s">
        <v>151</v>
      </c>
      <c r="C79" s="3255" t="s">
        <v>2</v>
      </c>
      <c r="D79" s="3252">
        <v>0.998</v>
      </c>
      <c r="E79" s="3254">
        <f>+$F$67</f>
        <v>1115</v>
      </c>
      <c r="F79" s="3275">
        <f>E79*D79</f>
        <v>1112.77</v>
      </c>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row>
    <row r="80" spans="2:31">
      <c r="B80" s="3274" t="s">
        <v>117</v>
      </c>
      <c r="C80" s="3255" t="s">
        <v>118</v>
      </c>
      <c r="D80" s="3252">
        <v>69.040000000000006</v>
      </c>
      <c r="E80" s="3254">
        <f>$F$3</f>
        <v>2.5</v>
      </c>
      <c r="F80" s="3275">
        <f>E80*D80</f>
        <v>172.6</v>
      </c>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row>
    <row r="81" spans="2:31">
      <c r="B81" s="3274" t="s">
        <v>135</v>
      </c>
      <c r="C81" s="3255" t="s">
        <v>1026</v>
      </c>
      <c r="D81" s="3252">
        <v>11.51</v>
      </c>
      <c r="E81" s="3254">
        <f>$F$4</f>
        <v>325</v>
      </c>
      <c r="F81" s="3275">
        <f>E81*D81</f>
        <v>3740.75</v>
      </c>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row>
    <row r="82" spans="2:31">
      <c r="B82" s="3274" t="s">
        <v>147</v>
      </c>
      <c r="C82" s="3255" t="s">
        <v>148</v>
      </c>
      <c r="D82" s="3264">
        <v>0.5</v>
      </c>
      <c r="E82" s="3254">
        <v>659</v>
      </c>
      <c r="F82" s="3275">
        <f>E82*D82</f>
        <v>329.5</v>
      </c>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row>
    <row r="83" spans="2:31">
      <c r="B83" s="3274" t="s">
        <v>149</v>
      </c>
      <c r="C83" s="3255"/>
      <c r="D83" s="3252"/>
      <c r="E83" s="3254"/>
      <c r="F83" s="3276">
        <f>SUM(F79+F80+F78+F81)*0.03</f>
        <v>150.78</v>
      </c>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row>
    <row r="84" spans="2:31" ht="13.5" thickBot="1">
      <c r="B84" s="3277"/>
      <c r="C84" s="3278"/>
      <c r="D84" s="3279"/>
      <c r="E84" s="3280" t="s">
        <v>1031</v>
      </c>
      <c r="F84" s="3281">
        <f>SUM(F79:F83)</f>
        <v>5506.4</v>
      </c>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row>
    <row r="85" spans="2:31" ht="13.5" thickTop="1">
      <c r="B85" s="1087"/>
      <c r="C85" s="1603"/>
      <c r="D85" s="1087"/>
      <c r="E85" s="1100"/>
      <c r="F85" s="1095"/>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row>
    <row r="86" spans="2:31">
      <c r="B86" s="3282" t="s">
        <v>1534</v>
      </c>
      <c r="C86" s="1609"/>
      <c r="D86" s="1131"/>
      <c r="E86" s="1132"/>
      <c r="F86" s="113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row>
    <row r="87" spans="2:31">
      <c r="B87" s="3283" t="s">
        <v>1097</v>
      </c>
      <c r="C87" s="3284">
        <v>1.05</v>
      </c>
      <c r="D87" s="3285" t="s">
        <v>2</v>
      </c>
      <c r="E87" s="3286">
        <f>+$F$25</f>
        <v>8154.9</v>
      </c>
      <c r="F87" s="3286">
        <f>C87*E87</f>
        <v>8562.65</v>
      </c>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row>
    <row r="88" spans="2:31">
      <c r="B88" s="1648" t="s">
        <v>272</v>
      </c>
      <c r="C88" s="1611">
        <v>2.81</v>
      </c>
      <c r="D88" s="1142" t="s">
        <v>126</v>
      </c>
      <c r="E88" s="1143">
        <f>+$F$62</f>
        <v>2913</v>
      </c>
      <c r="F88" s="1143">
        <f>C88*E88</f>
        <v>8185.53</v>
      </c>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row>
    <row r="89" spans="2:31">
      <c r="B89" s="1648" t="s">
        <v>1089</v>
      </c>
      <c r="C89" s="1912">
        <v>1</v>
      </c>
      <c r="D89" s="1152" t="s">
        <v>1100</v>
      </c>
      <c r="E89" s="1913">
        <v>1000</v>
      </c>
      <c r="F89" s="1143">
        <f>C89*E89</f>
        <v>1000</v>
      </c>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row>
    <row r="90" spans="2:31">
      <c r="B90" s="1649"/>
      <c r="C90" s="1650"/>
      <c r="D90" s="1649"/>
      <c r="E90" s="1651" t="s">
        <v>1031</v>
      </c>
      <c r="F90" s="1652">
        <f>ROUND(SUM(F87:F89),2)</f>
        <v>17748.18</v>
      </c>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row>
    <row r="91" spans="2:31" ht="13.5" thickBot="1">
      <c r="B91" s="1149"/>
      <c r="C91" s="1613"/>
      <c r="D91" s="1149"/>
      <c r="E91" s="1150"/>
      <c r="F91" s="1151"/>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row>
    <row r="92" spans="2:31" ht="13.5" thickTop="1">
      <c r="B92" s="3287" t="s">
        <v>1532</v>
      </c>
      <c r="C92" s="1670"/>
      <c r="D92" s="1671"/>
      <c r="E92" s="1671"/>
      <c r="F92" s="1672"/>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row>
    <row r="93" spans="2:31">
      <c r="B93" s="3288" t="s">
        <v>1085</v>
      </c>
      <c r="C93" s="3284">
        <v>1.05</v>
      </c>
      <c r="D93" s="3285" t="s">
        <v>2</v>
      </c>
      <c r="E93" s="3286">
        <f>+$F$25</f>
        <v>8154.9</v>
      </c>
      <c r="F93" s="3289">
        <f>C93*E93</f>
        <v>8562.65</v>
      </c>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row>
    <row r="94" spans="2:31">
      <c r="B94" s="1141" t="s">
        <v>1087</v>
      </c>
      <c r="C94" s="1611">
        <v>1.35</v>
      </c>
      <c r="D94" s="1142" t="s">
        <v>126</v>
      </c>
      <c r="E94" s="1143">
        <f>+$F$62</f>
        <v>2913</v>
      </c>
      <c r="F94" s="1144">
        <f>C94*E94</f>
        <v>3932.55</v>
      </c>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row>
    <row r="95" spans="2:31">
      <c r="B95" s="1141" t="s">
        <v>1089</v>
      </c>
      <c r="C95" s="1611">
        <f>1/0.45</f>
        <v>2.2200000000000002</v>
      </c>
      <c r="D95" s="1152" t="s">
        <v>11</v>
      </c>
      <c r="E95" s="1143">
        <v>1200</v>
      </c>
      <c r="F95" s="1144">
        <f>C95*E95</f>
        <v>2664</v>
      </c>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row>
    <row r="96" spans="2:31" ht="13.5" thickBot="1">
      <c r="B96" s="1145"/>
      <c r="C96" s="1612"/>
      <c r="D96" s="1146"/>
      <c r="E96" s="1147" t="s">
        <v>1031</v>
      </c>
      <c r="F96" s="1673">
        <f>ROUND(SUM(F93:F95),2)</f>
        <v>15159.2</v>
      </c>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row>
    <row r="97" spans="2:31" ht="13.5" thickTop="1">
      <c r="B97" s="1149"/>
      <c r="C97" s="1613"/>
      <c r="D97" s="1149"/>
      <c r="E97" s="1150"/>
      <c r="F97" s="1151"/>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row>
    <row r="98" spans="2:31" ht="13.5" thickBot="1">
      <c r="B98" s="1149"/>
      <c r="C98" s="1613"/>
      <c r="D98" s="1149"/>
      <c r="E98" s="1150"/>
      <c r="F98" s="1151"/>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row>
    <row r="99" spans="2:31" ht="14.25" thickTop="1" thickBot="1">
      <c r="B99" s="3290" t="s">
        <v>1522</v>
      </c>
      <c r="C99" s="1670"/>
      <c r="D99" s="1671"/>
      <c r="E99" s="1671"/>
      <c r="F99" s="1672"/>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row>
    <row r="100" spans="2:31" ht="13.5" thickTop="1">
      <c r="B100" s="1137" t="s">
        <v>1085</v>
      </c>
      <c r="C100" s="1610">
        <v>1.05</v>
      </c>
      <c r="D100" s="1138" t="s">
        <v>2</v>
      </c>
      <c r="E100" s="3286">
        <f>+$F$25</f>
        <v>8154.9</v>
      </c>
      <c r="F100" s="1140">
        <f>C100*E100</f>
        <v>8562.65</v>
      </c>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row>
    <row r="101" spans="2:31">
      <c r="B101" s="1141" t="s">
        <v>1087</v>
      </c>
      <c r="C101" s="1611">
        <v>2.4700000000000002</v>
      </c>
      <c r="D101" s="1142" t="s">
        <v>126</v>
      </c>
      <c r="E101" s="1143">
        <f>+$F$62</f>
        <v>2913</v>
      </c>
      <c r="F101" s="1144">
        <f>C101*E101</f>
        <v>7195.11</v>
      </c>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row>
    <row r="102" spans="2:31">
      <c r="B102" s="1141" t="s">
        <v>1089</v>
      </c>
      <c r="C102" s="1611">
        <f>1/0.3</f>
        <v>3.33</v>
      </c>
      <c r="D102" s="1152" t="s">
        <v>11</v>
      </c>
      <c r="E102" s="1143">
        <v>1200</v>
      </c>
      <c r="F102" s="1144">
        <f>C102*E102</f>
        <v>3996</v>
      </c>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row>
    <row r="103" spans="2:31" ht="13.5" thickBot="1">
      <c r="B103" s="1145"/>
      <c r="C103" s="1612"/>
      <c r="D103" s="1146"/>
      <c r="E103" s="1147" t="s">
        <v>1031</v>
      </c>
      <c r="F103" s="1673">
        <f>ROUND(SUM(F100:F102),2)</f>
        <v>19753.759999999998</v>
      </c>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row>
    <row r="104" spans="2:31" ht="14.25" thickTop="1" thickBot="1">
      <c r="B104" s="1149"/>
      <c r="C104" s="1613"/>
      <c r="D104" s="1149"/>
      <c r="E104" s="1150"/>
      <c r="F104" s="1151"/>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row>
    <row r="105" spans="2:31" ht="14.25" thickTop="1" thickBot="1">
      <c r="B105" s="3290" t="s">
        <v>1523</v>
      </c>
      <c r="C105" s="1670"/>
      <c r="D105" s="1671"/>
      <c r="E105" s="1676"/>
      <c r="F105" s="1672"/>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row>
    <row r="106" spans="2:31" ht="13.5" thickTop="1">
      <c r="B106" s="1137" t="s">
        <v>1085</v>
      </c>
      <c r="C106" s="1610">
        <v>1.05</v>
      </c>
      <c r="D106" s="1138" t="s">
        <v>2</v>
      </c>
      <c r="E106" s="1143">
        <f>+$F$25</f>
        <v>8154.9</v>
      </c>
      <c r="F106" s="1140">
        <f>C106*E106</f>
        <v>8562.65</v>
      </c>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row>
    <row r="107" spans="2:31">
      <c r="B107" s="1141" t="s">
        <v>1087</v>
      </c>
      <c r="C107" s="1611">
        <v>0.51</v>
      </c>
      <c r="D107" s="1142" t="s">
        <v>126</v>
      </c>
      <c r="E107" s="1143">
        <f>+$F$62</f>
        <v>2913</v>
      </c>
      <c r="F107" s="1144">
        <f>C107*E107</f>
        <v>1485.63</v>
      </c>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row>
    <row r="108" spans="2:31">
      <c r="B108" s="1141" t="s">
        <v>1089</v>
      </c>
      <c r="C108" s="1611">
        <f>1/0.3</f>
        <v>3.33</v>
      </c>
      <c r="D108" s="1152" t="s">
        <v>11</v>
      </c>
      <c r="E108" s="1143">
        <v>1200</v>
      </c>
      <c r="F108" s="1144">
        <f>C108*E108</f>
        <v>3996</v>
      </c>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row>
    <row r="109" spans="2:31" ht="13.5" thickBot="1">
      <c r="B109" s="1145"/>
      <c r="C109" s="1612"/>
      <c r="D109" s="1146"/>
      <c r="E109" s="1147" t="s">
        <v>1031</v>
      </c>
      <c r="F109" s="1673">
        <f>ROUND(SUM(F106:F108),2)</f>
        <v>14044.28</v>
      </c>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row>
    <row r="110" spans="2:31" ht="14.25" thickTop="1" thickBot="1">
      <c r="B110" s="1149"/>
      <c r="C110" s="1613"/>
      <c r="D110" s="1149"/>
      <c r="E110" s="1150"/>
      <c r="F110" s="1151"/>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row>
    <row r="111" spans="2:31" ht="14.25" thickTop="1" thickBot="1">
      <c r="B111" s="3291" t="s">
        <v>1524</v>
      </c>
      <c r="C111" s="1670"/>
      <c r="D111" s="1671"/>
      <c r="E111" s="1676"/>
      <c r="F111" s="1672"/>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row>
    <row r="112" spans="2:31" ht="13.5" thickTop="1">
      <c r="B112" s="1137" t="s">
        <v>1085</v>
      </c>
      <c r="C112" s="1610">
        <v>1.05</v>
      </c>
      <c r="D112" s="1138" t="s">
        <v>2</v>
      </c>
      <c r="E112" s="1143">
        <f>+$F$25</f>
        <v>8154.9</v>
      </c>
      <c r="F112" s="1140">
        <f>C112*E112</f>
        <v>8562.65</v>
      </c>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row>
    <row r="113" spans="2:31">
      <c r="B113" s="1141" t="s">
        <v>1087</v>
      </c>
      <c r="C113" s="1611">
        <v>2.81</v>
      </c>
      <c r="D113" s="1142" t="s">
        <v>126</v>
      </c>
      <c r="E113" s="1143">
        <f>+$F$62</f>
        <v>2913</v>
      </c>
      <c r="F113" s="1144">
        <f>C113*E113</f>
        <v>8185.53</v>
      </c>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row>
    <row r="114" spans="2:31">
      <c r="B114" s="1141" t="s">
        <v>1089</v>
      </c>
      <c r="C114" s="1611">
        <f>1/0.25</f>
        <v>4</v>
      </c>
      <c r="D114" s="1152" t="s">
        <v>11</v>
      </c>
      <c r="E114" s="1143">
        <v>1200</v>
      </c>
      <c r="F114" s="1144">
        <f>C114*E114</f>
        <v>4800</v>
      </c>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row>
    <row r="115" spans="2:31" ht="13.5" thickBot="1">
      <c r="B115" s="1145"/>
      <c r="C115" s="1612"/>
      <c r="D115" s="1146"/>
      <c r="E115" s="1147" t="s">
        <v>1031</v>
      </c>
      <c r="F115" s="1673">
        <f>ROUND(SUM(F112:F114),2)</f>
        <v>21548.18</v>
      </c>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row>
    <row r="116" spans="2:31" ht="14.25" thickTop="1" thickBot="1">
      <c r="B116" s="1149"/>
      <c r="C116" s="1613"/>
      <c r="D116" s="1149"/>
      <c r="E116" s="1150"/>
      <c r="F116" s="1151"/>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row>
    <row r="117" spans="2:31" ht="14.25" thickTop="1" thickBot="1">
      <c r="B117" s="3291" t="s">
        <v>1524</v>
      </c>
      <c r="C117" s="1670"/>
      <c r="D117" s="1671"/>
      <c r="E117" s="1676"/>
      <c r="F117" s="1672"/>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row>
    <row r="118" spans="2:31" ht="13.5" thickTop="1">
      <c r="B118" s="1137" t="s">
        <v>1085</v>
      </c>
      <c r="C118" s="1610">
        <v>1.05</v>
      </c>
      <c r="D118" s="1138" t="s">
        <v>2</v>
      </c>
      <c r="E118" s="1143">
        <f>+$F$25</f>
        <v>8154.9</v>
      </c>
      <c r="F118" s="1140">
        <f>C118*E118</f>
        <v>8562.65</v>
      </c>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row>
    <row r="119" spans="2:31">
      <c r="B119" s="1141" t="s">
        <v>1087</v>
      </c>
      <c r="C119" s="1611">
        <v>2.81</v>
      </c>
      <c r="D119" s="1142" t="s">
        <v>126</v>
      </c>
      <c r="E119" s="1143">
        <f>+$F$62</f>
        <v>2913</v>
      </c>
      <c r="F119" s="1144">
        <f>C119*E119</f>
        <v>8185.53</v>
      </c>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row>
    <row r="120" spans="2:31">
      <c r="B120" s="1141" t="s">
        <v>1089</v>
      </c>
      <c r="C120" s="1611">
        <f>1/0.25</f>
        <v>4</v>
      </c>
      <c r="D120" s="1152" t="s">
        <v>11</v>
      </c>
      <c r="E120" s="1143">
        <v>120</v>
      </c>
      <c r="F120" s="1144">
        <f>C120*E120</f>
        <v>480</v>
      </c>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row>
    <row r="121" spans="2:31" ht="13.5" thickBot="1">
      <c r="B121" s="1145"/>
      <c r="C121" s="1612"/>
      <c r="D121" s="1146"/>
      <c r="E121" s="1147" t="s">
        <v>1031</v>
      </c>
      <c r="F121" s="1673">
        <f>ROUND(SUM(F118:F120),2)</f>
        <v>17228.18</v>
      </c>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row>
    <row r="122" spans="2:31" ht="14.25" thickTop="1" thickBot="1">
      <c r="B122" s="1149"/>
      <c r="C122" s="1613"/>
      <c r="D122" s="1149"/>
      <c r="E122" s="1150"/>
      <c r="F122" s="1151"/>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row>
    <row r="123" spans="2:31" ht="14.25" thickTop="1" thickBot="1">
      <c r="B123" s="3291" t="s">
        <v>1525</v>
      </c>
      <c r="C123" s="1670"/>
      <c r="D123" s="1671"/>
      <c r="E123" s="1676"/>
      <c r="F123" s="1672"/>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row>
    <row r="124" spans="2:31" ht="13.5" thickTop="1">
      <c r="B124" s="1137" t="s">
        <v>1085</v>
      </c>
      <c r="C124" s="1610">
        <v>1.05</v>
      </c>
      <c r="D124" s="1138" t="s">
        <v>2</v>
      </c>
      <c r="E124" s="1143">
        <f>+$F$25</f>
        <v>8154.9</v>
      </c>
      <c r="F124" s="1140">
        <f>C124*E124</f>
        <v>8562.65</v>
      </c>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row>
    <row r="125" spans="2:31">
      <c r="B125" s="1141" t="s">
        <v>1087</v>
      </c>
      <c r="C125" s="1611">
        <v>1.44</v>
      </c>
      <c r="D125" s="1142" t="s">
        <v>126</v>
      </c>
      <c r="E125" s="1143">
        <f>+$F$62</f>
        <v>2913</v>
      </c>
      <c r="F125" s="1144">
        <f>C125*E125</f>
        <v>4194.72</v>
      </c>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row>
    <row r="126" spans="2:31">
      <c r="B126" s="1141" t="s">
        <v>1089</v>
      </c>
      <c r="C126" s="1611">
        <f>1/0.2</f>
        <v>5</v>
      </c>
      <c r="D126" s="1152" t="s">
        <v>1</v>
      </c>
      <c r="E126" s="1143">
        <v>1200</v>
      </c>
      <c r="F126" s="1144">
        <f>C126*E126</f>
        <v>6000</v>
      </c>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row>
    <row r="127" spans="2:31" ht="13.5" thickBot="1">
      <c r="B127" s="1145"/>
      <c r="C127" s="1612"/>
      <c r="D127" s="1146"/>
      <c r="E127" s="1147" t="s">
        <v>1031</v>
      </c>
      <c r="F127" s="1673">
        <f>ROUND(SUM(F124:F126),2)</f>
        <v>18757.37</v>
      </c>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row>
    <row r="128" spans="2:31" ht="14.25" thickTop="1" thickBot="1">
      <c r="B128" s="1149"/>
      <c r="C128" s="1613"/>
      <c r="D128" s="1149"/>
      <c r="E128" s="1150"/>
      <c r="F128" s="1151"/>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row>
    <row r="129" spans="2:31" ht="14.25" thickTop="1" thickBot="1">
      <c r="B129" s="3291" t="s">
        <v>1526</v>
      </c>
      <c r="C129" s="1670"/>
      <c r="D129" s="1671"/>
      <c r="E129" s="1676"/>
      <c r="F129" s="1672"/>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row>
    <row r="130" spans="2:31" ht="13.5" thickTop="1">
      <c r="B130" s="1137" t="s">
        <v>1085</v>
      </c>
      <c r="C130" s="1610">
        <v>1.05</v>
      </c>
      <c r="D130" s="1138" t="s">
        <v>2</v>
      </c>
      <c r="E130" s="1143">
        <f>+$F$25</f>
        <v>8154.9</v>
      </c>
      <c r="F130" s="1140">
        <f>C130*E130</f>
        <v>8562.65</v>
      </c>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row>
    <row r="131" spans="2:31">
      <c r="B131" s="1141" t="s">
        <v>1087</v>
      </c>
      <c r="C131" s="1611">
        <v>2.59</v>
      </c>
      <c r="D131" s="1142" t="s">
        <v>126</v>
      </c>
      <c r="E131" s="1143">
        <f>+$F$62</f>
        <v>2913</v>
      </c>
      <c r="F131" s="1144">
        <f>C131*E131</f>
        <v>7544.67</v>
      </c>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3"/>
    </row>
    <row r="132" spans="2:31">
      <c r="B132" s="1141" t="s">
        <v>1089</v>
      </c>
      <c r="C132" s="1611">
        <f>1/0.2</f>
        <v>5</v>
      </c>
      <c r="D132" s="1152" t="s">
        <v>11</v>
      </c>
      <c r="E132" s="1143">
        <v>1200</v>
      </c>
      <c r="F132" s="1144">
        <f>C132*E132</f>
        <v>6000</v>
      </c>
      <c r="I132" s="1083"/>
      <c r="J132" s="1083"/>
      <c r="K132" s="1083"/>
      <c r="L132" s="1083"/>
      <c r="M132" s="1083"/>
      <c r="N132" s="1083"/>
      <c r="O132" s="1083"/>
      <c r="P132" s="1083"/>
      <c r="Q132" s="1083"/>
      <c r="R132" s="1083"/>
      <c r="S132" s="1083"/>
      <c r="T132" s="1083"/>
      <c r="U132" s="1083"/>
      <c r="V132" s="1083"/>
      <c r="W132" s="1083"/>
      <c r="X132" s="1083"/>
      <c r="Y132" s="1083"/>
      <c r="Z132" s="1083"/>
      <c r="AA132" s="1083"/>
      <c r="AB132" s="1083"/>
      <c r="AC132" s="1083"/>
      <c r="AD132" s="1083"/>
      <c r="AE132" s="1083"/>
    </row>
    <row r="133" spans="2:31" ht="13.5" thickBot="1">
      <c r="B133" s="1145"/>
      <c r="C133" s="1612"/>
      <c r="D133" s="1146"/>
      <c r="E133" s="1147" t="s">
        <v>1031</v>
      </c>
      <c r="F133" s="1673">
        <f>ROUND(SUM(F130:F132),2)</f>
        <v>22107.32</v>
      </c>
      <c r="I133" s="1083"/>
      <c r="J133" s="1083"/>
      <c r="K133" s="1083"/>
      <c r="L133" s="1083"/>
      <c r="M133" s="1083"/>
      <c r="N133" s="1083"/>
      <c r="O133" s="1083"/>
      <c r="P133" s="1083"/>
      <c r="Q133" s="1083"/>
      <c r="R133" s="1083"/>
      <c r="S133" s="1083"/>
      <c r="T133" s="1083"/>
      <c r="U133" s="1083"/>
      <c r="V133" s="1083"/>
      <c r="W133" s="1083"/>
      <c r="X133" s="1083"/>
      <c r="Y133" s="1083"/>
      <c r="Z133" s="1083"/>
      <c r="AA133" s="1083"/>
      <c r="AB133" s="1083"/>
      <c r="AC133" s="1083"/>
      <c r="AD133" s="1083"/>
      <c r="AE133" s="1083"/>
    </row>
    <row r="134" spans="2:31" ht="14.25" thickTop="1" thickBot="1">
      <c r="B134" s="1149"/>
      <c r="C134" s="1613"/>
      <c r="D134" s="1149"/>
      <c r="E134" s="1150"/>
      <c r="F134" s="1151"/>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3"/>
      <c r="AC134" s="1083"/>
      <c r="AD134" s="1083"/>
      <c r="AE134" s="1083"/>
    </row>
    <row r="135" spans="2:31" ht="14.25" thickTop="1" thickBot="1">
      <c r="B135" s="3291" t="s">
        <v>1550</v>
      </c>
      <c r="C135" s="1670"/>
      <c r="D135" s="1671"/>
      <c r="E135" s="1676"/>
      <c r="F135" s="1672"/>
      <c r="I135" s="1083"/>
      <c r="J135" s="1083"/>
      <c r="K135" s="1083"/>
      <c r="L135" s="1083"/>
      <c r="M135" s="1083"/>
      <c r="N135" s="1083"/>
      <c r="O135" s="1083"/>
      <c r="P135" s="1083"/>
      <c r="Q135" s="1083"/>
      <c r="R135" s="1083"/>
      <c r="S135" s="1083"/>
      <c r="T135" s="1083"/>
      <c r="U135" s="1083"/>
      <c r="V135" s="1083"/>
      <c r="W135" s="1083"/>
      <c r="X135" s="1083"/>
      <c r="Y135" s="1083"/>
      <c r="Z135" s="1083"/>
      <c r="AA135" s="1083"/>
      <c r="AB135" s="1083"/>
      <c r="AC135" s="1083"/>
      <c r="AD135" s="1083"/>
      <c r="AE135" s="1083"/>
    </row>
    <row r="136" spans="2:31" ht="13.5" thickTop="1">
      <c r="B136" s="1137" t="s">
        <v>1085</v>
      </c>
      <c r="C136" s="1610">
        <v>1.05</v>
      </c>
      <c r="D136" s="1138" t="s">
        <v>2</v>
      </c>
      <c r="E136" s="1143">
        <f>+$F$25</f>
        <v>8154.9</v>
      </c>
      <c r="F136" s="1140">
        <f>C136*E136</f>
        <v>8562.65</v>
      </c>
      <c r="I136" s="1083"/>
      <c r="J136" s="1083"/>
      <c r="K136" s="1083"/>
      <c r="L136" s="1083"/>
      <c r="M136" s="1083"/>
      <c r="N136" s="1083"/>
      <c r="O136" s="1083"/>
      <c r="P136" s="1083"/>
      <c r="Q136" s="1083"/>
      <c r="R136" s="1083"/>
      <c r="S136" s="1083"/>
      <c r="T136" s="1083"/>
      <c r="U136" s="1083"/>
      <c r="V136" s="1083"/>
      <c r="W136" s="1083"/>
      <c r="X136" s="1083"/>
      <c r="Y136" s="1083"/>
      <c r="Z136" s="1083"/>
      <c r="AA136" s="1083"/>
      <c r="AB136" s="1083"/>
      <c r="AC136" s="1083"/>
      <c r="AD136" s="1083"/>
      <c r="AE136" s="1083"/>
    </row>
    <row r="137" spans="2:31">
      <c r="B137" s="1141" t="s">
        <v>1087</v>
      </c>
      <c r="C137" s="1611">
        <v>4.24</v>
      </c>
      <c r="D137" s="1142" t="s">
        <v>126</v>
      </c>
      <c r="E137" s="1143">
        <f>+$F$62</f>
        <v>2913</v>
      </c>
      <c r="F137" s="1144">
        <f>C137*E137</f>
        <v>12351.12</v>
      </c>
      <c r="I137" s="1083"/>
      <c r="J137" s="1083"/>
      <c r="K137" s="1083"/>
      <c r="L137" s="1083"/>
      <c r="M137" s="1083"/>
      <c r="N137" s="1083"/>
      <c r="O137" s="1083"/>
      <c r="P137" s="1083"/>
      <c r="Q137" s="1083"/>
      <c r="R137" s="1083"/>
      <c r="S137" s="1083"/>
      <c r="T137" s="1083"/>
      <c r="U137" s="1083"/>
      <c r="V137" s="1083"/>
      <c r="W137" s="1083"/>
      <c r="X137" s="1083"/>
      <c r="Y137" s="1083"/>
      <c r="Z137" s="1083"/>
      <c r="AA137" s="1083"/>
      <c r="AB137" s="1083"/>
      <c r="AC137" s="1083"/>
      <c r="AD137" s="1083"/>
      <c r="AE137" s="1083"/>
    </row>
    <row r="138" spans="2:31">
      <c r="B138" s="1141" t="s">
        <v>1089</v>
      </c>
      <c r="C138" s="1611">
        <f>1/0.2</f>
        <v>5</v>
      </c>
      <c r="D138" s="1152" t="s">
        <v>11</v>
      </c>
      <c r="E138" s="1143">
        <v>1200</v>
      </c>
      <c r="F138" s="1144">
        <f>C138*E138</f>
        <v>6000</v>
      </c>
      <c r="I138" s="1083"/>
      <c r="J138" s="1083"/>
      <c r="K138" s="1083"/>
      <c r="L138" s="1083"/>
      <c r="M138" s="1083"/>
      <c r="N138" s="1083"/>
      <c r="O138" s="1083"/>
      <c r="P138" s="1083"/>
      <c r="Q138" s="1083"/>
      <c r="R138" s="1083"/>
      <c r="S138" s="1083"/>
      <c r="T138" s="1083"/>
      <c r="U138" s="1083"/>
      <c r="V138" s="1083"/>
      <c r="W138" s="1083"/>
      <c r="X138" s="1083"/>
      <c r="Y138" s="1083"/>
      <c r="Z138" s="1083"/>
      <c r="AA138" s="1083"/>
      <c r="AB138" s="1083"/>
      <c r="AC138" s="1083"/>
      <c r="AD138" s="1083"/>
      <c r="AE138" s="1083"/>
    </row>
    <row r="139" spans="2:31" ht="13.5" thickBot="1">
      <c r="B139" s="1145"/>
      <c r="C139" s="1612"/>
      <c r="D139" s="1146"/>
      <c r="E139" s="1147" t="s">
        <v>1031</v>
      </c>
      <c r="F139" s="1673">
        <f>ROUND(SUM(F136:F138),2)</f>
        <v>26913.77</v>
      </c>
      <c r="I139" s="1083"/>
      <c r="J139" s="1083"/>
      <c r="K139" s="1083"/>
      <c r="L139" s="1083"/>
      <c r="M139" s="1083"/>
      <c r="N139" s="1083"/>
      <c r="O139" s="1083"/>
      <c r="P139" s="1083"/>
      <c r="Q139" s="1083"/>
      <c r="R139" s="1083"/>
      <c r="S139" s="1083"/>
      <c r="T139" s="1083"/>
      <c r="U139" s="1083"/>
      <c r="V139" s="1083"/>
      <c r="W139" s="1083"/>
      <c r="X139" s="1083"/>
      <c r="Y139" s="1083"/>
      <c r="Z139" s="1083"/>
      <c r="AA139" s="1083"/>
      <c r="AB139" s="1083"/>
      <c r="AC139" s="1083"/>
      <c r="AD139" s="1083"/>
      <c r="AE139" s="1083"/>
    </row>
    <row r="140" spans="2:31" ht="14.25" thickTop="1" thickBot="1">
      <c r="B140" s="1149"/>
      <c r="C140" s="1613"/>
      <c r="D140" s="1149"/>
      <c r="E140" s="1150"/>
      <c r="F140" s="1151"/>
      <c r="I140" s="1083"/>
      <c r="J140" s="1083"/>
      <c r="K140" s="1083"/>
      <c r="L140" s="1083"/>
      <c r="M140" s="1083"/>
      <c r="N140" s="1083"/>
      <c r="O140" s="1083"/>
      <c r="P140" s="1083"/>
      <c r="Q140" s="1083"/>
      <c r="R140" s="1083"/>
      <c r="S140" s="1083"/>
      <c r="T140" s="1083"/>
      <c r="U140" s="1083"/>
      <c r="V140" s="1083"/>
      <c r="W140" s="1083"/>
      <c r="X140" s="1083"/>
      <c r="Y140" s="1083"/>
      <c r="Z140" s="1083"/>
      <c r="AA140" s="1083"/>
      <c r="AB140" s="1083"/>
      <c r="AC140" s="1083"/>
      <c r="AD140" s="1083"/>
      <c r="AE140" s="1083"/>
    </row>
    <row r="141" spans="2:31" ht="14.25" thickTop="1" thickBot="1">
      <c r="B141" s="3291" t="s">
        <v>1528</v>
      </c>
      <c r="C141" s="1670"/>
      <c r="D141" s="1671"/>
      <c r="E141" s="1676"/>
      <c r="F141" s="1672"/>
      <c r="I141" s="1083"/>
      <c r="J141" s="1083"/>
      <c r="K141" s="1083"/>
      <c r="L141" s="1083"/>
      <c r="M141" s="1083"/>
      <c r="N141" s="1083"/>
      <c r="O141" s="1083"/>
      <c r="P141" s="1083"/>
      <c r="Q141" s="1083"/>
      <c r="R141" s="1083"/>
      <c r="S141" s="1083"/>
      <c r="T141" s="1083"/>
      <c r="U141" s="1083"/>
      <c r="V141" s="1083"/>
      <c r="W141" s="1083"/>
      <c r="X141" s="1083"/>
      <c r="Y141" s="1083"/>
      <c r="Z141" s="1083"/>
      <c r="AA141" s="1083"/>
      <c r="AB141" s="1083"/>
      <c r="AC141" s="1083"/>
      <c r="AD141" s="1083"/>
      <c r="AE141" s="1083"/>
    </row>
    <row r="142" spans="2:31" ht="13.5" thickTop="1">
      <c r="B142" s="1137" t="s">
        <v>1085</v>
      </c>
      <c r="C142" s="1610">
        <v>1.05</v>
      </c>
      <c r="D142" s="1138" t="s">
        <v>2</v>
      </c>
      <c r="E142" s="1143">
        <f>+$F$25</f>
        <v>8154.9</v>
      </c>
      <c r="F142" s="1140">
        <f>C142*E142</f>
        <v>8562.65</v>
      </c>
      <c r="I142" s="1083"/>
      <c r="J142" s="1083"/>
      <c r="K142" s="1083"/>
      <c r="L142" s="1083"/>
      <c r="M142" s="1083"/>
      <c r="N142" s="1083"/>
      <c r="O142" s="1083"/>
      <c r="P142" s="1083"/>
      <c r="Q142" s="1083"/>
      <c r="R142" s="1083"/>
      <c r="S142" s="1083"/>
      <c r="T142" s="1083"/>
      <c r="U142" s="1083"/>
      <c r="V142" s="1083"/>
      <c r="W142" s="1083"/>
      <c r="X142" s="1083"/>
      <c r="Y142" s="1083"/>
      <c r="Z142" s="1083"/>
      <c r="AA142" s="1083"/>
      <c r="AB142" s="1083"/>
      <c r="AC142" s="1083"/>
      <c r="AD142" s="1083"/>
      <c r="AE142" s="1083"/>
    </row>
    <row r="143" spans="2:31">
      <c r="B143" s="1141" t="s">
        <v>1087</v>
      </c>
      <c r="C143" s="1611">
        <v>2.11</v>
      </c>
      <c r="D143" s="1142" t="s">
        <v>126</v>
      </c>
      <c r="E143" s="1143">
        <f>+$F$62</f>
        <v>2913</v>
      </c>
      <c r="F143" s="1144">
        <f>C143*E143</f>
        <v>6146.43</v>
      </c>
      <c r="I143" s="1083"/>
      <c r="J143" s="1083"/>
      <c r="K143" s="1083"/>
      <c r="L143" s="1083"/>
      <c r="M143" s="1083"/>
      <c r="N143" s="1083"/>
      <c r="O143" s="1083"/>
      <c r="P143" s="1083"/>
      <c r="Q143" s="1083"/>
      <c r="R143" s="1083"/>
      <c r="S143" s="1083"/>
      <c r="T143" s="1083"/>
      <c r="U143" s="1083"/>
      <c r="V143" s="1083"/>
      <c r="W143" s="1083"/>
      <c r="X143" s="1083"/>
      <c r="Y143" s="1083"/>
      <c r="Z143" s="1083"/>
      <c r="AA143" s="1083"/>
      <c r="AB143" s="1083"/>
      <c r="AC143" s="1083"/>
      <c r="AD143" s="1083"/>
      <c r="AE143" s="1083"/>
    </row>
    <row r="144" spans="2:31">
      <c r="B144" s="1141" t="s">
        <v>1089</v>
      </c>
      <c r="C144" s="1611">
        <f>1/0.2</f>
        <v>5</v>
      </c>
      <c r="D144" s="1152" t="s">
        <v>11</v>
      </c>
      <c r="E144" s="1143">
        <v>1200</v>
      </c>
      <c r="F144" s="1144">
        <f>C144*E144</f>
        <v>6000</v>
      </c>
      <c r="I144" s="1083"/>
      <c r="J144" s="1083"/>
      <c r="K144" s="1083"/>
      <c r="L144" s="1083"/>
      <c r="M144" s="1083"/>
      <c r="N144" s="1083"/>
      <c r="O144" s="1083"/>
      <c r="P144" s="1083"/>
      <c r="Q144" s="1083"/>
      <c r="R144" s="1083"/>
      <c r="S144" s="1083"/>
      <c r="T144" s="1083"/>
      <c r="U144" s="1083"/>
      <c r="V144" s="1083"/>
      <c r="W144" s="1083"/>
      <c r="X144" s="1083"/>
      <c r="Y144" s="1083"/>
      <c r="Z144" s="1083"/>
      <c r="AA144" s="1083"/>
      <c r="AB144" s="1083"/>
      <c r="AC144" s="1083"/>
      <c r="AD144" s="1083"/>
      <c r="AE144" s="1083"/>
    </row>
    <row r="145" spans="2:31" ht="13.5" thickBot="1">
      <c r="B145" s="1145"/>
      <c r="C145" s="1612"/>
      <c r="D145" s="1146"/>
      <c r="E145" s="1147" t="s">
        <v>1031</v>
      </c>
      <c r="F145" s="1673">
        <f>ROUND(SUM(F142:F144),2)</f>
        <v>20709.080000000002</v>
      </c>
      <c r="I145" s="1083"/>
      <c r="J145" s="1083"/>
      <c r="K145" s="1083"/>
      <c r="L145" s="1083"/>
      <c r="M145" s="1083"/>
      <c r="N145" s="1083"/>
      <c r="O145" s="1083"/>
      <c r="P145" s="1083"/>
      <c r="Q145" s="1083"/>
      <c r="R145" s="1083"/>
      <c r="S145" s="1083"/>
      <c r="T145" s="1083"/>
      <c r="U145" s="1083"/>
      <c r="V145" s="1083"/>
      <c r="W145" s="1083"/>
      <c r="X145" s="1083"/>
      <c r="Y145" s="1083"/>
      <c r="Z145" s="1083"/>
      <c r="AA145" s="1083"/>
      <c r="AB145" s="1083"/>
      <c r="AC145" s="1083"/>
      <c r="AD145" s="1083"/>
      <c r="AE145" s="1083"/>
    </row>
    <row r="146" spans="2:31" ht="14.25" thickTop="1" thickBot="1">
      <c r="B146" s="1149"/>
      <c r="C146" s="1613"/>
      <c r="D146" s="1149"/>
      <c r="E146" s="1150"/>
      <c r="F146" s="1151"/>
      <c r="I146" s="1083"/>
      <c r="J146" s="1083"/>
      <c r="K146" s="1083"/>
      <c r="L146" s="1083"/>
      <c r="M146" s="1083"/>
      <c r="N146" s="1083"/>
      <c r="O146" s="1083"/>
      <c r="P146" s="1083"/>
      <c r="Q146" s="1083"/>
      <c r="R146" s="1083"/>
      <c r="S146" s="1083"/>
      <c r="T146" s="1083"/>
      <c r="U146" s="1083"/>
      <c r="V146" s="1083"/>
      <c r="W146" s="1083"/>
      <c r="X146" s="1083"/>
      <c r="Y146" s="1083"/>
      <c r="Z146" s="1083"/>
      <c r="AA146" s="1083"/>
      <c r="AB146" s="1083"/>
      <c r="AC146" s="1083"/>
      <c r="AD146" s="1083"/>
      <c r="AE146" s="1083"/>
    </row>
    <row r="147" spans="2:31" ht="14.25" thickTop="1" thickBot="1">
      <c r="B147" s="3291" t="s">
        <v>1529</v>
      </c>
      <c r="C147" s="1670"/>
      <c r="D147" s="1671"/>
      <c r="E147" s="1676"/>
      <c r="F147" s="1672"/>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3"/>
      <c r="AC147" s="1083"/>
      <c r="AD147" s="1083"/>
      <c r="AE147" s="1083"/>
    </row>
    <row r="148" spans="2:31" ht="13.5" thickTop="1">
      <c r="B148" s="1137" t="s">
        <v>1085</v>
      </c>
      <c r="C148" s="1610">
        <v>1.05</v>
      </c>
      <c r="D148" s="1138" t="s">
        <v>2</v>
      </c>
      <c r="E148" s="1143">
        <f>+$F$25</f>
        <v>8154.9</v>
      </c>
      <c r="F148" s="1140">
        <f>C148*E148</f>
        <v>8562.65</v>
      </c>
      <c r="I148" s="1083"/>
      <c r="J148" s="1083"/>
      <c r="K148" s="1083"/>
      <c r="L148" s="1083"/>
      <c r="M148" s="1083"/>
      <c r="N148" s="1083"/>
      <c r="O148" s="1083"/>
      <c r="P148" s="1083"/>
      <c r="Q148" s="1083"/>
      <c r="R148" s="1083"/>
      <c r="S148" s="1083"/>
      <c r="T148" s="1083"/>
      <c r="U148" s="1083"/>
      <c r="V148" s="1083"/>
      <c r="W148" s="1083"/>
      <c r="X148" s="1083"/>
      <c r="Y148" s="1083"/>
      <c r="Z148" s="1083"/>
      <c r="AA148" s="1083"/>
      <c r="AB148" s="1083"/>
      <c r="AC148" s="1083"/>
      <c r="AD148" s="1083"/>
      <c r="AE148" s="1083"/>
    </row>
    <row r="149" spans="2:31">
      <c r="B149" s="1141" t="s">
        <v>1087</v>
      </c>
      <c r="C149" s="1611">
        <v>1.27</v>
      </c>
      <c r="D149" s="1142" t="s">
        <v>126</v>
      </c>
      <c r="E149" s="1143">
        <f>+$F$62</f>
        <v>2913</v>
      </c>
      <c r="F149" s="1144">
        <f>C149*E149</f>
        <v>3699.51</v>
      </c>
      <c r="I149" s="1083"/>
      <c r="J149" s="1083"/>
      <c r="K149" s="1083"/>
      <c r="L149" s="1083"/>
      <c r="M149" s="1083"/>
      <c r="N149" s="1083"/>
      <c r="O149" s="1083"/>
      <c r="P149" s="1083"/>
      <c r="Q149" s="1083"/>
      <c r="R149" s="1083"/>
      <c r="S149" s="1083"/>
      <c r="T149" s="1083"/>
      <c r="U149" s="1083"/>
      <c r="V149" s="1083"/>
      <c r="W149" s="1083"/>
      <c r="X149" s="1083"/>
      <c r="Y149" s="1083"/>
      <c r="Z149" s="1083"/>
      <c r="AA149" s="1083"/>
      <c r="AB149" s="1083"/>
      <c r="AC149" s="1083"/>
      <c r="AD149" s="1083"/>
      <c r="AE149" s="1083"/>
    </row>
    <row r="150" spans="2:31">
      <c r="B150" s="1141" t="s">
        <v>1089</v>
      </c>
      <c r="C150" s="1611">
        <f>1/0.2</f>
        <v>5</v>
      </c>
      <c r="D150" s="1152" t="s">
        <v>11</v>
      </c>
      <c r="E150" s="1143">
        <v>1200</v>
      </c>
      <c r="F150" s="1144">
        <f>C150*E150</f>
        <v>6000</v>
      </c>
      <c r="I150" s="1083"/>
      <c r="J150" s="1083"/>
      <c r="K150" s="1083"/>
      <c r="L150" s="1083"/>
      <c r="M150" s="1083"/>
      <c r="N150" s="1083"/>
      <c r="O150" s="1083"/>
      <c r="P150" s="1083"/>
      <c r="Q150" s="1083"/>
      <c r="R150" s="1083"/>
      <c r="S150" s="1083"/>
      <c r="T150" s="1083"/>
      <c r="U150" s="1083"/>
      <c r="V150" s="1083"/>
      <c r="W150" s="1083"/>
      <c r="X150" s="1083"/>
      <c r="Y150" s="1083"/>
      <c r="Z150" s="1083"/>
      <c r="AA150" s="1083"/>
      <c r="AB150" s="1083"/>
      <c r="AC150" s="1083"/>
      <c r="AD150" s="1083"/>
      <c r="AE150" s="1083"/>
    </row>
    <row r="151" spans="2:31" ht="13.5" thickBot="1">
      <c r="B151" s="1145"/>
      <c r="C151" s="1612"/>
      <c r="D151" s="1146"/>
      <c r="E151" s="1147" t="s">
        <v>1031</v>
      </c>
      <c r="F151" s="1673">
        <f>ROUND(SUM(F148:F150),2)</f>
        <v>18262.16</v>
      </c>
      <c r="I151" s="1083"/>
      <c r="J151" s="1083"/>
      <c r="K151" s="1083"/>
      <c r="L151" s="1083"/>
      <c r="M151" s="1083"/>
      <c r="N151" s="1083"/>
      <c r="O151" s="1083"/>
      <c r="P151" s="1083"/>
      <c r="Q151" s="1083"/>
      <c r="R151" s="1083"/>
      <c r="S151" s="1083"/>
      <c r="T151" s="1083"/>
      <c r="U151" s="1083"/>
      <c r="V151" s="1083"/>
      <c r="W151" s="1083"/>
      <c r="X151" s="1083"/>
      <c r="Y151" s="1083"/>
      <c r="Z151" s="1083"/>
      <c r="AA151" s="1083"/>
      <c r="AB151" s="1083"/>
      <c r="AC151" s="1083"/>
      <c r="AD151" s="1083"/>
      <c r="AE151" s="1083"/>
    </row>
    <row r="152" spans="2:31" ht="14.25" thickTop="1" thickBot="1">
      <c r="B152" s="1149"/>
      <c r="C152" s="1613"/>
      <c r="D152" s="1149"/>
      <c r="E152" s="1150"/>
      <c r="F152" s="1151"/>
      <c r="I152" s="1083"/>
      <c r="J152" s="1083"/>
      <c r="K152" s="1083"/>
      <c r="L152" s="1083"/>
      <c r="M152" s="1083"/>
      <c r="N152" s="1083"/>
      <c r="O152" s="1083"/>
      <c r="P152" s="1083"/>
      <c r="Q152" s="1083"/>
      <c r="R152" s="1083"/>
      <c r="S152" s="1083"/>
      <c r="T152" s="1083"/>
      <c r="U152" s="1083"/>
      <c r="V152" s="1083"/>
      <c r="W152" s="1083"/>
      <c r="X152" s="1083"/>
      <c r="Y152" s="1083"/>
      <c r="Z152" s="1083"/>
      <c r="AA152" s="1083"/>
      <c r="AB152" s="1083"/>
      <c r="AC152" s="1083"/>
      <c r="AD152" s="1083"/>
      <c r="AE152" s="1083"/>
    </row>
    <row r="153" spans="2:31" ht="14.25" thickTop="1" thickBot="1">
      <c r="B153" s="3291" t="s">
        <v>1530</v>
      </c>
      <c r="C153" s="1670"/>
      <c r="D153" s="1671"/>
      <c r="E153" s="1676"/>
      <c r="F153" s="1672"/>
      <c r="I153" s="1083"/>
      <c r="J153" s="1083"/>
      <c r="K153" s="1083"/>
      <c r="L153" s="1083"/>
      <c r="M153" s="1083"/>
      <c r="N153" s="1083"/>
      <c r="O153" s="1083"/>
      <c r="P153" s="1083"/>
      <c r="Q153" s="1083"/>
      <c r="R153" s="1083"/>
      <c r="S153" s="1083"/>
      <c r="T153" s="1083"/>
      <c r="U153" s="1083"/>
      <c r="V153" s="1083"/>
      <c r="W153" s="1083"/>
      <c r="X153" s="1083"/>
      <c r="Y153" s="1083"/>
      <c r="Z153" s="1083"/>
      <c r="AA153" s="1083"/>
      <c r="AB153" s="1083"/>
      <c r="AC153" s="1083"/>
      <c r="AD153" s="1083"/>
      <c r="AE153" s="1083"/>
    </row>
    <row r="154" spans="2:31" ht="13.5" thickTop="1">
      <c r="B154" s="1137" t="s">
        <v>1085</v>
      </c>
      <c r="C154" s="1610">
        <v>1.05</v>
      </c>
      <c r="D154" s="1138" t="s">
        <v>2</v>
      </c>
      <c r="E154" s="1143">
        <f>+$F$25</f>
        <v>8154.9</v>
      </c>
      <c r="F154" s="1140">
        <f>C154*E154</f>
        <v>8562.65</v>
      </c>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row>
    <row r="155" spans="2:31">
      <c r="B155" s="1141" t="s">
        <v>1087</v>
      </c>
      <c r="C155" s="1611">
        <v>1.57</v>
      </c>
      <c r="D155" s="1142" t="s">
        <v>126</v>
      </c>
      <c r="E155" s="1143">
        <f>+$F$62</f>
        <v>2913</v>
      </c>
      <c r="F155" s="1144">
        <f>C155*E155</f>
        <v>4573.41</v>
      </c>
      <c r="I155" s="1083"/>
      <c r="J155" s="1083"/>
      <c r="K155" s="1083"/>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row>
    <row r="156" spans="2:31">
      <c r="B156" s="1141" t="s">
        <v>1089</v>
      </c>
      <c r="C156" s="1611">
        <f>1/0.15</f>
        <v>6.67</v>
      </c>
      <c r="D156" s="1152" t="s">
        <v>11</v>
      </c>
      <c r="E156" s="1143">
        <v>1000</v>
      </c>
      <c r="F156" s="1144">
        <f>C156*E156</f>
        <v>6670</v>
      </c>
      <c r="I156" s="1083"/>
      <c r="J156" s="1083"/>
      <c r="K156" s="1083"/>
      <c r="L156" s="1083"/>
      <c r="M156" s="1083"/>
      <c r="N156" s="1083"/>
      <c r="O156" s="1083"/>
      <c r="P156" s="1083"/>
      <c r="Q156" s="1083"/>
      <c r="R156" s="1083"/>
      <c r="S156" s="1083"/>
      <c r="T156" s="1083"/>
      <c r="U156" s="1083"/>
      <c r="V156" s="1083"/>
      <c r="W156" s="1083"/>
      <c r="X156" s="1083"/>
      <c r="Y156" s="1083"/>
      <c r="Z156" s="1083"/>
      <c r="AA156" s="1083"/>
      <c r="AB156" s="1083"/>
      <c r="AC156" s="1083"/>
      <c r="AD156" s="1083"/>
      <c r="AE156" s="1083"/>
    </row>
    <row r="157" spans="2:31" ht="13.5" thickBot="1">
      <c r="B157" s="1145"/>
      <c r="C157" s="1612"/>
      <c r="D157" s="1146"/>
      <c r="E157" s="1147" t="s">
        <v>1031</v>
      </c>
      <c r="F157" s="1673">
        <f>ROUND(SUM(F154:F156),2)</f>
        <v>19806.060000000001</v>
      </c>
      <c r="I157" s="1083"/>
      <c r="J157" s="1083"/>
      <c r="K157" s="1083"/>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row>
    <row r="158" spans="2:31" ht="14.25" thickTop="1" thickBot="1">
      <c r="B158" s="1149"/>
      <c r="C158" s="1613"/>
      <c r="D158" s="1149"/>
      <c r="E158" s="1150"/>
      <c r="F158" s="1151"/>
      <c r="I158" s="1083"/>
      <c r="J158" s="1083"/>
      <c r="K158" s="1083"/>
      <c r="L158" s="1083"/>
      <c r="M158" s="1083"/>
      <c r="N158" s="1083"/>
      <c r="O158" s="1083"/>
      <c r="P158" s="1083"/>
      <c r="Q158" s="1083"/>
      <c r="R158" s="1083"/>
      <c r="S158" s="1083"/>
      <c r="T158" s="1083"/>
      <c r="U158" s="1083"/>
      <c r="V158" s="1083"/>
      <c r="W158" s="1083"/>
      <c r="X158" s="1083"/>
      <c r="Y158" s="1083"/>
      <c r="Z158" s="1083"/>
      <c r="AA158" s="1083"/>
      <c r="AB158" s="1083"/>
      <c r="AC158" s="1083"/>
      <c r="AD158" s="1083"/>
      <c r="AE158" s="1083"/>
    </row>
    <row r="159" spans="2:31" ht="14.25" thickTop="1" thickBot="1">
      <c r="B159" s="3291" t="s">
        <v>1531</v>
      </c>
      <c r="C159" s="1670"/>
      <c r="D159" s="1671"/>
      <c r="E159" s="1676"/>
      <c r="F159" s="1672"/>
      <c r="I159" s="1083"/>
      <c r="J159" s="1083"/>
      <c r="K159" s="1083"/>
      <c r="L159" s="1083"/>
      <c r="M159" s="1083"/>
      <c r="N159" s="1083"/>
      <c r="O159" s="1083"/>
      <c r="P159" s="1083"/>
      <c r="Q159" s="1083"/>
      <c r="R159" s="1083"/>
      <c r="S159" s="1083"/>
      <c r="T159" s="1083"/>
      <c r="U159" s="1083"/>
      <c r="V159" s="1083"/>
      <c r="W159" s="1083"/>
      <c r="X159" s="1083"/>
      <c r="Y159" s="1083"/>
      <c r="Z159" s="1083"/>
      <c r="AA159" s="1083"/>
      <c r="AB159" s="1083"/>
      <c r="AC159" s="1083"/>
      <c r="AD159" s="1083"/>
      <c r="AE159" s="1083"/>
    </row>
    <row r="160" spans="2:31" ht="13.5" thickTop="1">
      <c r="B160" s="1137" t="s">
        <v>1085</v>
      </c>
      <c r="C160" s="1610">
        <v>1.05</v>
      </c>
      <c r="D160" s="1138" t="s">
        <v>2</v>
      </c>
      <c r="E160" s="1143">
        <f>+$F$25</f>
        <v>8154.9</v>
      </c>
      <c r="F160" s="1140">
        <f>C160*E160</f>
        <v>8562.65</v>
      </c>
      <c r="I160" s="1083"/>
      <c r="J160" s="1083"/>
      <c r="K160" s="1083"/>
      <c r="L160" s="1083"/>
      <c r="M160" s="1083"/>
      <c r="N160" s="1083"/>
      <c r="O160" s="1083"/>
      <c r="P160" s="1083"/>
      <c r="Q160" s="1083"/>
      <c r="R160" s="1083"/>
      <c r="S160" s="1083"/>
      <c r="T160" s="1083"/>
      <c r="U160" s="1083"/>
      <c r="V160" s="1083"/>
      <c r="W160" s="1083"/>
      <c r="X160" s="1083"/>
      <c r="Y160" s="1083"/>
      <c r="Z160" s="1083"/>
      <c r="AA160" s="1083"/>
      <c r="AB160" s="1083"/>
      <c r="AC160" s="1083"/>
      <c r="AD160" s="1083"/>
      <c r="AE160" s="1083"/>
    </row>
    <row r="161" spans="2:31">
      <c r="B161" s="1141" t="s">
        <v>1087</v>
      </c>
      <c r="C161" s="1611">
        <v>2.25</v>
      </c>
      <c r="D161" s="1142" t="s">
        <v>126</v>
      </c>
      <c r="E161" s="1143">
        <f>+$F$62</f>
        <v>2913</v>
      </c>
      <c r="F161" s="1144">
        <f>C161*E161</f>
        <v>6554.25</v>
      </c>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3"/>
      <c r="AC161" s="1083"/>
      <c r="AD161" s="1083"/>
      <c r="AE161" s="1083"/>
    </row>
    <row r="162" spans="2:31">
      <c r="B162" s="1141" t="s">
        <v>1089</v>
      </c>
      <c r="C162" s="1611">
        <f>1/0.15</f>
        <v>6.67</v>
      </c>
      <c r="D162" s="1152" t="s">
        <v>11</v>
      </c>
      <c r="E162" s="1143">
        <v>1200</v>
      </c>
      <c r="F162" s="1144">
        <f>C162*E162</f>
        <v>8004</v>
      </c>
      <c r="I162" s="1083"/>
      <c r="J162" s="1083"/>
      <c r="K162" s="1083"/>
      <c r="L162" s="1083"/>
      <c r="M162" s="1083"/>
      <c r="N162" s="1083"/>
      <c r="O162" s="1083"/>
      <c r="P162" s="1083"/>
      <c r="Q162" s="1083"/>
      <c r="R162" s="1083"/>
      <c r="S162" s="1083"/>
      <c r="T162" s="1083"/>
      <c r="U162" s="1083"/>
      <c r="V162" s="1083"/>
      <c r="W162" s="1083"/>
      <c r="X162" s="1083"/>
      <c r="Y162" s="1083"/>
      <c r="Z162" s="1083"/>
      <c r="AA162" s="1083"/>
      <c r="AB162" s="1083"/>
      <c r="AC162" s="1083"/>
      <c r="AD162" s="1083"/>
      <c r="AE162" s="1083"/>
    </row>
    <row r="163" spans="2:31" ht="13.5" thickBot="1">
      <c r="B163" s="1145"/>
      <c r="C163" s="1612"/>
      <c r="D163" s="1146"/>
      <c r="E163" s="1147" t="s">
        <v>1031</v>
      </c>
      <c r="F163" s="1673">
        <f>ROUND(SUM(F160:F162),2)</f>
        <v>23120.9</v>
      </c>
      <c r="I163" s="1083"/>
      <c r="J163" s="1083"/>
      <c r="K163" s="1083"/>
      <c r="L163" s="1083"/>
      <c r="M163" s="1083"/>
      <c r="N163" s="1083"/>
      <c r="O163" s="1083"/>
      <c r="P163" s="1083"/>
      <c r="Q163" s="1083"/>
      <c r="R163" s="1083"/>
      <c r="S163" s="1083"/>
      <c r="T163" s="1083"/>
      <c r="U163" s="1083"/>
      <c r="V163" s="1083"/>
      <c r="W163" s="1083"/>
      <c r="X163" s="1083"/>
      <c r="Y163" s="1083"/>
      <c r="Z163" s="1083"/>
      <c r="AA163" s="1083"/>
      <c r="AB163" s="1083"/>
      <c r="AC163" s="1083"/>
      <c r="AD163" s="1083"/>
      <c r="AE163" s="1083"/>
    </row>
    <row r="164" spans="2:31" ht="14.25" thickTop="1" thickBot="1">
      <c r="B164" s="1149"/>
      <c r="C164" s="1613"/>
      <c r="D164" s="1149"/>
      <c r="E164" s="1150"/>
      <c r="F164" s="1151"/>
      <c r="I164" s="1083"/>
      <c r="J164" s="1083"/>
      <c r="K164" s="1083"/>
      <c r="L164" s="1083"/>
      <c r="M164" s="1083"/>
      <c r="N164" s="1083"/>
      <c r="O164" s="1083"/>
      <c r="P164" s="1083"/>
      <c r="Q164" s="1083"/>
      <c r="R164" s="1083"/>
      <c r="S164" s="1083"/>
      <c r="T164" s="1083"/>
      <c r="U164" s="1083"/>
      <c r="V164" s="1083"/>
      <c r="W164" s="1083"/>
      <c r="X164" s="1083"/>
      <c r="Y164" s="1083"/>
      <c r="Z164" s="1083"/>
      <c r="AA164" s="1083"/>
      <c r="AB164" s="1083"/>
      <c r="AC164" s="1083"/>
      <c r="AD164" s="1083"/>
      <c r="AE164" s="1083"/>
    </row>
    <row r="165" spans="2:31" ht="14.25" thickTop="1" thickBot="1">
      <c r="B165" s="3291" t="s">
        <v>1539</v>
      </c>
      <c r="C165" s="1670"/>
      <c r="D165" s="1671"/>
      <c r="E165" s="1676"/>
      <c r="F165" s="1672"/>
      <c r="I165" s="1083"/>
      <c r="J165" s="1083"/>
      <c r="K165" s="1083"/>
      <c r="L165" s="1083"/>
      <c r="M165" s="1083"/>
      <c r="N165" s="1083"/>
      <c r="O165" s="1083"/>
      <c r="P165" s="1083"/>
      <c r="Q165" s="1083"/>
      <c r="R165" s="1083"/>
      <c r="S165" s="1083"/>
      <c r="T165" s="1083"/>
      <c r="U165" s="1083"/>
      <c r="V165" s="1083"/>
      <c r="W165" s="1083"/>
      <c r="X165" s="1083"/>
      <c r="Y165" s="1083"/>
      <c r="Z165" s="1083"/>
      <c r="AA165" s="1083"/>
      <c r="AB165" s="1083"/>
      <c r="AC165" s="1083"/>
      <c r="AD165" s="1083"/>
      <c r="AE165" s="1083"/>
    </row>
    <row r="166" spans="2:31" ht="13.5" thickTop="1">
      <c r="B166" s="1137" t="s">
        <v>1085</v>
      </c>
      <c r="C166" s="1610">
        <v>1.05</v>
      </c>
      <c r="D166" s="1138" t="s">
        <v>2</v>
      </c>
      <c r="E166" s="1143">
        <f>+$F$25</f>
        <v>8154.9</v>
      </c>
      <c r="F166" s="1140">
        <f>C166*E166</f>
        <v>8562.65</v>
      </c>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row>
    <row r="167" spans="2:31">
      <c r="B167" s="1141" t="s">
        <v>1087</v>
      </c>
      <c r="C167" s="1611">
        <v>1.37</v>
      </c>
      <c r="D167" s="1142" t="s">
        <v>126</v>
      </c>
      <c r="E167" s="1143">
        <f>+$F$62</f>
        <v>2913</v>
      </c>
      <c r="F167" s="1144">
        <f>C167*E167</f>
        <v>3990.81</v>
      </c>
      <c r="I167" s="1083"/>
      <c r="J167" s="1083"/>
      <c r="K167" s="1083"/>
      <c r="L167" s="1083"/>
      <c r="M167" s="1083"/>
      <c r="N167" s="1083"/>
      <c r="O167" s="1083"/>
      <c r="P167" s="1083"/>
      <c r="Q167" s="1083"/>
      <c r="R167" s="1083"/>
      <c r="S167" s="1083"/>
      <c r="T167" s="1083"/>
      <c r="U167" s="1083"/>
      <c r="V167" s="1083"/>
      <c r="W167" s="1083"/>
      <c r="X167" s="1083"/>
      <c r="Y167" s="1083"/>
      <c r="Z167" s="1083"/>
      <c r="AA167" s="1083"/>
      <c r="AB167" s="1083"/>
      <c r="AC167" s="1083"/>
      <c r="AD167" s="1083"/>
      <c r="AE167" s="1083"/>
    </row>
    <row r="168" spans="2:31">
      <c r="B168" s="1141"/>
      <c r="C168" s="1611"/>
      <c r="D168" s="1152"/>
      <c r="E168" s="1143"/>
      <c r="F168" s="1144"/>
      <c r="I168" s="1083"/>
      <c r="J168" s="1083"/>
      <c r="K168" s="1083"/>
      <c r="L168" s="1083"/>
      <c r="M168" s="1083"/>
      <c r="N168" s="1083"/>
      <c r="O168" s="1083"/>
      <c r="P168" s="1083"/>
      <c r="Q168" s="1083"/>
      <c r="R168" s="1083"/>
      <c r="S168" s="1083"/>
      <c r="T168" s="1083"/>
      <c r="U168" s="1083"/>
      <c r="V168" s="1083"/>
      <c r="W168" s="1083"/>
      <c r="X168" s="1083"/>
      <c r="Y168" s="1083"/>
      <c r="Z168" s="1083"/>
      <c r="AA168" s="1083"/>
      <c r="AB168" s="1083"/>
      <c r="AC168" s="1083"/>
      <c r="AD168" s="1083"/>
      <c r="AE168" s="1083"/>
    </row>
    <row r="169" spans="2:31" ht="13.5" thickBot="1">
      <c r="B169" s="1145"/>
      <c r="C169" s="1612"/>
      <c r="D169" s="1146"/>
      <c r="E169" s="1147" t="s">
        <v>1031</v>
      </c>
      <c r="F169" s="1673">
        <f>ROUND(SUM(F166:F168),2)</f>
        <v>12553.46</v>
      </c>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row>
    <row r="170" spans="2:31" ht="14.25" thickTop="1" thickBot="1">
      <c r="B170" s="1149"/>
      <c r="C170" s="1613"/>
      <c r="D170" s="1149"/>
      <c r="E170" s="1150"/>
      <c r="F170" s="1151"/>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row>
    <row r="171" spans="2:31" ht="14.25" thickTop="1" thickBot="1">
      <c r="B171" s="3292" t="s">
        <v>1533</v>
      </c>
      <c r="C171" s="1670"/>
      <c r="D171" s="1671"/>
      <c r="E171" s="1676"/>
      <c r="F171" s="1672"/>
      <c r="I171" s="1083"/>
      <c r="J171" s="1083"/>
      <c r="K171" s="1083"/>
      <c r="L171" s="1083"/>
      <c r="M171" s="1083"/>
      <c r="N171" s="1083"/>
      <c r="O171" s="1083"/>
      <c r="P171" s="1083"/>
      <c r="Q171" s="1083"/>
      <c r="R171" s="1083"/>
      <c r="S171" s="1083"/>
      <c r="T171" s="1083"/>
      <c r="U171" s="1083"/>
      <c r="V171" s="1083"/>
      <c r="W171" s="1083"/>
      <c r="X171" s="1083"/>
      <c r="Y171" s="1083"/>
      <c r="Z171" s="1083"/>
      <c r="AA171" s="1083"/>
      <c r="AB171" s="1083"/>
      <c r="AC171" s="1083"/>
      <c r="AD171" s="1083"/>
      <c r="AE171" s="1083"/>
    </row>
    <row r="172" spans="2:31" ht="13.5" thickTop="1">
      <c r="B172" s="1137" t="s">
        <v>1085</v>
      </c>
      <c r="C172" s="1610">
        <v>1.05</v>
      </c>
      <c r="D172" s="1138" t="s">
        <v>2</v>
      </c>
      <c r="E172" s="1143">
        <f>+$F$25</f>
        <v>8154.9</v>
      </c>
      <c r="F172" s="1140">
        <f>C172*E172</f>
        <v>8562.65</v>
      </c>
      <c r="I172" s="1083"/>
      <c r="J172" s="1083"/>
      <c r="K172" s="1083"/>
      <c r="L172" s="1083"/>
      <c r="M172" s="1083"/>
      <c r="N172" s="1083"/>
      <c r="O172" s="1083"/>
      <c r="P172" s="1083"/>
      <c r="Q172" s="1083"/>
      <c r="R172" s="1083"/>
      <c r="S172" s="1083"/>
      <c r="T172" s="1083"/>
      <c r="U172" s="1083"/>
      <c r="V172" s="1083"/>
      <c r="W172" s="1083"/>
      <c r="X172" s="1083"/>
      <c r="Y172" s="1083"/>
      <c r="Z172" s="1083"/>
      <c r="AA172" s="1083"/>
      <c r="AB172" s="1083"/>
      <c r="AC172" s="1083"/>
      <c r="AD172" s="1083"/>
      <c r="AE172" s="1083"/>
    </row>
    <row r="173" spans="2:31">
      <c r="B173" s="1141" t="s">
        <v>1087</v>
      </c>
      <c r="C173" s="1611">
        <v>2.4500000000000002</v>
      </c>
      <c r="D173" s="1142" t="s">
        <v>126</v>
      </c>
      <c r="E173" s="1143">
        <f>+$F$62</f>
        <v>2913</v>
      </c>
      <c r="F173" s="1144">
        <f>C173*E173</f>
        <v>7136.85</v>
      </c>
      <c r="I173" s="1083"/>
      <c r="J173" s="1083"/>
      <c r="K173" s="1083"/>
      <c r="L173" s="1083"/>
      <c r="M173" s="1083"/>
      <c r="N173" s="1083"/>
      <c r="O173" s="1083"/>
      <c r="P173" s="1083"/>
      <c r="Q173" s="1083"/>
      <c r="R173" s="1083"/>
      <c r="S173" s="1083"/>
      <c r="T173" s="1083"/>
      <c r="U173" s="1083"/>
      <c r="V173" s="1083"/>
      <c r="W173" s="1083"/>
      <c r="X173" s="1083"/>
      <c r="Y173" s="1083"/>
      <c r="Z173" s="1083"/>
      <c r="AA173" s="1083"/>
      <c r="AB173" s="1083"/>
      <c r="AC173" s="1083"/>
      <c r="AD173" s="1083"/>
      <c r="AE173" s="1083"/>
    </row>
    <row r="174" spans="2:31">
      <c r="B174" s="1141"/>
      <c r="C174" s="1611"/>
      <c r="D174" s="1152"/>
      <c r="E174" s="1143"/>
      <c r="F174" s="1144"/>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3"/>
      <c r="AC174" s="1083"/>
      <c r="AD174" s="1083"/>
      <c r="AE174" s="1083"/>
    </row>
    <row r="175" spans="2:31" ht="13.5" thickBot="1">
      <c r="B175" s="1145"/>
      <c r="C175" s="1612"/>
      <c r="D175" s="1146"/>
      <c r="E175" s="1147" t="s">
        <v>1031</v>
      </c>
      <c r="F175" s="1673">
        <f>ROUND(SUM(F172:F174),2)</f>
        <v>15699.5</v>
      </c>
      <c r="I175" s="1083"/>
      <c r="J175" s="1083"/>
      <c r="K175" s="1083"/>
      <c r="L175" s="1083"/>
      <c r="M175" s="1083"/>
      <c r="N175" s="1083"/>
      <c r="O175" s="1083"/>
      <c r="P175" s="1083"/>
      <c r="Q175" s="1083"/>
      <c r="R175" s="1083"/>
      <c r="S175" s="1083"/>
      <c r="T175" s="1083"/>
      <c r="U175" s="1083"/>
      <c r="V175" s="1083"/>
      <c r="W175" s="1083"/>
      <c r="X175" s="1083"/>
      <c r="Y175" s="1083"/>
      <c r="Z175" s="1083"/>
      <c r="AA175" s="1083"/>
      <c r="AB175" s="1083"/>
      <c r="AC175" s="1083"/>
      <c r="AD175" s="1083"/>
      <c r="AE175" s="1083"/>
    </row>
    <row r="176" spans="2:31" ht="14.25" thickTop="1" thickBot="1">
      <c r="B176" s="1149"/>
      <c r="C176" s="1613"/>
      <c r="D176" s="1149"/>
      <c r="E176" s="1150"/>
      <c r="F176" s="1151"/>
      <c r="I176" s="1083"/>
      <c r="J176" s="1083"/>
      <c r="K176" s="1083"/>
      <c r="L176" s="1083"/>
      <c r="M176" s="1083"/>
      <c r="N176" s="1083"/>
      <c r="O176" s="1083"/>
      <c r="P176" s="1083"/>
      <c r="Q176" s="1083"/>
      <c r="R176" s="1083"/>
      <c r="S176" s="1083"/>
      <c r="T176" s="1083"/>
      <c r="U176" s="1083"/>
      <c r="V176" s="1083"/>
      <c r="W176" s="1083"/>
      <c r="X176" s="1083"/>
      <c r="Y176" s="1083"/>
      <c r="Z176" s="1083"/>
      <c r="AA176" s="1083"/>
      <c r="AB176" s="1083"/>
      <c r="AC176" s="1083"/>
      <c r="AD176" s="1083"/>
      <c r="AE176" s="1083"/>
    </row>
    <row r="177" spans="2:31" ht="14.25" thickTop="1" thickBot="1">
      <c r="B177" s="3292" t="s">
        <v>1535</v>
      </c>
      <c r="C177" s="1670"/>
      <c r="D177" s="1671"/>
      <c r="E177" s="1676"/>
      <c r="F177" s="1672"/>
      <c r="I177" s="1083"/>
      <c r="J177" s="1083"/>
      <c r="K177" s="1083"/>
      <c r="L177" s="1083"/>
      <c r="M177" s="1083"/>
      <c r="N177" s="1083"/>
      <c r="O177" s="1083"/>
      <c r="P177" s="1083"/>
      <c r="Q177" s="1083"/>
      <c r="R177" s="1083"/>
      <c r="S177" s="1083"/>
      <c r="T177" s="1083"/>
      <c r="U177" s="1083"/>
      <c r="V177" s="1083"/>
      <c r="W177" s="1083"/>
      <c r="X177" s="1083"/>
      <c r="Y177" s="1083"/>
      <c r="Z177" s="1083"/>
      <c r="AA177" s="1083"/>
      <c r="AB177" s="1083"/>
      <c r="AC177" s="1083"/>
      <c r="AD177" s="1083"/>
      <c r="AE177" s="1083"/>
    </row>
    <row r="178" spans="2:31" ht="13.5" thickTop="1">
      <c r="B178" s="1137" t="s">
        <v>1085</v>
      </c>
      <c r="C178" s="1610">
        <v>1.05</v>
      </c>
      <c r="D178" s="1138" t="s">
        <v>2</v>
      </c>
      <c r="E178" s="1143">
        <f>+$F$25</f>
        <v>8154.9</v>
      </c>
      <c r="F178" s="1140">
        <f>C178*E178</f>
        <v>8562.65</v>
      </c>
      <c r="I178" s="1083"/>
      <c r="J178" s="1083"/>
      <c r="K178" s="1083"/>
      <c r="L178" s="1083"/>
      <c r="M178" s="1083"/>
      <c r="N178" s="1083"/>
      <c r="O178" s="1083"/>
      <c r="P178" s="1083"/>
      <c r="Q178" s="1083"/>
      <c r="R178" s="1083"/>
      <c r="S178" s="1083"/>
      <c r="T178" s="1083"/>
      <c r="U178" s="1083"/>
      <c r="V178" s="1083"/>
      <c r="W178" s="1083"/>
      <c r="X178" s="1083"/>
      <c r="Y178" s="1083"/>
      <c r="Z178" s="1083"/>
      <c r="AA178" s="1083"/>
      <c r="AB178" s="1083"/>
      <c r="AC178" s="1083"/>
      <c r="AD178" s="1083"/>
      <c r="AE178" s="1083"/>
    </row>
    <row r="179" spans="2:31">
      <c r="B179" s="1141" t="s">
        <v>1087</v>
      </c>
      <c r="C179" s="1611">
        <v>1.32</v>
      </c>
      <c r="D179" s="1142" t="s">
        <v>126</v>
      </c>
      <c r="E179" s="1143">
        <f>+$F$62</f>
        <v>2913</v>
      </c>
      <c r="F179" s="1144">
        <f>C179*E179</f>
        <v>3845.16</v>
      </c>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row>
    <row r="180" spans="2:31">
      <c r="B180" s="1141"/>
      <c r="C180" s="1611"/>
      <c r="D180" s="1152"/>
      <c r="E180" s="1143"/>
      <c r="F180" s="1144"/>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row>
    <row r="181" spans="2:31" ht="13.5" thickBot="1">
      <c r="B181" s="1145"/>
      <c r="C181" s="1612"/>
      <c r="D181" s="1146"/>
      <c r="E181" s="1147" t="s">
        <v>1031</v>
      </c>
      <c r="F181" s="1673">
        <f>ROUND(SUM(F178:F180),2)</f>
        <v>12407.81</v>
      </c>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row>
    <row r="182" spans="2:31" ht="14.25" thickTop="1" thickBot="1">
      <c r="B182" s="1149"/>
      <c r="C182" s="1613"/>
      <c r="D182" s="1149"/>
      <c r="E182" s="1150"/>
      <c r="F182" s="1151"/>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row>
    <row r="183" spans="2:31" ht="14.25" thickTop="1" thickBot="1">
      <c r="B183" s="3292" t="s">
        <v>1536</v>
      </c>
      <c r="C183" s="1670"/>
      <c r="D183" s="1671"/>
      <c r="E183" s="1676"/>
      <c r="F183" s="1672"/>
      <c r="I183" s="1083"/>
      <c r="J183" s="1083"/>
      <c r="K183" s="1083"/>
      <c r="L183" s="1083"/>
      <c r="M183" s="1083"/>
      <c r="N183" s="1083"/>
      <c r="O183" s="1083"/>
      <c r="P183" s="1083"/>
      <c r="Q183" s="1083"/>
      <c r="R183" s="1083"/>
      <c r="S183" s="1083"/>
      <c r="T183" s="1083"/>
      <c r="U183" s="1083"/>
      <c r="V183" s="1083"/>
      <c r="W183" s="1083"/>
      <c r="X183" s="1083"/>
      <c r="Y183" s="1083"/>
      <c r="Z183" s="1083"/>
      <c r="AA183" s="1083"/>
      <c r="AB183" s="1083"/>
      <c r="AC183" s="1083"/>
      <c r="AD183" s="1083"/>
      <c r="AE183" s="1083"/>
    </row>
    <row r="184" spans="2:31" ht="13.5" thickTop="1">
      <c r="B184" s="1137" t="s">
        <v>1085</v>
      </c>
      <c r="C184" s="1610">
        <v>1.05</v>
      </c>
      <c r="D184" s="1138" t="s">
        <v>2</v>
      </c>
      <c r="E184" s="1143">
        <f>+$F$25</f>
        <v>8154.9</v>
      </c>
      <c r="F184" s="1140">
        <f>C184*E184</f>
        <v>8562.65</v>
      </c>
      <c r="I184" s="1083"/>
      <c r="J184" s="1083"/>
      <c r="K184" s="1083"/>
      <c r="L184" s="1083"/>
      <c r="M184" s="1083"/>
      <c r="N184" s="1083"/>
      <c r="O184" s="1083"/>
      <c r="P184" s="1083"/>
      <c r="Q184" s="1083"/>
      <c r="R184" s="1083"/>
      <c r="S184" s="1083"/>
      <c r="T184" s="1083"/>
      <c r="U184" s="1083"/>
      <c r="V184" s="1083"/>
      <c r="W184" s="1083"/>
      <c r="X184" s="1083"/>
      <c r="Y184" s="1083"/>
      <c r="Z184" s="1083"/>
      <c r="AA184" s="1083"/>
      <c r="AB184" s="1083"/>
      <c r="AC184" s="1083"/>
      <c r="AD184" s="1083"/>
      <c r="AE184" s="1083"/>
    </row>
    <row r="185" spans="2:31">
      <c r="B185" s="1141" t="s">
        <v>1087</v>
      </c>
      <c r="C185" s="1611">
        <v>1.1599999999999999</v>
      </c>
      <c r="D185" s="1142" t="s">
        <v>126</v>
      </c>
      <c r="E185" s="1143">
        <f>+$F$62</f>
        <v>2913</v>
      </c>
      <c r="F185" s="1144">
        <f>C185*E185</f>
        <v>3379.08</v>
      </c>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row>
    <row r="186" spans="2:31">
      <c r="B186" s="1141"/>
      <c r="C186" s="1611"/>
      <c r="D186" s="1152"/>
      <c r="E186" s="1143"/>
      <c r="F186" s="1144"/>
      <c r="I186" s="1083"/>
      <c r="J186" s="1083"/>
      <c r="K186" s="1083"/>
      <c r="L186" s="1083"/>
      <c r="M186" s="1083"/>
      <c r="N186" s="1083"/>
      <c r="O186" s="1083"/>
      <c r="P186" s="1083"/>
      <c r="Q186" s="1083"/>
      <c r="R186" s="1083"/>
      <c r="S186" s="1083"/>
      <c r="T186" s="1083"/>
      <c r="U186" s="1083"/>
      <c r="V186" s="1083"/>
      <c r="W186" s="1083"/>
      <c r="X186" s="1083"/>
      <c r="Y186" s="1083"/>
      <c r="Z186" s="1083"/>
      <c r="AA186" s="1083"/>
      <c r="AB186" s="1083"/>
      <c r="AC186" s="1083"/>
      <c r="AD186" s="1083"/>
      <c r="AE186" s="1083"/>
    </row>
    <row r="187" spans="2:31" ht="13.5" thickBot="1">
      <c r="B187" s="1145"/>
      <c r="C187" s="1612"/>
      <c r="D187" s="1146"/>
      <c r="E187" s="1147" t="s">
        <v>1031</v>
      </c>
      <c r="F187" s="1673">
        <f>ROUND(SUM(F184:F186),2)</f>
        <v>11941.73</v>
      </c>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3"/>
      <c r="AC187" s="1083"/>
      <c r="AD187" s="1083"/>
      <c r="AE187" s="1083"/>
    </row>
    <row r="188" spans="2:31" ht="14.25" thickTop="1" thickBot="1">
      <c r="B188" s="1149"/>
      <c r="C188" s="1613"/>
      <c r="D188" s="1149"/>
      <c r="E188" s="1150"/>
      <c r="F188" s="1151"/>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row>
    <row r="189" spans="2:31" ht="14.25" thickTop="1" thickBot="1">
      <c r="B189" s="3292" t="s">
        <v>1537</v>
      </c>
      <c r="C189" s="1670"/>
      <c r="D189" s="1671"/>
      <c r="E189" s="1676"/>
      <c r="F189" s="1672"/>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row>
    <row r="190" spans="2:31" ht="13.5" thickTop="1">
      <c r="B190" s="1137" t="s">
        <v>1085</v>
      </c>
      <c r="C190" s="1610">
        <v>1.05</v>
      </c>
      <c r="D190" s="1138" t="s">
        <v>2</v>
      </c>
      <c r="E190" s="1143">
        <f>+$F$25</f>
        <v>8154.9</v>
      </c>
      <c r="F190" s="1140">
        <f>C190*E190</f>
        <v>8562.65</v>
      </c>
      <c r="I190" s="1083"/>
      <c r="J190" s="1083"/>
      <c r="K190" s="1083"/>
      <c r="L190" s="1083"/>
      <c r="M190" s="1083"/>
      <c r="N190" s="1083"/>
      <c r="O190" s="1083"/>
      <c r="P190" s="1083"/>
      <c r="Q190" s="1083"/>
      <c r="R190" s="1083"/>
      <c r="S190" s="1083"/>
      <c r="T190" s="1083"/>
      <c r="U190" s="1083"/>
      <c r="V190" s="1083"/>
      <c r="W190" s="1083"/>
      <c r="X190" s="1083"/>
      <c r="Y190" s="1083"/>
      <c r="Z190" s="1083"/>
      <c r="AA190" s="1083"/>
      <c r="AB190" s="1083"/>
      <c r="AC190" s="1083"/>
      <c r="AD190" s="1083"/>
      <c r="AE190" s="1083"/>
    </row>
    <row r="191" spans="2:31">
      <c r="B191" s="1141" t="s">
        <v>1087</v>
      </c>
      <c r="C191" s="1611">
        <v>1.38</v>
      </c>
      <c r="D191" s="1142" t="s">
        <v>126</v>
      </c>
      <c r="E191" s="1143">
        <f>+$F$62</f>
        <v>2913</v>
      </c>
      <c r="F191" s="1144">
        <f>C191*E191</f>
        <v>4019.94</v>
      </c>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row>
    <row r="192" spans="2:31">
      <c r="B192" s="1141"/>
      <c r="C192" s="1611"/>
      <c r="D192" s="1152"/>
      <c r="E192" s="1143"/>
      <c r="F192" s="1144"/>
      <c r="I192" s="1083"/>
      <c r="J192" s="1083"/>
      <c r="K192" s="1083"/>
      <c r="L192" s="1083"/>
      <c r="M192" s="1083"/>
      <c r="N192" s="1083"/>
      <c r="O192" s="1083"/>
      <c r="P192" s="1083"/>
      <c r="Q192" s="1083"/>
      <c r="R192" s="1083"/>
      <c r="S192" s="1083"/>
      <c r="T192" s="1083"/>
      <c r="U192" s="1083"/>
      <c r="V192" s="1083"/>
      <c r="W192" s="1083"/>
      <c r="X192" s="1083"/>
      <c r="Y192" s="1083"/>
      <c r="Z192" s="1083"/>
      <c r="AA192" s="1083"/>
      <c r="AB192" s="1083"/>
      <c r="AC192" s="1083"/>
      <c r="AD192" s="1083"/>
      <c r="AE192" s="1083"/>
    </row>
    <row r="193" spans="2:31" ht="13.5" thickBot="1">
      <c r="B193" s="1145"/>
      <c r="C193" s="1612"/>
      <c r="D193" s="1146"/>
      <c r="E193" s="1147" t="s">
        <v>1031</v>
      </c>
      <c r="F193" s="1673">
        <f>ROUND(SUM(F190:F192),2)</f>
        <v>12582.59</v>
      </c>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row>
    <row r="194" spans="2:31" ht="14.25" thickTop="1" thickBot="1">
      <c r="B194" s="1149"/>
      <c r="C194" s="1613"/>
      <c r="D194" s="1149"/>
      <c r="E194" s="1150"/>
      <c r="F194" s="1151"/>
      <c r="I194" s="1083"/>
      <c r="J194" s="1083"/>
      <c r="K194" s="1083"/>
      <c r="L194" s="1083"/>
      <c r="M194" s="1083"/>
      <c r="N194" s="1083"/>
      <c r="O194" s="1083"/>
      <c r="P194" s="1083"/>
      <c r="Q194" s="1083"/>
      <c r="R194" s="1083"/>
      <c r="S194" s="1083"/>
      <c r="T194" s="1083"/>
      <c r="U194" s="1083"/>
      <c r="V194" s="1083"/>
      <c r="W194" s="1083"/>
      <c r="X194" s="1083"/>
      <c r="Y194" s="1083"/>
      <c r="Z194" s="1083"/>
      <c r="AA194" s="1083"/>
      <c r="AB194" s="1083"/>
      <c r="AC194" s="1083"/>
      <c r="AD194" s="1083"/>
      <c r="AE194" s="1083"/>
    </row>
    <row r="195" spans="2:31" ht="14.25" thickTop="1" thickBot="1">
      <c r="B195" s="3292" t="s">
        <v>1537</v>
      </c>
      <c r="C195" s="1670"/>
      <c r="D195" s="1671"/>
      <c r="E195" s="1676"/>
      <c r="F195" s="1672"/>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row>
    <row r="196" spans="2:31" ht="13.5" thickTop="1">
      <c r="B196" s="1137" t="s">
        <v>1085</v>
      </c>
      <c r="C196" s="1610">
        <v>1.05</v>
      </c>
      <c r="D196" s="1138" t="s">
        <v>2</v>
      </c>
      <c r="E196" s="1143">
        <f>+$F$25</f>
        <v>8154.9</v>
      </c>
      <c r="F196" s="1140">
        <f>C196*E196</f>
        <v>8562.65</v>
      </c>
      <c r="I196" s="1083"/>
      <c r="J196" s="1083"/>
      <c r="K196" s="1083"/>
      <c r="L196" s="1083"/>
      <c r="M196" s="1083"/>
      <c r="N196" s="1083"/>
      <c r="O196" s="1083"/>
      <c r="P196" s="1083"/>
      <c r="Q196" s="1083"/>
      <c r="R196" s="1083"/>
      <c r="S196" s="1083"/>
      <c r="T196" s="1083"/>
      <c r="U196" s="1083"/>
      <c r="V196" s="1083"/>
      <c r="W196" s="1083"/>
      <c r="X196" s="1083"/>
      <c r="Y196" s="1083"/>
      <c r="Z196" s="1083"/>
      <c r="AA196" s="1083"/>
      <c r="AB196" s="1083"/>
      <c r="AC196" s="1083"/>
      <c r="AD196" s="1083"/>
      <c r="AE196" s="1083"/>
    </row>
    <row r="197" spans="2:31">
      <c r="B197" s="1141" t="s">
        <v>1087</v>
      </c>
      <c r="C197" s="1611">
        <v>1.38</v>
      </c>
      <c r="D197" s="1142" t="s">
        <v>126</v>
      </c>
      <c r="E197" s="1143">
        <f>+$F$62</f>
        <v>2913</v>
      </c>
      <c r="F197" s="1144">
        <f>C197*E197</f>
        <v>4019.94</v>
      </c>
      <c r="I197" s="1083"/>
      <c r="J197" s="1083"/>
      <c r="K197" s="1083"/>
      <c r="L197" s="1083"/>
      <c r="M197" s="1083"/>
      <c r="N197" s="1083"/>
      <c r="O197" s="1083"/>
      <c r="P197" s="1083"/>
      <c r="Q197" s="1083"/>
      <c r="R197" s="1083"/>
      <c r="S197" s="1083"/>
      <c r="T197" s="1083"/>
      <c r="U197" s="1083"/>
      <c r="V197" s="1083"/>
      <c r="W197" s="1083"/>
      <c r="X197" s="1083"/>
      <c r="Y197" s="1083"/>
      <c r="Z197" s="1083"/>
      <c r="AA197" s="1083"/>
      <c r="AB197" s="1083"/>
      <c r="AC197" s="1083"/>
      <c r="AD197" s="1083"/>
      <c r="AE197" s="1083"/>
    </row>
    <row r="198" spans="2:31">
      <c r="B198" s="1141"/>
      <c r="C198" s="1611"/>
      <c r="D198" s="1152"/>
      <c r="E198" s="1143"/>
      <c r="F198" s="1144"/>
      <c r="I198" s="1083"/>
      <c r="J198" s="1083"/>
      <c r="K198" s="1083"/>
      <c r="L198" s="1083"/>
      <c r="M198" s="1083"/>
      <c r="N198" s="1083"/>
      <c r="O198" s="1083"/>
      <c r="P198" s="1083"/>
      <c r="Q198" s="1083"/>
      <c r="R198" s="1083"/>
      <c r="S198" s="1083"/>
      <c r="T198" s="1083"/>
      <c r="U198" s="1083"/>
      <c r="V198" s="1083"/>
      <c r="W198" s="1083"/>
      <c r="X198" s="1083"/>
      <c r="Y198" s="1083"/>
      <c r="Z198" s="1083"/>
      <c r="AA198" s="1083"/>
      <c r="AB198" s="1083"/>
      <c r="AC198" s="1083"/>
      <c r="AD198" s="1083"/>
      <c r="AE198" s="1083"/>
    </row>
    <row r="199" spans="2:31" ht="13.5" thickBot="1">
      <c r="B199" s="1145"/>
      <c r="C199" s="1612"/>
      <c r="D199" s="1146"/>
      <c r="E199" s="1147" t="s">
        <v>1031</v>
      </c>
      <c r="F199" s="1673">
        <f>ROUND(SUM(F196:F198),2)</f>
        <v>12582.59</v>
      </c>
      <c r="I199" s="1083"/>
      <c r="J199" s="1083"/>
      <c r="K199" s="1083"/>
      <c r="L199" s="1083"/>
      <c r="M199" s="1083"/>
      <c r="N199" s="1083"/>
      <c r="O199" s="1083"/>
      <c r="P199" s="1083"/>
      <c r="Q199" s="1083"/>
      <c r="R199" s="1083"/>
      <c r="S199" s="1083"/>
      <c r="T199" s="1083"/>
      <c r="U199" s="1083"/>
      <c r="V199" s="1083"/>
      <c r="W199" s="1083"/>
      <c r="X199" s="1083"/>
      <c r="Y199" s="1083"/>
      <c r="Z199" s="1083"/>
      <c r="AA199" s="1083"/>
      <c r="AB199" s="1083"/>
      <c r="AC199" s="1083"/>
      <c r="AD199" s="1083"/>
      <c r="AE199" s="1083"/>
    </row>
    <row r="200" spans="2:31" ht="14.25" thickTop="1" thickBot="1">
      <c r="B200" s="1149"/>
      <c r="C200" s="1613"/>
      <c r="D200" s="1149"/>
      <c r="E200" s="1150"/>
      <c r="F200" s="1151"/>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3"/>
      <c r="AC200" s="1083"/>
      <c r="AD200" s="1083"/>
      <c r="AE200" s="1083"/>
    </row>
    <row r="201" spans="2:31" ht="14.25" thickTop="1" thickBot="1">
      <c r="B201" s="3292" t="s">
        <v>1538</v>
      </c>
      <c r="C201" s="1670"/>
      <c r="D201" s="1671"/>
      <c r="E201" s="1676"/>
      <c r="F201" s="1672"/>
      <c r="I201" s="1083"/>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row>
    <row r="202" spans="2:31" ht="13.5" thickTop="1">
      <c r="B202" s="1137" t="s">
        <v>1085</v>
      </c>
      <c r="C202" s="1610">
        <v>1.05</v>
      </c>
      <c r="D202" s="1138" t="s">
        <v>2</v>
      </c>
      <c r="E202" s="1143">
        <f>+$F$25</f>
        <v>8154.9</v>
      </c>
      <c r="F202" s="1140">
        <f>C202*E202</f>
        <v>8562.65</v>
      </c>
      <c r="I202" s="1083"/>
      <c r="J202" s="1083"/>
      <c r="K202" s="1083"/>
      <c r="L202" s="1083"/>
      <c r="M202" s="1083"/>
      <c r="N202" s="1083"/>
      <c r="O202" s="1083"/>
      <c r="P202" s="1083"/>
      <c r="Q202" s="1083"/>
      <c r="R202" s="1083"/>
      <c r="S202" s="1083"/>
      <c r="T202" s="1083"/>
      <c r="U202" s="1083"/>
      <c r="V202" s="1083"/>
      <c r="W202" s="1083"/>
      <c r="X202" s="1083"/>
      <c r="Y202" s="1083"/>
      <c r="Z202" s="1083"/>
      <c r="AA202" s="1083"/>
      <c r="AB202" s="1083"/>
      <c r="AC202" s="1083"/>
      <c r="AD202" s="1083"/>
      <c r="AE202" s="1083"/>
    </row>
    <row r="203" spans="2:31">
      <c r="B203" s="1141" t="s">
        <v>1087</v>
      </c>
      <c r="C203" s="1611">
        <v>1.6</v>
      </c>
      <c r="D203" s="1142" t="s">
        <v>126</v>
      </c>
      <c r="E203" s="1143">
        <f>+$F$62</f>
        <v>2913</v>
      </c>
      <c r="F203" s="1144">
        <f>C203*E203</f>
        <v>4660.8</v>
      </c>
      <c r="I203" s="1083"/>
      <c r="J203" s="1083"/>
      <c r="K203" s="1083"/>
      <c r="L203" s="1083"/>
      <c r="M203" s="1083"/>
      <c r="N203" s="1083"/>
      <c r="O203" s="1083"/>
      <c r="P203" s="1083"/>
      <c r="Q203" s="1083"/>
      <c r="R203" s="1083"/>
      <c r="S203" s="1083"/>
      <c r="T203" s="1083"/>
      <c r="U203" s="1083"/>
      <c r="V203" s="1083"/>
      <c r="W203" s="1083"/>
      <c r="X203" s="1083"/>
      <c r="Y203" s="1083"/>
      <c r="Z203" s="1083"/>
      <c r="AA203" s="1083"/>
      <c r="AB203" s="1083"/>
      <c r="AC203" s="1083"/>
      <c r="AD203" s="1083"/>
      <c r="AE203" s="1083"/>
    </row>
    <row r="204" spans="2:31">
      <c r="B204" s="1141"/>
      <c r="C204" s="1611"/>
      <c r="D204" s="1152"/>
      <c r="E204" s="1143"/>
      <c r="F204" s="1144"/>
      <c r="I204" s="1083"/>
      <c r="J204" s="1083"/>
      <c r="K204" s="1083"/>
      <c r="L204" s="1083"/>
      <c r="M204" s="1083"/>
      <c r="N204" s="1083"/>
      <c r="O204" s="1083"/>
      <c r="P204" s="1083"/>
      <c r="Q204" s="1083"/>
      <c r="R204" s="1083"/>
      <c r="S204" s="1083"/>
      <c r="T204" s="1083"/>
      <c r="U204" s="1083"/>
      <c r="V204" s="1083"/>
      <c r="W204" s="1083"/>
      <c r="X204" s="1083"/>
      <c r="Y204" s="1083"/>
      <c r="Z204" s="1083"/>
      <c r="AA204" s="1083"/>
      <c r="AB204" s="1083"/>
      <c r="AC204" s="1083"/>
      <c r="AD204" s="1083"/>
      <c r="AE204" s="1083"/>
    </row>
    <row r="205" spans="2:31" ht="13.5" thickBot="1">
      <c r="B205" s="1145"/>
      <c r="C205" s="1612"/>
      <c r="D205" s="1146"/>
      <c r="E205" s="1147" t="s">
        <v>1031</v>
      </c>
      <c r="F205" s="1673">
        <f>ROUND(SUM(F202:F204),2)</f>
        <v>13223.45</v>
      </c>
      <c r="I205" s="1083"/>
      <c r="J205" s="1083"/>
      <c r="K205" s="1083"/>
      <c r="L205" s="1083"/>
      <c r="M205" s="1083"/>
      <c r="N205" s="1083"/>
      <c r="O205" s="1083"/>
      <c r="P205" s="1083"/>
      <c r="Q205" s="1083"/>
      <c r="R205" s="1083"/>
      <c r="S205" s="1083"/>
      <c r="T205" s="1083"/>
      <c r="U205" s="1083"/>
      <c r="V205" s="1083"/>
      <c r="W205" s="1083"/>
      <c r="X205" s="1083"/>
      <c r="Y205" s="1083"/>
      <c r="Z205" s="1083"/>
      <c r="AA205" s="1083"/>
      <c r="AB205" s="1083"/>
      <c r="AC205" s="1083"/>
      <c r="AD205" s="1083"/>
      <c r="AE205" s="1083"/>
    </row>
    <row r="206" spans="2:31" ht="14.25" thickTop="1" thickBot="1">
      <c r="B206" s="1149"/>
      <c r="C206" s="1613"/>
      <c r="D206" s="1149"/>
      <c r="E206" s="1150"/>
      <c r="F206" s="1151"/>
      <c r="I206" s="1083"/>
      <c r="J206" s="1083"/>
      <c r="K206" s="1083"/>
      <c r="L206" s="1083"/>
      <c r="M206" s="1083"/>
      <c r="N206" s="1083"/>
      <c r="O206" s="1083"/>
      <c r="P206" s="1083"/>
      <c r="Q206" s="1083"/>
      <c r="R206" s="1083"/>
      <c r="S206" s="1083"/>
      <c r="T206" s="1083"/>
      <c r="U206" s="1083"/>
      <c r="V206" s="1083"/>
      <c r="W206" s="1083"/>
      <c r="X206" s="1083"/>
      <c r="Y206" s="1083"/>
      <c r="Z206" s="1083"/>
      <c r="AA206" s="1083"/>
      <c r="AB206" s="1083"/>
      <c r="AC206" s="1083"/>
      <c r="AD206" s="1083"/>
      <c r="AE206" s="1083"/>
    </row>
    <row r="207" spans="2:31" ht="14.25" thickTop="1" thickBot="1">
      <c r="B207" s="3291" t="s">
        <v>1540</v>
      </c>
      <c r="C207" s="1670"/>
      <c r="D207" s="1671"/>
      <c r="E207" s="1676"/>
      <c r="F207" s="1672"/>
      <c r="I207" s="1083"/>
      <c r="J207" s="1083"/>
      <c r="K207" s="1083"/>
      <c r="L207" s="1083"/>
      <c r="M207" s="1083"/>
      <c r="N207" s="1083"/>
      <c r="O207" s="1083"/>
      <c r="P207" s="1083"/>
      <c r="Q207" s="1083"/>
      <c r="R207" s="1083"/>
      <c r="S207" s="1083"/>
      <c r="T207" s="1083"/>
      <c r="U207" s="1083"/>
      <c r="V207" s="1083"/>
      <c r="W207" s="1083"/>
      <c r="X207" s="1083"/>
      <c r="Y207" s="1083"/>
      <c r="Z207" s="1083"/>
      <c r="AA207" s="1083"/>
      <c r="AB207" s="1083"/>
      <c r="AC207" s="1083"/>
      <c r="AD207" s="1083"/>
      <c r="AE207" s="1083"/>
    </row>
    <row r="208" spans="2:31" ht="13.5" thickTop="1">
      <c r="B208" s="1137" t="s">
        <v>1085</v>
      </c>
      <c r="C208" s="1610">
        <v>1.05</v>
      </c>
      <c r="D208" s="1138" t="s">
        <v>2</v>
      </c>
      <c r="E208" s="1143">
        <f>+$F$25</f>
        <v>8154.9</v>
      </c>
      <c r="F208" s="1140">
        <f>C208*E208</f>
        <v>8562.65</v>
      </c>
      <c r="I208" s="1083"/>
      <c r="J208" s="1083"/>
      <c r="K208" s="1083"/>
      <c r="L208" s="1083"/>
      <c r="M208" s="1083"/>
      <c r="N208" s="1083"/>
      <c r="O208" s="1083"/>
      <c r="P208" s="1083"/>
      <c r="Q208" s="1083"/>
      <c r="R208" s="1083"/>
      <c r="S208" s="1083"/>
      <c r="T208" s="1083"/>
      <c r="U208" s="1083"/>
      <c r="V208" s="1083"/>
      <c r="W208" s="1083"/>
      <c r="X208" s="1083"/>
      <c r="Y208" s="1083"/>
      <c r="Z208" s="1083"/>
      <c r="AA208" s="1083"/>
      <c r="AB208" s="1083"/>
      <c r="AC208" s="1083"/>
      <c r="AD208" s="1083"/>
      <c r="AE208" s="1083"/>
    </row>
    <row r="209" spans="2:31">
      <c r="B209" s="1141" t="s">
        <v>1087</v>
      </c>
      <c r="C209" s="1611">
        <v>0.87</v>
      </c>
      <c r="D209" s="1142" t="s">
        <v>126</v>
      </c>
      <c r="E209" s="1143">
        <f>+F59+F61</f>
        <v>2590</v>
      </c>
      <c r="F209" s="1144">
        <f>C209*E209</f>
        <v>2253.3000000000002</v>
      </c>
      <c r="I209" s="1083"/>
      <c r="J209" s="1083"/>
      <c r="K209" s="1083"/>
      <c r="L209" s="1083"/>
      <c r="M209" s="1083"/>
      <c r="N209" s="1083"/>
      <c r="O209" s="1083"/>
      <c r="P209" s="1083"/>
      <c r="Q209" s="1083"/>
      <c r="R209" s="1083"/>
      <c r="S209" s="1083"/>
      <c r="T209" s="1083"/>
      <c r="U209" s="1083"/>
      <c r="V209" s="1083"/>
      <c r="W209" s="1083"/>
      <c r="X209" s="1083"/>
      <c r="Y209" s="1083"/>
      <c r="Z209" s="1083"/>
      <c r="AA209" s="1083"/>
      <c r="AB209" s="1083"/>
      <c r="AC209" s="1083"/>
      <c r="AD209" s="1083"/>
      <c r="AE209" s="1083"/>
    </row>
    <row r="210" spans="2:31">
      <c r="B210" s="1141" t="s">
        <v>1089</v>
      </c>
      <c r="C210" s="1611">
        <f>1/(0.9*0.35)</f>
        <v>3.17</v>
      </c>
      <c r="D210" s="1152" t="s">
        <v>1</v>
      </c>
      <c r="E210" s="1143">
        <v>110</v>
      </c>
      <c r="F210" s="1144">
        <f>C210*E210</f>
        <v>348.7</v>
      </c>
      <c r="I210" s="1083"/>
      <c r="J210" s="1083"/>
      <c r="K210" s="1083"/>
      <c r="L210" s="1083"/>
      <c r="M210" s="1083"/>
      <c r="N210" s="1083"/>
      <c r="O210" s="1083"/>
      <c r="P210" s="1083"/>
      <c r="Q210" s="1083"/>
      <c r="R210" s="1083"/>
      <c r="S210" s="1083"/>
      <c r="T210" s="1083"/>
      <c r="U210" s="1083"/>
      <c r="V210" s="1083"/>
      <c r="W210" s="1083"/>
      <c r="X210" s="1083"/>
      <c r="Y210" s="1083"/>
      <c r="Z210" s="1083"/>
      <c r="AA210" s="1083"/>
      <c r="AB210" s="1083"/>
      <c r="AC210" s="1083"/>
      <c r="AD210" s="1083"/>
      <c r="AE210" s="1083"/>
    </row>
    <row r="211" spans="2:31" ht="13.5" thickBot="1">
      <c r="B211" s="1145"/>
      <c r="C211" s="1612"/>
      <c r="D211" s="1146"/>
      <c r="E211" s="1147" t="s">
        <v>1031</v>
      </c>
      <c r="F211" s="1673">
        <f>ROUND(SUM(F208:F210),2)</f>
        <v>11164.65</v>
      </c>
      <c r="I211" s="1083"/>
      <c r="J211" s="1083"/>
      <c r="K211" s="1083"/>
      <c r="L211" s="1083"/>
      <c r="M211" s="1083"/>
      <c r="N211" s="1083"/>
      <c r="O211" s="1083"/>
      <c r="P211" s="1083"/>
      <c r="Q211" s="1083"/>
      <c r="R211" s="1083"/>
      <c r="S211" s="1083"/>
      <c r="T211" s="1083"/>
      <c r="U211" s="1083"/>
      <c r="V211" s="1083"/>
      <c r="W211" s="1083"/>
      <c r="X211" s="1083"/>
      <c r="Y211" s="1083"/>
      <c r="Z211" s="1083"/>
      <c r="AA211" s="1083"/>
      <c r="AB211" s="1083"/>
      <c r="AC211" s="1083"/>
      <c r="AD211" s="1083"/>
      <c r="AE211" s="1083"/>
    </row>
    <row r="212" spans="2:31" ht="14.25" thickTop="1" thickBot="1">
      <c r="B212" s="1149"/>
      <c r="C212" s="1613"/>
      <c r="D212" s="1149"/>
      <c r="E212" s="1150"/>
      <c r="F212" s="1151"/>
      <c r="I212" s="1083"/>
      <c r="J212" s="1083"/>
      <c r="K212" s="1083"/>
      <c r="L212" s="1083"/>
      <c r="M212" s="1083"/>
      <c r="N212" s="1083"/>
      <c r="O212" s="1083"/>
      <c r="P212" s="1083"/>
      <c r="Q212" s="1083"/>
      <c r="R212" s="1083"/>
      <c r="S212" s="1083"/>
      <c r="T212" s="1083"/>
      <c r="U212" s="1083"/>
      <c r="V212" s="1083"/>
      <c r="W212" s="1083"/>
      <c r="X212" s="1083"/>
      <c r="Y212" s="1083"/>
      <c r="Z212" s="1083"/>
      <c r="AA212" s="1083"/>
      <c r="AB212" s="1083"/>
      <c r="AC212" s="1083"/>
      <c r="AD212" s="1083"/>
      <c r="AE212" s="1083"/>
    </row>
    <row r="213" spans="2:31" ht="14.25" thickTop="1" thickBot="1">
      <c r="B213" s="3291" t="s">
        <v>1542</v>
      </c>
      <c r="C213" s="1670"/>
      <c r="D213" s="1671"/>
      <c r="E213" s="1676"/>
      <c r="F213" s="1672"/>
      <c r="I213" s="1083"/>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D213" s="1083"/>
      <c r="AE213" s="1083"/>
    </row>
    <row r="214" spans="2:31" ht="13.5" thickTop="1">
      <c r="B214" s="1137" t="s">
        <v>1085</v>
      </c>
      <c r="C214" s="1610">
        <v>1.05</v>
      </c>
      <c r="D214" s="1138" t="s">
        <v>2</v>
      </c>
      <c r="E214" s="1143">
        <f>+$F$25</f>
        <v>8154.9</v>
      </c>
      <c r="F214" s="1140">
        <f>C214*E214</f>
        <v>8562.65</v>
      </c>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3"/>
      <c r="AC214" s="1083"/>
      <c r="AD214" s="1083"/>
      <c r="AE214" s="1083"/>
    </row>
    <row r="215" spans="2:31">
      <c r="B215" s="1141" t="s">
        <v>1087</v>
      </c>
      <c r="C215" s="1611">
        <v>0.61</v>
      </c>
      <c r="D215" s="1142" t="s">
        <v>126</v>
      </c>
      <c r="E215" s="1143">
        <f>+E209</f>
        <v>2590</v>
      </c>
      <c r="F215" s="1144">
        <f>C215*E215</f>
        <v>1579.9</v>
      </c>
      <c r="I215" s="1083"/>
      <c r="J215" s="1083"/>
      <c r="K215" s="1083"/>
      <c r="L215" s="1083"/>
      <c r="M215" s="1083"/>
      <c r="N215" s="1083"/>
      <c r="O215" s="1083"/>
      <c r="P215" s="1083"/>
      <c r="Q215" s="1083"/>
      <c r="R215" s="1083"/>
      <c r="S215" s="1083"/>
      <c r="T215" s="1083"/>
      <c r="U215" s="1083"/>
      <c r="V215" s="1083"/>
      <c r="W215" s="1083"/>
      <c r="X215" s="1083"/>
      <c r="Y215" s="1083"/>
      <c r="Z215" s="1083"/>
      <c r="AA215" s="1083"/>
      <c r="AB215" s="1083"/>
      <c r="AC215" s="1083"/>
      <c r="AD215" s="1083"/>
      <c r="AE215" s="1083"/>
    </row>
    <row r="216" spans="2:31">
      <c r="B216" s="1141" t="s">
        <v>1089</v>
      </c>
      <c r="C216" s="1611">
        <f>1/(0.9*0.35)</f>
        <v>3.17</v>
      </c>
      <c r="D216" s="1152" t="s">
        <v>1</v>
      </c>
      <c r="E216" s="1143">
        <v>110</v>
      </c>
      <c r="F216" s="1144">
        <f>C216*E216</f>
        <v>348.7</v>
      </c>
      <c r="I216" s="1083"/>
      <c r="J216" s="1083"/>
      <c r="K216" s="1083"/>
      <c r="L216" s="1083"/>
      <c r="M216" s="1083"/>
      <c r="N216" s="1083"/>
      <c r="O216" s="1083"/>
      <c r="P216" s="1083"/>
      <c r="Q216" s="1083"/>
      <c r="R216" s="1083"/>
      <c r="S216" s="1083"/>
      <c r="T216" s="1083"/>
      <c r="U216" s="1083"/>
      <c r="V216" s="1083"/>
      <c r="W216" s="1083"/>
      <c r="X216" s="1083"/>
      <c r="Y216" s="1083"/>
      <c r="Z216" s="1083"/>
      <c r="AA216" s="1083"/>
      <c r="AB216" s="1083"/>
      <c r="AC216" s="1083"/>
      <c r="AD216" s="1083"/>
      <c r="AE216" s="1083"/>
    </row>
    <row r="217" spans="2:31" ht="13.5" thickBot="1">
      <c r="B217" s="1145"/>
      <c r="C217" s="1612"/>
      <c r="D217" s="1146"/>
      <c r="E217" s="1147" t="s">
        <v>1031</v>
      </c>
      <c r="F217" s="1673">
        <f>ROUND(SUM(F214:F216),2)</f>
        <v>10491.25</v>
      </c>
      <c r="I217" s="1083"/>
      <c r="J217" s="1083"/>
      <c r="K217" s="1083"/>
      <c r="L217" s="1083"/>
      <c r="M217" s="1083"/>
      <c r="N217" s="1083"/>
      <c r="O217" s="1083"/>
      <c r="P217" s="1083"/>
      <c r="Q217" s="1083"/>
      <c r="R217" s="1083"/>
      <c r="S217" s="1083"/>
      <c r="T217" s="1083"/>
      <c r="U217" s="1083"/>
      <c r="V217" s="1083"/>
      <c r="W217" s="1083"/>
      <c r="X217" s="1083"/>
      <c r="Y217" s="1083"/>
      <c r="Z217" s="1083"/>
      <c r="AA217" s="1083"/>
      <c r="AB217" s="1083"/>
      <c r="AC217" s="1083"/>
      <c r="AD217" s="1083"/>
      <c r="AE217" s="1083"/>
    </row>
    <row r="218" spans="2:31" ht="14.25" thickTop="1" thickBot="1">
      <c r="B218" s="1149"/>
      <c r="C218" s="1613"/>
      <c r="D218" s="1149"/>
      <c r="E218" s="1150"/>
      <c r="F218" s="1151"/>
      <c r="I218" s="1083"/>
      <c r="J218" s="1083"/>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row>
    <row r="219" spans="2:31" ht="14.25" thickTop="1" thickBot="1">
      <c r="B219" s="3291" t="s">
        <v>1541</v>
      </c>
      <c r="C219" s="1670"/>
      <c r="D219" s="1671"/>
      <c r="E219" s="1676"/>
      <c r="F219" s="1672"/>
      <c r="I219" s="1083"/>
      <c r="J219" s="1083"/>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row>
    <row r="220" spans="2:31" ht="13.5" thickTop="1">
      <c r="B220" s="1137" t="s">
        <v>1085</v>
      </c>
      <c r="C220" s="1610">
        <v>1.05</v>
      </c>
      <c r="D220" s="1138" t="s">
        <v>2</v>
      </c>
      <c r="E220" s="1143">
        <f>+$F$25</f>
        <v>8154.9</v>
      </c>
      <c r="F220" s="1140">
        <f>C220*E220</f>
        <v>8562.65</v>
      </c>
      <c r="I220" s="1083"/>
      <c r="J220" s="1083"/>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row>
    <row r="221" spans="2:31">
      <c r="B221" s="1141" t="s">
        <v>1087</v>
      </c>
      <c r="C221" s="1611">
        <v>1.27</v>
      </c>
      <c r="D221" s="1142" t="s">
        <v>126</v>
      </c>
      <c r="E221" s="1143">
        <f>+E203</f>
        <v>2913</v>
      </c>
      <c r="F221" s="1144">
        <f>C221*E221</f>
        <v>3699.51</v>
      </c>
      <c r="I221" s="1083"/>
      <c r="J221" s="1083"/>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row>
    <row r="222" spans="2:31">
      <c r="B222" s="1141" t="s">
        <v>1089</v>
      </c>
      <c r="C222" s="1611">
        <f>1/0.15</f>
        <v>6.67</v>
      </c>
      <c r="D222" s="1152" t="s">
        <v>11</v>
      </c>
      <c r="E222" s="1143">
        <v>350</v>
      </c>
      <c r="F222" s="1144">
        <f>C222*E222</f>
        <v>2334.5</v>
      </c>
      <c r="I222" s="1083"/>
      <c r="J222" s="1083"/>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row>
    <row r="223" spans="2:31" ht="13.5" thickBot="1">
      <c r="B223" s="1145"/>
      <c r="C223" s="1612"/>
      <c r="D223" s="1146"/>
      <c r="E223" s="1147" t="s">
        <v>1031</v>
      </c>
      <c r="F223" s="1673">
        <f>ROUND(SUM(F220:F222),2)</f>
        <v>14596.66</v>
      </c>
      <c r="I223" s="1083"/>
      <c r="J223" s="1083"/>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row>
    <row r="224" spans="2:31" ht="14.25" thickTop="1" thickBot="1">
      <c r="B224" s="1149"/>
      <c r="C224" s="1613"/>
      <c r="D224" s="1149"/>
      <c r="E224" s="1150"/>
      <c r="F224" s="1151"/>
      <c r="I224" s="1083"/>
      <c r="J224" s="1083"/>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row>
    <row r="225" spans="2:31" ht="14.25" thickTop="1" thickBot="1">
      <c r="B225" s="3291" t="s">
        <v>1543</v>
      </c>
      <c r="C225" s="1670"/>
      <c r="D225" s="1671"/>
      <c r="E225" s="1676"/>
      <c r="F225" s="1672"/>
      <c r="I225" s="1083"/>
      <c r="J225" s="1083"/>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row>
    <row r="226" spans="2:31" ht="13.5" thickTop="1">
      <c r="B226" s="1137" t="s">
        <v>1085</v>
      </c>
      <c r="C226" s="1610">
        <v>1.05</v>
      </c>
      <c r="D226" s="1138" t="s">
        <v>2</v>
      </c>
      <c r="E226" s="1143">
        <f>+$F$25</f>
        <v>8154.9</v>
      </c>
      <c r="F226" s="1140">
        <f>C226*E226</f>
        <v>8562.65</v>
      </c>
      <c r="I226" s="1083"/>
      <c r="J226" s="1083"/>
      <c r="K226" s="1083"/>
      <c r="L226" s="1083"/>
      <c r="M226" s="1083"/>
      <c r="N226" s="1083"/>
      <c r="O226" s="1083"/>
      <c r="P226" s="1083"/>
      <c r="Q226" s="1083"/>
      <c r="R226" s="1083"/>
      <c r="S226" s="1083"/>
      <c r="T226" s="1083"/>
      <c r="U226" s="1083"/>
      <c r="V226" s="1083"/>
      <c r="W226" s="1083"/>
      <c r="X226" s="1083"/>
      <c r="Y226" s="1083"/>
      <c r="Z226" s="1083"/>
      <c r="AA226" s="1083"/>
      <c r="AB226" s="1083"/>
      <c r="AC226" s="1083"/>
      <c r="AD226" s="1083"/>
      <c r="AE226" s="1083"/>
    </row>
    <row r="227" spans="2:31">
      <c r="B227" s="1141" t="s">
        <v>1087</v>
      </c>
      <c r="C227" s="1611">
        <v>1.89</v>
      </c>
      <c r="D227" s="1142" t="s">
        <v>126</v>
      </c>
      <c r="E227" s="1143">
        <f>+$F$62</f>
        <v>2913</v>
      </c>
      <c r="F227" s="1144">
        <f>C227*E227</f>
        <v>5505.57</v>
      </c>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3"/>
      <c r="AC227" s="1083"/>
      <c r="AD227" s="1083"/>
      <c r="AE227" s="1083"/>
    </row>
    <row r="228" spans="2:31">
      <c r="B228" s="1141" t="s">
        <v>1089</v>
      </c>
      <c r="C228" s="1611">
        <f>1/0.15</f>
        <v>6.67</v>
      </c>
      <c r="D228" s="1152" t="s">
        <v>11</v>
      </c>
      <c r="E228" s="1143">
        <f>+E222</f>
        <v>350</v>
      </c>
      <c r="F228" s="1144">
        <f>C228*E228</f>
        <v>2334.5</v>
      </c>
      <c r="I228" s="1083"/>
      <c r="J228" s="1083"/>
      <c r="K228" s="1083"/>
      <c r="L228" s="1083"/>
      <c r="M228" s="1083"/>
      <c r="N228" s="1083"/>
      <c r="O228" s="1083"/>
      <c r="P228" s="1083"/>
      <c r="Q228" s="1083"/>
      <c r="R228" s="1083"/>
      <c r="S228" s="1083"/>
      <c r="T228" s="1083"/>
      <c r="U228" s="1083"/>
      <c r="V228" s="1083"/>
      <c r="W228" s="1083"/>
      <c r="X228" s="1083"/>
      <c r="Y228" s="1083"/>
      <c r="Z228" s="1083"/>
      <c r="AA228" s="1083"/>
      <c r="AB228" s="1083"/>
      <c r="AC228" s="1083"/>
      <c r="AD228" s="1083"/>
      <c r="AE228" s="1083"/>
    </row>
    <row r="229" spans="2:31" ht="13.5" thickBot="1">
      <c r="B229" s="1145"/>
      <c r="C229" s="1612"/>
      <c r="D229" s="1146"/>
      <c r="E229" s="1147" t="s">
        <v>1031</v>
      </c>
      <c r="F229" s="1673">
        <f>ROUND(SUM(F226:F228),2)</f>
        <v>16402.72</v>
      </c>
      <c r="I229" s="1083"/>
      <c r="J229" s="1083"/>
      <c r="K229" s="1083"/>
      <c r="L229" s="1083"/>
      <c r="M229" s="1083"/>
      <c r="N229" s="1083"/>
      <c r="O229" s="1083"/>
      <c r="P229" s="1083"/>
      <c r="Q229" s="1083"/>
      <c r="R229" s="1083"/>
      <c r="S229" s="1083"/>
      <c r="T229" s="1083"/>
      <c r="U229" s="1083"/>
      <c r="V229" s="1083"/>
      <c r="W229" s="1083"/>
      <c r="X229" s="1083"/>
      <c r="Y229" s="1083"/>
      <c r="Z229" s="1083"/>
      <c r="AA229" s="1083"/>
      <c r="AB229" s="1083"/>
      <c r="AC229" s="1083"/>
      <c r="AD229" s="1083"/>
      <c r="AE229" s="1083"/>
    </row>
    <row r="230" spans="2:31" ht="14.25" thickTop="1" thickBot="1">
      <c r="B230" s="1149"/>
      <c r="C230" s="1613"/>
      <c r="D230" s="1149"/>
      <c r="E230" s="1150"/>
      <c r="F230" s="1151"/>
      <c r="I230" s="1083"/>
      <c r="J230" s="1083"/>
      <c r="K230" s="1083"/>
      <c r="L230" s="1083"/>
      <c r="M230" s="1083"/>
      <c r="N230" s="1083"/>
      <c r="O230" s="1083"/>
      <c r="P230" s="1083"/>
      <c r="Q230" s="1083"/>
      <c r="R230" s="1083"/>
      <c r="S230" s="1083"/>
      <c r="T230" s="1083"/>
      <c r="U230" s="1083"/>
      <c r="V230" s="1083"/>
      <c r="W230" s="1083"/>
      <c r="X230" s="1083"/>
      <c r="Y230" s="1083"/>
      <c r="Z230" s="1083"/>
      <c r="AA230" s="1083"/>
      <c r="AB230" s="1083"/>
      <c r="AC230" s="1083"/>
      <c r="AD230" s="1083"/>
      <c r="AE230" s="1083"/>
    </row>
    <row r="231" spans="2:31" ht="14.25" thickTop="1" thickBot="1">
      <c r="B231" s="3291" t="s">
        <v>587</v>
      </c>
      <c r="C231" s="1693"/>
      <c r="D231" s="1694"/>
      <c r="E231" s="1694"/>
      <c r="F231" s="1695"/>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row>
    <row r="232" spans="2:31" ht="13.5" thickTop="1">
      <c r="B232" s="1688" t="s">
        <v>171</v>
      </c>
      <c r="C232" s="1689" t="s">
        <v>2</v>
      </c>
      <c r="D232" s="1690">
        <v>6.3E-2</v>
      </c>
      <c r="E232" s="1691">
        <f>+F84</f>
        <v>5506.4</v>
      </c>
      <c r="F232" s="1692">
        <f t="shared" ref="F232:F237" si="1">E232*D232</f>
        <v>346.9</v>
      </c>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row>
    <row r="233" spans="2:31">
      <c r="B233" s="3274" t="s">
        <v>154</v>
      </c>
      <c r="C233" s="3270" t="s">
        <v>155</v>
      </c>
      <c r="D233" s="3254">
        <v>0.33</v>
      </c>
      <c r="E233" s="3245">
        <v>45</v>
      </c>
      <c r="F233" s="3275">
        <f t="shared" si="1"/>
        <v>14.85</v>
      </c>
      <c r="I233" s="1083"/>
      <c r="J233" s="1083"/>
      <c r="K233" s="1083"/>
      <c r="L233" s="1083"/>
      <c r="M233" s="1083"/>
      <c r="N233" s="1083"/>
      <c r="O233" s="1083"/>
      <c r="P233" s="1083"/>
      <c r="Q233" s="1083"/>
      <c r="R233" s="1083"/>
      <c r="S233" s="1083"/>
      <c r="T233" s="1083"/>
      <c r="U233" s="1083"/>
      <c r="V233" s="1083"/>
      <c r="W233" s="1083"/>
      <c r="X233" s="1083"/>
      <c r="Y233" s="1083"/>
      <c r="Z233" s="1083"/>
      <c r="AA233" s="1083"/>
      <c r="AB233" s="1083"/>
      <c r="AC233" s="1083"/>
      <c r="AD233" s="1083"/>
      <c r="AE233" s="1083"/>
    </row>
    <row r="234" spans="2:31">
      <c r="B234" s="3274" t="s">
        <v>156</v>
      </c>
      <c r="C234" s="3270" t="s">
        <v>42</v>
      </c>
      <c r="D234" s="3254">
        <v>1</v>
      </c>
      <c r="E234" s="3272">
        <v>10</v>
      </c>
      <c r="F234" s="3275">
        <f t="shared" si="1"/>
        <v>10</v>
      </c>
      <c r="I234" s="1083"/>
      <c r="J234" s="1083"/>
      <c r="K234" s="1083"/>
      <c r="L234" s="1083"/>
      <c r="M234" s="1083"/>
      <c r="N234" s="1083"/>
      <c r="O234" s="1083"/>
      <c r="P234" s="1083"/>
      <c r="Q234" s="1083"/>
      <c r="R234" s="1083"/>
      <c r="S234" s="1083"/>
      <c r="T234" s="1083"/>
      <c r="U234" s="1083"/>
      <c r="V234" s="1083"/>
      <c r="W234" s="1083"/>
      <c r="X234" s="1083"/>
      <c r="Y234" s="1083"/>
      <c r="Z234" s="1083"/>
      <c r="AA234" s="1083"/>
      <c r="AB234" s="1083"/>
      <c r="AC234" s="1083"/>
      <c r="AD234" s="1083"/>
      <c r="AE234" s="1083"/>
    </row>
    <row r="235" spans="2:31">
      <c r="B235" s="3274" t="s">
        <v>172</v>
      </c>
      <c r="C235" s="3270" t="s">
        <v>42</v>
      </c>
      <c r="D235" s="3254">
        <v>1</v>
      </c>
      <c r="E235" s="3272">
        <v>10</v>
      </c>
      <c r="F235" s="3275">
        <f t="shared" si="1"/>
        <v>10</v>
      </c>
      <c r="I235" s="1083"/>
      <c r="J235" s="1083"/>
      <c r="K235" s="1083"/>
      <c r="L235" s="1083"/>
      <c r="M235" s="1083"/>
      <c r="N235" s="1083"/>
      <c r="O235" s="1083"/>
      <c r="P235" s="1083"/>
      <c r="Q235" s="1083"/>
      <c r="R235" s="1083"/>
      <c r="S235" s="1083"/>
      <c r="T235" s="1083"/>
      <c r="U235" s="1083"/>
      <c r="V235" s="1083"/>
      <c r="W235" s="1083"/>
      <c r="X235" s="1083"/>
      <c r="Y235" s="1083"/>
      <c r="Z235" s="1083"/>
      <c r="AA235" s="1083"/>
      <c r="AB235" s="1083"/>
      <c r="AC235" s="1083"/>
      <c r="AD235" s="1083"/>
      <c r="AE235" s="1083"/>
    </row>
    <row r="236" spans="2:31">
      <c r="B236" s="3274" t="s">
        <v>2225</v>
      </c>
      <c r="C236" s="3270" t="s">
        <v>11</v>
      </c>
      <c r="D236" s="3254">
        <v>1</v>
      </c>
      <c r="E236" s="3245">
        <v>120</v>
      </c>
      <c r="F236" s="3275">
        <f t="shared" si="1"/>
        <v>120</v>
      </c>
      <c r="I236" s="1083"/>
      <c r="J236" s="1083"/>
      <c r="K236" s="1083"/>
      <c r="L236" s="1083"/>
      <c r="M236" s="1083"/>
      <c r="N236" s="1083"/>
      <c r="O236" s="1083"/>
      <c r="P236" s="1083"/>
      <c r="Q236" s="1083"/>
      <c r="R236" s="1083"/>
      <c r="S236" s="1083"/>
      <c r="T236" s="1083"/>
      <c r="U236" s="1083"/>
      <c r="V236" s="1083"/>
      <c r="W236" s="1083"/>
      <c r="X236" s="1083"/>
      <c r="Y236" s="1083"/>
      <c r="Z236" s="1083"/>
      <c r="AA236" s="1083"/>
      <c r="AB236" s="1083"/>
      <c r="AC236" s="1083"/>
      <c r="AD236" s="1083"/>
      <c r="AE236" s="1083"/>
    </row>
    <row r="237" spans="2:31">
      <c r="B237" s="3274" t="s">
        <v>167</v>
      </c>
      <c r="C237" s="3255" t="s">
        <v>1026</v>
      </c>
      <c r="D237" s="3252">
        <v>5.2999999999999999E-2</v>
      </c>
      <c r="E237" s="3245">
        <f>+E251</f>
        <v>325</v>
      </c>
      <c r="F237" s="3275">
        <f t="shared" si="1"/>
        <v>17.23</v>
      </c>
      <c r="I237" s="1083"/>
      <c r="J237" s="1083"/>
      <c r="K237" s="1083"/>
      <c r="L237" s="1083"/>
      <c r="M237" s="1083"/>
      <c r="N237" s="1083"/>
      <c r="O237" s="1083"/>
      <c r="P237" s="1083"/>
      <c r="Q237" s="1083"/>
      <c r="R237" s="1083"/>
      <c r="S237" s="1083"/>
      <c r="T237" s="1083"/>
      <c r="U237" s="1083"/>
      <c r="V237" s="1083"/>
      <c r="W237" s="1083"/>
      <c r="X237" s="1083"/>
      <c r="Y237" s="1083"/>
      <c r="Z237" s="1083"/>
      <c r="AA237" s="1083"/>
      <c r="AB237" s="1083"/>
      <c r="AC237" s="1083"/>
      <c r="AD237" s="1083"/>
      <c r="AE237" s="1083"/>
    </row>
    <row r="238" spans="2:31" ht="13.5" thickBot="1">
      <c r="B238" s="3277"/>
      <c r="C238" s="3293" t="s">
        <v>1037</v>
      </c>
      <c r="D238" s="3294"/>
      <c r="E238" s="3295" t="s">
        <v>1038</v>
      </c>
      <c r="F238" s="3296">
        <f>SUM(F232:F237)</f>
        <v>518.98</v>
      </c>
      <c r="I238" s="1083"/>
      <c r="J238" s="1083"/>
      <c r="K238" s="1083"/>
      <c r="L238" s="1083"/>
      <c r="M238" s="1083"/>
      <c r="N238" s="1083"/>
      <c r="O238" s="1083"/>
      <c r="P238" s="1083"/>
      <c r="Q238" s="1083"/>
      <c r="R238" s="1083"/>
      <c r="S238" s="1083"/>
      <c r="T238" s="1083"/>
      <c r="U238" s="1083"/>
      <c r="V238" s="1083"/>
      <c r="W238" s="1083"/>
      <c r="X238" s="1083"/>
      <c r="Y238" s="1083"/>
      <c r="Z238" s="1083"/>
      <c r="AA238" s="1083"/>
      <c r="AB238" s="1083"/>
      <c r="AC238" s="1083"/>
      <c r="AD238" s="1083"/>
      <c r="AE238" s="1083"/>
    </row>
    <row r="239" spans="2:31" ht="14.25" thickTop="1" thickBot="1">
      <c r="C239" s="1603"/>
      <c r="D239" s="1087"/>
      <c r="E239" s="1094"/>
      <c r="F239" s="1087"/>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3"/>
      <c r="AE239" s="1083"/>
    </row>
    <row r="240" spans="2:31" s="1697" customFormat="1" ht="13.5" thickTop="1">
      <c r="B240" s="1703" t="s">
        <v>174</v>
      </c>
      <c r="C240" s="1704"/>
      <c r="D240" s="1705"/>
      <c r="E240" s="1705"/>
      <c r="F240" s="1706"/>
      <c r="I240" s="3297"/>
      <c r="J240" s="3297"/>
      <c r="K240" s="3297"/>
      <c r="L240" s="3297"/>
      <c r="M240" s="3297"/>
      <c r="N240" s="3297"/>
      <c r="O240" s="3297"/>
      <c r="P240" s="3297"/>
      <c r="Q240" s="3297"/>
      <c r="R240" s="3297"/>
      <c r="S240" s="3297"/>
      <c r="T240" s="3297"/>
      <c r="U240" s="3297"/>
      <c r="V240" s="3297"/>
      <c r="W240" s="3297"/>
      <c r="X240" s="3297"/>
      <c r="Y240" s="3297"/>
      <c r="Z240" s="3297"/>
      <c r="AA240" s="3297"/>
      <c r="AB240" s="3297"/>
      <c r="AC240" s="3297"/>
      <c r="AD240" s="3297"/>
      <c r="AE240" s="3297"/>
    </row>
    <row r="241" spans="2:31" s="1697" customFormat="1">
      <c r="B241" s="3298" t="s">
        <v>175</v>
      </c>
      <c r="C241" s="3299" t="s">
        <v>2</v>
      </c>
      <c r="D241" s="3300">
        <v>6.3E-2</v>
      </c>
      <c r="E241" s="3301">
        <f>+F84</f>
        <v>5506.4</v>
      </c>
      <c r="F241" s="3302">
        <f>E241*D241</f>
        <v>346.9</v>
      </c>
      <c r="I241" s="3297"/>
      <c r="J241" s="3297"/>
      <c r="K241" s="3297"/>
      <c r="L241" s="3297"/>
      <c r="M241" s="3297"/>
      <c r="N241" s="3297"/>
      <c r="O241" s="3297"/>
      <c r="P241" s="3297"/>
      <c r="Q241" s="3297"/>
      <c r="R241" s="3297"/>
      <c r="S241" s="3297"/>
      <c r="T241" s="3297"/>
      <c r="U241" s="3297"/>
      <c r="V241" s="3297"/>
      <c r="W241" s="3297"/>
      <c r="X241" s="3297"/>
      <c r="Y241" s="3297"/>
      <c r="Z241" s="3297"/>
      <c r="AA241" s="3297"/>
      <c r="AB241" s="3297"/>
      <c r="AC241" s="3297"/>
      <c r="AD241" s="3297"/>
      <c r="AE241" s="3297"/>
    </row>
    <row r="242" spans="2:31" s="1697" customFormat="1">
      <c r="B242" s="3298" t="s">
        <v>154</v>
      </c>
      <c r="C242" s="3299" t="s">
        <v>155</v>
      </c>
      <c r="D242" s="3303">
        <v>0.33</v>
      </c>
      <c r="E242" s="3301">
        <v>45</v>
      </c>
      <c r="F242" s="3302">
        <f>E242*D242</f>
        <v>14.85</v>
      </c>
      <c r="I242" s="3297"/>
      <c r="J242" s="3297"/>
      <c r="K242" s="3297"/>
      <c r="L242" s="3297"/>
      <c r="M242" s="3297"/>
      <c r="N242" s="3297"/>
      <c r="O242" s="3297"/>
      <c r="P242" s="3297"/>
      <c r="Q242" s="3297"/>
      <c r="R242" s="3297"/>
      <c r="S242" s="3297"/>
      <c r="T242" s="3297"/>
      <c r="U242" s="3297"/>
      <c r="V242" s="3297"/>
      <c r="W242" s="3297"/>
      <c r="X242" s="3297"/>
      <c r="Y242" s="3297"/>
      <c r="Z242" s="3297"/>
      <c r="AA242" s="3297"/>
      <c r="AB242" s="3297"/>
      <c r="AC242" s="3297"/>
      <c r="AD242" s="3297"/>
      <c r="AE242" s="3297"/>
    </row>
    <row r="243" spans="2:31" s="1697" customFormat="1">
      <c r="B243" s="3298" t="s">
        <v>176</v>
      </c>
      <c r="C243" s="3299" t="s">
        <v>42</v>
      </c>
      <c r="D243" s="3303">
        <v>1</v>
      </c>
      <c r="E243" s="3304">
        <v>10</v>
      </c>
      <c r="F243" s="3302">
        <f>E243*D243</f>
        <v>10</v>
      </c>
      <c r="I243" s="3297"/>
      <c r="J243" s="3297"/>
      <c r="K243" s="3297"/>
      <c r="L243" s="3297"/>
      <c r="M243" s="3297"/>
      <c r="N243" s="3297"/>
      <c r="O243" s="3297"/>
      <c r="P243" s="3297"/>
      <c r="Q243" s="3297"/>
      <c r="R243" s="3297"/>
      <c r="S243" s="3297"/>
      <c r="T243" s="3297"/>
      <c r="U243" s="3297"/>
      <c r="V243" s="3297"/>
      <c r="W243" s="3297"/>
      <c r="X243" s="3297"/>
      <c r="Y243" s="3297"/>
      <c r="Z243" s="3297"/>
      <c r="AA243" s="3297"/>
      <c r="AB243" s="3297"/>
      <c r="AC243" s="3297"/>
      <c r="AD243" s="3297"/>
      <c r="AE243" s="3297"/>
    </row>
    <row r="244" spans="2:31" s="1697" customFormat="1">
      <c r="B244" s="3298" t="s">
        <v>41</v>
      </c>
      <c r="C244" s="3299" t="s">
        <v>11</v>
      </c>
      <c r="D244" s="3303">
        <v>1</v>
      </c>
      <c r="E244" s="3301">
        <v>130</v>
      </c>
      <c r="F244" s="3302">
        <f>E244*D244</f>
        <v>130</v>
      </c>
      <c r="I244" s="3297"/>
      <c r="J244" s="3297"/>
      <c r="K244" s="3297"/>
      <c r="L244" s="3297"/>
      <c r="M244" s="3297"/>
      <c r="N244" s="3297"/>
      <c r="O244" s="3297"/>
      <c r="P244" s="3297"/>
      <c r="Q244" s="3297"/>
      <c r="R244" s="3297"/>
      <c r="S244" s="3297"/>
      <c r="T244" s="3297"/>
      <c r="U244" s="3297"/>
      <c r="V244" s="3297"/>
      <c r="W244" s="3297"/>
      <c r="X244" s="3297"/>
      <c r="Y244" s="3297"/>
      <c r="Z244" s="3297"/>
      <c r="AA244" s="3297"/>
      <c r="AB244" s="3297"/>
      <c r="AC244" s="3297"/>
      <c r="AD244" s="3297"/>
      <c r="AE244" s="3297"/>
    </row>
    <row r="245" spans="2:31" s="1697" customFormat="1" ht="13.5" thickBot="1">
      <c r="B245" s="3305"/>
      <c r="C245" s="3306" t="s">
        <v>1037</v>
      </c>
      <c r="D245" s="3307"/>
      <c r="E245" s="3308" t="s">
        <v>1031</v>
      </c>
      <c r="F245" s="3309">
        <f>+SUM(F241:F244)</f>
        <v>501.75</v>
      </c>
      <c r="I245" s="3297"/>
      <c r="J245" s="3297"/>
      <c r="K245" s="3297"/>
      <c r="L245" s="3297"/>
      <c r="M245" s="3297"/>
      <c r="N245" s="3297"/>
      <c r="O245" s="3297"/>
      <c r="P245" s="3297"/>
      <c r="Q245" s="3297"/>
      <c r="R245" s="3297"/>
      <c r="S245" s="3297"/>
      <c r="T245" s="3297"/>
      <c r="U245" s="3297"/>
      <c r="V245" s="3297"/>
      <c r="W245" s="3297"/>
      <c r="X245" s="3297"/>
      <c r="Y245" s="3297"/>
      <c r="Z245" s="3297"/>
      <c r="AA245" s="3297"/>
      <c r="AB245" s="3297"/>
      <c r="AC245" s="3297"/>
      <c r="AD245" s="3297"/>
      <c r="AE245" s="3297"/>
    </row>
    <row r="246" spans="2:31" s="1697" customFormat="1" ht="14.25" thickTop="1" thickBot="1">
      <c r="B246" s="1713"/>
      <c r="C246" s="1714"/>
      <c r="D246" s="1715"/>
      <c r="E246" s="1716"/>
      <c r="F246" s="1717"/>
      <c r="I246" s="3297"/>
      <c r="J246" s="3297"/>
      <c r="K246" s="3297"/>
      <c r="L246" s="3297"/>
      <c r="M246" s="3297"/>
      <c r="N246" s="3297"/>
      <c r="O246" s="3297"/>
      <c r="P246" s="3297"/>
      <c r="Q246" s="3297"/>
      <c r="R246" s="3297"/>
      <c r="S246" s="3297"/>
      <c r="T246" s="3297"/>
      <c r="U246" s="3297"/>
      <c r="V246" s="3297"/>
      <c r="W246" s="3297"/>
      <c r="X246" s="3297"/>
      <c r="Y246" s="3297"/>
      <c r="Z246" s="3297"/>
      <c r="AA246" s="3297"/>
      <c r="AB246" s="3297"/>
      <c r="AC246" s="3297"/>
      <c r="AD246" s="3297"/>
      <c r="AE246" s="3297"/>
    </row>
    <row r="247" spans="2:31" ht="13.5" thickTop="1">
      <c r="B247" s="1703" t="s">
        <v>165</v>
      </c>
      <c r="C247" s="1678"/>
      <c r="D247" s="1679"/>
      <c r="E247" s="1725"/>
      <c r="F247" s="1680"/>
      <c r="I247" s="1083"/>
      <c r="J247" s="1083"/>
      <c r="K247" s="1083"/>
      <c r="L247" s="1083"/>
      <c r="M247" s="1083"/>
      <c r="N247" s="1083"/>
      <c r="O247" s="1083"/>
      <c r="P247" s="1083"/>
      <c r="Q247" s="1083"/>
      <c r="R247" s="1083"/>
      <c r="S247" s="1083"/>
      <c r="T247" s="1083"/>
      <c r="U247" s="1083"/>
      <c r="V247" s="1083"/>
      <c r="W247" s="1083"/>
      <c r="X247" s="1083"/>
      <c r="Y247" s="1083"/>
      <c r="Z247" s="1083"/>
      <c r="AA247" s="1083"/>
      <c r="AB247" s="1083"/>
      <c r="AC247" s="1083"/>
      <c r="AD247" s="1083"/>
      <c r="AE247" s="1083"/>
    </row>
    <row r="248" spans="2:31">
      <c r="B248" s="3274" t="s">
        <v>166</v>
      </c>
      <c r="C248" s="3255" t="s">
        <v>2</v>
      </c>
      <c r="D248" s="3252">
        <v>2.5999999999999999E-2</v>
      </c>
      <c r="E248" s="3245">
        <f>+$F$76</f>
        <v>5653.39</v>
      </c>
      <c r="F248" s="3275">
        <f>+E248*D248</f>
        <v>146.99</v>
      </c>
      <c r="I248" s="1083"/>
      <c r="J248" s="1083"/>
      <c r="K248" s="1083"/>
      <c r="L248" s="1083"/>
      <c r="M248" s="1083"/>
      <c r="N248" s="1083"/>
      <c r="O248" s="1083"/>
      <c r="P248" s="1083"/>
      <c r="Q248" s="1083"/>
      <c r="R248" s="1083"/>
      <c r="S248" s="1083"/>
      <c r="T248" s="1083"/>
      <c r="U248" s="1083"/>
      <c r="V248" s="1083"/>
      <c r="W248" s="1083"/>
      <c r="X248" s="1083"/>
      <c r="Y248" s="1083"/>
      <c r="Z248" s="1083"/>
      <c r="AA248" s="1083"/>
      <c r="AB248" s="1083"/>
      <c r="AC248" s="1083"/>
      <c r="AD248" s="1083"/>
      <c r="AE248" s="1083"/>
    </row>
    <row r="249" spans="2:31">
      <c r="B249" s="3274" t="s">
        <v>154</v>
      </c>
      <c r="C249" s="3255" t="s">
        <v>155</v>
      </c>
      <c r="D249" s="3252">
        <v>3.3000000000000002E-2</v>
      </c>
      <c r="E249" s="3245">
        <v>45</v>
      </c>
      <c r="F249" s="3275">
        <f>E249*D249</f>
        <v>1.49</v>
      </c>
      <c r="I249" s="1083"/>
      <c r="J249" s="1083"/>
      <c r="K249" s="1083"/>
      <c r="L249" s="1083"/>
      <c r="M249" s="1083"/>
      <c r="N249" s="1083"/>
      <c r="O249" s="1083"/>
      <c r="P249" s="1083"/>
      <c r="Q249" s="1083"/>
      <c r="R249" s="1083"/>
      <c r="S249" s="1083"/>
      <c r="T249" s="1083"/>
      <c r="U249" s="1083"/>
      <c r="V249" s="1083"/>
      <c r="W249" s="1083"/>
      <c r="X249" s="1083"/>
      <c r="Y249" s="1083"/>
      <c r="Z249" s="1083"/>
      <c r="AA249" s="1083"/>
      <c r="AB249" s="1083"/>
      <c r="AC249" s="1083"/>
      <c r="AD249" s="1083"/>
      <c r="AE249" s="1083"/>
    </row>
    <row r="250" spans="2:31">
      <c r="B250" s="3274" t="s">
        <v>156</v>
      </c>
      <c r="C250" s="3255" t="s">
        <v>42</v>
      </c>
      <c r="D250" s="3264">
        <v>1</v>
      </c>
      <c r="E250" s="3272">
        <v>10</v>
      </c>
      <c r="F250" s="3275">
        <f>E250*D250</f>
        <v>10</v>
      </c>
      <c r="I250" s="1083"/>
      <c r="J250" s="1083"/>
      <c r="K250" s="1083"/>
      <c r="L250" s="1083"/>
      <c r="M250" s="1083"/>
      <c r="N250" s="1083"/>
      <c r="O250" s="1083"/>
      <c r="P250" s="1083"/>
      <c r="Q250" s="1083"/>
      <c r="R250" s="1083"/>
      <c r="S250" s="1083"/>
      <c r="T250" s="1083"/>
      <c r="U250" s="1083"/>
      <c r="V250" s="1083"/>
      <c r="W250" s="1083"/>
      <c r="X250" s="1083"/>
      <c r="Y250" s="1083"/>
      <c r="Z250" s="1083"/>
      <c r="AA250" s="1083"/>
      <c r="AB250" s="1083"/>
      <c r="AC250" s="1083"/>
      <c r="AD250" s="1083"/>
      <c r="AE250" s="1083"/>
    </row>
    <row r="251" spans="2:31">
      <c r="B251" s="3274" t="s">
        <v>167</v>
      </c>
      <c r="C251" s="3255" t="s">
        <v>1026</v>
      </c>
      <c r="D251" s="3252">
        <v>5.2999999999999999E-2</v>
      </c>
      <c r="E251" s="3245">
        <f>$F$4</f>
        <v>325</v>
      </c>
      <c r="F251" s="3275">
        <f>E251*D251</f>
        <v>17.23</v>
      </c>
      <c r="I251" s="1083"/>
      <c r="J251" s="1083"/>
      <c r="K251" s="1083"/>
      <c r="L251" s="1083"/>
      <c r="M251" s="1083"/>
      <c r="N251" s="1083"/>
      <c r="O251" s="1083"/>
      <c r="P251" s="1083"/>
      <c r="Q251" s="1083"/>
      <c r="R251" s="1083"/>
      <c r="S251" s="1083"/>
      <c r="T251" s="1083"/>
      <c r="U251" s="1083"/>
      <c r="V251" s="1083"/>
      <c r="W251" s="1083"/>
      <c r="X251" s="1083"/>
      <c r="Y251" s="1083"/>
      <c r="Z251" s="1083"/>
      <c r="AA251" s="1083"/>
      <c r="AB251" s="1083"/>
      <c r="AC251" s="1083"/>
      <c r="AD251" s="1083"/>
      <c r="AE251" s="1083"/>
    </row>
    <row r="252" spans="2:31" s="1235" customFormat="1" ht="22.5">
      <c r="B252" s="3310" t="s">
        <v>162</v>
      </c>
      <c r="C252" s="3311" t="s">
        <v>11</v>
      </c>
      <c r="D252" s="3312">
        <v>1</v>
      </c>
      <c r="E252" s="3248">
        <v>137</v>
      </c>
      <c r="F252" s="3313">
        <f>E252*D252</f>
        <v>137</v>
      </c>
    </row>
    <row r="253" spans="2:31" ht="13.5" thickBot="1">
      <c r="B253" s="3277"/>
      <c r="C253" s="3314"/>
      <c r="D253" s="3315"/>
      <c r="E253" s="3316" t="s">
        <v>1031</v>
      </c>
      <c r="F253" s="3296">
        <f>SUM(F248:F252)</f>
        <v>312.70999999999998</v>
      </c>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3"/>
      <c r="AC253" s="1083"/>
      <c r="AD253" s="1083"/>
      <c r="AE253" s="1083"/>
    </row>
    <row r="254" spans="2:31" ht="13.5" thickTop="1">
      <c r="B254" s="1101" t="s">
        <v>158</v>
      </c>
      <c r="C254" s="1608"/>
      <c r="D254" s="1104">
        <f>F253-F251</f>
        <v>295.48</v>
      </c>
      <c r="E254" s="1103"/>
      <c r="F254" s="1103">
        <f>+F253-F251</f>
        <v>295.48</v>
      </c>
      <c r="I254" s="1083"/>
      <c r="J254" s="1083"/>
      <c r="K254" s="1083"/>
      <c r="L254" s="1083"/>
      <c r="M254" s="1083"/>
      <c r="N254" s="1083"/>
      <c r="O254" s="1083"/>
      <c r="P254" s="1083"/>
      <c r="Q254" s="1083"/>
      <c r="R254" s="1083"/>
      <c r="S254" s="1083"/>
      <c r="T254" s="1083"/>
      <c r="U254" s="1083"/>
      <c r="V254" s="1083"/>
      <c r="W254" s="1083"/>
      <c r="X254" s="1083"/>
      <c r="Y254" s="1083"/>
      <c r="Z254" s="1083"/>
      <c r="AA254" s="1083"/>
      <c r="AB254" s="1083"/>
      <c r="AC254" s="1083"/>
      <c r="AD254" s="1083"/>
      <c r="AE254" s="1083"/>
    </row>
    <row r="255" spans="2:31" ht="13.5" thickBot="1">
      <c r="B255" s="1101"/>
      <c r="C255" s="1608"/>
      <c r="D255" s="1104"/>
      <c r="E255" s="1103"/>
      <c r="F255" s="1103"/>
      <c r="I255" s="1083"/>
      <c r="J255" s="1083"/>
      <c r="K255" s="1083"/>
      <c r="L255" s="1083"/>
      <c r="M255" s="1083"/>
      <c r="N255" s="1083"/>
      <c r="O255" s="1083"/>
      <c r="P255" s="1083"/>
      <c r="Q255" s="1083"/>
      <c r="R255" s="1083"/>
      <c r="S255" s="1083"/>
      <c r="T255" s="1083"/>
      <c r="U255" s="1083"/>
      <c r="V255" s="1083"/>
      <c r="W255" s="1083"/>
      <c r="X255" s="1083"/>
      <c r="Y255" s="1083"/>
      <c r="Z255" s="1083"/>
      <c r="AA255" s="1083"/>
      <c r="AB255" s="1083"/>
      <c r="AC255" s="1083"/>
      <c r="AD255" s="1083"/>
      <c r="AE255" s="1083"/>
    </row>
    <row r="256" spans="2:31" ht="13.5" thickTop="1">
      <c r="B256" s="1733" t="s">
        <v>1035</v>
      </c>
      <c r="C256" s="1678"/>
      <c r="D256" s="1679"/>
      <c r="E256" s="1679"/>
      <c r="F256" s="1680"/>
      <c r="I256" s="1083"/>
      <c r="J256" s="1083"/>
      <c r="K256" s="1083"/>
      <c r="L256" s="1083"/>
      <c r="M256" s="1083"/>
      <c r="N256" s="1083"/>
      <c r="O256" s="1083"/>
      <c r="P256" s="1083"/>
      <c r="Q256" s="1083"/>
      <c r="R256" s="1083"/>
      <c r="S256" s="1083"/>
      <c r="T256" s="1083"/>
      <c r="U256" s="1083"/>
      <c r="V256" s="1083"/>
      <c r="W256" s="1083"/>
      <c r="X256" s="1083"/>
      <c r="Y256" s="1083"/>
      <c r="Z256" s="1083"/>
      <c r="AA256" s="1083"/>
      <c r="AB256" s="1083"/>
      <c r="AC256" s="1083"/>
      <c r="AD256" s="1083"/>
      <c r="AE256" s="1083"/>
    </row>
    <row r="257" spans="2:31">
      <c r="B257" s="3274" t="s">
        <v>153</v>
      </c>
      <c r="C257" s="3255" t="s">
        <v>2</v>
      </c>
      <c r="D257" s="3252">
        <v>2.5999999999999999E-2</v>
      </c>
      <c r="E257" s="3245">
        <f>+$F$76</f>
        <v>5653.39</v>
      </c>
      <c r="F257" s="3275">
        <f>E257*D257</f>
        <v>146.99</v>
      </c>
      <c r="I257" s="1083"/>
      <c r="J257" s="1083"/>
      <c r="K257" s="1083"/>
      <c r="L257" s="1083"/>
      <c r="M257" s="1083"/>
      <c r="N257" s="1083"/>
      <c r="O257" s="1083"/>
      <c r="P257" s="1083"/>
      <c r="Q257" s="1083"/>
      <c r="R257" s="1083"/>
      <c r="S257" s="1083"/>
      <c r="T257" s="1083"/>
      <c r="U257" s="1083"/>
      <c r="V257" s="1083"/>
      <c r="W257" s="1083"/>
      <c r="X257" s="1083"/>
      <c r="Y257" s="1083"/>
      <c r="Z257" s="1083"/>
      <c r="AA257" s="1083"/>
      <c r="AB257" s="1083"/>
      <c r="AC257" s="1083"/>
      <c r="AD257" s="1083"/>
      <c r="AE257" s="1083"/>
    </row>
    <row r="258" spans="2:31">
      <c r="B258" s="3274" t="s">
        <v>154</v>
      </c>
      <c r="C258" s="3255" t="s">
        <v>155</v>
      </c>
      <c r="D258" s="3252">
        <v>3.3000000000000002E-2</v>
      </c>
      <c r="E258" s="3245">
        <v>45</v>
      </c>
      <c r="F258" s="3275">
        <f>E258*D258</f>
        <v>1.49</v>
      </c>
      <c r="I258" s="1083"/>
      <c r="J258" s="1083"/>
      <c r="K258" s="1083"/>
      <c r="L258" s="1083"/>
      <c r="M258" s="1083"/>
      <c r="N258" s="1083"/>
      <c r="O258" s="1083"/>
      <c r="P258" s="1083"/>
      <c r="Q258" s="1083"/>
      <c r="R258" s="1083"/>
      <c r="S258" s="1083"/>
      <c r="T258" s="1083"/>
      <c r="U258" s="1083"/>
      <c r="V258" s="1083"/>
      <c r="W258" s="1083"/>
      <c r="X258" s="1083"/>
      <c r="Y258" s="1083"/>
      <c r="Z258" s="1083"/>
      <c r="AA258" s="1083"/>
      <c r="AB258" s="1083"/>
      <c r="AC258" s="1083"/>
      <c r="AD258" s="1083"/>
      <c r="AE258" s="1083"/>
    </row>
    <row r="259" spans="2:31">
      <c r="B259" s="3274" t="s">
        <v>156</v>
      </c>
      <c r="C259" s="3255" t="s">
        <v>42</v>
      </c>
      <c r="D259" s="3264">
        <v>1</v>
      </c>
      <c r="E259" s="3272">
        <v>10</v>
      </c>
      <c r="F259" s="3275">
        <f>E259*D259</f>
        <v>10</v>
      </c>
      <c r="I259" s="1083"/>
      <c r="J259" s="1083"/>
      <c r="K259" s="1083"/>
      <c r="L259" s="1083"/>
      <c r="M259" s="1083"/>
      <c r="N259" s="1083"/>
      <c r="O259" s="1083"/>
      <c r="P259" s="1083"/>
      <c r="Q259" s="1083"/>
      <c r="R259" s="1083"/>
      <c r="S259" s="1083"/>
      <c r="T259" s="1083"/>
      <c r="U259" s="1083"/>
      <c r="V259" s="1083"/>
      <c r="W259" s="1083"/>
      <c r="X259" s="1083"/>
      <c r="Y259" s="1083"/>
      <c r="Z259" s="1083"/>
      <c r="AA259" s="1083"/>
      <c r="AB259" s="1083"/>
      <c r="AC259" s="1083"/>
      <c r="AD259" s="1083"/>
      <c r="AE259" s="1083"/>
    </row>
    <row r="260" spans="2:31">
      <c r="B260" s="3274" t="s">
        <v>41</v>
      </c>
      <c r="C260" s="3255" t="s">
        <v>11</v>
      </c>
      <c r="D260" s="3264">
        <v>1</v>
      </c>
      <c r="E260" s="3245">
        <v>173</v>
      </c>
      <c r="F260" s="3275">
        <f>E260*D260</f>
        <v>173</v>
      </c>
      <c r="I260" s="1083"/>
      <c r="J260" s="1083"/>
      <c r="K260" s="1083"/>
      <c r="L260" s="1083"/>
      <c r="M260" s="1083"/>
      <c r="N260" s="1083"/>
      <c r="O260" s="1083"/>
      <c r="P260" s="1083"/>
      <c r="Q260" s="1083"/>
      <c r="R260" s="1083"/>
      <c r="S260" s="1083"/>
      <c r="T260" s="1083"/>
      <c r="U260" s="1083"/>
      <c r="V260" s="1083"/>
      <c r="W260" s="1083"/>
      <c r="X260" s="1083"/>
      <c r="Y260" s="1083"/>
      <c r="Z260" s="1083"/>
      <c r="AA260" s="1083"/>
      <c r="AB260" s="1083"/>
      <c r="AC260" s="1083"/>
      <c r="AD260" s="1083"/>
      <c r="AE260" s="1083"/>
    </row>
    <row r="261" spans="2:31" ht="13.5" thickBot="1">
      <c r="B261" s="3277"/>
      <c r="C261" s="3278"/>
      <c r="D261" s="3279"/>
      <c r="E261" s="3317" t="s">
        <v>1031</v>
      </c>
      <c r="F261" s="3296">
        <f>SUM(F257:F260)</f>
        <v>331.48</v>
      </c>
      <c r="I261" s="1083"/>
      <c r="J261" s="1083"/>
      <c r="K261" s="1083"/>
      <c r="L261" s="1083"/>
      <c r="M261" s="1083"/>
      <c r="N261" s="1083"/>
      <c r="O261" s="1083"/>
      <c r="P261" s="1083"/>
      <c r="Q261" s="1083"/>
      <c r="R261" s="1083"/>
      <c r="S261" s="1083"/>
      <c r="T261" s="1083"/>
      <c r="U261" s="1083"/>
      <c r="V261" s="1083"/>
      <c r="W261" s="1083"/>
      <c r="X261" s="1083"/>
      <c r="Y261" s="1083"/>
      <c r="Z261" s="1083"/>
      <c r="AA261" s="1083"/>
      <c r="AB261" s="1083"/>
      <c r="AC261" s="1083"/>
      <c r="AD261" s="1083"/>
      <c r="AE261" s="1083"/>
    </row>
    <row r="262" spans="2:31" ht="13.5" thickTop="1">
      <c r="B262" s="1087"/>
      <c r="C262" s="1615"/>
      <c r="D262" s="1094"/>
      <c r="E262" s="1095"/>
      <c r="F262" s="1103"/>
      <c r="I262" s="1083"/>
      <c r="J262" s="1083"/>
      <c r="K262" s="1083"/>
      <c r="L262" s="1083"/>
      <c r="M262" s="1083"/>
      <c r="N262" s="1083"/>
      <c r="O262" s="1083"/>
      <c r="P262" s="1083"/>
      <c r="Q262" s="1083"/>
      <c r="R262" s="1083"/>
      <c r="S262" s="1083"/>
      <c r="T262" s="1083"/>
      <c r="U262" s="1083"/>
      <c r="V262" s="1083"/>
      <c r="W262" s="1083"/>
      <c r="X262" s="1083"/>
      <c r="Y262" s="1083"/>
      <c r="Z262" s="1083"/>
      <c r="AA262" s="1083"/>
      <c r="AB262" s="1083"/>
      <c r="AC262" s="1083"/>
      <c r="AD262" s="1083"/>
      <c r="AE262" s="1083"/>
    </row>
    <row r="263" spans="2:31">
      <c r="B263" s="1391" t="s">
        <v>177</v>
      </c>
      <c r="C263" s="1603"/>
      <c r="D263" s="1087"/>
      <c r="E263" s="1087"/>
      <c r="F263" s="1087"/>
      <c r="I263" s="1083"/>
      <c r="J263" s="1083"/>
      <c r="K263" s="1083"/>
      <c r="L263" s="1083"/>
      <c r="M263" s="1083"/>
      <c r="N263" s="1083"/>
      <c r="O263" s="1083"/>
      <c r="P263" s="1083"/>
      <c r="Q263" s="1083"/>
      <c r="R263" s="1083"/>
      <c r="S263" s="1083"/>
      <c r="T263" s="1083"/>
      <c r="U263" s="1083"/>
      <c r="V263" s="1083"/>
      <c r="W263" s="1083"/>
      <c r="X263" s="1083"/>
      <c r="Y263" s="1083"/>
      <c r="Z263" s="1083"/>
      <c r="AA263" s="1083"/>
      <c r="AB263" s="1083"/>
      <c r="AC263" s="1083"/>
      <c r="AD263" s="1083"/>
      <c r="AE263" s="1083"/>
    </row>
    <row r="264" spans="2:31">
      <c r="B264" s="3252" t="s">
        <v>178</v>
      </c>
      <c r="C264" s="3270" t="s">
        <v>2</v>
      </c>
      <c r="D264" s="3252">
        <v>4.3E-3</v>
      </c>
      <c r="E264" s="3245">
        <f>+$F$76</f>
        <v>5653.39</v>
      </c>
      <c r="F264" s="3245">
        <f>E264*D264</f>
        <v>24.31</v>
      </c>
      <c r="I264" s="1083"/>
      <c r="J264" s="1083"/>
      <c r="K264" s="1083"/>
      <c r="L264" s="1083"/>
      <c r="M264" s="1083"/>
      <c r="N264" s="1083"/>
      <c r="O264" s="1083"/>
      <c r="P264" s="1083"/>
      <c r="Q264" s="1083"/>
      <c r="R264" s="1083"/>
      <c r="S264" s="1083"/>
      <c r="T264" s="1083"/>
      <c r="U264" s="1083"/>
      <c r="V264" s="1083"/>
      <c r="W264" s="1083"/>
      <c r="X264" s="1083"/>
      <c r="Y264" s="1083"/>
      <c r="Z264" s="1083"/>
      <c r="AA264" s="1083"/>
      <c r="AB264" s="1083"/>
      <c r="AC264" s="1083"/>
      <c r="AD264" s="1083"/>
      <c r="AE264" s="1083"/>
    </row>
    <row r="265" spans="2:31">
      <c r="B265" s="3252" t="s">
        <v>154</v>
      </c>
      <c r="C265" s="3270" t="s">
        <v>155</v>
      </c>
      <c r="D265" s="3318">
        <v>0.109</v>
      </c>
      <c r="E265" s="3245">
        <v>45</v>
      </c>
      <c r="F265" s="3245">
        <f>E265*D265</f>
        <v>4.91</v>
      </c>
      <c r="I265" s="1083"/>
      <c r="J265" s="1083"/>
      <c r="K265" s="1083"/>
      <c r="L265" s="1083"/>
      <c r="M265" s="1083"/>
      <c r="N265" s="1083"/>
      <c r="O265" s="1083"/>
      <c r="P265" s="1083"/>
      <c r="Q265" s="1083"/>
      <c r="R265" s="1083"/>
      <c r="S265" s="1083"/>
      <c r="T265" s="1083"/>
      <c r="U265" s="1083"/>
      <c r="V265" s="1083"/>
      <c r="W265" s="1083"/>
      <c r="X265" s="1083"/>
      <c r="Y265" s="1083"/>
      <c r="Z265" s="1083"/>
      <c r="AA265" s="1083"/>
      <c r="AB265" s="1083"/>
      <c r="AC265" s="1083"/>
      <c r="AD265" s="1083"/>
      <c r="AE265" s="1083"/>
    </row>
    <row r="266" spans="2:31">
      <c r="B266" s="3252" t="s">
        <v>41</v>
      </c>
      <c r="C266" s="3270" t="s">
        <v>2</v>
      </c>
      <c r="D266" s="3254">
        <v>1</v>
      </c>
      <c r="E266" s="3319">
        <v>53</v>
      </c>
      <c r="F266" s="3245">
        <f>E266*D266</f>
        <v>53</v>
      </c>
      <c r="I266" s="1083"/>
      <c r="J266" s="1083"/>
      <c r="K266" s="1083"/>
      <c r="L266" s="1083"/>
      <c r="M266" s="1083"/>
      <c r="N266" s="1083"/>
      <c r="O266" s="1083"/>
      <c r="P266" s="1083"/>
      <c r="Q266" s="1083"/>
      <c r="R266" s="1083"/>
      <c r="S266" s="1083"/>
      <c r="T266" s="1083"/>
      <c r="U266" s="1083"/>
      <c r="V266" s="1083"/>
      <c r="W266" s="1083"/>
      <c r="X266" s="1083"/>
      <c r="Y266" s="1083"/>
      <c r="Z266" s="1083"/>
      <c r="AA266" s="1083"/>
      <c r="AB266" s="1083"/>
      <c r="AC266" s="1083"/>
      <c r="AD266" s="1083"/>
      <c r="AE266" s="1083"/>
    </row>
    <row r="267" spans="2:31">
      <c r="B267" s="3252"/>
      <c r="C267" s="3270" t="s">
        <v>1037</v>
      </c>
      <c r="D267" s="3254"/>
      <c r="E267" s="3263" t="s">
        <v>1039</v>
      </c>
      <c r="F267" s="3273">
        <f>SUM(F264:F266)</f>
        <v>82.22</v>
      </c>
      <c r="I267" s="1083"/>
      <c r="J267" s="1083"/>
      <c r="K267" s="1083"/>
      <c r="L267" s="1083"/>
      <c r="M267" s="1083"/>
      <c r="N267" s="1083"/>
      <c r="O267" s="1083"/>
      <c r="P267" s="1083"/>
      <c r="Q267" s="1083"/>
      <c r="R267" s="1083"/>
      <c r="S267" s="1083"/>
      <c r="T267" s="1083"/>
      <c r="U267" s="1083"/>
      <c r="V267" s="1083"/>
      <c r="W267" s="1083"/>
      <c r="X267" s="1083"/>
      <c r="Y267" s="1083"/>
      <c r="Z267" s="1083"/>
      <c r="AA267" s="1083"/>
      <c r="AB267" s="1083"/>
      <c r="AC267" s="1083"/>
      <c r="AD267" s="1083"/>
      <c r="AE267" s="1083"/>
    </row>
    <row r="268" spans="2:31">
      <c r="B268" s="1087"/>
      <c r="C268" s="1603"/>
      <c r="D268" s="1087"/>
      <c r="E268" s="1100"/>
      <c r="F268" s="1095"/>
      <c r="I268" s="1083"/>
      <c r="J268" s="1083"/>
      <c r="K268" s="1083"/>
      <c r="L268" s="1083"/>
      <c r="M268" s="1083"/>
      <c r="N268" s="1083"/>
      <c r="O268" s="1083"/>
      <c r="P268" s="1083"/>
      <c r="Q268" s="1083"/>
      <c r="R268" s="1083"/>
      <c r="S268" s="1083"/>
      <c r="T268" s="1083"/>
      <c r="U268" s="1083"/>
      <c r="V268" s="1083"/>
      <c r="W268" s="1083"/>
      <c r="X268" s="1083"/>
      <c r="Y268" s="1083"/>
      <c r="Z268" s="1083"/>
      <c r="AA268" s="1083"/>
      <c r="AB268" s="1083"/>
      <c r="AC268" s="1083"/>
      <c r="AD268" s="1083"/>
      <c r="AE268" s="1083"/>
    </row>
    <row r="269" spans="2:31">
      <c r="B269" s="1391" t="s">
        <v>862</v>
      </c>
      <c r="C269" s="1618"/>
      <c r="D269" s="1101"/>
      <c r="E269" s="1101"/>
      <c r="F269" s="1101"/>
      <c r="I269" s="1083"/>
      <c r="J269" s="1083"/>
      <c r="K269" s="1083"/>
      <c r="L269" s="1083"/>
      <c r="M269" s="1083"/>
      <c r="N269" s="1083"/>
      <c r="O269" s="1083"/>
      <c r="P269" s="1083"/>
      <c r="Q269" s="1083"/>
      <c r="R269" s="1083"/>
      <c r="S269" s="1083"/>
      <c r="T269" s="1083"/>
      <c r="U269" s="1083"/>
      <c r="V269" s="1083"/>
      <c r="W269" s="1083"/>
      <c r="X269" s="1083"/>
      <c r="Y269" s="1083"/>
      <c r="Z269" s="1083"/>
      <c r="AA269" s="1083"/>
      <c r="AB269" s="1083"/>
      <c r="AC269" s="1083"/>
      <c r="AD269" s="1083"/>
      <c r="AE269" s="1083"/>
    </row>
    <row r="270" spans="2:31">
      <c r="B270" s="3252" t="s">
        <v>1071</v>
      </c>
      <c r="C270" s="3255" t="s">
        <v>976</v>
      </c>
      <c r="D270" s="3252">
        <v>0.2</v>
      </c>
      <c r="E270" s="1916">
        <f>+F552</f>
        <v>920.16</v>
      </c>
      <c r="F270" s="3245">
        <f>E270*D270</f>
        <v>184.03</v>
      </c>
      <c r="I270" s="1083"/>
      <c r="J270" s="1083"/>
      <c r="K270" s="1083"/>
      <c r="L270" s="1083"/>
      <c r="M270" s="1083"/>
      <c r="N270" s="1083"/>
      <c r="O270" s="1083"/>
      <c r="P270" s="1083"/>
      <c r="Q270" s="1083"/>
      <c r="R270" s="1083"/>
      <c r="S270" s="1083"/>
      <c r="T270" s="1083"/>
      <c r="U270" s="1083"/>
      <c r="V270" s="1083"/>
      <c r="W270" s="1083"/>
      <c r="X270" s="1083"/>
      <c r="Y270" s="1083"/>
      <c r="Z270" s="1083"/>
      <c r="AA270" s="1083"/>
      <c r="AB270" s="1083"/>
      <c r="AC270" s="1083"/>
      <c r="AD270" s="1083"/>
      <c r="AE270" s="1083"/>
    </row>
    <row r="271" spans="2:31">
      <c r="B271" s="3252" t="s">
        <v>259</v>
      </c>
      <c r="C271" s="3255" t="s">
        <v>11</v>
      </c>
      <c r="D271" s="3264">
        <v>0.55000000000000004</v>
      </c>
      <c r="E271" s="3245">
        <f>+F261</f>
        <v>331.48</v>
      </c>
      <c r="F271" s="3245">
        <f>E271*D271</f>
        <v>182.31</v>
      </c>
      <c r="I271" s="1083"/>
      <c r="J271" s="1083"/>
      <c r="K271" s="1083"/>
      <c r="L271" s="1083"/>
      <c r="M271" s="1083"/>
      <c r="N271" s="1083"/>
      <c r="O271" s="1083"/>
      <c r="P271" s="1083"/>
      <c r="Q271" s="1083"/>
      <c r="R271" s="1083"/>
      <c r="S271" s="1083"/>
      <c r="T271" s="1083"/>
      <c r="U271" s="1083"/>
      <c r="V271" s="1083"/>
      <c r="W271" s="1083"/>
      <c r="X271" s="1083"/>
      <c r="Y271" s="1083"/>
      <c r="Z271" s="1083"/>
      <c r="AA271" s="1083"/>
      <c r="AB271" s="1083"/>
      <c r="AC271" s="1083"/>
      <c r="AD271" s="1083"/>
      <c r="AE271" s="1083"/>
    </row>
    <row r="272" spans="2:31">
      <c r="B272" s="3252" t="s">
        <v>618</v>
      </c>
      <c r="C272" s="3311" t="s">
        <v>1</v>
      </c>
      <c r="D272" s="3264">
        <v>2</v>
      </c>
      <c r="E272" s="3245">
        <f>+F267</f>
        <v>82.22</v>
      </c>
      <c r="F272" s="3245">
        <f>E272*D272</f>
        <v>164.44</v>
      </c>
      <c r="I272" s="1083"/>
      <c r="J272" s="1083"/>
      <c r="K272" s="1083"/>
      <c r="L272" s="1083"/>
      <c r="M272" s="1083"/>
      <c r="N272" s="1083"/>
      <c r="O272" s="1083"/>
      <c r="P272" s="1083"/>
      <c r="Q272" s="1083"/>
      <c r="R272" s="1083"/>
      <c r="S272" s="1083"/>
      <c r="T272" s="1083"/>
      <c r="U272" s="1083"/>
      <c r="V272" s="1083"/>
      <c r="W272" s="1083"/>
      <c r="X272" s="1083"/>
      <c r="Y272" s="1083"/>
      <c r="Z272" s="1083"/>
      <c r="AA272" s="1083"/>
      <c r="AB272" s="1083"/>
      <c r="AC272" s="1083"/>
      <c r="AD272" s="1083"/>
      <c r="AE272" s="1083"/>
    </row>
    <row r="273" spans="2:31">
      <c r="B273" s="3252"/>
      <c r="C273" s="3260"/>
      <c r="D273" s="3252"/>
      <c r="E273" s="3320" t="s">
        <v>1031</v>
      </c>
      <c r="F273" s="3263">
        <f>SUM(F270:F272)</f>
        <v>530.78</v>
      </c>
      <c r="I273" s="1083"/>
      <c r="J273" s="1083"/>
      <c r="K273" s="1083"/>
      <c r="L273" s="1083"/>
      <c r="M273" s="1083"/>
      <c r="N273" s="1083"/>
      <c r="O273" s="1083"/>
      <c r="P273" s="1083"/>
      <c r="Q273" s="1083"/>
      <c r="R273" s="1083"/>
      <c r="S273" s="1083"/>
      <c r="T273" s="1083"/>
      <c r="U273" s="1083"/>
      <c r="V273" s="1083"/>
      <c r="W273" s="1083"/>
      <c r="X273" s="1083"/>
      <c r="Y273" s="1083"/>
      <c r="Z273" s="1083"/>
      <c r="AA273" s="1083"/>
      <c r="AB273" s="1083"/>
      <c r="AC273" s="1083"/>
      <c r="AD273" s="1083"/>
      <c r="AE273" s="1083"/>
    </row>
    <row r="274" spans="2:31">
      <c r="B274" s="1087"/>
      <c r="C274" s="1603"/>
      <c r="D274" s="1087"/>
      <c r="E274" s="1087"/>
      <c r="F274" s="1087"/>
      <c r="I274" s="1083"/>
      <c r="J274" s="1083"/>
      <c r="K274" s="1083"/>
      <c r="L274" s="1083"/>
      <c r="M274" s="1083"/>
      <c r="N274" s="1083"/>
      <c r="O274" s="1083"/>
      <c r="P274" s="1083"/>
      <c r="Q274" s="1083"/>
      <c r="R274" s="1083"/>
      <c r="S274" s="1083"/>
      <c r="T274" s="1083"/>
      <c r="U274" s="1083"/>
      <c r="V274" s="1083"/>
      <c r="W274" s="1083"/>
      <c r="X274" s="1083"/>
      <c r="Y274" s="1083"/>
      <c r="Z274" s="1083"/>
      <c r="AA274" s="1083"/>
      <c r="AB274" s="1083"/>
      <c r="AC274" s="1083"/>
      <c r="AD274" s="1083"/>
      <c r="AE274" s="1083"/>
    </row>
    <row r="275" spans="2:31">
      <c r="B275" s="1392" t="s">
        <v>1229</v>
      </c>
      <c r="C275" s="1603"/>
      <c r="D275" s="1087"/>
      <c r="E275" s="1087"/>
      <c r="F275" s="1087"/>
      <c r="I275" s="1083"/>
      <c r="J275" s="1083"/>
      <c r="K275" s="1083"/>
      <c r="L275" s="1083"/>
      <c r="M275" s="1083"/>
      <c r="N275" s="1083"/>
      <c r="O275" s="1083"/>
      <c r="P275" s="1083"/>
      <c r="Q275" s="1083"/>
      <c r="R275" s="1083"/>
      <c r="S275" s="1083"/>
      <c r="T275" s="1083"/>
      <c r="U275" s="1083"/>
      <c r="V275" s="1083"/>
      <c r="W275" s="1083"/>
      <c r="X275" s="1083"/>
      <c r="Y275" s="1083"/>
      <c r="Z275" s="1083"/>
      <c r="AA275" s="1083"/>
      <c r="AB275" s="1083"/>
      <c r="AC275" s="1083"/>
      <c r="AD275" s="1083"/>
      <c r="AE275" s="1083"/>
    </row>
    <row r="276" spans="2:31">
      <c r="B276" s="3252" t="s">
        <v>1059</v>
      </c>
      <c r="C276" s="3255" t="s">
        <v>11</v>
      </c>
      <c r="D276" s="3264">
        <v>1</v>
      </c>
      <c r="E276" s="3245">
        <v>18</v>
      </c>
      <c r="F276" s="3245">
        <f>E276*D276</f>
        <v>18</v>
      </c>
      <c r="I276" s="1083"/>
      <c r="J276" s="1083"/>
      <c r="K276" s="1083"/>
      <c r="L276" s="1083"/>
      <c r="M276" s="1083"/>
      <c r="N276" s="1083"/>
      <c r="O276" s="1083"/>
      <c r="P276" s="1083"/>
      <c r="Q276" s="1083"/>
      <c r="R276" s="1083"/>
      <c r="S276" s="1083"/>
      <c r="T276" s="1083"/>
      <c r="U276" s="1083"/>
      <c r="V276" s="1083"/>
      <c r="W276" s="1083"/>
      <c r="X276" s="1083"/>
      <c r="Y276" s="1083"/>
      <c r="Z276" s="1083"/>
      <c r="AA276" s="1083"/>
      <c r="AB276" s="1083"/>
      <c r="AC276" s="1083"/>
      <c r="AD276" s="1083"/>
      <c r="AE276" s="1083"/>
    </row>
    <row r="277" spans="2:31">
      <c r="B277" s="1916" t="s">
        <v>2234</v>
      </c>
      <c r="C277" s="3255" t="s">
        <v>2</v>
      </c>
      <c r="D277" s="3260">
        <v>0.105</v>
      </c>
      <c r="E277" s="3248">
        <f>+F43</f>
        <v>5050.66</v>
      </c>
      <c r="F277" s="3248">
        <f>E277*D277</f>
        <v>530.32000000000005</v>
      </c>
      <c r="I277" s="1083"/>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row>
    <row r="278" spans="2:31">
      <c r="B278" s="3252" t="s">
        <v>154</v>
      </c>
      <c r="C278" s="3255" t="s">
        <v>155</v>
      </c>
      <c r="D278" s="3252">
        <v>2.1999999999999999E-2</v>
      </c>
      <c r="E278" s="3245">
        <v>45</v>
      </c>
      <c r="F278" s="3245">
        <f>E278*D278</f>
        <v>0.99</v>
      </c>
      <c r="I278" s="1083"/>
      <c r="J278" s="1083"/>
      <c r="K278" s="1083"/>
      <c r="L278" s="1083"/>
      <c r="M278" s="1083"/>
      <c r="N278" s="1083"/>
      <c r="O278" s="1083"/>
      <c r="P278" s="1083"/>
      <c r="Q278" s="1083"/>
      <c r="R278" s="1083"/>
      <c r="S278" s="1083"/>
      <c r="T278" s="1083"/>
      <c r="U278" s="1083"/>
      <c r="V278" s="1083"/>
      <c r="W278" s="1083"/>
      <c r="X278" s="1083"/>
      <c r="Y278" s="1083"/>
      <c r="Z278" s="1083"/>
      <c r="AA278" s="1083"/>
      <c r="AB278" s="1083"/>
      <c r="AC278" s="1083"/>
      <c r="AD278" s="1083"/>
      <c r="AE278" s="1083"/>
    </row>
    <row r="279" spans="2:31" s="1235" customFormat="1" ht="22.5">
      <c r="B279" s="3246" t="s">
        <v>1061</v>
      </c>
      <c r="C279" s="3311" t="s">
        <v>11</v>
      </c>
      <c r="D279" s="3312">
        <v>1</v>
      </c>
      <c r="E279" s="3248">
        <v>125</v>
      </c>
      <c r="F279" s="3248">
        <f>E279*D279</f>
        <v>125</v>
      </c>
    </row>
    <row r="280" spans="2:31">
      <c r="B280" s="3252" t="s">
        <v>1062</v>
      </c>
      <c r="C280" s="3255" t="s">
        <v>1</v>
      </c>
      <c r="D280" s="3264">
        <f>1/0.8</f>
        <v>1.25</v>
      </c>
      <c r="E280" s="3245">
        <f>+F267</f>
        <v>82.22</v>
      </c>
      <c r="F280" s="3245">
        <f>E280*D280</f>
        <v>102.78</v>
      </c>
      <c r="I280" s="1083"/>
      <c r="J280" s="1083"/>
      <c r="K280" s="1083"/>
      <c r="L280" s="1083"/>
      <c r="M280" s="1083"/>
      <c r="N280" s="1083"/>
      <c r="O280" s="1083"/>
      <c r="P280" s="1083"/>
      <c r="Q280" s="1083"/>
      <c r="R280" s="1083"/>
      <c r="S280" s="1083"/>
      <c r="T280" s="1083"/>
      <c r="U280" s="1083"/>
      <c r="V280" s="1083"/>
      <c r="W280" s="1083"/>
      <c r="X280" s="1083"/>
      <c r="Y280" s="1083"/>
      <c r="Z280" s="1083"/>
      <c r="AA280" s="1083"/>
      <c r="AB280" s="1083"/>
      <c r="AC280" s="1083"/>
      <c r="AD280" s="1083"/>
      <c r="AE280" s="1083"/>
    </row>
    <row r="281" spans="2:31">
      <c r="B281" s="3252"/>
      <c r="C281" s="3260"/>
      <c r="D281" s="3252"/>
      <c r="E281" s="3262" t="s">
        <v>1031</v>
      </c>
      <c r="F281" s="3273">
        <f>SUM(F276:F280)</f>
        <v>777.09</v>
      </c>
      <c r="I281" s="1083"/>
      <c r="J281" s="1083"/>
      <c r="K281" s="1083"/>
      <c r="L281" s="1083"/>
      <c r="M281" s="1083"/>
      <c r="N281" s="1083"/>
      <c r="O281" s="1083"/>
      <c r="P281" s="1083"/>
      <c r="Q281" s="1083"/>
      <c r="R281" s="1083"/>
      <c r="S281" s="1083"/>
      <c r="T281" s="1083"/>
      <c r="U281" s="1083"/>
      <c r="V281" s="1083"/>
      <c r="W281" s="1083"/>
      <c r="X281" s="1083"/>
      <c r="Y281" s="1083"/>
      <c r="Z281" s="1083"/>
      <c r="AA281" s="1083"/>
      <c r="AB281" s="1083"/>
      <c r="AC281" s="1083"/>
      <c r="AD281" s="1083"/>
      <c r="AE281" s="1083"/>
    </row>
    <row r="282" spans="2:31">
      <c r="B282" s="1087"/>
      <c r="C282" s="1608"/>
      <c r="D282" s="1087"/>
      <c r="E282" s="1094">
        <v>0.8</v>
      </c>
      <c r="F282" s="1104">
        <f>ROUND(F281-F280+E280*1/0.8,2)</f>
        <v>777.09</v>
      </c>
      <c r="I282" s="1083"/>
      <c r="J282" s="1083"/>
      <c r="K282" s="1083"/>
      <c r="L282" s="1083"/>
      <c r="M282" s="1083"/>
      <c r="N282" s="1083"/>
      <c r="O282" s="1083"/>
      <c r="P282" s="1083"/>
      <c r="Q282" s="1083"/>
      <c r="R282" s="1083"/>
      <c r="S282" s="1083"/>
      <c r="T282" s="1083"/>
      <c r="U282" s="1083"/>
      <c r="V282" s="1083"/>
      <c r="W282" s="1083"/>
      <c r="X282" s="1083"/>
      <c r="Y282" s="1083"/>
      <c r="Z282" s="1083"/>
      <c r="AA282" s="1083"/>
      <c r="AB282" s="1083"/>
      <c r="AC282" s="1083"/>
      <c r="AD282" s="1083"/>
      <c r="AE282" s="1083"/>
    </row>
    <row r="283" spans="2:31" s="1697" customFormat="1">
      <c r="B283" s="1713"/>
      <c r="C283" s="1714"/>
      <c r="D283" s="1715"/>
      <c r="E283" s="1716">
        <v>1</v>
      </c>
      <c r="F283" s="1717"/>
      <c r="I283" s="3297"/>
      <c r="J283" s="3297"/>
      <c r="K283" s="3297"/>
      <c r="L283" s="3297"/>
      <c r="M283" s="3297"/>
      <c r="N283" s="3297"/>
      <c r="O283" s="3297"/>
      <c r="P283" s="3297"/>
      <c r="Q283" s="3297"/>
      <c r="R283" s="3297"/>
      <c r="S283" s="3297"/>
      <c r="T283" s="3297"/>
      <c r="U283" s="3297"/>
      <c r="V283" s="3297"/>
      <c r="W283" s="3297"/>
      <c r="X283" s="3297"/>
      <c r="Y283" s="3297"/>
      <c r="Z283" s="3297"/>
      <c r="AA283" s="3297"/>
      <c r="AB283" s="3297"/>
      <c r="AC283" s="3297"/>
      <c r="AD283" s="3297"/>
      <c r="AE283" s="3297"/>
    </row>
    <row r="284" spans="2:31">
      <c r="B284" s="1916" t="s">
        <v>781</v>
      </c>
      <c r="C284" s="1916"/>
      <c r="D284" s="1916"/>
      <c r="E284" s="1916"/>
      <c r="F284" s="1916"/>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row>
    <row r="285" spans="2:31">
      <c r="B285" s="1916" t="s">
        <v>1225</v>
      </c>
      <c r="C285" s="1916">
        <v>1.05</v>
      </c>
      <c r="D285" s="1916" t="s">
        <v>2</v>
      </c>
      <c r="E285" s="1916" t="e">
        <f>+E503</f>
        <v>#REF!</v>
      </c>
      <c r="F285" s="1916" t="e">
        <f>C285*E285</f>
        <v>#REF!</v>
      </c>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row>
    <row r="286" spans="2:31">
      <c r="B286" s="1916" t="s">
        <v>1087</v>
      </c>
      <c r="C286" s="1916">
        <v>4.4800000000000004</v>
      </c>
      <c r="D286" s="1916" t="s">
        <v>126</v>
      </c>
      <c r="E286" s="1916">
        <f>+E504</f>
        <v>2913</v>
      </c>
      <c r="F286" s="1916">
        <f>C286*E286</f>
        <v>13050.24</v>
      </c>
      <c r="I286" s="1083"/>
      <c r="J286" s="1083"/>
      <c r="K286" s="1083"/>
      <c r="L286" s="1083"/>
      <c r="M286" s="1083"/>
      <c r="N286" s="1083"/>
      <c r="O286" s="1083"/>
      <c r="P286" s="1083"/>
      <c r="Q286" s="1083"/>
      <c r="R286" s="1083"/>
      <c r="S286" s="1083"/>
      <c r="T286" s="1083"/>
      <c r="U286" s="1083"/>
      <c r="V286" s="1083"/>
      <c r="W286" s="1083"/>
      <c r="X286" s="1083"/>
      <c r="Y286" s="1083"/>
      <c r="Z286" s="1083"/>
      <c r="AA286" s="1083"/>
      <c r="AB286" s="1083"/>
      <c r="AC286" s="1083"/>
      <c r="AD286" s="1083"/>
      <c r="AE286" s="1083"/>
    </row>
    <row r="287" spans="2:31">
      <c r="B287" s="1916" t="s">
        <v>1089</v>
      </c>
      <c r="C287" s="1916">
        <f>1/(0.2*0.15)</f>
        <v>33.3333333333333</v>
      </c>
      <c r="D287" s="1916" t="s">
        <v>1</v>
      </c>
      <c r="E287" s="1916">
        <v>1000</v>
      </c>
      <c r="F287" s="1916">
        <f>C287*E287</f>
        <v>33333.333333333299</v>
      </c>
      <c r="I287" s="1083"/>
      <c r="J287" s="1083"/>
      <c r="K287" s="1083"/>
      <c r="L287" s="1083"/>
      <c r="M287" s="1083"/>
      <c r="N287" s="1083"/>
      <c r="O287" s="1083"/>
      <c r="P287" s="1083"/>
      <c r="Q287" s="1083"/>
      <c r="R287" s="1083"/>
      <c r="S287" s="1083"/>
      <c r="T287" s="1083"/>
      <c r="U287" s="1083"/>
      <c r="V287" s="1083"/>
      <c r="W287" s="1083"/>
      <c r="X287" s="1083"/>
      <c r="Y287" s="1083"/>
      <c r="Z287" s="1083"/>
      <c r="AA287" s="1083"/>
      <c r="AB287" s="1083"/>
      <c r="AC287" s="1083"/>
      <c r="AD287" s="1083"/>
      <c r="AE287" s="1083"/>
    </row>
    <row r="288" spans="2:31">
      <c r="B288" s="1916"/>
      <c r="C288" s="1916"/>
      <c r="D288" s="1916"/>
      <c r="E288" s="1916" t="s">
        <v>1031</v>
      </c>
      <c r="F288" s="1916" t="e">
        <f>ROUND(SUM(F285:F287),2)</f>
        <v>#REF!</v>
      </c>
      <c r="I288" s="1083"/>
      <c r="J288" s="1083"/>
      <c r="K288" s="1083"/>
      <c r="L288" s="1083"/>
      <c r="M288" s="1083"/>
      <c r="N288" s="1083"/>
      <c r="O288" s="1083"/>
      <c r="P288" s="1083"/>
      <c r="Q288" s="1083"/>
      <c r="R288" s="1083"/>
      <c r="S288" s="1083"/>
      <c r="T288" s="1083"/>
      <c r="U288" s="1083"/>
      <c r="V288" s="1083"/>
      <c r="W288" s="1083"/>
      <c r="X288" s="1083"/>
      <c r="Y288" s="1083"/>
      <c r="Z288" s="1083"/>
      <c r="AA288" s="1083"/>
      <c r="AB288" s="1083"/>
      <c r="AC288" s="1083"/>
      <c r="AD288" s="1083"/>
      <c r="AE288" s="1083"/>
    </row>
    <row r="289" spans="2:31">
      <c r="B289" s="1916"/>
      <c r="C289" s="1916"/>
      <c r="D289" s="1916"/>
      <c r="E289" s="1916"/>
      <c r="F289" s="1916"/>
      <c r="I289" s="1083"/>
      <c r="J289" s="1083"/>
      <c r="K289" s="1083"/>
      <c r="L289" s="1083"/>
      <c r="M289" s="1083"/>
      <c r="N289" s="1083"/>
      <c r="O289" s="1083"/>
      <c r="P289" s="1083"/>
      <c r="Q289" s="1083"/>
      <c r="R289" s="1083"/>
      <c r="S289" s="1083"/>
      <c r="T289" s="1083"/>
      <c r="U289" s="1083"/>
      <c r="V289" s="1083"/>
      <c r="W289" s="1083"/>
      <c r="X289" s="1083"/>
      <c r="Y289" s="1083"/>
      <c r="Z289" s="1083"/>
      <c r="AA289" s="1083"/>
      <c r="AB289" s="1083"/>
      <c r="AC289" s="1083"/>
      <c r="AD289" s="1083"/>
      <c r="AE289" s="1083"/>
    </row>
    <row r="290" spans="2:31">
      <c r="B290" s="1916" t="s">
        <v>597</v>
      </c>
      <c r="C290" s="1916"/>
      <c r="D290" s="1916"/>
      <c r="E290" s="1916"/>
      <c r="F290" s="1916"/>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1083"/>
    </row>
    <row r="291" spans="2:31">
      <c r="B291" s="1916" t="s">
        <v>1225</v>
      </c>
      <c r="C291" s="1916">
        <v>1.05</v>
      </c>
      <c r="D291" s="1916" t="s">
        <v>2</v>
      </c>
      <c r="E291" s="1916" t="e">
        <f>+#REF!</f>
        <v>#REF!</v>
      </c>
      <c r="F291" s="1916" t="e">
        <f>C291*E291</f>
        <v>#REF!</v>
      </c>
      <c r="I291" s="1083"/>
      <c r="J291" s="1083"/>
      <c r="K291" s="1083"/>
      <c r="L291" s="1083"/>
      <c r="M291" s="1083"/>
      <c r="N291" s="1083"/>
      <c r="O291" s="1083"/>
      <c r="P291" s="1083"/>
      <c r="Q291" s="1083"/>
      <c r="R291" s="1083"/>
      <c r="S291" s="1083"/>
      <c r="T291" s="1083"/>
      <c r="U291" s="1083"/>
      <c r="V291" s="1083"/>
      <c r="W291" s="1083"/>
      <c r="X291" s="1083"/>
      <c r="Y291" s="1083"/>
      <c r="Z291" s="1083"/>
      <c r="AA291" s="1083"/>
      <c r="AB291" s="1083"/>
      <c r="AC291" s="1083"/>
      <c r="AD291" s="1083"/>
      <c r="AE291" s="1083"/>
    </row>
    <row r="292" spans="2:31">
      <c r="B292" s="1916" t="s">
        <v>272</v>
      </c>
      <c r="C292" s="1916">
        <v>0.99</v>
      </c>
      <c r="D292" s="1916" t="s">
        <v>126</v>
      </c>
      <c r="E292" s="1916">
        <f>+F530</f>
        <v>2590</v>
      </c>
      <c r="F292" s="1916">
        <f>C292*E292</f>
        <v>2564.1</v>
      </c>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3"/>
      <c r="AE292" s="1083"/>
    </row>
    <row r="293" spans="2:31">
      <c r="B293" s="1916"/>
      <c r="C293" s="1916"/>
      <c r="D293" s="1916"/>
      <c r="E293" s="1916" t="s">
        <v>1031</v>
      </c>
      <c r="F293" s="1916" t="e">
        <f>ROUND(SUM(F291:F292),2)</f>
        <v>#REF!</v>
      </c>
      <c r="I293" s="1083"/>
      <c r="J293" s="1083"/>
      <c r="K293" s="1083"/>
      <c r="L293" s="1083"/>
      <c r="M293" s="1083"/>
      <c r="N293" s="1083"/>
      <c r="O293" s="1083"/>
      <c r="P293" s="1083"/>
      <c r="Q293" s="1083"/>
      <c r="R293" s="1083"/>
      <c r="S293" s="1083"/>
      <c r="T293" s="1083"/>
      <c r="U293" s="1083"/>
      <c r="V293" s="1083"/>
      <c r="W293" s="1083"/>
      <c r="X293" s="1083"/>
      <c r="Y293" s="1083"/>
      <c r="Z293" s="1083"/>
      <c r="AA293" s="1083"/>
      <c r="AB293" s="1083"/>
      <c r="AC293" s="1083"/>
      <c r="AD293" s="1083"/>
      <c r="AE293" s="1083"/>
    </row>
    <row r="294" spans="2:31">
      <c r="B294" s="1916"/>
      <c r="C294" s="1916"/>
      <c r="D294" s="1916"/>
      <c r="E294" s="1916"/>
      <c r="F294" s="1916"/>
      <c r="I294" s="1083"/>
      <c r="J294" s="1083"/>
      <c r="K294" s="1083"/>
      <c r="L294" s="1083"/>
      <c r="M294" s="1083"/>
      <c r="N294" s="1083"/>
      <c r="O294" s="1083"/>
      <c r="P294" s="1083"/>
      <c r="Q294" s="1083"/>
      <c r="R294" s="1083"/>
      <c r="S294" s="1083"/>
      <c r="T294" s="1083"/>
      <c r="U294" s="1083"/>
      <c r="V294" s="1083"/>
      <c r="W294" s="1083"/>
      <c r="X294" s="1083"/>
      <c r="Y294" s="1083"/>
      <c r="Z294" s="1083"/>
      <c r="AA294" s="1083"/>
      <c r="AB294" s="1083"/>
      <c r="AC294" s="1083"/>
      <c r="AD294" s="1083"/>
      <c r="AE294" s="1083"/>
    </row>
    <row r="295" spans="2:31">
      <c r="B295" s="1916" t="s">
        <v>599</v>
      </c>
      <c r="C295" s="1916"/>
      <c r="D295" s="1916"/>
      <c r="E295" s="1916"/>
      <c r="F295" s="1916"/>
      <c r="I295" s="1083"/>
      <c r="J295" s="1083"/>
      <c r="K295" s="1083"/>
      <c r="L295" s="1083"/>
      <c r="M295" s="1083"/>
      <c r="N295" s="1083"/>
      <c r="O295" s="1083"/>
      <c r="P295" s="1083"/>
      <c r="Q295" s="1083"/>
      <c r="R295" s="1083"/>
      <c r="S295" s="1083"/>
      <c r="T295" s="1083"/>
      <c r="U295" s="1083"/>
      <c r="V295" s="1083"/>
      <c r="W295" s="1083"/>
      <c r="X295" s="1083"/>
      <c r="Y295" s="1083"/>
      <c r="Z295" s="1083"/>
      <c r="AA295" s="1083"/>
      <c r="AB295" s="1083"/>
      <c r="AC295" s="1083"/>
      <c r="AD295" s="1083"/>
      <c r="AE295" s="1083"/>
    </row>
    <row r="296" spans="2:31">
      <c r="B296" s="1916" t="s">
        <v>1225</v>
      </c>
      <c r="C296" s="1916">
        <v>1.05</v>
      </c>
      <c r="D296" s="1916" t="s">
        <v>2</v>
      </c>
      <c r="E296" s="1916" t="e">
        <f>+E291</f>
        <v>#REF!</v>
      </c>
      <c r="F296" s="1916" t="e">
        <f>C296*E296</f>
        <v>#REF!</v>
      </c>
      <c r="I296" s="1083"/>
      <c r="J296" s="1083"/>
      <c r="K296" s="1083"/>
      <c r="L296" s="1083"/>
      <c r="M296" s="1083"/>
      <c r="N296" s="1083"/>
      <c r="O296" s="1083"/>
      <c r="P296" s="1083"/>
      <c r="Q296" s="1083"/>
      <c r="R296" s="1083"/>
      <c r="S296" s="1083"/>
      <c r="T296" s="1083"/>
      <c r="U296" s="1083"/>
      <c r="V296" s="1083"/>
      <c r="W296" s="1083"/>
      <c r="X296" s="1083"/>
      <c r="Y296" s="1083"/>
      <c r="Z296" s="1083"/>
      <c r="AA296" s="1083"/>
      <c r="AB296" s="1083"/>
      <c r="AC296" s="1083"/>
      <c r="AD296" s="1083"/>
      <c r="AE296" s="1083"/>
    </row>
    <row r="297" spans="2:31">
      <c r="B297" s="1916" t="s">
        <v>1087</v>
      </c>
      <c r="C297" s="1916">
        <v>2.5</v>
      </c>
      <c r="D297" s="1916" t="s">
        <v>126</v>
      </c>
      <c r="E297" s="1916">
        <f>+E611</f>
        <v>2913</v>
      </c>
      <c r="F297" s="1916">
        <f>C297*E297</f>
        <v>7282.5</v>
      </c>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083"/>
      <c r="AE297" s="1083"/>
    </row>
    <row r="298" spans="2:31">
      <c r="B298" s="1916" t="s">
        <v>1089</v>
      </c>
      <c r="C298" s="1916">
        <f>1/0.15</f>
        <v>6.6666666666666696</v>
      </c>
      <c r="D298" s="1916" t="s">
        <v>1</v>
      </c>
      <c r="E298" s="1916">
        <v>1000</v>
      </c>
      <c r="F298" s="1916">
        <f>C298*E298</f>
        <v>6666.6666666666697</v>
      </c>
      <c r="I298" s="1083"/>
      <c r="J298" s="1083"/>
      <c r="K298" s="1083"/>
      <c r="L298" s="1083"/>
      <c r="M298" s="1083"/>
      <c r="N298" s="1083"/>
      <c r="O298" s="1083"/>
      <c r="P298" s="1083"/>
      <c r="Q298" s="1083"/>
      <c r="R298" s="1083"/>
      <c r="S298" s="1083"/>
      <c r="T298" s="1083"/>
      <c r="U298" s="1083"/>
      <c r="V298" s="1083"/>
      <c r="W298" s="1083"/>
      <c r="X298" s="1083"/>
      <c r="Y298" s="1083"/>
      <c r="Z298" s="1083"/>
      <c r="AA298" s="1083"/>
      <c r="AB298" s="1083"/>
      <c r="AC298" s="1083"/>
      <c r="AD298" s="1083"/>
      <c r="AE298" s="1083"/>
    </row>
    <row r="299" spans="2:31">
      <c r="B299" s="1916"/>
      <c r="C299" s="1916"/>
      <c r="D299" s="1916"/>
      <c r="E299" s="1916" t="s">
        <v>1031</v>
      </c>
      <c r="F299" s="1916" t="e">
        <f>ROUND(SUM(F296:F298),2)</f>
        <v>#REF!</v>
      </c>
      <c r="I299" s="1083"/>
      <c r="J299" s="1083"/>
      <c r="K299" s="1083"/>
      <c r="L299" s="1083"/>
      <c r="M299" s="1083"/>
      <c r="N299" s="1083"/>
      <c r="O299" s="1083"/>
      <c r="P299" s="1083"/>
      <c r="Q299" s="1083"/>
      <c r="R299" s="1083"/>
      <c r="S299" s="1083"/>
      <c r="T299" s="1083"/>
      <c r="U299" s="1083"/>
      <c r="V299" s="1083"/>
      <c r="W299" s="1083"/>
      <c r="X299" s="1083"/>
      <c r="Y299" s="1083"/>
      <c r="Z299" s="1083"/>
      <c r="AA299" s="1083"/>
      <c r="AB299" s="1083"/>
      <c r="AC299" s="1083"/>
      <c r="AD299" s="1083"/>
      <c r="AE299" s="1083"/>
    </row>
    <row r="300" spans="2:31">
      <c r="B300" s="1130"/>
      <c r="C300" s="1609"/>
      <c r="D300" s="1131"/>
      <c r="E300" s="1132"/>
      <c r="F300" s="1133"/>
      <c r="I300" s="1083"/>
      <c r="J300" s="1083"/>
      <c r="K300" s="1083"/>
      <c r="L300" s="1083"/>
      <c r="M300" s="1083"/>
      <c r="N300" s="1083"/>
      <c r="O300" s="1083"/>
      <c r="P300" s="1083"/>
      <c r="Q300" s="1083"/>
      <c r="R300" s="1083"/>
      <c r="S300" s="1083"/>
      <c r="T300" s="1083"/>
      <c r="U300" s="1083"/>
      <c r="V300" s="1083"/>
      <c r="W300" s="1083"/>
      <c r="X300" s="1083"/>
      <c r="Y300" s="1083"/>
      <c r="Z300" s="1083"/>
      <c r="AA300" s="1083"/>
      <c r="AB300" s="1083"/>
      <c r="AC300" s="1083"/>
      <c r="AD300" s="1083"/>
      <c r="AE300" s="1083"/>
    </row>
    <row r="301" spans="2:31">
      <c r="B301" s="3259" t="s">
        <v>141</v>
      </c>
      <c r="C301" s="3260"/>
      <c r="D301" s="3252"/>
      <c r="E301" s="3252"/>
      <c r="F301" s="3252"/>
    </row>
    <row r="302" spans="2:31" s="1235" customFormat="1" ht="22.5">
      <c r="B302" s="3246" t="s">
        <v>1770</v>
      </c>
      <c r="C302" s="3253" t="s">
        <v>2</v>
      </c>
      <c r="D302" s="3261">
        <v>1.02</v>
      </c>
      <c r="E302" s="3261">
        <v>7384</v>
      </c>
      <c r="F302" s="3248">
        <f>E302*D302</f>
        <v>7531.68</v>
      </c>
      <c r="I302" s="3250"/>
      <c r="J302" s="3250"/>
      <c r="K302" s="3250"/>
      <c r="L302" s="3250"/>
      <c r="M302" s="3250"/>
      <c r="N302" s="3250"/>
      <c r="O302" s="3250"/>
      <c r="P302" s="3250"/>
      <c r="Q302" s="3250"/>
      <c r="R302" s="3250"/>
      <c r="S302" s="3250"/>
      <c r="T302" s="3250"/>
      <c r="U302" s="3250"/>
      <c r="V302" s="3250"/>
      <c r="W302" s="3250"/>
      <c r="X302" s="3250"/>
      <c r="Y302" s="3250"/>
      <c r="Z302" s="3250"/>
      <c r="AA302" s="3250"/>
      <c r="AB302" s="3250"/>
      <c r="AC302" s="3250"/>
      <c r="AD302" s="3250"/>
      <c r="AE302" s="3250"/>
    </row>
    <row r="303" spans="2:31">
      <c r="B303" s="3252"/>
      <c r="C303" s="3260"/>
      <c r="D303" s="3252"/>
      <c r="E303" s="3262" t="s">
        <v>1031</v>
      </c>
      <c r="F303" s="3263">
        <f>SUM(F302:F302)</f>
        <v>7531.68</v>
      </c>
    </row>
    <row r="304" spans="2:31">
      <c r="B304" s="1130"/>
      <c r="C304" s="1609"/>
      <c r="D304" s="1131"/>
      <c r="E304" s="1132"/>
      <c r="F304" s="1133"/>
      <c r="I304" s="1083"/>
      <c r="J304" s="1083"/>
      <c r="K304" s="1083"/>
      <c r="L304" s="1083"/>
      <c r="M304" s="1083"/>
      <c r="N304" s="1083"/>
      <c r="O304" s="1083"/>
      <c r="P304" s="1083"/>
      <c r="Q304" s="1083"/>
      <c r="R304" s="1083"/>
      <c r="S304" s="1083"/>
      <c r="T304" s="1083"/>
      <c r="U304" s="1083"/>
      <c r="V304" s="1083"/>
      <c r="W304" s="1083"/>
      <c r="X304" s="1083"/>
      <c r="Y304" s="1083"/>
      <c r="Z304" s="1083"/>
      <c r="AA304" s="1083"/>
      <c r="AB304" s="1083"/>
      <c r="AC304" s="1083"/>
      <c r="AD304" s="1083"/>
      <c r="AE304" s="1083"/>
    </row>
    <row r="305" spans="2:31">
      <c r="B305" s="1130"/>
      <c r="C305" s="1609"/>
      <c r="D305" s="1131"/>
      <c r="E305" s="1132"/>
      <c r="F305" s="1133"/>
      <c r="I305" s="1083"/>
      <c r="J305" s="1083"/>
      <c r="K305" s="1083"/>
      <c r="L305" s="1083"/>
      <c r="M305" s="1083"/>
      <c r="N305" s="1083"/>
      <c r="O305" s="1083"/>
      <c r="P305" s="1083"/>
      <c r="Q305" s="1083"/>
      <c r="R305" s="1083"/>
      <c r="S305" s="1083"/>
      <c r="T305" s="1083"/>
      <c r="U305" s="1083"/>
      <c r="V305" s="1083"/>
      <c r="W305" s="1083"/>
      <c r="X305" s="1083"/>
      <c r="Y305" s="1083"/>
      <c r="Z305" s="1083"/>
      <c r="AA305" s="1083"/>
      <c r="AB305" s="1083"/>
      <c r="AC305" s="1083"/>
      <c r="AD305" s="1083"/>
      <c r="AE305" s="1083"/>
    </row>
    <row r="306" spans="2:31" ht="20.25" hidden="1">
      <c r="B306" s="1914" t="s">
        <v>607</v>
      </c>
      <c r="C306" s="1615"/>
      <c r="D306" s="1094"/>
      <c r="E306" s="1095"/>
      <c r="F306" s="1103"/>
      <c r="I306" s="1083"/>
      <c r="J306" s="1083"/>
      <c r="K306" s="1083"/>
      <c r="L306" s="1083"/>
      <c r="M306" s="1083"/>
      <c r="N306" s="1083"/>
      <c r="O306" s="1083"/>
      <c r="P306" s="1083"/>
      <c r="Q306" s="1083"/>
      <c r="R306" s="1083"/>
      <c r="S306" s="1083"/>
      <c r="T306" s="1083"/>
      <c r="U306" s="1083"/>
      <c r="V306" s="1083"/>
      <c r="W306" s="1083"/>
      <c r="X306" s="1083"/>
      <c r="Y306" s="1083"/>
      <c r="Z306" s="1083"/>
      <c r="AA306" s="1083"/>
      <c r="AB306" s="1083"/>
      <c r="AC306" s="1083"/>
      <c r="AD306" s="1083"/>
      <c r="AE306" s="1083"/>
    </row>
    <row r="307" spans="2:31" ht="20.25" hidden="1">
      <c r="B307" s="1914"/>
      <c r="C307" s="1615"/>
      <c r="D307" s="1094"/>
      <c r="E307" s="1095"/>
      <c r="F307" s="1103"/>
      <c r="I307" s="1083"/>
      <c r="J307" s="1083"/>
      <c r="K307" s="1083"/>
      <c r="L307" s="1083"/>
      <c r="M307" s="1083"/>
      <c r="N307" s="1083"/>
      <c r="O307" s="1083"/>
      <c r="P307" s="1083"/>
      <c r="Q307" s="1083"/>
      <c r="R307" s="1083"/>
      <c r="S307" s="1083"/>
      <c r="T307" s="1083"/>
      <c r="U307" s="1083"/>
      <c r="V307" s="1083"/>
      <c r="W307" s="1083"/>
      <c r="X307" s="1083"/>
      <c r="Y307" s="1083"/>
      <c r="Z307" s="1083"/>
      <c r="AA307" s="1083"/>
      <c r="AB307" s="1083"/>
      <c r="AC307" s="1083"/>
      <c r="AD307" s="1083"/>
      <c r="AE307" s="1083"/>
    </row>
    <row r="308" spans="2:31" ht="13.5" hidden="1" thickBot="1">
      <c r="B308" s="1387" t="s">
        <v>609</v>
      </c>
      <c r="C308" s="1609"/>
      <c r="D308" s="1131"/>
      <c r="E308" s="1132"/>
      <c r="F308" s="1133"/>
      <c r="I308" s="1083"/>
      <c r="J308" s="1083"/>
      <c r="K308" s="1083"/>
      <c r="L308" s="1083"/>
      <c r="M308" s="1083"/>
      <c r="N308" s="1083"/>
      <c r="O308" s="1083"/>
      <c r="P308" s="1083"/>
      <c r="Q308" s="1083"/>
      <c r="R308" s="1083"/>
      <c r="S308" s="1083"/>
      <c r="T308" s="1083"/>
      <c r="U308" s="1083"/>
      <c r="V308" s="1083"/>
      <c r="W308" s="1083"/>
      <c r="X308" s="1083"/>
      <c r="Y308" s="1083"/>
      <c r="Z308" s="1083"/>
      <c r="AA308" s="1083"/>
      <c r="AB308" s="1083"/>
      <c r="AC308" s="1083"/>
      <c r="AD308" s="1083"/>
      <c r="AE308" s="1083"/>
    </row>
    <row r="309" spans="2:31" ht="13.5" hidden="1" thickTop="1">
      <c r="B309" s="1137" t="s">
        <v>1225</v>
      </c>
      <c r="C309" s="1610">
        <v>1.05</v>
      </c>
      <c r="D309" s="1138" t="s">
        <v>2</v>
      </c>
      <c r="E309" s="1139" t="e">
        <f>+E296</f>
        <v>#REF!</v>
      </c>
      <c r="F309" s="1140" t="e">
        <f>C309*E309</f>
        <v>#REF!</v>
      </c>
      <c r="I309" s="1083"/>
      <c r="J309" s="1083"/>
      <c r="K309" s="1083"/>
      <c r="L309" s="1083"/>
      <c r="M309" s="1083"/>
      <c r="N309" s="1083"/>
      <c r="O309" s="1083"/>
      <c r="P309" s="1083"/>
      <c r="Q309" s="1083"/>
      <c r="R309" s="1083"/>
      <c r="S309" s="1083"/>
      <c r="T309" s="1083"/>
      <c r="U309" s="1083"/>
      <c r="V309" s="1083"/>
      <c r="W309" s="1083"/>
      <c r="X309" s="1083"/>
      <c r="Y309" s="1083"/>
      <c r="Z309" s="1083"/>
      <c r="AA309" s="1083"/>
      <c r="AB309" s="1083"/>
      <c r="AC309" s="1083"/>
      <c r="AD309" s="1083"/>
      <c r="AE309" s="1083"/>
    </row>
    <row r="310" spans="2:31" hidden="1">
      <c r="B310" s="1141" t="s">
        <v>272</v>
      </c>
      <c r="C310" s="1611">
        <v>0.99</v>
      </c>
      <c r="D310" s="1142" t="s">
        <v>126</v>
      </c>
      <c r="E310" s="1143">
        <f>+E297</f>
        <v>2913</v>
      </c>
      <c r="F310" s="1144">
        <f>C310*E310</f>
        <v>2883.87</v>
      </c>
      <c r="I310" s="1083"/>
      <c r="J310" s="1083"/>
      <c r="K310" s="1083"/>
      <c r="L310" s="1083"/>
      <c r="M310" s="1083"/>
      <c r="N310" s="1083"/>
      <c r="O310" s="1083"/>
      <c r="P310" s="1083"/>
      <c r="Q310" s="1083"/>
      <c r="R310" s="1083"/>
      <c r="S310" s="1083"/>
      <c r="T310" s="1083"/>
      <c r="U310" s="1083"/>
      <c r="V310" s="1083"/>
      <c r="W310" s="1083"/>
      <c r="X310" s="1083"/>
      <c r="Y310" s="1083"/>
      <c r="Z310" s="1083"/>
      <c r="AA310" s="1083"/>
      <c r="AB310" s="1083"/>
      <c r="AC310" s="1083"/>
      <c r="AD310" s="1083"/>
      <c r="AE310" s="1083"/>
    </row>
    <row r="311" spans="2:31" ht="13.5" hidden="1" thickBot="1">
      <c r="B311" s="1145"/>
      <c r="C311" s="1612"/>
      <c r="D311" s="1146"/>
      <c r="E311" s="1147" t="s">
        <v>1031</v>
      </c>
      <c r="F311" s="1148" t="e">
        <f>ROUND(SUM(F309:F310),2)</f>
        <v>#REF!</v>
      </c>
      <c r="I311" s="1083"/>
      <c r="J311" s="1083"/>
      <c r="K311" s="1083"/>
      <c r="L311" s="1083"/>
      <c r="M311" s="1083"/>
      <c r="N311" s="1083"/>
      <c r="O311" s="1083"/>
      <c r="P311" s="1083"/>
      <c r="Q311" s="1083"/>
      <c r="R311" s="1083"/>
      <c r="S311" s="1083"/>
      <c r="T311" s="1083"/>
      <c r="U311" s="1083"/>
      <c r="V311" s="1083"/>
      <c r="W311" s="1083"/>
      <c r="X311" s="1083"/>
      <c r="Y311" s="1083"/>
      <c r="Z311" s="1083"/>
      <c r="AA311" s="1083"/>
      <c r="AB311" s="1083"/>
      <c r="AC311" s="1083"/>
      <c r="AD311" s="1083"/>
      <c r="AE311" s="1083"/>
    </row>
    <row r="312" spans="2:31" ht="13.5" hidden="1" thickTop="1">
      <c r="B312" s="1149"/>
      <c r="C312" s="1613"/>
      <c r="D312" s="1149"/>
      <c r="E312" s="1150"/>
      <c r="F312" s="1151"/>
      <c r="I312" s="1083"/>
      <c r="J312" s="1083"/>
      <c r="K312" s="1083"/>
      <c r="L312" s="1083"/>
      <c r="M312" s="1083"/>
      <c r="N312" s="1083"/>
      <c r="O312" s="1083"/>
      <c r="P312" s="1083"/>
      <c r="Q312" s="1083"/>
      <c r="R312" s="1083"/>
      <c r="S312" s="1083"/>
      <c r="T312" s="1083"/>
      <c r="U312" s="1083"/>
      <c r="V312" s="1083"/>
      <c r="W312" s="1083"/>
      <c r="X312" s="1083"/>
      <c r="Y312" s="1083"/>
      <c r="Z312" s="1083"/>
      <c r="AA312" s="1083"/>
      <c r="AB312" s="1083"/>
      <c r="AC312" s="1083"/>
      <c r="AD312" s="1083"/>
      <c r="AE312" s="1083"/>
    </row>
    <row r="313" spans="2:31" ht="13.5" hidden="1" thickBot="1">
      <c r="B313" s="1392" t="s">
        <v>611</v>
      </c>
      <c r="C313" s="1614"/>
      <c r="D313" s="1135"/>
      <c r="E313" s="1135"/>
      <c r="F313" s="1135"/>
      <c r="I313" s="1083"/>
      <c r="J313" s="1083"/>
      <c r="K313" s="1083"/>
      <c r="L313" s="1083"/>
      <c r="M313" s="1083"/>
      <c r="N313" s="1083"/>
      <c r="O313" s="1083"/>
      <c r="P313" s="1083"/>
      <c r="Q313" s="1083"/>
      <c r="R313" s="1083"/>
      <c r="S313" s="1083"/>
      <c r="T313" s="1083"/>
      <c r="U313" s="1083"/>
      <c r="V313" s="1083"/>
      <c r="W313" s="1083"/>
      <c r="X313" s="1083"/>
      <c r="Y313" s="1083"/>
      <c r="Z313" s="1083"/>
      <c r="AA313" s="1083"/>
      <c r="AB313" s="1083"/>
      <c r="AC313" s="1083"/>
      <c r="AD313" s="1083"/>
      <c r="AE313" s="1083"/>
    </row>
    <row r="314" spans="2:31" ht="13.5" hidden="1" thickTop="1">
      <c r="B314" s="1137" t="s">
        <v>1225</v>
      </c>
      <c r="C314" s="1610">
        <v>1.05</v>
      </c>
      <c r="D314" s="1138" t="s">
        <v>2</v>
      </c>
      <c r="E314" s="1139" t="e">
        <f>+E309</f>
        <v>#REF!</v>
      </c>
      <c r="F314" s="1140" t="e">
        <f>C314*E314</f>
        <v>#REF!</v>
      </c>
      <c r="I314" s="1083"/>
      <c r="J314" s="1083"/>
      <c r="K314" s="1083"/>
      <c r="L314" s="1083"/>
      <c r="M314" s="1083"/>
      <c r="N314" s="1083"/>
      <c r="O314" s="1083"/>
      <c r="P314" s="1083"/>
      <c r="Q314" s="1083"/>
      <c r="R314" s="1083"/>
      <c r="S314" s="1083"/>
      <c r="T314" s="1083"/>
      <c r="U314" s="1083"/>
      <c r="V314" s="1083"/>
      <c r="W314" s="1083"/>
      <c r="X314" s="1083"/>
      <c r="Y314" s="1083"/>
      <c r="Z314" s="1083"/>
      <c r="AA314" s="1083"/>
      <c r="AB314" s="1083"/>
      <c r="AC314" s="1083"/>
      <c r="AD314" s="1083"/>
      <c r="AE314" s="1083"/>
    </row>
    <row r="315" spans="2:31" hidden="1">
      <c r="B315" s="1141" t="s">
        <v>1087</v>
      </c>
      <c r="C315" s="1611">
        <v>2.5</v>
      </c>
      <c r="D315" s="1142" t="s">
        <v>126</v>
      </c>
      <c r="E315" s="1143">
        <f>+E297</f>
        <v>2913</v>
      </c>
      <c r="F315" s="1144">
        <f>C315*E315</f>
        <v>7282.5</v>
      </c>
      <c r="I315" s="1083"/>
      <c r="J315" s="1083"/>
      <c r="K315" s="1083"/>
      <c r="L315" s="1083"/>
      <c r="M315" s="1083"/>
      <c r="N315" s="1083"/>
      <c r="O315" s="1083"/>
      <c r="P315" s="1083"/>
      <c r="Q315" s="1083"/>
      <c r="R315" s="1083"/>
      <c r="S315" s="1083"/>
      <c r="T315" s="1083"/>
      <c r="U315" s="1083"/>
      <c r="V315" s="1083"/>
      <c r="W315" s="1083"/>
      <c r="X315" s="1083"/>
      <c r="Y315" s="1083"/>
      <c r="Z315" s="1083"/>
      <c r="AA315" s="1083"/>
      <c r="AB315" s="1083"/>
      <c r="AC315" s="1083"/>
      <c r="AD315" s="1083"/>
      <c r="AE315" s="1083"/>
    </row>
    <row r="316" spans="2:31" hidden="1">
      <c r="B316" s="1141" t="s">
        <v>1089</v>
      </c>
      <c r="C316" s="1611">
        <f>1/0.3</f>
        <v>3.33</v>
      </c>
      <c r="D316" s="1152" t="s">
        <v>1</v>
      </c>
      <c r="E316" s="1143">
        <v>1000</v>
      </c>
      <c r="F316" s="1144">
        <f>C316*E316</f>
        <v>3330</v>
      </c>
      <c r="I316" s="1083"/>
      <c r="J316" s="1083"/>
      <c r="K316" s="1083"/>
      <c r="L316" s="1083"/>
      <c r="M316" s="1083"/>
      <c r="N316" s="1083"/>
      <c r="O316" s="1083"/>
      <c r="P316" s="1083"/>
      <c r="Q316" s="1083"/>
      <c r="R316" s="1083"/>
      <c r="S316" s="1083"/>
      <c r="T316" s="1083"/>
      <c r="U316" s="1083"/>
      <c r="V316" s="1083"/>
      <c r="W316" s="1083"/>
      <c r="X316" s="1083"/>
      <c r="Y316" s="1083"/>
      <c r="Z316" s="1083"/>
      <c r="AA316" s="1083"/>
      <c r="AB316" s="1083"/>
      <c r="AC316" s="1083"/>
      <c r="AD316" s="1083"/>
      <c r="AE316" s="1083"/>
    </row>
    <row r="317" spans="2:31" ht="13.5" hidden="1" thickBot="1">
      <c r="B317" s="1145"/>
      <c r="C317" s="1612"/>
      <c r="D317" s="1146"/>
      <c r="E317" s="1147" t="s">
        <v>1031</v>
      </c>
      <c r="F317" s="1148" t="e">
        <f>ROUND(SUM(F314:F316),2)</f>
        <v>#REF!</v>
      </c>
      <c r="I317" s="1083"/>
      <c r="J317" s="1083"/>
      <c r="K317" s="1083"/>
      <c r="L317" s="1083"/>
      <c r="M317" s="1083"/>
      <c r="N317" s="1083"/>
      <c r="O317" s="1083"/>
      <c r="P317" s="1083"/>
      <c r="Q317" s="1083"/>
      <c r="R317" s="1083"/>
      <c r="S317" s="1083"/>
      <c r="T317" s="1083"/>
      <c r="U317" s="1083"/>
      <c r="V317" s="1083"/>
      <c r="W317" s="1083"/>
      <c r="X317" s="1083"/>
      <c r="Y317" s="1083"/>
      <c r="Z317" s="1083"/>
      <c r="AA317" s="1083"/>
      <c r="AB317" s="1083"/>
      <c r="AC317" s="1083"/>
      <c r="AD317" s="1083"/>
      <c r="AE317" s="1083"/>
    </row>
    <row r="318" spans="2:31" ht="13.5" hidden="1" thickTop="1">
      <c r="B318" s="1087"/>
      <c r="C318" s="1603"/>
      <c r="D318" s="1087"/>
      <c r="E318" s="1100"/>
      <c r="F318" s="1105"/>
      <c r="I318" s="1083"/>
      <c r="J318" s="1083"/>
      <c r="K318" s="1083"/>
      <c r="L318" s="1083"/>
      <c r="M318" s="1083"/>
      <c r="N318" s="1083"/>
      <c r="O318" s="1083"/>
      <c r="P318" s="1083"/>
      <c r="Q318" s="1083"/>
      <c r="R318" s="1083"/>
      <c r="S318" s="1083"/>
      <c r="T318" s="1083"/>
      <c r="U318" s="1083"/>
      <c r="V318" s="1083"/>
      <c r="W318" s="1083"/>
      <c r="X318" s="1083"/>
      <c r="Y318" s="1083"/>
      <c r="Z318" s="1083"/>
      <c r="AA318" s="1083"/>
      <c r="AB318" s="1083"/>
      <c r="AC318" s="1083"/>
      <c r="AD318" s="1083"/>
      <c r="AE318" s="1083"/>
    </row>
    <row r="319" spans="2:31" ht="13.5" hidden="1" thickBot="1">
      <c r="B319" s="1392" t="s">
        <v>613</v>
      </c>
      <c r="C319" s="1614"/>
      <c r="D319" s="1135"/>
      <c r="E319" s="1135"/>
      <c r="F319" s="1135"/>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row>
    <row r="320" spans="2:31" ht="13.5" hidden="1" thickTop="1">
      <c r="B320" s="1137" t="s">
        <v>1225</v>
      </c>
      <c r="C320" s="1610">
        <v>1.05</v>
      </c>
      <c r="D320" s="1138" t="s">
        <v>2</v>
      </c>
      <c r="E320" s="1139" t="e">
        <f>+E314</f>
        <v>#REF!</v>
      </c>
      <c r="F320" s="1140" t="e">
        <f>C320*E320</f>
        <v>#REF!</v>
      </c>
      <c r="I320" s="1083"/>
      <c r="J320" s="1083"/>
      <c r="K320" s="1083"/>
      <c r="L320" s="1083"/>
      <c r="M320" s="1083"/>
      <c r="N320" s="1083"/>
      <c r="O320" s="1083"/>
      <c r="P320" s="1083"/>
      <c r="Q320" s="1083"/>
      <c r="R320" s="1083"/>
      <c r="S320" s="1083"/>
      <c r="T320" s="1083"/>
      <c r="U320" s="1083"/>
      <c r="V320" s="1083"/>
      <c r="W320" s="1083"/>
      <c r="X320" s="1083"/>
      <c r="Y320" s="1083"/>
      <c r="Z320" s="1083"/>
      <c r="AA320" s="1083"/>
      <c r="AB320" s="1083"/>
      <c r="AC320" s="1083"/>
      <c r="AD320" s="1083"/>
      <c r="AE320" s="1083"/>
    </row>
    <row r="321" spans="2:31" hidden="1">
      <c r="B321" s="1141" t="s">
        <v>1087</v>
      </c>
      <c r="C321" s="1611">
        <v>3.06</v>
      </c>
      <c r="D321" s="1142" t="s">
        <v>126</v>
      </c>
      <c r="E321" s="1143">
        <f>+E315</f>
        <v>2913</v>
      </c>
      <c r="F321" s="1144">
        <f>C321*E321</f>
        <v>8913.7800000000007</v>
      </c>
      <c r="I321" s="1083"/>
      <c r="J321" s="1083"/>
      <c r="K321" s="1083"/>
      <c r="L321" s="1083"/>
      <c r="M321" s="1083"/>
      <c r="N321" s="1083"/>
      <c r="O321" s="1083"/>
      <c r="P321" s="1083"/>
      <c r="Q321" s="1083"/>
      <c r="R321" s="1083"/>
      <c r="S321" s="1083"/>
      <c r="T321" s="1083"/>
      <c r="U321" s="1083"/>
      <c r="V321" s="1083"/>
      <c r="W321" s="1083"/>
      <c r="X321" s="1083"/>
      <c r="Y321" s="1083"/>
      <c r="Z321" s="1083"/>
      <c r="AA321" s="1083"/>
      <c r="AB321" s="1083"/>
      <c r="AC321" s="1083"/>
      <c r="AD321" s="1083"/>
      <c r="AE321" s="1083"/>
    </row>
    <row r="322" spans="2:31" hidden="1">
      <c r="B322" s="1141" t="s">
        <v>1089</v>
      </c>
      <c r="C322" s="1611">
        <f>1/0.25</f>
        <v>4</v>
      </c>
      <c r="D322" s="1152" t="s">
        <v>1</v>
      </c>
      <c r="E322" s="1143">
        <v>1000</v>
      </c>
      <c r="F322" s="1144">
        <f>C322*E322</f>
        <v>4000</v>
      </c>
      <c r="I322" s="1083"/>
      <c r="J322" s="1083"/>
      <c r="K322" s="1083"/>
      <c r="L322" s="1083"/>
      <c r="M322" s="1083"/>
      <c r="N322" s="1083"/>
      <c r="O322" s="1083"/>
      <c r="P322" s="1083"/>
      <c r="Q322" s="1083"/>
      <c r="R322" s="1083"/>
      <c r="S322" s="1083"/>
      <c r="T322" s="1083"/>
      <c r="U322" s="1083"/>
      <c r="V322" s="1083"/>
      <c r="W322" s="1083"/>
      <c r="X322" s="1083"/>
      <c r="Y322" s="1083"/>
      <c r="Z322" s="1083"/>
      <c r="AA322" s="1083"/>
      <c r="AB322" s="1083"/>
      <c r="AC322" s="1083"/>
      <c r="AD322" s="1083"/>
      <c r="AE322" s="1083"/>
    </row>
    <row r="323" spans="2:31" ht="13.5" hidden="1" thickBot="1">
      <c r="B323" s="1145"/>
      <c r="C323" s="1612"/>
      <c r="D323" s="1146"/>
      <c r="E323" s="1147" t="s">
        <v>1031</v>
      </c>
      <c r="F323" s="1148" t="e">
        <f>ROUND(SUM(F320:F322),2)</f>
        <v>#REF!</v>
      </c>
      <c r="I323" s="1083"/>
      <c r="J323" s="1083"/>
      <c r="K323" s="1083"/>
      <c r="L323" s="1083"/>
      <c r="M323" s="1083"/>
      <c r="N323" s="1083"/>
      <c r="O323" s="1083"/>
      <c r="P323" s="1083"/>
      <c r="Q323" s="1083"/>
      <c r="R323" s="1083"/>
      <c r="S323" s="1083"/>
      <c r="T323" s="1083"/>
      <c r="U323" s="1083"/>
      <c r="V323" s="1083"/>
      <c r="W323" s="1083"/>
      <c r="X323" s="1083"/>
      <c r="Y323" s="1083"/>
      <c r="Z323" s="1083"/>
      <c r="AA323" s="1083"/>
      <c r="AB323" s="1083"/>
      <c r="AC323" s="1083"/>
      <c r="AD323" s="1083"/>
      <c r="AE323" s="1083"/>
    </row>
    <row r="324" spans="2:31" ht="13.5" hidden="1" thickTop="1">
      <c r="B324" s="1087"/>
      <c r="C324" s="1603"/>
      <c r="D324" s="1087"/>
      <c r="E324" s="1100"/>
      <c r="F324" s="1105"/>
      <c r="I324" s="1083"/>
      <c r="J324" s="1083"/>
      <c r="K324" s="1083"/>
      <c r="L324" s="1083"/>
      <c r="M324" s="1083"/>
      <c r="N324" s="1083"/>
      <c r="O324" s="1083"/>
      <c r="P324" s="1083"/>
      <c r="Q324" s="1083"/>
      <c r="R324" s="1083"/>
      <c r="S324" s="1083"/>
      <c r="T324" s="1083"/>
      <c r="U324" s="1083"/>
      <c r="V324" s="1083"/>
      <c r="W324" s="1083"/>
      <c r="X324" s="1083"/>
      <c r="Y324" s="1083"/>
      <c r="Z324" s="1083"/>
      <c r="AA324" s="1083"/>
      <c r="AB324" s="1083"/>
      <c r="AC324" s="1083"/>
      <c r="AD324" s="1083"/>
      <c r="AE324" s="1083"/>
    </row>
    <row r="325" spans="2:31" ht="20.25" hidden="1">
      <c r="B325" s="1914" t="s">
        <v>626</v>
      </c>
      <c r="C325" s="1603"/>
      <c r="D325" s="1087"/>
      <c r="E325" s="1100"/>
      <c r="F325" s="1105"/>
      <c r="I325" s="1083"/>
      <c r="J325" s="1083"/>
      <c r="K325" s="1083"/>
      <c r="L325" s="1083"/>
      <c r="M325" s="1083"/>
      <c r="N325" s="1083"/>
      <c r="O325" s="1083"/>
      <c r="P325" s="1083"/>
      <c r="Q325" s="1083"/>
      <c r="R325" s="1083"/>
      <c r="S325" s="1083"/>
      <c r="T325" s="1083"/>
      <c r="U325" s="1083"/>
      <c r="V325" s="1083"/>
      <c r="W325" s="1083"/>
      <c r="X325" s="1083"/>
      <c r="Y325" s="1083"/>
      <c r="Z325" s="1083"/>
      <c r="AA325" s="1083"/>
      <c r="AB325" s="1083"/>
      <c r="AC325" s="1083"/>
      <c r="AD325" s="1083"/>
      <c r="AE325" s="1083"/>
    </row>
    <row r="326" spans="2:31" hidden="1">
      <c r="B326" s="1087"/>
      <c r="C326" s="1603"/>
      <c r="D326" s="1087"/>
      <c r="E326" s="1100"/>
      <c r="F326" s="1105"/>
      <c r="I326" s="1083"/>
      <c r="J326" s="1083"/>
      <c r="K326" s="1083"/>
      <c r="L326" s="1083"/>
      <c r="M326" s="1083"/>
      <c r="N326" s="1083"/>
      <c r="O326" s="1083"/>
      <c r="P326" s="1083"/>
      <c r="Q326" s="1083"/>
      <c r="R326" s="1083"/>
      <c r="S326" s="1083"/>
      <c r="T326" s="1083"/>
      <c r="U326" s="1083"/>
      <c r="V326" s="1083"/>
      <c r="W326" s="1083"/>
      <c r="X326" s="1083"/>
      <c r="Y326" s="1083"/>
      <c r="Z326" s="1083"/>
      <c r="AA326" s="1083"/>
      <c r="AB326" s="1083"/>
      <c r="AC326" s="1083"/>
      <c r="AD326" s="1083"/>
      <c r="AE326" s="1083"/>
    </row>
    <row r="327" spans="2:31" ht="13.5" hidden="1" thickBot="1">
      <c r="B327" s="1387" t="s">
        <v>629</v>
      </c>
      <c r="C327" s="1609"/>
      <c r="D327" s="1131"/>
      <c r="E327" s="1132"/>
      <c r="F327" s="1133"/>
      <c r="I327" s="1083"/>
      <c r="J327" s="1083"/>
      <c r="K327" s="1083"/>
      <c r="L327" s="1083"/>
      <c r="M327" s="1083"/>
      <c r="N327" s="1083"/>
      <c r="O327" s="1083"/>
      <c r="P327" s="1083"/>
      <c r="Q327" s="1083"/>
      <c r="R327" s="1083"/>
      <c r="S327" s="1083"/>
      <c r="T327" s="1083"/>
      <c r="U327" s="1083"/>
      <c r="V327" s="1083"/>
      <c r="W327" s="1083"/>
      <c r="X327" s="1083"/>
      <c r="Y327" s="1083"/>
      <c r="Z327" s="1083"/>
      <c r="AA327" s="1083"/>
      <c r="AB327" s="1083"/>
      <c r="AC327" s="1083"/>
      <c r="AD327" s="1083"/>
      <c r="AE327" s="1083"/>
    </row>
    <row r="328" spans="2:31" ht="13.5" hidden="1" thickTop="1">
      <c r="B328" s="1137" t="s">
        <v>1225</v>
      </c>
      <c r="C328" s="1610">
        <v>1.05</v>
      </c>
      <c r="D328" s="1138" t="s">
        <v>2</v>
      </c>
      <c r="E328" s="1139" t="e">
        <f>+E320</f>
        <v>#REF!</v>
      </c>
      <c r="F328" s="1140" t="e">
        <f>C328*E328</f>
        <v>#REF!</v>
      </c>
      <c r="I328" s="1083"/>
      <c r="J328" s="1083"/>
      <c r="K328" s="1083"/>
      <c r="L328" s="1083"/>
      <c r="M328" s="1083"/>
      <c r="N328" s="1083"/>
      <c r="O328" s="1083"/>
      <c r="P328" s="1083"/>
      <c r="Q328" s="1083"/>
      <c r="R328" s="1083"/>
      <c r="S328" s="1083"/>
      <c r="T328" s="1083"/>
      <c r="U328" s="1083"/>
      <c r="V328" s="1083"/>
      <c r="W328" s="1083"/>
      <c r="X328" s="1083"/>
      <c r="Y328" s="1083"/>
      <c r="Z328" s="1083"/>
      <c r="AA328" s="1083"/>
      <c r="AB328" s="1083"/>
      <c r="AC328" s="1083"/>
      <c r="AD328" s="1083"/>
      <c r="AE328" s="1083"/>
    </row>
    <row r="329" spans="2:31" hidden="1">
      <c r="B329" s="1141" t="s">
        <v>272</v>
      </c>
      <c r="C329" s="1611">
        <v>1.42</v>
      </c>
      <c r="D329" s="1142" t="s">
        <v>126</v>
      </c>
      <c r="E329" s="1143">
        <f>+E321</f>
        <v>2913</v>
      </c>
      <c r="F329" s="1144">
        <f>C329*E329</f>
        <v>4136.46</v>
      </c>
      <c r="I329" s="1083"/>
      <c r="J329" s="1083"/>
      <c r="K329" s="1083"/>
      <c r="L329" s="1083"/>
      <c r="M329" s="1083"/>
      <c r="N329" s="1083"/>
      <c r="O329" s="1083"/>
      <c r="P329" s="1083"/>
      <c r="Q329" s="1083"/>
      <c r="R329" s="1083"/>
      <c r="S329" s="1083"/>
      <c r="T329" s="1083"/>
      <c r="U329" s="1083"/>
      <c r="V329" s="1083"/>
      <c r="W329" s="1083"/>
      <c r="X329" s="1083"/>
      <c r="Y329" s="1083"/>
      <c r="Z329" s="1083"/>
      <c r="AA329" s="1083"/>
      <c r="AB329" s="1083"/>
      <c r="AC329" s="1083"/>
      <c r="AD329" s="1083"/>
      <c r="AE329" s="1083"/>
    </row>
    <row r="330" spans="2:31" ht="13.5" hidden="1" thickBot="1">
      <c r="B330" s="1145"/>
      <c r="C330" s="1612"/>
      <c r="D330" s="1146"/>
      <c r="E330" s="1147" t="s">
        <v>1031</v>
      </c>
      <c r="F330" s="1148" t="e">
        <f>ROUND(SUM(F328:F329),2)</f>
        <v>#REF!</v>
      </c>
      <c r="I330" s="1083"/>
      <c r="J330" s="1083"/>
      <c r="K330" s="1083"/>
      <c r="L330" s="1083"/>
      <c r="M330" s="1083"/>
      <c r="N330" s="1083"/>
      <c r="O330" s="1083"/>
      <c r="P330" s="1083"/>
      <c r="Q330" s="1083"/>
      <c r="R330" s="1083"/>
      <c r="S330" s="1083"/>
      <c r="T330" s="1083"/>
      <c r="U330" s="1083"/>
      <c r="V330" s="1083"/>
      <c r="W330" s="1083"/>
      <c r="X330" s="1083"/>
      <c r="Y330" s="1083"/>
      <c r="Z330" s="1083"/>
      <c r="AA330" s="1083"/>
      <c r="AB330" s="1083"/>
      <c r="AC330" s="1083"/>
      <c r="AD330" s="1083"/>
      <c r="AE330" s="1083"/>
    </row>
    <row r="331" spans="2:31" ht="13.5" hidden="1" thickTop="1">
      <c r="B331" s="1149"/>
      <c r="C331" s="1613"/>
      <c r="D331" s="1149"/>
      <c r="E331" s="1150"/>
      <c r="F331" s="1151"/>
      <c r="I331" s="1083"/>
      <c r="J331" s="1083"/>
      <c r="K331" s="1083"/>
      <c r="L331" s="1083"/>
      <c r="M331" s="1083"/>
      <c r="N331" s="1083"/>
      <c r="O331" s="1083"/>
      <c r="P331" s="1083"/>
      <c r="Q331" s="1083"/>
      <c r="R331" s="1083"/>
      <c r="S331" s="1083"/>
      <c r="T331" s="1083"/>
      <c r="U331" s="1083"/>
      <c r="V331" s="1083"/>
      <c r="W331" s="1083"/>
      <c r="X331" s="1083"/>
      <c r="Y331" s="1083"/>
      <c r="Z331" s="1083"/>
      <c r="AA331" s="1083"/>
      <c r="AB331" s="1083"/>
      <c r="AC331" s="1083"/>
      <c r="AD331" s="1083"/>
      <c r="AE331" s="1083"/>
    </row>
    <row r="332" spans="2:31" ht="20.25" hidden="1">
      <c r="B332" s="1914" t="s">
        <v>633</v>
      </c>
      <c r="C332" s="1603"/>
      <c r="D332" s="1087"/>
      <c r="E332" s="1100"/>
      <c r="F332" s="1105"/>
      <c r="I332" s="1083"/>
      <c r="J332" s="1083"/>
      <c r="K332" s="1083"/>
      <c r="L332" s="1083"/>
      <c r="M332" s="1083"/>
      <c r="N332" s="1083"/>
      <c r="O332" s="1083"/>
      <c r="P332" s="1083"/>
      <c r="Q332" s="1083"/>
      <c r="R332" s="1083"/>
      <c r="S332" s="1083"/>
      <c r="T332" s="1083"/>
      <c r="U332" s="1083"/>
      <c r="V332" s="1083"/>
      <c r="W332" s="1083"/>
      <c r="X332" s="1083"/>
      <c r="Y332" s="1083"/>
      <c r="Z332" s="1083"/>
      <c r="AA332" s="1083"/>
      <c r="AB332" s="1083"/>
      <c r="AC332" s="1083"/>
      <c r="AD332" s="1083"/>
      <c r="AE332" s="1083"/>
    </row>
    <row r="333" spans="2:31" hidden="1">
      <c r="B333" s="1087"/>
      <c r="C333" s="1603"/>
      <c r="D333" s="1087"/>
      <c r="E333" s="1100"/>
      <c r="F333" s="1105"/>
      <c r="I333" s="1083"/>
      <c r="J333" s="1083"/>
      <c r="K333" s="1083"/>
      <c r="L333" s="1083"/>
      <c r="M333" s="1083"/>
      <c r="N333" s="1083"/>
      <c r="O333" s="1083"/>
      <c r="P333" s="1083"/>
      <c r="Q333" s="1083"/>
      <c r="R333" s="1083"/>
      <c r="S333" s="1083"/>
      <c r="T333" s="1083"/>
      <c r="U333" s="1083"/>
      <c r="V333" s="1083"/>
      <c r="W333" s="1083"/>
      <c r="X333" s="1083"/>
      <c r="Y333" s="1083"/>
      <c r="Z333" s="1083"/>
      <c r="AA333" s="1083"/>
      <c r="AB333" s="1083"/>
      <c r="AC333" s="1083"/>
      <c r="AD333" s="1083"/>
      <c r="AE333" s="1083"/>
    </row>
    <row r="334" spans="2:31" ht="13.5" hidden="1" thickBot="1">
      <c r="B334" s="1387" t="s">
        <v>629</v>
      </c>
      <c r="C334" s="1609"/>
      <c r="D334" s="1131"/>
      <c r="E334" s="1132"/>
      <c r="F334" s="113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row>
    <row r="335" spans="2:31" ht="13.5" hidden="1" thickTop="1">
      <c r="B335" s="1137" t="s">
        <v>1225</v>
      </c>
      <c r="C335" s="1610">
        <v>1.05</v>
      </c>
      <c r="D335" s="1138" t="s">
        <v>2</v>
      </c>
      <c r="E335" s="1139" t="e">
        <f>+E328</f>
        <v>#REF!</v>
      </c>
      <c r="F335" s="1140" t="e">
        <f>C335*E335</f>
        <v>#REF!</v>
      </c>
      <c r="I335" s="1083"/>
      <c r="J335" s="1083"/>
      <c r="K335" s="1083"/>
      <c r="L335" s="1083"/>
      <c r="M335" s="1083"/>
      <c r="N335" s="1083"/>
      <c r="O335" s="1083"/>
      <c r="P335" s="1083"/>
      <c r="Q335" s="1083"/>
      <c r="R335" s="1083"/>
      <c r="S335" s="1083"/>
      <c r="T335" s="1083"/>
      <c r="U335" s="1083"/>
      <c r="V335" s="1083"/>
      <c r="W335" s="1083"/>
      <c r="X335" s="1083"/>
      <c r="Y335" s="1083"/>
      <c r="Z335" s="1083"/>
      <c r="AA335" s="1083"/>
      <c r="AB335" s="1083"/>
      <c r="AC335" s="1083"/>
      <c r="AD335" s="1083"/>
      <c r="AE335" s="1083"/>
    </row>
    <row r="336" spans="2:31" hidden="1">
      <c r="B336" s="1141" t="s">
        <v>272</v>
      </c>
      <c r="C336" s="1611">
        <v>1.42</v>
      </c>
      <c r="D336" s="1142" t="s">
        <v>126</v>
      </c>
      <c r="E336" s="1143">
        <f>+E329</f>
        <v>2913</v>
      </c>
      <c r="F336" s="1144">
        <f>C336*E336</f>
        <v>4136.46</v>
      </c>
      <c r="I336" s="1083"/>
      <c r="J336" s="1083"/>
      <c r="K336" s="1083"/>
      <c r="L336" s="1083"/>
      <c r="M336" s="1083"/>
      <c r="N336" s="1083"/>
      <c r="O336" s="1083"/>
      <c r="P336" s="1083"/>
      <c r="Q336" s="1083"/>
      <c r="R336" s="1083"/>
      <c r="S336" s="1083"/>
      <c r="T336" s="1083"/>
      <c r="U336" s="1083"/>
      <c r="V336" s="1083"/>
      <c r="W336" s="1083"/>
      <c r="X336" s="1083"/>
      <c r="Y336" s="1083"/>
      <c r="Z336" s="1083"/>
      <c r="AA336" s="1083"/>
      <c r="AB336" s="1083"/>
      <c r="AC336" s="1083"/>
      <c r="AD336" s="1083"/>
      <c r="AE336" s="1083"/>
    </row>
    <row r="337" spans="2:31" ht="13.5" hidden="1" thickBot="1">
      <c r="B337" s="1145"/>
      <c r="C337" s="1612"/>
      <c r="D337" s="1146"/>
      <c r="E337" s="1147" t="s">
        <v>1031</v>
      </c>
      <c r="F337" s="1148" t="e">
        <f>ROUND(SUM(F335:F336),2)</f>
        <v>#REF!</v>
      </c>
      <c r="I337" s="1083"/>
      <c r="J337" s="1083"/>
      <c r="K337" s="1083"/>
      <c r="L337" s="1083"/>
      <c r="M337" s="1083"/>
      <c r="N337" s="1083"/>
      <c r="O337" s="1083"/>
      <c r="P337" s="1083"/>
      <c r="Q337" s="1083"/>
      <c r="R337" s="1083"/>
      <c r="S337" s="1083"/>
      <c r="T337" s="1083"/>
      <c r="U337" s="1083"/>
      <c r="V337" s="1083"/>
      <c r="W337" s="1083"/>
      <c r="X337" s="1083"/>
      <c r="Y337" s="1083"/>
      <c r="Z337" s="1083"/>
      <c r="AA337" s="1083"/>
      <c r="AB337" s="1083"/>
      <c r="AC337" s="1083"/>
      <c r="AD337" s="1083"/>
      <c r="AE337" s="1083"/>
    </row>
    <row r="338" spans="2:31" ht="13.5" hidden="1" thickTop="1">
      <c r="B338" s="1149"/>
      <c r="C338" s="1613"/>
      <c r="D338" s="1149"/>
      <c r="E338" s="1150"/>
      <c r="F338" s="1151"/>
      <c r="I338" s="1083"/>
      <c r="J338" s="1083"/>
      <c r="K338" s="1083"/>
      <c r="L338" s="1083"/>
      <c r="M338" s="1083"/>
      <c r="N338" s="1083"/>
      <c r="O338" s="1083"/>
      <c r="P338" s="1083"/>
      <c r="Q338" s="1083"/>
      <c r="R338" s="1083"/>
      <c r="S338" s="1083"/>
      <c r="T338" s="1083"/>
      <c r="U338" s="1083"/>
      <c r="V338" s="1083"/>
      <c r="W338" s="1083"/>
      <c r="X338" s="1083"/>
      <c r="Y338" s="1083"/>
      <c r="Z338" s="1083"/>
      <c r="AA338" s="1083"/>
      <c r="AB338" s="1083"/>
      <c r="AC338" s="1083"/>
      <c r="AD338" s="1083"/>
      <c r="AE338" s="1083"/>
    </row>
    <row r="339" spans="2:31" ht="20.25" hidden="1">
      <c r="B339" s="1914" t="s">
        <v>642</v>
      </c>
      <c r="C339" s="1603"/>
      <c r="D339" s="1087"/>
      <c r="E339" s="1100"/>
      <c r="F339" s="1105"/>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1083"/>
      <c r="AD339" s="1083"/>
      <c r="AE339" s="1083"/>
    </row>
    <row r="340" spans="2:31" hidden="1">
      <c r="B340" s="1087"/>
      <c r="C340" s="1603"/>
      <c r="D340" s="1087"/>
      <c r="E340" s="1100"/>
      <c r="F340" s="1105"/>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1083"/>
      <c r="AD340" s="1083"/>
      <c r="AE340" s="1083"/>
    </row>
    <row r="341" spans="2:31" ht="13.5" hidden="1" thickBot="1">
      <c r="B341" s="1387" t="s">
        <v>609</v>
      </c>
      <c r="C341" s="1609"/>
      <c r="D341" s="1131"/>
      <c r="E341" s="1132"/>
      <c r="F341" s="113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1083"/>
      <c r="AD341" s="1083"/>
      <c r="AE341" s="1083"/>
    </row>
    <row r="342" spans="2:31" ht="13.5" hidden="1" thickTop="1">
      <c r="B342" s="1137" t="s">
        <v>1225</v>
      </c>
      <c r="C342" s="1610">
        <v>1.05</v>
      </c>
      <c r="D342" s="1138" t="s">
        <v>2</v>
      </c>
      <c r="E342" s="1139" t="e">
        <f>+E335</f>
        <v>#REF!</v>
      </c>
      <c r="F342" s="1140" t="e">
        <f>C342*E342</f>
        <v>#REF!</v>
      </c>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1083"/>
      <c r="AD342" s="1083"/>
      <c r="AE342" s="1083"/>
    </row>
    <row r="343" spans="2:31" hidden="1">
      <c r="B343" s="1141" t="s">
        <v>272</v>
      </c>
      <c r="C343" s="1611">
        <v>0.99</v>
      </c>
      <c r="D343" s="1142" t="s">
        <v>126</v>
      </c>
      <c r="E343" s="1143">
        <f>+E336</f>
        <v>2913</v>
      </c>
      <c r="F343" s="1144">
        <f>C343*E343</f>
        <v>2883.87</v>
      </c>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1083"/>
      <c r="AD343" s="1083"/>
      <c r="AE343" s="1083"/>
    </row>
    <row r="344" spans="2:31" ht="13.5" hidden="1" thickBot="1">
      <c r="B344" s="1145"/>
      <c r="C344" s="1612"/>
      <c r="D344" s="1146"/>
      <c r="E344" s="1147" t="s">
        <v>1031</v>
      </c>
      <c r="F344" s="1148" t="e">
        <f>ROUND(SUM(F342:F343),2)</f>
        <v>#REF!</v>
      </c>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1083"/>
      <c r="AD344" s="1083"/>
      <c r="AE344" s="1083"/>
    </row>
    <row r="345" spans="2:31" ht="13.5" hidden="1" thickTop="1">
      <c r="B345" s="1149"/>
      <c r="C345" s="1613"/>
      <c r="D345" s="1149"/>
      <c r="E345" s="1150"/>
      <c r="F345" s="1151"/>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row>
    <row r="346" spans="2:31" ht="13.5" hidden="1" thickBot="1">
      <c r="B346" s="1392" t="s">
        <v>611</v>
      </c>
      <c r="C346" s="1614"/>
      <c r="D346" s="1135"/>
      <c r="E346" s="1135"/>
      <c r="F346" s="1135"/>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row>
    <row r="347" spans="2:31" ht="13.5" hidden="1" thickTop="1">
      <c r="B347" s="1137" t="s">
        <v>1225</v>
      </c>
      <c r="C347" s="1610">
        <v>1.05</v>
      </c>
      <c r="D347" s="1138" t="s">
        <v>2</v>
      </c>
      <c r="E347" s="1139" t="e">
        <f>+E342</f>
        <v>#REF!</v>
      </c>
      <c r="F347" s="1140" t="e">
        <f>C347*E347</f>
        <v>#REF!</v>
      </c>
      <c r="I347" s="1083"/>
      <c r="J347" s="1083"/>
      <c r="K347" s="1083"/>
      <c r="L347" s="1083"/>
      <c r="M347" s="1083"/>
      <c r="N347" s="1083"/>
      <c r="O347" s="1083"/>
      <c r="P347" s="1083"/>
      <c r="Q347" s="1083"/>
      <c r="R347" s="1083"/>
      <c r="S347" s="1083"/>
      <c r="T347" s="1083"/>
      <c r="U347" s="1083"/>
      <c r="V347" s="1083"/>
      <c r="W347" s="1083"/>
      <c r="X347" s="1083"/>
      <c r="Y347" s="1083"/>
      <c r="Z347" s="1083"/>
      <c r="AA347" s="1083"/>
      <c r="AB347" s="1083"/>
      <c r="AC347" s="1083"/>
      <c r="AD347" s="1083"/>
      <c r="AE347" s="1083"/>
    </row>
    <row r="348" spans="2:31" hidden="1">
      <c r="B348" s="1141" t="s">
        <v>1087</v>
      </c>
      <c r="C348" s="1611">
        <v>2.5</v>
      </c>
      <c r="D348" s="1142" t="s">
        <v>126</v>
      </c>
      <c r="E348" s="1143">
        <f>+E343</f>
        <v>2913</v>
      </c>
      <c r="F348" s="1144">
        <f>C348*E348</f>
        <v>7282.5</v>
      </c>
      <c r="I348" s="1083"/>
      <c r="J348" s="1083"/>
      <c r="K348" s="1083"/>
      <c r="L348" s="1083"/>
      <c r="M348" s="1083"/>
      <c r="N348" s="1083"/>
      <c r="O348" s="1083"/>
      <c r="P348" s="1083"/>
      <c r="Q348" s="1083"/>
      <c r="R348" s="1083"/>
      <c r="S348" s="1083"/>
      <c r="T348" s="1083"/>
      <c r="U348" s="1083"/>
      <c r="V348" s="1083"/>
      <c r="W348" s="1083"/>
      <c r="X348" s="1083"/>
      <c r="Y348" s="1083"/>
      <c r="Z348" s="1083"/>
      <c r="AA348" s="1083"/>
      <c r="AB348" s="1083"/>
      <c r="AC348" s="1083"/>
      <c r="AD348" s="1083"/>
      <c r="AE348" s="1083"/>
    </row>
    <row r="349" spans="2:31" hidden="1">
      <c r="B349" s="1141" t="s">
        <v>1089</v>
      </c>
      <c r="C349" s="1611">
        <f>1/0.3</f>
        <v>3.33</v>
      </c>
      <c r="D349" s="1152" t="s">
        <v>1</v>
      </c>
      <c r="E349" s="1143">
        <v>1000</v>
      </c>
      <c r="F349" s="1144">
        <f>C349*E349</f>
        <v>3330</v>
      </c>
      <c r="I349" s="1083"/>
      <c r="J349" s="1083"/>
      <c r="K349" s="1083"/>
      <c r="L349" s="1083"/>
      <c r="M349" s="1083"/>
      <c r="N349" s="1083"/>
      <c r="O349" s="1083"/>
      <c r="P349" s="1083"/>
      <c r="Q349" s="1083"/>
      <c r="R349" s="1083"/>
      <c r="S349" s="1083"/>
      <c r="T349" s="1083"/>
      <c r="U349" s="1083"/>
      <c r="V349" s="1083"/>
      <c r="W349" s="1083"/>
      <c r="X349" s="1083"/>
      <c r="Y349" s="1083"/>
      <c r="Z349" s="1083"/>
      <c r="AA349" s="1083"/>
      <c r="AB349" s="1083"/>
      <c r="AC349" s="1083"/>
      <c r="AD349" s="1083"/>
      <c r="AE349" s="1083"/>
    </row>
    <row r="350" spans="2:31" ht="13.5" hidden="1" thickBot="1">
      <c r="B350" s="1145"/>
      <c r="C350" s="1612"/>
      <c r="D350" s="1146"/>
      <c r="E350" s="1147" t="s">
        <v>1031</v>
      </c>
      <c r="F350" s="1148" t="e">
        <f>ROUND(SUM(F347:F349),2)</f>
        <v>#REF!</v>
      </c>
      <c r="I350" s="1083"/>
      <c r="J350" s="1083"/>
      <c r="K350" s="1083"/>
      <c r="L350" s="1083"/>
      <c r="M350" s="1083"/>
      <c r="N350" s="1083"/>
      <c r="O350" s="1083"/>
      <c r="P350" s="1083"/>
      <c r="Q350" s="1083"/>
      <c r="R350" s="1083"/>
      <c r="S350" s="1083"/>
      <c r="T350" s="1083"/>
      <c r="U350" s="1083"/>
      <c r="V350" s="1083"/>
      <c r="W350" s="1083"/>
      <c r="X350" s="1083"/>
      <c r="Y350" s="1083"/>
      <c r="Z350" s="1083"/>
      <c r="AA350" s="1083"/>
      <c r="AB350" s="1083"/>
      <c r="AC350" s="1083"/>
      <c r="AD350" s="1083"/>
      <c r="AE350" s="1083"/>
    </row>
    <row r="351" spans="2:31" ht="13.5" hidden="1" thickTop="1">
      <c r="B351" s="1087"/>
      <c r="C351" s="1603"/>
      <c r="D351" s="1087"/>
      <c r="E351" s="1100"/>
      <c r="F351" s="1105"/>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row>
    <row r="352" spans="2:31" ht="13.5" hidden="1" thickBot="1">
      <c r="B352" s="1392" t="s">
        <v>645</v>
      </c>
      <c r="C352" s="1614"/>
      <c r="D352" s="1135"/>
      <c r="E352" s="1135"/>
      <c r="F352" s="1135"/>
      <c r="I352" s="1083"/>
      <c r="J352" s="1083"/>
      <c r="K352" s="1083"/>
      <c r="L352" s="1083"/>
      <c r="M352" s="1083"/>
      <c r="N352" s="1083"/>
      <c r="O352" s="1083"/>
      <c r="P352" s="1083"/>
      <c r="Q352" s="1083"/>
      <c r="R352" s="1083"/>
      <c r="S352" s="1083"/>
      <c r="T352" s="1083"/>
      <c r="U352" s="1083"/>
      <c r="V352" s="1083"/>
      <c r="W352" s="1083"/>
      <c r="X352" s="1083"/>
      <c r="Y352" s="1083"/>
      <c r="Z352" s="1083"/>
      <c r="AA352" s="1083"/>
      <c r="AB352" s="1083"/>
      <c r="AC352" s="1083"/>
      <c r="AD352" s="1083"/>
      <c r="AE352" s="1083"/>
    </row>
    <row r="353" spans="2:31" ht="13.5" hidden="1" thickTop="1">
      <c r="B353" s="1137" t="s">
        <v>1225</v>
      </c>
      <c r="C353" s="1610">
        <v>1.05</v>
      </c>
      <c r="D353" s="1138" t="s">
        <v>2</v>
      </c>
      <c r="E353" s="1139" t="e">
        <f>+E347</f>
        <v>#REF!</v>
      </c>
      <c r="F353" s="1140" t="e">
        <f>C353*E353</f>
        <v>#REF!</v>
      </c>
      <c r="I353" s="1083"/>
      <c r="J353" s="1083"/>
      <c r="K353" s="1083"/>
      <c r="L353" s="1083"/>
      <c r="M353" s="1083"/>
      <c r="N353" s="1083"/>
      <c r="O353" s="1083"/>
      <c r="P353" s="1083"/>
      <c r="Q353" s="1083"/>
      <c r="R353" s="1083"/>
      <c r="S353" s="1083"/>
      <c r="T353" s="1083"/>
      <c r="U353" s="1083"/>
      <c r="V353" s="1083"/>
      <c r="W353" s="1083"/>
      <c r="X353" s="1083"/>
      <c r="Y353" s="1083"/>
      <c r="Z353" s="1083"/>
      <c r="AA353" s="1083"/>
      <c r="AB353" s="1083"/>
      <c r="AC353" s="1083"/>
      <c r="AD353" s="1083"/>
      <c r="AE353" s="1083"/>
    </row>
    <row r="354" spans="2:31" hidden="1">
      <c r="B354" s="1141" t="s">
        <v>1087</v>
      </c>
      <c r="C354" s="1611">
        <v>2.3199999999999998</v>
      </c>
      <c r="D354" s="1142" t="s">
        <v>126</v>
      </c>
      <c r="E354" s="1143">
        <f>+E348</f>
        <v>2913</v>
      </c>
      <c r="F354" s="1144">
        <f>C354*E354</f>
        <v>6758.16</v>
      </c>
      <c r="I354" s="1083"/>
      <c r="J354" s="1083"/>
      <c r="K354" s="1083"/>
      <c r="L354" s="1083"/>
      <c r="M354" s="1083"/>
      <c r="N354" s="1083"/>
      <c r="O354" s="1083"/>
      <c r="P354" s="1083"/>
      <c r="Q354" s="1083"/>
      <c r="R354" s="1083"/>
      <c r="S354" s="1083"/>
      <c r="T354" s="1083"/>
      <c r="U354" s="1083"/>
      <c r="V354" s="1083"/>
      <c r="W354" s="1083"/>
      <c r="X354" s="1083"/>
      <c r="Y354" s="1083"/>
      <c r="Z354" s="1083"/>
      <c r="AA354" s="1083"/>
      <c r="AB354" s="1083"/>
      <c r="AC354" s="1083"/>
      <c r="AD354" s="1083"/>
      <c r="AE354" s="1083"/>
    </row>
    <row r="355" spans="2:31" hidden="1">
      <c r="B355" s="1141" t="s">
        <v>1089</v>
      </c>
      <c r="C355" s="1611">
        <f>1/0.25</f>
        <v>4</v>
      </c>
      <c r="D355" s="1152" t="s">
        <v>1</v>
      </c>
      <c r="E355" s="1143">
        <v>1000</v>
      </c>
      <c r="F355" s="1144">
        <f>C355*E355</f>
        <v>4000</v>
      </c>
      <c r="I355" s="1083"/>
      <c r="J355" s="1083"/>
      <c r="K355" s="1083"/>
      <c r="L355" s="1083"/>
      <c r="M355" s="1083"/>
      <c r="N355" s="1083"/>
      <c r="O355" s="1083"/>
      <c r="P355" s="1083"/>
      <c r="Q355" s="1083"/>
      <c r="R355" s="1083"/>
      <c r="S355" s="1083"/>
      <c r="T355" s="1083"/>
      <c r="U355" s="1083"/>
      <c r="V355" s="1083"/>
      <c r="W355" s="1083"/>
      <c r="X355" s="1083"/>
      <c r="Y355" s="1083"/>
      <c r="Z355" s="1083"/>
      <c r="AA355" s="1083"/>
      <c r="AB355" s="1083"/>
      <c r="AC355" s="1083"/>
      <c r="AD355" s="1083"/>
      <c r="AE355" s="1083"/>
    </row>
    <row r="356" spans="2:31" ht="13.5" hidden="1" thickBot="1">
      <c r="B356" s="1145"/>
      <c r="C356" s="1612"/>
      <c r="D356" s="1146"/>
      <c r="E356" s="1147" t="s">
        <v>1031</v>
      </c>
      <c r="F356" s="1148" t="e">
        <f>ROUND(SUM(F353:F355),2)</f>
        <v>#REF!</v>
      </c>
      <c r="I356" s="1083"/>
      <c r="J356" s="1083"/>
      <c r="K356" s="1083"/>
      <c r="L356" s="1083"/>
      <c r="M356" s="1083"/>
      <c r="N356" s="1083"/>
      <c r="O356" s="1083"/>
      <c r="P356" s="1083"/>
      <c r="Q356" s="1083"/>
      <c r="R356" s="1083"/>
      <c r="S356" s="1083"/>
      <c r="T356" s="1083"/>
      <c r="U356" s="1083"/>
      <c r="V356" s="1083"/>
      <c r="W356" s="1083"/>
      <c r="X356" s="1083"/>
      <c r="Y356" s="1083"/>
      <c r="Z356" s="1083"/>
      <c r="AA356" s="1083"/>
      <c r="AB356" s="1083"/>
      <c r="AC356" s="1083"/>
      <c r="AD356" s="1083"/>
      <c r="AE356" s="1083"/>
    </row>
    <row r="357" spans="2:31" ht="13.5" hidden="1" thickTop="1">
      <c r="B357" s="1156"/>
      <c r="C357" s="1613"/>
      <c r="D357" s="1149"/>
      <c r="E357" s="1150"/>
      <c r="F357" s="1151"/>
      <c r="I357" s="1083"/>
      <c r="J357" s="1083"/>
      <c r="K357" s="1083"/>
      <c r="L357" s="1083"/>
      <c r="M357" s="1083"/>
      <c r="N357" s="1083"/>
      <c r="O357" s="1083"/>
      <c r="P357" s="1083"/>
      <c r="Q357" s="1083"/>
      <c r="R357" s="1083"/>
      <c r="S357" s="1083"/>
      <c r="T357" s="1083"/>
      <c r="U357" s="1083"/>
      <c r="V357" s="1083"/>
      <c r="W357" s="1083"/>
      <c r="X357" s="1083"/>
      <c r="Y357" s="1083"/>
      <c r="Z357" s="1083"/>
      <c r="AA357" s="1083"/>
      <c r="AB357" s="1083"/>
      <c r="AC357" s="1083"/>
      <c r="AD357" s="1083"/>
      <c r="AE357" s="1083"/>
    </row>
    <row r="358" spans="2:31" ht="13.5" hidden="1" thickBot="1">
      <c r="B358" s="1387" t="s">
        <v>629</v>
      </c>
      <c r="C358" s="1609"/>
      <c r="D358" s="1131"/>
      <c r="E358" s="1132"/>
      <c r="F358" s="1133"/>
      <c r="I358" s="1083"/>
      <c r="J358" s="1083"/>
      <c r="K358" s="1083"/>
      <c r="L358" s="1083"/>
      <c r="M358" s="1083"/>
      <c r="N358" s="1083"/>
      <c r="O358" s="1083"/>
      <c r="P358" s="1083"/>
      <c r="Q358" s="1083"/>
      <c r="R358" s="1083"/>
      <c r="S358" s="1083"/>
      <c r="T358" s="1083"/>
      <c r="U358" s="1083"/>
      <c r="V358" s="1083"/>
      <c r="W358" s="1083"/>
      <c r="X358" s="1083"/>
      <c r="Y358" s="1083"/>
      <c r="Z358" s="1083"/>
      <c r="AA358" s="1083"/>
      <c r="AB358" s="1083"/>
      <c r="AC358" s="1083"/>
      <c r="AD358" s="1083"/>
      <c r="AE358" s="1083"/>
    </row>
    <row r="359" spans="2:31" ht="13.5" hidden="1" thickTop="1">
      <c r="B359" s="1137" t="s">
        <v>1225</v>
      </c>
      <c r="C359" s="1610">
        <v>1.05</v>
      </c>
      <c r="D359" s="1138" t="s">
        <v>2</v>
      </c>
      <c r="E359" s="1139" t="e">
        <f>+E335</f>
        <v>#REF!</v>
      </c>
      <c r="F359" s="1140" t="e">
        <f>C359*E359</f>
        <v>#REF!</v>
      </c>
      <c r="I359" s="1083"/>
      <c r="J359" s="1083"/>
      <c r="K359" s="1083"/>
      <c r="L359" s="1083"/>
      <c r="M359" s="1083"/>
      <c r="N359" s="1083"/>
      <c r="O359" s="1083"/>
      <c r="P359" s="1083"/>
      <c r="Q359" s="1083"/>
      <c r="R359" s="1083"/>
      <c r="S359" s="1083"/>
      <c r="T359" s="1083"/>
      <c r="U359" s="1083"/>
      <c r="V359" s="1083"/>
      <c r="W359" s="1083"/>
      <c r="X359" s="1083"/>
      <c r="Y359" s="1083"/>
      <c r="Z359" s="1083"/>
      <c r="AA359" s="1083"/>
      <c r="AB359" s="1083"/>
      <c r="AC359" s="1083"/>
      <c r="AD359" s="1083"/>
      <c r="AE359" s="1083"/>
    </row>
    <row r="360" spans="2:31" hidden="1">
      <c r="B360" s="1141" t="s">
        <v>272</v>
      </c>
      <c r="C360" s="1611">
        <v>1.42</v>
      </c>
      <c r="D360" s="1142" t="s">
        <v>126</v>
      </c>
      <c r="E360" s="1143">
        <f>+E336</f>
        <v>2913</v>
      </c>
      <c r="F360" s="1144">
        <f>C360*E360</f>
        <v>4136.46</v>
      </c>
      <c r="I360" s="1083"/>
      <c r="J360" s="1083"/>
      <c r="K360" s="1083"/>
      <c r="L360" s="1083"/>
      <c r="M360" s="1083"/>
      <c r="N360" s="1083"/>
      <c r="O360" s="1083"/>
      <c r="P360" s="1083"/>
      <c r="Q360" s="1083"/>
      <c r="R360" s="1083"/>
      <c r="S360" s="1083"/>
      <c r="T360" s="1083"/>
      <c r="U360" s="1083"/>
      <c r="V360" s="1083"/>
      <c r="W360" s="1083"/>
      <c r="X360" s="1083"/>
      <c r="Y360" s="1083"/>
      <c r="Z360" s="1083"/>
      <c r="AA360" s="1083"/>
      <c r="AB360" s="1083"/>
      <c r="AC360" s="1083"/>
      <c r="AD360" s="1083"/>
      <c r="AE360" s="1083"/>
    </row>
    <row r="361" spans="2:31" ht="13.5" hidden="1" thickBot="1">
      <c r="B361" s="1145"/>
      <c r="C361" s="1612"/>
      <c r="D361" s="1146"/>
      <c r="E361" s="1147" t="s">
        <v>1031</v>
      </c>
      <c r="F361" s="1148" t="e">
        <f>ROUND(SUM(F359:F360),2)</f>
        <v>#REF!</v>
      </c>
      <c r="I361" s="1083"/>
      <c r="J361" s="1083"/>
      <c r="K361" s="1083"/>
      <c r="L361" s="1083"/>
      <c r="M361" s="1083"/>
      <c r="N361" s="1083"/>
      <c r="O361" s="1083"/>
      <c r="P361" s="1083"/>
      <c r="Q361" s="1083"/>
      <c r="R361" s="1083"/>
      <c r="S361" s="1083"/>
      <c r="T361" s="1083"/>
      <c r="U361" s="1083"/>
      <c r="V361" s="1083"/>
      <c r="W361" s="1083"/>
      <c r="X361" s="1083"/>
      <c r="Y361" s="1083"/>
      <c r="Z361" s="1083"/>
      <c r="AA361" s="1083"/>
      <c r="AB361" s="1083"/>
      <c r="AC361" s="1083"/>
      <c r="AD361" s="1083"/>
      <c r="AE361" s="1083"/>
    </row>
    <row r="362" spans="2:31" ht="13.5" hidden="1" thickTop="1">
      <c r="B362" s="1149"/>
      <c r="C362" s="1613"/>
      <c r="D362" s="1149"/>
      <c r="E362" s="1150"/>
      <c r="F362" s="1151"/>
      <c r="I362" s="1083"/>
      <c r="J362" s="1083"/>
      <c r="K362" s="1083"/>
      <c r="L362" s="1083"/>
      <c r="M362" s="1083"/>
      <c r="N362" s="1083"/>
      <c r="O362" s="1083"/>
      <c r="P362" s="1083"/>
      <c r="Q362" s="1083"/>
      <c r="R362" s="1083"/>
      <c r="S362" s="1083"/>
      <c r="T362" s="1083"/>
      <c r="U362" s="1083"/>
      <c r="V362" s="1083"/>
      <c r="W362" s="1083"/>
      <c r="X362" s="1083"/>
      <c r="Y362" s="1083"/>
      <c r="Z362" s="1083"/>
      <c r="AA362" s="1083"/>
      <c r="AB362" s="1083"/>
      <c r="AC362" s="1083"/>
      <c r="AD362" s="1083"/>
      <c r="AE362" s="1083"/>
    </row>
    <row r="363" spans="2:31" ht="20.25" hidden="1">
      <c r="B363" s="1914" t="s">
        <v>662</v>
      </c>
      <c r="C363" s="1603"/>
      <c r="D363" s="1087"/>
      <c r="E363" s="1100"/>
      <c r="F363" s="1105"/>
      <c r="I363" s="1083"/>
      <c r="J363" s="1083"/>
      <c r="K363" s="1083"/>
      <c r="L363" s="1083"/>
      <c r="M363" s="1083"/>
      <c r="N363" s="1083"/>
      <c r="O363" s="1083"/>
      <c r="P363" s="1083"/>
      <c r="Q363" s="1083"/>
      <c r="R363" s="1083"/>
      <c r="S363" s="1083"/>
      <c r="T363" s="1083"/>
      <c r="U363" s="1083"/>
      <c r="V363" s="1083"/>
      <c r="W363" s="1083"/>
      <c r="X363" s="1083"/>
      <c r="Y363" s="1083"/>
      <c r="Z363" s="1083"/>
      <c r="AA363" s="1083"/>
      <c r="AB363" s="1083"/>
      <c r="AC363" s="1083"/>
      <c r="AD363" s="1083"/>
      <c r="AE363" s="1083"/>
    </row>
    <row r="364" spans="2:31" hidden="1">
      <c r="B364" s="1087"/>
      <c r="C364" s="1603"/>
      <c r="D364" s="1087"/>
      <c r="E364" s="1100"/>
      <c r="F364" s="1105"/>
      <c r="I364" s="1083"/>
      <c r="J364" s="1083"/>
      <c r="K364" s="1083"/>
      <c r="L364" s="1083"/>
      <c r="M364" s="1083"/>
      <c r="N364" s="1083"/>
      <c r="O364" s="1083"/>
      <c r="P364" s="1083"/>
      <c r="Q364" s="1083"/>
      <c r="R364" s="1083"/>
      <c r="S364" s="1083"/>
      <c r="T364" s="1083"/>
      <c r="U364" s="1083"/>
      <c r="V364" s="1083"/>
      <c r="W364" s="1083"/>
      <c r="X364" s="1083"/>
      <c r="Y364" s="1083"/>
      <c r="Z364" s="1083"/>
      <c r="AA364" s="1083"/>
      <c r="AB364" s="1083"/>
      <c r="AC364" s="1083"/>
      <c r="AD364" s="1083"/>
      <c r="AE364" s="1083"/>
    </row>
    <row r="365" spans="2:31" ht="13.5" hidden="1" thickBot="1">
      <c r="B365" s="1387" t="s">
        <v>629</v>
      </c>
      <c r="C365" s="1609"/>
      <c r="D365" s="1131"/>
      <c r="E365" s="1132"/>
      <c r="F365" s="1133"/>
      <c r="I365" s="1083"/>
      <c r="J365" s="1083"/>
      <c r="K365" s="1083"/>
      <c r="L365" s="1083"/>
      <c r="M365" s="1083"/>
      <c r="N365" s="1083"/>
      <c r="O365" s="1083"/>
      <c r="P365" s="1083"/>
      <c r="Q365" s="1083"/>
      <c r="R365" s="1083"/>
      <c r="S365" s="1083"/>
      <c r="T365" s="1083"/>
      <c r="U365" s="1083"/>
      <c r="V365" s="1083"/>
      <c r="W365" s="1083"/>
      <c r="X365" s="1083"/>
      <c r="Y365" s="1083"/>
      <c r="Z365" s="1083"/>
      <c r="AA365" s="1083"/>
      <c r="AB365" s="1083"/>
      <c r="AC365" s="1083"/>
      <c r="AD365" s="1083"/>
      <c r="AE365" s="1083"/>
    </row>
    <row r="366" spans="2:31" ht="13.5" hidden="1" thickTop="1">
      <c r="B366" s="1137" t="s">
        <v>1225</v>
      </c>
      <c r="C366" s="1610">
        <v>1.05</v>
      </c>
      <c r="D366" s="1138" t="s">
        <v>2</v>
      </c>
      <c r="E366" s="1139" t="e">
        <f>+E342</f>
        <v>#REF!</v>
      </c>
      <c r="F366" s="1140" t="e">
        <f>C366*E366</f>
        <v>#REF!</v>
      </c>
      <c r="I366" s="1083"/>
      <c r="J366" s="1083"/>
      <c r="K366" s="1083"/>
      <c r="L366" s="1083"/>
      <c r="M366" s="1083"/>
      <c r="N366" s="1083"/>
      <c r="O366" s="1083"/>
      <c r="P366" s="1083"/>
      <c r="Q366" s="1083"/>
      <c r="R366" s="1083"/>
      <c r="S366" s="1083"/>
      <c r="T366" s="1083"/>
      <c r="U366" s="1083"/>
      <c r="V366" s="1083"/>
      <c r="W366" s="1083"/>
      <c r="X366" s="1083"/>
      <c r="Y366" s="1083"/>
      <c r="Z366" s="1083"/>
      <c r="AA366" s="1083"/>
      <c r="AB366" s="1083"/>
      <c r="AC366" s="1083"/>
      <c r="AD366" s="1083"/>
      <c r="AE366" s="1083"/>
    </row>
    <row r="367" spans="2:31" hidden="1">
      <c r="B367" s="1141" t="s">
        <v>272</v>
      </c>
      <c r="C367" s="1611">
        <v>1.42</v>
      </c>
      <c r="D367" s="1142" t="s">
        <v>126</v>
      </c>
      <c r="E367" s="1143">
        <f>+E343</f>
        <v>2913</v>
      </c>
      <c r="F367" s="1144">
        <f>C367*E367</f>
        <v>4136.46</v>
      </c>
      <c r="I367" s="1083"/>
      <c r="J367" s="1083"/>
      <c r="K367" s="1083"/>
      <c r="L367" s="1083"/>
      <c r="M367" s="1083"/>
      <c r="N367" s="1083"/>
      <c r="O367" s="1083"/>
      <c r="P367" s="1083"/>
      <c r="Q367" s="1083"/>
      <c r="R367" s="1083"/>
      <c r="S367" s="1083"/>
      <c r="T367" s="1083"/>
      <c r="U367" s="1083"/>
      <c r="V367" s="1083"/>
      <c r="W367" s="1083"/>
      <c r="X367" s="1083"/>
      <c r="Y367" s="1083"/>
      <c r="Z367" s="1083"/>
      <c r="AA367" s="1083"/>
      <c r="AB367" s="1083"/>
      <c r="AC367" s="1083"/>
      <c r="AD367" s="1083"/>
      <c r="AE367" s="1083"/>
    </row>
    <row r="368" spans="2:31" ht="13.5" hidden="1" thickBot="1">
      <c r="B368" s="1145"/>
      <c r="C368" s="1612"/>
      <c r="D368" s="1146"/>
      <c r="E368" s="1147" t="s">
        <v>1031</v>
      </c>
      <c r="F368" s="1148" t="e">
        <f>ROUND(SUM(F366:F367),2)</f>
        <v>#REF!</v>
      </c>
      <c r="I368" s="1083"/>
      <c r="J368" s="1083"/>
      <c r="K368" s="1083"/>
      <c r="L368" s="1083"/>
      <c r="M368" s="1083"/>
      <c r="N368" s="1083"/>
      <c r="O368" s="1083"/>
      <c r="P368" s="1083"/>
      <c r="Q368" s="1083"/>
      <c r="R368" s="1083"/>
      <c r="S368" s="1083"/>
      <c r="T368" s="1083"/>
      <c r="U368" s="1083"/>
      <c r="V368" s="1083"/>
      <c r="W368" s="1083"/>
      <c r="X368" s="1083"/>
      <c r="Y368" s="1083"/>
      <c r="Z368" s="1083"/>
      <c r="AA368" s="1083"/>
      <c r="AB368" s="1083"/>
      <c r="AC368" s="1083"/>
      <c r="AD368" s="1083"/>
      <c r="AE368" s="1083"/>
    </row>
    <row r="369" spans="2:31" ht="13.5" hidden="1" thickTop="1">
      <c r="B369" s="1087"/>
      <c r="C369" s="1603"/>
      <c r="D369" s="1087"/>
      <c r="E369" s="1100"/>
      <c r="F369" s="1105"/>
      <c r="I369" s="1083"/>
      <c r="J369" s="1083"/>
      <c r="K369" s="1083"/>
      <c r="L369" s="1083"/>
      <c r="M369" s="1083"/>
      <c r="N369" s="1083"/>
      <c r="O369" s="1083"/>
      <c r="P369" s="1083"/>
      <c r="Q369" s="1083"/>
      <c r="R369" s="1083"/>
      <c r="S369" s="1083"/>
      <c r="T369" s="1083"/>
      <c r="U369" s="1083"/>
      <c r="V369" s="1083"/>
      <c r="W369" s="1083"/>
      <c r="X369" s="1083"/>
      <c r="Y369" s="1083"/>
      <c r="Z369" s="1083"/>
      <c r="AA369" s="1083"/>
      <c r="AB369" s="1083"/>
      <c r="AC369" s="1083"/>
      <c r="AD369" s="1083"/>
      <c r="AE369" s="1083"/>
    </row>
    <row r="370" spans="2:31" ht="13.5" hidden="1" thickBot="1">
      <c r="B370" s="1392" t="s">
        <v>1227</v>
      </c>
      <c r="C370" s="1614"/>
      <c r="D370" s="1135"/>
      <c r="E370" s="1135"/>
      <c r="F370" s="1135"/>
      <c r="I370" s="1083"/>
      <c r="J370" s="1083"/>
      <c r="K370" s="1083"/>
      <c r="L370" s="1083"/>
      <c r="M370" s="1083"/>
      <c r="N370" s="1083"/>
      <c r="O370" s="1083"/>
      <c r="P370" s="1083"/>
      <c r="Q370" s="1083"/>
      <c r="R370" s="1083"/>
      <c r="S370" s="1083"/>
      <c r="T370" s="1083"/>
      <c r="U370" s="1083"/>
      <c r="V370" s="1083"/>
      <c r="W370" s="1083"/>
      <c r="X370" s="1083"/>
      <c r="Y370" s="1083"/>
      <c r="Z370" s="1083"/>
      <c r="AA370" s="1083"/>
      <c r="AB370" s="1083"/>
      <c r="AC370" s="1083"/>
      <c r="AD370" s="1083"/>
      <c r="AE370" s="1083"/>
    </row>
    <row r="371" spans="2:31" ht="13.5" hidden="1" thickTop="1">
      <c r="B371" s="1137" t="s">
        <v>1225</v>
      </c>
      <c r="C371" s="1610">
        <v>1.05</v>
      </c>
      <c r="D371" s="1138" t="s">
        <v>2</v>
      </c>
      <c r="E371" s="1139" t="e">
        <f>+E366</f>
        <v>#REF!</v>
      </c>
      <c r="F371" s="1140" t="e">
        <f>C371*E371</f>
        <v>#REF!</v>
      </c>
      <c r="I371" s="1083"/>
      <c r="J371" s="1083"/>
      <c r="K371" s="1083"/>
      <c r="L371" s="1083"/>
      <c r="M371" s="1083"/>
      <c r="N371" s="1083"/>
      <c r="O371" s="1083"/>
      <c r="P371" s="1083"/>
      <c r="Q371" s="1083"/>
      <c r="R371" s="1083"/>
      <c r="S371" s="1083"/>
      <c r="T371" s="1083"/>
      <c r="U371" s="1083"/>
      <c r="V371" s="1083"/>
      <c r="W371" s="1083"/>
      <c r="X371" s="1083"/>
      <c r="Y371" s="1083"/>
      <c r="Z371" s="1083"/>
      <c r="AA371" s="1083"/>
      <c r="AB371" s="1083"/>
      <c r="AC371" s="1083"/>
      <c r="AD371" s="1083"/>
      <c r="AE371" s="1083"/>
    </row>
    <row r="372" spans="2:31" hidden="1">
      <c r="B372" s="1141" t="s">
        <v>1087</v>
      </c>
      <c r="C372" s="1611">
        <v>3.06</v>
      </c>
      <c r="D372" s="1142" t="s">
        <v>126</v>
      </c>
      <c r="E372" s="1143">
        <f>+E367</f>
        <v>2913</v>
      </c>
      <c r="F372" s="1144">
        <f>C372*E372</f>
        <v>8913.7800000000007</v>
      </c>
      <c r="I372" s="1083"/>
      <c r="J372" s="1083"/>
      <c r="K372" s="1083"/>
      <c r="L372" s="1083"/>
      <c r="M372" s="1083"/>
      <c r="N372" s="1083"/>
      <c r="O372" s="1083"/>
      <c r="P372" s="1083"/>
      <c r="Q372" s="1083"/>
      <c r="R372" s="1083"/>
      <c r="S372" s="1083"/>
      <c r="T372" s="1083"/>
      <c r="U372" s="1083"/>
      <c r="V372" s="1083"/>
      <c r="W372" s="1083"/>
      <c r="X372" s="1083"/>
      <c r="Y372" s="1083"/>
      <c r="Z372" s="1083"/>
      <c r="AA372" s="1083"/>
      <c r="AB372" s="1083"/>
      <c r="AC372" s="1083"/>
      <c r="AD372" s="1083"/>
      <c r="AE372" s="1083"/>
    </row>
    <row r="373" spans="2:31" hidden="1">
      <c r="B373" s="1141" t="s">
        <v>1089</v>
      </c>
      <c r="C373" s="1611">
        <f>1/0.25</f>
        <v>4</v>
      </c>
      <c r="D373" s="1152" t="s">
        <v>1</v>
      </c>
      <c r="E373" s="1143">
        <v>1000</v>
      </c>
      <c r="F373" s="1144">
        <f>C373*E373</f>
        <v>4000</v>
      </c>
      <c r="I373" s="1083"/>
      <c r="J373" s="1083"/>
      <c r="K373" s="1083"/>
      <c r="L373" s="1083"/>
      <c r="M373" s="1083"/>
      <c r="N373" s="1083"/>
      <c r="O373" s="1083"/>
      <c r="P373" s="1083"/>
      <c r="Q373" s="1083"/>
      <c r="R373" s="1083"/>
      <c r="S373" s="1083"/>
      <c r="T373" s="1083"/>
      <c r="U373" s="1083"/>
      <c r="V373" s="1083"/>
      <c r="W373" s="1083"/>
      <c r="X373" s="1083"/>
      <c r="Y373" s="1083"/>
      <c r="Z373" s="1083"/>
      <c r="AA373" s="1083"/>
      <c r="AB373" s="1083"/>
      <c r="AC373" s="1083"/>
      <c r="AD373" s="1083"/>
      <c r="AE373" s="1083"/>
    </row>
    <row r="374" spans="2:31" ht="13.5" hidden="1" thickBot="1">
      <c r="B374" s="1145"/>
      <c r="C374" s="1612"/>
      <c r="D374" s="1146"/>
      <c r="E374" s="1147" t="s">
        <v>1031</v>
      </c>
      <c r="F374" s="1148" t="e">
        <f>ROUND(SUM(F371:F373),2)</f>
        <v>#REF!</v>
      </c>
      <c r="I374" s="1083"/>
      <c r="J374" s="1083"/>
      <c r="K374" s="1083"/>
      <c r="L374" s="1083"/>
      <c r="M374" s="1083"/>
      <c r="N374" s="1083"/>
      <c r="O374" s="1083"/>
      <c r="P374" s="1083"/>
      <c r="Q374" s="1083"/>
      <c r="R374" s="1083"/>
      <c r="S374" s="1083"/>
      <c r="T374" s="1083"/>
      <c r="U374" s="1083"/>
      <c r="V374" s="1083"/>
      <c r="W374" s="1083"/>
      <c r="X374" s="1083"/>
      <c r="Y374" s="1083"/>
      <c r="Z374" s="1083"/>
      <c r="AA374" s="1083"/>
      <c r="AB374" s="1083"/>
      <c r="AC374" s="1083"/>
      <c r="AD374" s="1083"/>
      <c r="AE374" s="1083"/>
    </row>
    <row r="375" spans="2:31" ht="13.5" hidden="1" thickTop="1">
      <c r="B375" s="1156"/>
      <c r="C375" s="1613"/>
      <c r="D375" s="1149"/>
      <c r="E375" s="1150"/>
      <c r="F375" s="1151"/>
      <c r="I375" s="1083"/>
      <c r="J375" s="1083"/>
      <c r="K375" s="1083"/>
      <c r="L375" s="1083"/>
      <c r="M375" s="1083"/>
      <c r="N375" s="1083"/>
      <c r="O375" s="1083"/>
      <c r="P375" s="1083"/>
      <c r="Q375" s="1083"/>
      <c r="R375" s="1083"/>
      <c r="S375" s="1083"/>
      <c r="T375" s="1083"/>
      <c r="U375" s="1083"/>
      <c r="V375" s="1083"/>
      <c r="W375" s="1083"/>
      <c r="X375" s="1083"/>
      <c r="Y375" s="1083"/>
      <c r="Z375" s="1083"/>
      <c r="AA375" s="1083"/>
      <c r="AB375" s="1083"/>
      <c r="AC375" s="1083"/>
      <c r="AD375" s="1083"/>
      <c r="AE375" s="1083"/>
    </row>
    <row r="376" spans="2:31" ht="20.25" hidden="1">
      <c r="B376" s="1914" t="s">
        <v>666</v>
      </c>
      <c r="C376" s="1603"/>
      <c r="D376" s="1087"/>
      <c r="E376" s="1100"/>
      <c r="F376" s="1105"/>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row>
    <row r="377" spans="2:31" hidden="1">
      <c r="B377" s="1087"/>
      <c r="C377" s="1603"/>
      <c r="D377" s="1087"/>
      <c r="E377" s="1100"/>
      <c r="F377" s="1105"/>
      <c r="I377" s="1083"/>
      <c r="J377" s="1083"/>
      <c r="K377" s="1083"/>
      <c r="L377" s="1083"/>
      <c r="M377" s="1083"/>
      <c r="N377" s="1083"/>
      <c r="O377" s="1083"/>
      <c r="P377" s="1083"/>
      <c r="Q377" s="1083"/>
      <c r="R377" s="1083"/>
      <c r="S377" s="1083"/>
      <c r="T377" s="1083"/>
      <c r="U377" s="1083"/>
      <c r="V377" s="1083"/>
      <c r="W377" s="1083"/>
      <c r="X377" s="1083"/>
      <c r="Y377" s="1083"/>
      <c r="Z377" s="1083"/>
      <c r="AA377" s="1083"/>
      <c r="AB377" s="1083"/>
      <c r="AC377" s="1083"/>
      <c r="AD377" s="1083"/>
      <c r="AE377" s="1083"/>
    </row>
    <row r="378" spans="2:31" ht="13.5" hidden="1" thickBot="1">
      <c r="B378" s="1387" t="s">
        <v>668</v>
      </c>
      <c r="C378" s="1609"/>
      <c r="D378" s="1131"/>
      <c r="E378" s="1132"/>
      <c r="F378" s="1133"/>
      <c r="I378" s="1083"/>
      <c r="J378" s="1083"/>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row>
    <row r="379" spans="2:31" ht="13.5" hidden="1" thickTop="1">
      <c r="B379" s="1137" t="s">
        <v>1225</v>
      </c>
      <c r="C379" s="1610">
        <v>1.05</v>
      </c>
      <c r="D379" s="1138" t="s">
        <v>2</v>
      </c>
      <c r="E379" s="1139" t="e">
        <f>+E366</f>
        <v>#REF!</v>
      </c>
      <c r="F379" s="1140" t="e">
        <f>C379*E379</f>
        <v>#REF!</v>
      </c>
      <c r="I379" s="1083"/>
      <c r="J379" s="1083"/>
      <c r="K379" s="1083"/>
      <c r="L379" s="1083"/>
      <c r="M379" s="1083"/>
      <c r="N379" s="1083"/>
      <c r="O379" s="1083"/>
      <c r="P379" s="1083"/>
      <c r="Q379" s="1083"/>
      <c r="R379" s="1083"/>
      <c r="S379" s="1083"/>
      <c r="T379" s="1083"/>
      <c r="U379" s="1083"/>
      <c r="V379" s="1083"/>
      <c r="W379" s="1083"/>
      <c r="X379" s="1083"/>
      <c r="Y379" s="1083"/>
      <c r="Z379" s="1083"/>
      <c r="AA379" s="1083"/>
      <c r="AB379" s="1083"/>
      <c r="AC379" s="1083"/>
      <c r="AD379" s="1083"/>
      <c r="AE379" s="1083"/>
    </row>
    <row r="380" spans="2:31" hidden="1">
      <c r="B380" s="1141" t="s">
        <v>272</v>
      </c>
      <c r="C380" s="1611">
        <v>0.99</v>
      </c>
      <c r="D380" s="1142" t="s">
        <v>126</v>
      </c>
      <c r="E380" s="1143">
        <f>+E367</f>
        <v>2913</v>
      </c>
      <c r="F380" s="1144">
        <f>C380*E380</f>
        <v>2883.87</v>
      </c>
      <c r="I380" s="1083"/>
      <c r="J380" s="1083"/>
      <c r="K380" s="1083"/>
      <c r="L380" s="1083"/>
      <c r="M380" s="1083"/>
      <c r="N380" s="1083"/>
      <c r="O380" s="1083"/>
      <c r="P380" s="1083"/>
      <c r="Q380" s="1083"/>
      <c r="R380" s="1083"/>
      <c r="S380" s="1083"/>
      <c r="T380" s="1083"/>
      <c r="U380" s="1083"/>
      <c r="V380" s="1083"/>
      <c r="W380" s="1083"/>
      <c r="X380" s="1083"/>
      <c r="Y380" s="1083"/>
      <c r="Z380" s="1083"/>
      <c r="AA380" s="1083"/>
      <c r="AB380" s="1083"/>
      <c r="AC380" s="1083"/>
      <c r="AD380" s="1083"/>
      <c r="AE380" s="1083"/>
    </row>
    <row r="381" spans="2:31" ht="13.5" hidden="1" thickBot="1">
      <c r="B381" s="1145"/>
      <c r="C381" s="1612"/>
      <c r="D381" s="1146"/>
      <c r="E381" s="1147" t="s">
        <v>1031</v>
      </c>
      <c r="F381" s="1148" t="e">
        <f>ROUND(SUM(F379:F380),2)</f>
        <v>#REF!</v>
      </c>
      <c r="I381" s="1083"/>
      <c r="J381" s="1083"/>
      <c r="K381" s="1083"/>
      <c r="L381" s="1083"/>
      <c r="M381" s="1083"/>
      <c r="N381" s="1083"/>
      <c r="O381" s="1083"/>
      <c r="P381" s="1083"/>
      <c r="Q381" s="1083"/>
      <c r="R381" s="1083"/>
      <c r="S381" s="1083"/>
      <c r="T381" s="1083"/>
      <c r="U381" s="1083"/>
      <c r="V381" s="1083"/>
      <c r="W381" s="1083"/>
      <c r="X381" s="1083"/>
      <c r="Y381" s="1083"/>
      <c r="Z381" s="1083"/>
      <c r="AA381" s="1083"/>
      <c r="AB381" s="1083"/>
      <c r="AC381" s="1083"/>
      <c r="AD381" s="1083"/>
      <c r="AE381" s="1083"/>
    </row>
    <row r="382" spans="2:31" ht="13.5" hidden="1" thickTop="1">
      <c r="B382" s="1087"/>
      <c r="C382" s="1603"/>
      <c r="D382" s="1087"/>
      <c r="E382" s="1100"/>
      <c r="F382" s="1105"/>
      <c r="I382" s="1083"/>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row>
    <row r="383" spans="2:31" ht="20.25" hidden="1">
      <c r="B383" s="1914" t="s">
        <v>671</v>
      </c>
      <c r="C383" s="1603"/>
      <c r="D383" s="1087"/>
      <c r="E383" s="1100"/>
      <c r="F383" s="1105"/>
      <c r="I383" s="1083"/>
      <c r="J383" s="1083"/>
      <c r="K383" s="1083"/>
      <c r="L383" s="1083"/>
      <c r="M383" s="1083"/>
      <c r="N383" s="1083"/>
      <c r="O383" s="1083"/>
      <c r="P383" s="1083"/>
      <c r="Q383" s="1083"/>
      <c r="R383" s="1083"/>
      <c r="S383" s="1083"/>
      <c r="T383" s="1083"/>
      <c r="U383" s="1083"/>
      <c r="V383" s="1083"/>
      <c r="W383" s="1083"/>
      <c r="X383" s="1083"/>
      <c r="Y383" s="1083"/>
      <c r="Z383" s="1083"/>
      <c r="AA383" s="1083"/>
      <c r="AB383" s="1083"/>
      <c r="AC383" s="1083"/>
      <c r="AD383" s="1083"/>
      <c r="AE383" s="1083"/>
    </row>
    <row r="384" spans="2:31" hidden="1">
      <c r="B384" s="1087"/>
      <c r="C384" s="1603"/>
      <c r="D384" s="1087"/>
      <c r="E384" s="1100"/>
      <c r="F384" s="1105"/>
      <c r="I384" s="1083"/>
      <c r="J384" s="1083"/>
      <c r="K384" s="1083"/>
      <c r="L384" s="1083"/>
      <c r="M384" s="1083"/>
      <c r="N384" s="1083"/>
      <c r="O384" s="1083"/>
      <c r="P384" s="1083"/>
      <c r="Q384" s="1083"/>
      <c r="R384" s="1083"/>
      <c r="S384" s="1083"/>
      <c r="T384" s="1083"/>
      <c r="U384" s="1083"/>
      <c r="V384" s="1083"/>
      <c r="W384" s="1083"/>
      <c r="X384" s="1083"/>
      <c r="Y384" s="1083"/>
      <c r="Z384" s="1083"/>
      <c r="AA384" s="1083"/>
      <c r="AB384" s="1083"/>
      <c r="AC384" s="1083"/>
      <c r="AD384" s="1083"/>
      <c r="AE384" s="1083"/>
    </row>
    <row r="385" spans="2:31" ht="13.5" hidden="1" thickBot="1">
      <c r="B385" s="1387" t="s">
        <v>629</v>
      </c>
      <c r="C385" s="1609"/>
      <c r="D385" s="1131"/>
      <c r="E385" s="1132"/>
      <c r="F385" s="1133"/>
      <c r="I385" s="1083"/>
      <c r="J385" s="1083"/>
      <c r="K385" s="1083"/>
      <c r="L385" s="1083"/>
      <c r="M385" s="1083"/>
      <c r="N385" s="1083"/>
      <c r="O385" s="1083"/>
      <c r="P385" s="1083"/>
      <c r="Q385" s="1083"/>
      <c r="R385" s="1083"/>
      <c r="S385" s="1083"/>
      <c r="T385" s="1083"/>
      <c r="U385" s="1083"/>
      <c r="V385" s="1083"/>
      <c r="W385" s="1083"/>
      <c r="X385" s="1083"/>
      <c r="Y385" s="1083"/>
      <c r="Z385" s="1083"/>
      <c r="AA385" s="1083"/>
      <c r="AB385" s="1083"/>
      <c r="AC385" s="1083"/>
      <c r="AD385" s="1083"/>
      <c r="AE385" s="1083"/>
    </row>
    <row r="386" spans="2:31" ht="13.5" hidden="1" thickTop="1">
      <c r="B386" s="1137" t="s">
        <v>1225</v>
      </c>
      <c r="C386" s="1610">
        <v>1.05</v>
      </c>
      <c r="D386" s="1138" t="s">
        <v>2</v>
      </c>
      <c r="E386" s="1139" t="e">
        <f>+E379</f>
        <v>#REF!</v>
      </c>
      <c r="F386" s="1140" t="e">
        <f>C386*E386</f>
        <v>#REF!</v>
      </c>
      <c r="I386" s="1083"/>
      <c r="J386" s="1083"/>
      <c r="K386" s="1083"/>
      <c r="L386" s="1083"/>
      <c r="M386" s="1083"/>
      <c r="N386" s="1083"/>
      <c r="O386" s="1083"/>
      <c r="P386" s="1083"/>
      <c r="Q386" s="1083"/>
      <c r="R386" s="1083"/>
      <c r="S386" s="1083"/>
      <c r="T386" s="1083"/>
      <c r="U386" s="1083"/>
      <c r="V386" s="1083"/>
      <c r="W386" s="1083"/>
      <c r="X386" s="1083"/>
      <c r="Y386" s="1083"/>
      <c r="Z386" s="1083"/>
      <c r="AA386" s="1083"/>
      <c r="AB386" s="1083"/>
      <c r="AC386" s="1083"/>
      <c r="AD386" s="1083"/>
      <c r="AE386" s="1083"/>
    </row>
    <row r="387" spans="2:31" hidden="1">
      <c r="B387" s="1141" t="s">
        <v>272</v>
      </c>
      <c r="C387" s="1611">
        <v>1.42</v>
      </c>
      <c r="D387" s="1142" t="s">
        <v>126</v>
      </c>
      <c r="E387" s="1143">
        <f>+E380</f>
        <v>2913</v>
      </c>
      <c r="F387" s="1144">
        <f>C387*E387</f>
        <v>4136.46</v>
      </c>
      <c r="I387" s="1083"/>
      <c r="J387" s="1083"/>
      <c r="K387" s="1083"/>
      <c r="L387" s="1083"/>
      <c r="M387" s="1083"/>
      <c r="N387" s="1083"/>
      <c r="O387" s="1083"/>
      <c r="P387" s="1083"/>
      <c r="Q387" s="1083"/>
      <c r="R387" s="1083"/>
      <c r="S387" s="1083"/>
      <c r="T387" s="1083"/>
      <c r="U387" s="1083"/>
      <c r="V387" s="1083"/>
      <c r="W387" s="1083"/>
      <c r="X387" s="1083"/>
      <c r="Y387" s="1083"/>
      <c r="Z387" s="1083"/>
      <c r="AA387" s="1083"/>
      <c r="AB387" s="1083"/>
      <c r="AC387" s="1083"/>
      <c r="AD387" s="1083"/>
      <c r="AE387" s="1083"/>
    </row>
    <row r="388" spans="2:31" ht="13.5" hidden="1" thickBot="1">
      <c r="B388" s="1145"/>
      <c r="C388" s="1612"/>
      <c r="D388" s="1146"/>
      <c r="E388" s="1147" t="s">
        <v>1031</v>
      </c>
      <c r="F388" s="1148" t="e">
        <f>ROUND(SUM(F386:F387),2)</f>
        <v>#REF!</v>
      </c>
      <c r="I388" s="1083"/>
      <c r="J388" s="1083"/>
      <c r="K388" s="1083"/>
      <c r="L388" s="1083"/>
      <c r="M388" s="1083"/>
      <c r="N388" s="1083"/>
      <c r="O388" s="1083"/>
      <c r="P388" s="1083"/>
      <c r="Q388" s="1083"/>
      <c r="R388" s="1083"/>
      <c r="S388" s="1083"/>
      <c r="T388" s="1083"/>
      <c r="U388" s="1083"/>
      <c r="V388" s="1083"/>
      <c r="W388" s="1083"/>
      <c r="X388" s="1083"/>
      <c r="Y388" s="1083"/>
      <c r="Z388" s="1083"/>
      <c r="AA388" s="1083"/>
      <c r="AB388" s="1083"/>
      <c r="AC388" s="1083"/>
      <c r="AD388" s="1083"/>
      <c r="AE388" s="1083"/>
    </row>
    <row r="389" spans="2:31" ht="13.5" hidden="1" thickTop="1">
      <c r="B389" s="1149"/>
      <c r="C389" s="1613"/>
      <c r="D389" s="1149"/>
      <c r="E389" s="1150"/>
      <c r="F389" s="1151"/>
      <c r="I389" s="1083"/>
      <c r="J389" s="1083"/>
      <c r="K389" s="1083"/>
      <c r="L389" s="1083"/>
      <c r="M389" s="1083"/>
      <c r="N389" s="1083"/>
      <c r="O389" s="1083"/>
      <c r="P389" s="1083"/>
      <c r="Q389" s="1083"/>
      <c r="R389" s="1083"/>
      <c r="S389" s="1083"/>
      <c r="T389" s="1083"/>
      <c r="U389" s="1083"/>
      <c r="V389" s="1083"/>
      <c r="W389" s="1083"/>
      <c r="X389" s="1083"/>
      <c r="Y389" s="1083"/>
      <c r="Z389" s="1083"/>
      <c r="AA389" s="1083"/>
      <c r="AB389" s="1083"/>
      <c r="AC389" s="1083"/>
      <c r="AD389" s="1083"/>
      <c r="AE389" s="1083"/>
    </row>
    <row r="390" spans="2:31" ht="20.25" hidden="1">
      <c r="B390" s="1914" t="s">
        <v>673</v>
      </c>
      <c r="C390" s="1603"/>
      <c r="D390" s="1087"/>
      <c r="E390" s="1100"/>
      <c r="F390" s="1105"/>
      <c r="I390" s="1083"/>
      <c r="J390" s="1083"/>
      <c r="K390" s="1083"/>
      <c r="L390" s="1083"/>
      <c r="M390" s="1083"/>
      <c r="N390" s="1083"/>
      <c r="O390" s="1083"/>
      <c r="P390" s="1083"/>
      <c r="Q390" s="1083"/>
      <c r="R390" s="1083"/>
      <c r="S390" s="1083"/>
      <c r="T390" s="1083"/>
      <c r="U390" s="1083"/>
      <c r="V390" s="1083"/>
      <c r="W390" s="1083"/>
      <c r="X390" s="1083"/>
      <c r="Y390" s="1083"/>
      <c r="Z390" s="1083"/>
      <c r="AA390" s="1083"/>
      <c r="AB390" s="1083"/>
      <c r="AC390" s="1083"/>
      <c r="AD390" s="1083"/>
      <c r="AE390" s="1083"/>
    </row>
    <row r="391" spans="2:31" hidden="1">
      <c r="B391" s="1087"/>
      <c r="C391" s="1603"/>
      <c r="D391" s="1087"/>
      <c r="E391" s="1100"/>
      <c r="F391" s="1105"/>
      <c r="I391" s="1083"/>
      <c r="J391" s="1083"/>
      <c r="K391" s="1083"/>
      <c r="L391" s="1083"/>
      <c r="M391" s="1083"/>
      <c r="N391" s="1083"/>
      <c r="O391" s="1083"/>
      <c r="P391" s="1083"/>
      <c r="Q391" s="1083"/>
      <c r="R391" s="1083"/>
      <c r="S391" s="1083"/>
      <c r="T391" s="1083"/>
      <c r="U391" s="1083"/>
      <c r="V391" s="1083"/>
      <c r="W391" s="1083"/>
      <c r="X391" s="1083"/>
      <c r="Y391" s="1083"/>
      <c r="Z391" s="1083"/>
      <c r="AA391" s="1083"/>
      <c r="AB391" s="1083"/>
      <c r="AC391" s="1083"/>
      <c r="AD391" s="1083"/>
      <c r="AE391" s="1083"/>
    </row>
    <row r="392" spans="2:31" ht="13.5" hidden="1" thickBot="1">
      <c r="B392" s="1387" t="s">
        <v>609</v>
      </c>
      <c r="C392" s="1609"/>
      <c r="D392" s="1131"/>
      <c r="E392" s="1132"/>
      <c r="F392" s="1133"/>
      <c r="I392" s="1083"/>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row>
    <row r="393" spans="2:31" ht="13.5" hidden="1" thickTop="1">
      <c r="B393" s="1137" t="s">
        <v>1225</v>
      </c>
      <c r="C393" s="1610">
        <v>1.05</v>
      </c>
      <c r="D393" s="1138" t="s">
        <v>2</v>
      </c>
      <c r="E393" s="1139" t="e">
        <f>+E386</f>
        <v>#REF!</v>
      </c>
      <c r="F393" s="1140" t="e">
        <f>C393*E393</f>
        <v>#REF!</v>
      </c>
      <c r="I393" s="1083"/>
      <c r="J393" s="1083"/>
      <c r="K393" s="1083"/>
      <c r="L393" s="1083"/>
      <c r="M393" s="1083"/>
      <c r="N393" s="1083"/>
      <c r="O393" s="1083"/>
      <c r="P393" s="1083"/>
      <c r="Q393" s="1083"/>
      <c r="R393" s="1083"/>
      <c r="S393" s="1083"/>
      <c r="T393" s="1083"/>
      <c r="U393" s="1083"/>
      <c r="V393" s="1083"/>
      <c r="W393" s="1083"/>
      <c r="X393" s="1083"/>
      <c r="Y393" s="1083"/>
      <c r="Z393" s="1083"/>
      <c r="AA393" s="1083"/>
      <c r="AB393" s="1083"/>
      <c r="AC393" s="1083"/>
      <c r="AD393" s="1083"/>
      <c r="AE393" s="1083"/>
    </row>
    <row r="394" spans="2:31" hidden="1">
      <c r="B394" s="1141" t="s">
        <v>272</v>
      </c>
      <c r="C394" s="1611">
        <v>0.99</v>
      </c>
      <c r="D394" s="1142" t="s">
        <v>126</v>
      </c>
      <c r="E394" s="1143">
        <f>+E387</f>
        <v>2913</v>
      </c>
      <c r="F394" s="1144">
        <f>C394*E394</f>
        <v>2883.87</v>
      </c>
      <c r="I394" s="1083"/>
      <c r="J394" s="1083"/>
      <c r="K394" s="1083"/>
      <c r="L394" s="1083"/>
      <c r="M394" s="1083"/>
      <c r="N394" s="1083"/>
      <c r="O394" s="1083"/>
      <c r="P394" s="1083"/>
      <c r="Q394" s="1083"/>
      <c r="R394" s="1083"/>
      <c r="S394" s="1083"/>
      <c r="T394" s="1083"/>
      <c r="U394" s="1083"/>
      <c r="V394" s="1083"/>
      <c r="W394" s="1083"/>
      <c r="X394" s="1083"/>
      <c r="Y394" s="1083"/>
      <c r="Z394" s="1083"/>
      <c r="AA394" s="1083"/>
      <c r="AB394" s="1083"/>
      <c r="AC394" s="1083"/>
      <c r="AD394" s="1083"/>
      <c r="AE394" s="1083"/>
    </row>
    <row r="395" spans="2:31" ht="13.5" hidden="1" thickBot="1">
      <c r="B395" s="1145"/>
      <c r="C395" s="1612"/>
      <c r="D395" s="1146"/>
      <c r="E395" s="1147" t="s">
        <v>1031</v>
      </c>
      <c r="F395" s="1148" t="e">
        <f>ROUND(SUM(F393:F394),2)</f>
        <v>#REF!</v>
      </c>
      <c r="I395" s="1083"/>
      <c r="J395" s="1083"/>
      <c r="K395" s="1083"/>
      <c r="L395" s="1083"/>
      <c r="M395" s="1083"/>
      <c r="N395" s="1083"/>
      <c r="O395" s="1083"/>
      <c r="P395" s="1083"/>
      <c r="Q395" s="1083"/>
      <c r="R395" s="1083"/>
      <c r="S395" s="1083"/>
      <c r="T395" s="1083"/>
      <c r="U395" s="1083"/>
      <c r="V395" s="1083"/>
      <c r="W395" s="1083"/>
      <c r="X395" s="1083"/>
      <c r="Y395" s="1083"/>
      <c r="Z395" s="1083"/>
      <c r="AA395" s="1083"/>
      <c r="AB395" s="1083"/>
      <c r="AC395" s="1083"/>
      <c r="AD395" s="1083"/>
      <c r="AE395" s="1083"/>
    </row>
    <row r="396" spans="2:31" ht="13.5" hidden="1" thickTop="1">
      <c r="B396" s="1149"/>
      <c r="C396" s="1613"/>
      <c r="D396" s="1149"/>
      <c r="E396" s="1150"/>
      <c r="F396" s="1151"/>
      <c r="I396" s="1083"/>
      <c r="J396" s="1083"/>
      <c r="K396" s="1083"/>
      <c r="L396" s="1083"/>
      <c r="M396" s="1083"/>
      <c r="N396" s="1083"/>
      <c r="O396" s="1083"/>
      <c r="P396" s="1083"/>
      <c r="Q396" s="1083"/>
      <c r="R396" s="1083"/>
      <c r="S396" s="1083"/>
      <c r="T396" s="1083"/>
      <c r="U396" s="1083"/>
      <c r="V396" s="1083"/>
      <c r="W396" s="1083"/>
      <c r="X396" s="1083"/>
      <c r="Y396" s="1083"/>
      <c r="Z396" s="1083"/>
      <c r="AA396" s="1083"/>
      <c r="AB396" s="1083"/>
      <c r="AC396" s="1083"/>
      <c r="AD396" s="1083"/>
      <c r="AE396" s="1083"/>
    </row>
    <row r="397" spans="2:31" ht="13.5" hidden="1" thickBot="1">
      <c r="B397" s="1392" t="s">
        <v>611</v>
      </c>
      <c r="C397" s="1614"/>
      <c r="D397" s="1135"/>
      <c r="E397" s="1135"/>
      <c r="F397" s="1135"/>
      <c r="I397" s="1083"/>
      <c r="J397" s="1083"/>
      <c r="K397" s="1083"/>
      <c r="L397" s="1083"/>
      <c r="M397" s="1083"/>
      <c r="N397" s="1083"/>
      <c r="O397" s="1083"/>
      <c r="P397" s="1083"/>
      <c r="Q397" s="1083"/>
      <c r="R397" s="1083"/>
      <c r="S397" s="1083"/>
      <c r="T397" s="1083"/>
      <c r="U397" s="1083"/>
      <c r="V397" s="1083"/>
      <c r="W397" s="1083"/>
      <c r="X397" s="1083"/>
      <c r="Y397" s="1083"/>
      <c r="Z397" s="1083"/>
      <c r="AA397" s="1083"/>
      <c r="AB397" s="1083"/>
      <c r="AC397" s="1083"/>
      <c r="AD397" s="1083"/>
      <c r="AE397" s="1083"/>
    </row>
    <row r="398" spans="2:31" ht="13.5" hidden="1" thickTop="1">
      <c r="B398" s="1137" t="s">
        <v>1225</v>
      </c>
      <c r="C398" s="1610">
        <v>1.05</v>
      </c>
      <c r="D398" s="1138" t="s">
        <v>2</v>
      </c>
      <c r="E398" s="1139" t="e">
        <f>+E393</f>
        <v>#REF!</v>
      </c>
      <c r="F398" s="1140" t="e">
        <f>C398*E398</f>
        <v>#REF!</v>
      </c>
      <c r="I398" s="1083"/>
      <c r="J398" s="1083"/>
      <c r="K398" s="1083"/>
      <c r="L398" s="1083"/>
      <c r="M398" s="1083"/>
      <c r="N398" s="1083"/>
      <c r="O398" s="1083"/>
      <c r="P398" s="1083"/>
      <c r="Q398" s="1083"/>
      <c r="R398" s="1083"/>
      <c r="S398" s="1083"/>
      <c r="T398" s="1083"/>
      <c r="U398" s="1083"/>
      <c r="V398" s="1083"/>
      <c r="W398" s="1083"/>
      <c r="X398" s="1083"/>
      <c r="Y398" s="1083"/>
      <c r="Z398" s="1083"/>
      <c r="AA398" s="1083"/>
      <c r="AB398" s="1083"/>
      <c r="AC398" s="1083"/>
      <c r="AD398" s="1083"/>
      <c r="AE398" s="1083"/>
    </row>
    <row r="399" spans="2:31" hidden="1">
      <c r="B399" s="1141" t="s">
        <v>1087</v>
      </c>
      <c r="C399" s="1611">
        <v>2.5</v>
      </c>
      <c r="D399" s="1142" t="s">
        <v>126</v>
      </c>
      <c r="E399" s="1143">
        <f>+E394</f>
        <v>2913</v>
      </c>
      <c r="F399" s="1144">
        <f>C399*E399</f>
        <v>7282.5</v>
      </c>
      <c r="I399" s="1083"/>
      <c r="J399" s="1083"/>
      <c r="K399" s="1083"/>
      <c r="L399" s="1083"/>
      <c r="M399" s="1083"/>
      <c r="N399" s="1083"/>
      <c r="O399" s="1083"/>
      <c r="P399" s="1083"/>
      <c r="Q399" s="1083"/>
      <c r="R399" s="1083"/>
      <c r="S399" s="1083"/>
      <c r="T399" s="1083"/>
      <c r="U399" s="1083"/>
      <c r="V399" s="1083"/>
      <c r="W399" s="1083"/>
      <c r="X399" s="1083"/>
      <c r="Y399" s="1083"/>
      <c r="Z399" s="1083"/>
      <c r="AA399" s="1083"/>
      <c r="AB399" s="1083"/>
      <c r="AC399" s="1083"/>
      <c r="AD399" s="1083"/>
      <c r="AE399" s="1083"/>
    </row>
    <row r="400" spans="2:31" hidden="1">
      <c r="B400" s="1141" t="s">
        <v>1089</v>
      </c>
      <c r="C400" s="1611">
        <f>1/0.3</f>
        <v>3.33</v>
      </c>
      <c r="D400" s="1152" t="s">
        <v>1</v>
      </c>
      <c r="E400" s="1143">
        <v>1000</v>
      </c>
      <c r="F400" s="1144">
        <f>C400*E400</f>
        <v>3330</v>
      </c>
      <c r="I400" s="1083"/>
      <c r="J400" s="1083"/>
      <c r="K400" s="1083"/>
      <c r="L400" s="1083"/>
      <c r="M400" s="1083"/>
      <c r="N400" s="1083"/>
      <c r="O400" s="1083"/>
      <c r="P400" s="1083"/>
      <c r="Q400" s="1083"/>
      <c r="R400" s="1083"/>
      <c r="S400" s="1083"/>
      <c r="T400" s="1083"/>
      <c r="U400" s="1083"/>
      <c r="V400" s="1083"/>
      <c r="W400" s="1083"/>
      <c r="X400" s="1083"/>
      <c r="Y400" s="1083"/>
      <c r="Z400" s="1083"/>
      <c r="AA400" s="1083"/>
      <c r="AB400" s="1083"/>
      <c r="AC400" s="1083"/>
      <c r="AD400" s="1083"/>
      <c r="AE400" s="1083"/>
    </row>
    <row r="401" spans="2:31" ht="13.5" hidden="1" thickBot="1">
      <c r="B401" s="1145"/>
      <c r="C401" s="1612"/>
      <c r="D401" s="1146"/>
      <c r="E401" s="1147" t="s">
        <v>1031</v>
      </c>
      <c r="F401" s="1148" t="e">
        <f>ROUND(SUM(F398:F400),2)</f>
        <v>#REF!</v>
      </c>
      <c r="I401" s="1083"/>
      <c r="J401" s="1083"/>
      <c r="K401" s="1083"/>
      <c r="L401" s="1083"/>
      <c r="M401" s="1083"/>
      <c r="N401" s="1083"/>
      <c r="O401" s="1083"/>
      <c r="P401" s="1083"/>
      <c r="Q401" s="1083"/>
      <c r="R401" s="1083"/>
      <c r="S401" s="1083"/>
      <c r="T401" s="1083"/>
      <c r="U401" s="1083"/>
      <c r="V401" s="1083"/>
      <c r="W401" s="1083"/>
      <c r="X401" s="1083"/>
      <c r="Y401" s="1083"/>
      <c r="Z401" s="1083"/>
      <c r="AA401" s="1083"/>
      <c r="AB401" s="1083"/>
      <c r="AC401" s="1083"/>
      <c r="AD401" s="1083"/>
      <c r="AE401" s="1083"/>
    </row>
    <row r="402" spans="2:31" ht="13.5" hidden="1" thickTop="1">
      <c r="B402" s="1087"/>
      <c r="C402" s="1603"/>
      <c r="D402" s="1087"/>
      <c r="E402" s="1100"/>
      <c r="F402" s="1105"/>
      <c r="I402" s="1083"/>
      <c r="J402" s="1083"/>
      <c r="K402" s="1083"/>
      <c r="L402" s="1083"/>
      <c r="M402" s="1083"/>
      <c r="N402" s="1083"/>
      <c r="O402" s="1083"/>
      <c r="P402" s="1083"/>
      <c r="Q402" s="1083"/>
      <c r="R402" s="1083"/>
      <c r="S402" s="1083"/>
      <c r="T402" s="1083"/>
      <c r="U402" s="1083"/>
      <c r="V402" s="1083"/>
      <c r="W402" s="1083"/>
      <c r="X402" s="1083"/>
      <c r="Y402" s="1083"/>
      <c r="Z402" s="1083"/>
      <c r="AA402" s="1083"/>
      <c r="AB402" s="1083"/>
      <c r="AC402" s="1083"/>
      <c r="AD402" s="1083"/>
      <c r="AE402" s="1083"/>
    </row>
    <row r="403" spans="2:31" ht="13.5" hidden="1" thickBot="1">
      <c r="B403" s="1392" t="s">
        <v>613</v>
      </c>
      <c r="C403" s="1614"/>
      <c r="D403" s="1135"/>
      <c r="E403" s="1135"/>
      <c r="F403" s="1135"/>
      <c r="I403" s="1083"/>
      <c r="J403" s="1083"/>
      <c r="K403" s="1083"/>
      <c r="L403" s="1083"/>
      <c r="M403" s="1083"/>
      <c r="N403" s="1083"/>
      <c r="O403" s="1083"/>
      <c r="P403" s="1083"/>
      <c r="Q403" s="1083"/>
      <c r="R403" s="1083"/>
      <c r="S403" s="1083"/>
      <c r="T403" s="1083"/>
      <c r="U403" s="1083"/>
      <c r="V403" s="1083"/>
      <c r="W403" s="1083"/>
      <c r="X403" s="1083"/>
      <c r="Y403" s="1083"/>
      <c r="Z403" s="1083"/>
      <c r="AA403" s="1083"/>
      <c r="AB403" s="1083"/>
      <c r="AC403" s="1083"/>
      <c r="AD403" s="1083"/>
      <c r="AE403" s="1083"/>
    </row>
    <row r="404" spans="2:31" ht="13.5" hidden="1" thickTop="1">
      <c r="B404" s="1137" t="s">
        <v>1225</v>
      </c>
      <c r="C404" s="1610">
        <v>1.05</v>
      </c>
      <c r="D404" s="1138" t="s">
        <v>2</v>
      </c>
      <c r="E404" s="1139" t="e">
        <f>+E398</f>
        <v>#REF!</v>
      </c>
      <c r="F404" s="1140" t="e">
        <f>C404*E404</f>
        <v>#REF!</v>
      </c>
      <c r="I404" s="1083"/>
      <c r="J404" s="1083"/>
      <c r="K404" s="1083"/>
      <c r="L404" s="1083"/>
      <c r="M404" s="1083"/>
      <c r="N404" s="1083"/>
      <c r="O404" s="1083"/>
      <c r="P404" s="1083"/>
      <c r="Q404" s="1083"/>
      <c r="R404" s="1083"/>
      <c r="S404" s="1083"/>
      <c r="T404" s="1083"/>
      <c r="U404" s="1083"/>
      <c r="V404" s="1083"/>
      <c r="W404" s="1083"/>
      <c r="X404" s="1083"/>
      <c r="Y404" s="1083"/>
      <c r="Z404" s="1083"/>
      <c r="AA404" s="1083"/>
      <c r="AB404" s="1083"/>
      <c r="AC404" s="1083"/>
      <c r="AD404" s="1083"/>
      <c r="AE404" s="1083"/>
    </row>
    <row r="405" spans="2:31" hidden="1">
      <c r="B405" s="1141" t="s">
        <v>1087</v>
      </c>
      <c r="C405" s="1611">
        <v>3.06</v>
      </c>
      <c r="D405" s="1142" t="s">
        <v>126</v>
      </c>
      <c r="E405" s="1143">
        <f>+E399</f>
        <v>2913</v>
      </c>
      <c r="F405" s="1144">
        <f>C405*E405</f>
        <v>8913.7800000000007</v>
      </c>
      <c r="I405" s="1083"/>
      <c r="J405" s="1083"/>
      <c r="K405" s="1083"/>
      <c r="L405" s="1083"/>
      <c r="M405" s="1083"/>
      <c r="N405" s="1083"/>
      <c r="O405" s="1083"/>
      <c r="P405" s="1083"/>
      <c r="Q405" s="1083"/>
      <c r="R405" s="1083"/>
      <c r="S405" s="1083"/>
      <c r="T405" s="1083"/>
      <c r="U405" s="1083"/>
      <c r="V405" s="1083"/>
      <c r="W405" s="1083"/>
      <c r="X405" s="1083"/>
      <c r="Y405" s="1083"/>
      <c r="Z405" s="1083"/>
      <c r="AA405" s="1083"/>
      <c r="AB405" s="1083"/>
      <c r="AC405" s="1083"/>
      <c r="AD405" s="1083"/>
      <c r="AE405" s="1083"/>
    </row>
    <row r="406" spans="2:31" hidden="1">
      <c r="B406" s="1141" t="s">
        <v>1089</v>
      </c>
      <c r="C406" s="1611">
        <f>1/0.25</f>
        <v>4</v>
      </c>
      <c r="D406" s="1152" t="s">
        <v>1</v>
      </c>
      <c r="E406" s="1143">
        <v>1000</v>
      </c>
      <c r="F406" s="1144">
        <f>C406*E406</f>
        <v>4000</v>
      </c>
      <c r="I406" s="1083"/>
      <c r="J406" s="1083"/>
      <c r="K406" s="1083"/>
      <c r="L406" s="1083"/>
      <c r="M406" s="1083"/>
      <c r="N406" s="1083"/>
      <c r="O406" s="1083"/>
      <c r="P406" s="1083"/>
      <c r="Q406" s="1083"/>
      <c r="R406" s="1083"/>
      <c r="S406" s="1083"/>
      <c r="T406" s="1083"/>
      <c r="U406" s="1083"/>
      <c r="V406" s="1083"/>
      <c r="W406" s="1083"/>
      <c r="X406" s="1083"/>
      <c r="Y406" s="1083"/>
      <c r="Z406" s="1083"/>
      <c r="AA406" s="1083"/>
      <c r="AB406" s="1083"/>
      <c r="AC406" s="1083"/>
      <c r="AD406" s="1083"/>
      <c r="AE406" s="1083"/>
    </row>
    <row r="407" spans="2:31" ht="13.5" hidden="1" thickBot="1">
      <c r="B407" s="1145"/>
      <c r="C407" s="1612"/>
      <c r="D407" s="1146"/>
      <c r="E407" s="1147" t="s">
        <v>1031</v>
      </c>
      <c r="F407" s="1148" t="e">
        <f>ROUND(SUM(F404:F406),2)</f>
        <v>#REF!</v>
      </c>
      <c r="I407" s="1083"/>
      <c r="J407" s="1083"/>
      <c r="K407" s="1083"/>
      <c r="L407" s="1083"/>
      <c r="M407" s="1083"/>
      <c r="N407" s="1083"/>
      <c r="O407" s="1083"/>
      <c r="P407" s="1083"/>
      <c r="Q407" s="1083"/>
      <c r="R407" s="1083"/>
      <c r="S407" s="1083"/>
      <c r="T407" s="1083"/>
      <c r="U407" s="1083"/>
      <c r="V407" s="1083"/>
      <c r="W407" s="1083"/>
      <c r="X407" s="1083"/>
      <c r="Y407" s="1083"/>
      <c r="Z407" s="1083"/>
      <c r="AA407" s="1083"/>
      <c r="AB407" s="1083"/>
      <c r="AC407" s="1083"/>
      <c r="AD407" s="1083"/>
      <c r="AE407" s="1083"/>
    </row>
    <row r="408" spans="2:31" ht="13.5" hidden="1" thickTop="1">
      <c r="B408" s="1087"/>
      <c r="C408" s="1603"/>
      <c r="D408" s="1087"/>
      <c r="E408" s="1100"/>
      <c r="F408" s="1105"/>
      <c r="I408" s="1083"/>
      <c r="J408" s="1083"/>
      <c r="K408" s="1083"/>
      <c r="L408" s="1083"/>
      <c r="M408" s="1083"/>
      <c r="N408" s="1083"/>
      <c r="O408" s="1083"/>
      <c r="P408" s="1083"/>
      <c r="Q408" s="1083"/>
      <c r="R408" s="1083"/>
      <c r="S408" s="1083"/>
      <c r="T408" s="1083"/>
      <c r="U408" s="1083"/>
      <c r="V408" s="1083"/>
      <c r="W408" s="1083"/>
      <c r="X408" s="1083"/>
      <c r="Y408" s="1083"/>
      <c r="Z408" s="1083"/>
      <c r="AA408" s="1083"/>
      <c r="AB408" s="1083"/>
      <c r="AC408" s="1083"/>
      <c r="AD408" s="1083"/>
      <c r="AE408" s="1083"/>
    </row>
    <row r="409" spans="2:31" ht="13.5" hidden="1" thickBot="1">
      <c r="B409" s="1392" t="s">
        <v>676</v>
      </c>
      <c r="C409" s="1614"/>
      <c r="D409" s="1135"/>
      <c r="E409" s="1135"/>
      <c r="F409" s="1135"/>
      <c r="I409" s="1083"/>
      <c r="J409" s="1083"/>
      <c r="K409" s="1083"/>
      <c r="L409" s="1083"/>
      <c r="M409" s="1083"/>
      <c r="N409" s="1083"/>
      <c r="O409" s="1083"/>
      <c r="P409" s="1083"/>
      <c r="Q409" s="1083"/>
      <c r="R409" s="1083"/>
      <c r="S409" s="1083"/>
      <c r="T409" s="1083"/>
      <c r="U409" s="1083"/>
      <c r="V409" s="1083"/>
      <c r="W409" s="1083"/>
      <c r="X409" s="1083"/>
      <c r="Y409" s="1083"/>
      <c r="Z409" s="1083"/>
      <c r="AA409" s="1083"/>
      <c r="AB409" s="1083"/>
      <c r="AC409" s="1083"/>
      <c r="AD409" s="1083"/>
      <c r="AE409" s="1083"/>
    </row>
    <row r="410" spans="2:31" ht="13.5" hidden="1" thickTop="1">
      <c r="B410" s="1137" t="s">
        <v>1225</v>
      </c>
      <c r="C410" s="1610">
        <v>1.05</v>
      </c>
      <c r="D410" s="1138" t="s">
        <v>2</v>
      </c>
      <c r="E410" s="1139" t="e">
        <f>+E404</f>
        <v>#REF!</v>
      </c>
      <c r="F410" s="1140" t="e">
        <f>C410*E410</f>
        <v>#REF!</v>
      </c>
      <c r="I410" s="1083"/>
      <c r="J410" s="1083"/>
      <c r="K410" s="1083"/>
      <c r="L410" s="1083"/>
      <c r="M410" s="1083"/>
      <c r="N410" s="1083"/>
      <c r="O410" s="1083"/>
      <c r="P410" s="1083"/>
      <c r="Q410" s="1083"/>
      <c r="R410" s="1083"/>
      <c r="S410" s="1083"/>
      <c r="T410" s="1083"/>
      <c r="U410" s="1083"/>
      <c r="V410" s="1083"/>
      <c r="W410" s="1083"/>
      <c r="X410" s="1083"/>
      <c r="Y410" s="1083"/>
      <c r="Z410" s="1083"/>
      <c r="AA410" s="1083"/>
      <c r="AB410" s="1083"/>
      <c r="AC410" s="1083"/>
      <c r="AD410" s="1083"/>
      <c r="AE410" s="1083"/>
    </row>
    <row r="411" spans="2:31" hidden="1">
      <c r="B411" s="1141" t="s">
        <v>1087</v>
      </c>
      <c r="C411" s="1611">
        <v>2.75</v>
      </c>
      <c r="D411" s="1142" t="s">
        <v>126</v>
      </c>
      <c r="E411" s="1143">
        <f>+E405</f>
        <v>2913</v>
      </c>
      <c r="F411" s="1144">
        <f>C411*E411</f>
        <v>8010.75</v>
      </c>
      <c r="I411" s="1083"/>
      <c r="J411" s="1083"/>
      <c r="K411" s="1083"/>
      <c r="L411" s="1083"/>
      <c r="M411" s="1083"/>
      <c r="N411" s="1083"/>
      <c r="O411" s="1083"/>
      <c r="P411" s="1083"/>
      <c r="Q411" s="1083"/>
      <c r="R411" s="1083"/>
      <c r="S411" s="1083"/>
      <c r="T411" s="1083"/>
      <c r="U411" s="1083"/>
      <c r="V411" s="1083"/>
      <c r="W411" s="1083"/>
      <c r="X411" s="1083"/>
      <c r="Y411" s="1083"/>
      <c r="Z411" s="1083"/>
      <c r="AA411" s="1083"/>
      <c r="AB411" s="1083"/>
      <c r="AC411" s="1083"/>
      <c r="AD411" s="1083"/>
      <c r="AE411" s="1083"/>
    </row>
    <row r="412" spans="2:31" hidden="1">
      <c r="B412" s="1141" t="s">
        <v>1089</v>
      </c>
      <c r="C412" s="1611">
        <f>1/0.15</f>
        <v>6.67</v>
      </c>
      <c r="D412" s="1152" t="s">
        <v>1</v>
      </c>
      <c r="E412" s="1143">
        <v>1000</v>
      </c>
      <c r="F412" s="1144">
        <f>C412*E412</f>
        <v>6670</v>
      </c>
      <c r="I412" s="1083"/>
      <c r="J412" s="1083"/>
      <c r="K412" s="1083"/>
      <c r="L412" s="1083"/>
      <c r="M412" s="1083"/>
      <c r="N412" s="1083"/>
      <c r="O412" s="1083"/>
      <c r="P412" s="1083"/>
      <c r="Q412" s="1083"/>
      <c r="R412" s="1083"/>
      <c r="S412" s="1083"/>
      <c r="T412" s="1083"/>
      <c r="U412" s="1083"/>
      <c r="V412" s="1083"/>
      <c r="W412" s="1083"/>
      <c r="X412" s="1083"/>
      <c r="Y412" s="1083"/>
      <c r="Z412" s="1083"/>
      <c r="AA412" s="1083"/>
      <c r="AB412" s="1083"/>
      <c r="AC412" s="1083"/>
      <c r="AD412" s="1083"/>
      <c r="AE412" s="1083"/>
    </row>
    <row r="413" spans="2:31" ht="13.5" hidden="1" thickBot="1">
      <c r="B413" s="1145"/>
      <c r="C413" s="1612"/>
      <c r="D413" s="1146"/>
      <c r="E413" s="1147" t="s">
        <v>1031</v>
      </c>
      <c r="F413" s="1148" t="e">
        <f>ROUND(SUM(F410:F412),2)</f>
        <v>#REF!</v>
      </c>
      <c r="I413" s="1083"/>
      <c r="J413" s="1083"/>
      <c r="K413" s="1083"/>
      <c r="L413" s="1083"/>
      <c r="M413" s="1083"/>
      <c r="N413" s="1083"/>
      <c r="O413" s="1083"/>
      <c r="P413" s="1083"/>
      <c r="Q413" s="1083"/>
      <c r="R413" s="1083"/>
      <c r="S413" s="1083"/>
      <c r="T413" s="1083"/>
      <c r="U413" s="1083"/>
      <c r="V413" s="1083"/>
      <c r="W413" s="1083"/>
      <c r="X413" s="1083"/>
      <c r="Y413" s="1083"/>
      <c r="Z413" s="1083"/>
      <c r="AA413" s="1083"/>
      <c r="AB413" s="1083"/>
      <c r="AC413" s="1083"/>
      <c r="AD413" s="1083"/>
      <c r="AE413" s="1083"/>
    </row>
    <row r="414" spans="2:31" ht="13.5" hidden="1" thickTop="1">
      <c r="B414" s="1149"/>
      <c r="C414" s="1613"/>
      <c r="D414" s="1149"/>
      <c r="E414" s="1150"/>
      <c r="F414" s="1151"/>
      <c r="I414" s="1083"/>
      <c r="J414" s="1083"/>
      <c r="K414" s="1083"/>
      <c r="L414" s="1083"/>
      <c r="M414" s="1083"/>
      <c r="N414" s="1083"/>
      <c r="O414" s="1083"/>
      <c r="P414" s="1083"/>
      <c r="Q414" s="1083"/>
      <c r="R414" s="1083"/>
      <c r="S414" s="1083"/>
      <c r="T414" s="1083"/>
      <c r="U414" s="1083"/>
      <c r="V414" s="1083"/>
      <c r="W414" s="1083"/>
      <c r="X414" s="1083"/>
      <c r="Y414" s="1083"/>
      <c r="Z414" s="1083"/>
      <c r="AA414" s="1083"/>
      <c r="AB414" s="1083"/>
      <c r="AC414" s="1083"/>
      <c r="AD414" s="1083"/>
      <c r="AE414" s="1083"/>
    </row>
    <row r="415" spans="2:31" ht="20.25" hidden="1">
      <c r="B415" s="1914" t="s">
        <v>678</v>
      </c>
      <c r="C415" s="1603"/>
      <c r="D415" s="1087"/>
      <c r="E415" s="1100"/>
      <c r="F415" s="1105"/>
      <c r="I415" s="1083"/>
      <c r="J415" s="1083"/>
      <c r="K415" s="1083"/>
      <c r="L415" s="1083"/>
      <c r="M415" s="1083"/>
      <c r="N415" s="1083"/>
      <c r="O415" s="1083"/>
      <c r="P415" s="1083"/>
      <c r="Q415" s="1083"/>
      <c r="R415" s="1083"/>
      <c r="S415" s="1083"/>
      <c r="T415" s="1083"/>
      <c r="U415" s="1083"/>
      <c r="V415" s="1083"/>
      <c r="W415" s="1083"/>
      <c r="X415" s="1083"/>
      <c r="Y415" s="1083"/>
      <c r="Z415" s="1083"/>
      <c r="AA415" s="1083"/>
      <c r="AB415" s="1083"/>
      <c r="AC415" s="1083"/>
      <c r="AD415" s="1083"/>
      <c r="AE415" s="1083"/>
    </row>
    <row r="416" spans="2:31" hidden="1">
      <c r="B416" s="1087"/>
      <c r="C416" s="1603"/>
      <c r="D416" s="1087"/>
      <c r="E416" s="1100"/>
      <c r="F416" s="1105"/>
      <c r="I416" s="1083"/>
      <c r="J416" s="1083"/>
      <c r="K416" s="1083"/>
      <c r="L416" s="1083"/>
      <c r="M416" s="1083"/>
      <c r="N416" s="1083"/>
      <c r="O416" s="1083"/>
      <c r="P416" s="1083"/>
      <c r="Q416" s="1083"/>
      <c r="R416" s="1083"/>
      <c r="S416" s="1083"/>
      <c r="T416" s="1083"/>
      <c r="U416" s="1083"/>
      <c r="V416" s="1083"/>
      <c r="W416" s="1083"/>
      <c r="X416" s="1083"/>
      <c r="Y416" s="1083"/>
      <c r="Z416" s="1083"/>
      <c r="AA416" s="1083"/>
      <c r="AB416" s="1083"/>
      <c r="AC416" s="1083"/>
      <c r="AD416" s="1083"/>
      <c r="AE416" s="1083"/>
    </row>
    <row r="417" spans="2:31" ht="13.5" hidden="1" thickBot="1">
      <c r="B417" s="1387" t="s">
        <v>681</v>
      </c>
      <c r="C417" s="1609"/>
      <c r="D417" s="1131"/>
      <c r="E417" s="1132"/>
      <c r="F417" s="1133"/>
      <c r="I417" s="1083"/>
      <c r="J417" s="1083"/>
      <c r="K417" s="1083"/>
      <c r="L417" s="1083"/>
      <c r="M417" s="1083"/>
      <c r="N417" s="1083"/>
      <c r="O417" s="1083"/>
      <c r="P417" s="1083"/>
      <c r="Q417" s="1083"/>
      <c r="R417" s="1083"/>
      <c r="S417" s="1083"/>
      <c r="T417" s="1083"/>
      <c r="U417" s="1083"/>
      <c r="V417" s="1083"/>
      <c r="W417" s="1083"/>
      <c r="X417" s="1083"/>
      <c r="Y417" s="1083"/>
      <c r="Z417" s="1083"/>
      <c r="AA417" s="1083"/>
      <c r="AB417" s="1083"/>
      <c r="AC417" s="1083"/>
      <c r="AD417" s="1083"/>
      <c r="AE417" s="1083"/>
    </row>
    <row r="418" spans="2:31" ht="13.5" hidden="1" thickTop="1">
      <c r="B418" s="1137" t="s">
        <v>1225</v>
      </c>
      <c r="C418" s="1610">
        <v>1.05</v>
      </c>
      <c r="D418" s="1138" t="s">
        <v>2</v>
      </c>
      <c r="E418" s="1139" t="e">
        <f>+E410</f>
        <v>#REF!</v>
      </c>
      <c r="F418" s="1140" t="e">
        <f>C418*E418</f>
        <v>#REF!</v>
      </c>
      <c r="I418" s="1083"/>
      <c r="J418" s="1083"/>
      <c r="K418" s="1083"/>
      <c r="L418" s="1083"/>
      <c r="M418" s="1083"/>
      <c r="N418" s="1083"/>
      <c r="O418" s="1083"/>
      <c r="P418" s="1083"/>
      <c r="Q418" s="1083"/>
      <c r="R418" s="1083"/>
      <c r="S418" s="1083"/>
      <c r="T418" s="1083"/>
      <c r="U418" s="1083"/>
      <c r="V418" s="1083"/>
      <c r="W418" s="1083"/>
      <c r="X418" s="1083"/>
      <c r="Y418" s="1083"/>
      <c r="Z418" s="1083"/>
      <c r="AA418" s="1083"/>
      <c r="AB418" s="1083"/>
      <c r="AC418" s="1083"/>
      <c r="AD418" s="1083"/>
      <c r="AE418" s="1083"/>
    </row>
    <row r="419" spans="2:31" hidden="1">
      <c r="B419" s="1141" t="s">
        <v>272</v>
      </c>
      <c r="C419" s="1611">
        <v>2.08</v>
      </c>
      <c r="D419" s="1142" t="s">
        <v>126</v>
      </c>
      <c r="E419" s="1143">
        <f>+E411</f>
        <v>2913</v>
      </c>
      <c r="F419" s="1144">
        <f>C419*E419</f>
        <v>6059.04</v>
      </c>
      <c r="I419" s="1083"/>
      <c r="J419" s="1083"/>
      <c r="K419" s="1083"/>
      <c r="L419" s="1083"/>
      <c r="M419" s="1083"/>
      <c r="N419" s="1083"/>
      <c r="O419" s="1083"/>
      <c r="P419" s="1083"/>
      <c r="Q419" s="1083"/>
      <c r="R419" s="1083"/>
      <c r="S419" s="1083"/>
      <c r="T419" s="1083"/>
      <c r="U419" s="1083"/>
      <c r="V419" s="1083"/>
      <c r="W419" s="1083"/>
      <c r="X419" s="1083"/>
      <c r="Y419" s="1083"/>
      <c r="Z419" s="1083"/>
      <c r="AA419" s="1083"/>
      <c r="AB419" s="1083"/>
      <c r="AC419" s="1083"/>
      <c r="AD419" s="1083"/>
      <c r="AE419" s="1083"/>
    </row>
    <row r="420" spans="2:31" ht="13.5" hidden="1" thickBot="1">
      <c r="B420" s="1145"/>
      <c r="C420" s="1612"/>
      <c r="D420" s="1146"/>
      <c r="E420" s="1147" t="s">
        <v>1031</v>
      </c>
      <c r="F420" s="1148" t="e">
        <f>ROUND(SUM(F418:F419),2)</f>
        <v>#REF!</v>
      </c>
      <c r="I420" s="1083"/>
      <c r="J420" s="1083"/>
      <c r="K420" s="1083"/>
      <c r="L420" s="1083"/>
      <c r="M420" s="1083"/>
      <c r="N420" s="1083"/>
      <c r="O420" s="1083"/>
      <c r="P420" s="1083"/>
      <c r="Q420" s="1083"/>
      <c r="R420" s="1083"/>
      <c r="S420" s="1083"/>
      <c r="T420" s="1083"/>
      <c r="U420" s="1083"/>
      <c r="V420" s="1083"/>
      <c r="W420" s="1083"/>
      <c r="X420" s="1083"/>
      <c r="Y420" s="1083"/>
      <c r="Z420" s="1083"/>
      <c r="AA420" s="1083"/>
      <c r="AB420" s="1083"/>
      <c r="AC420" s="1083"/>
      <c r="AD420" s="1083"/>
      <c r="AE420" s="1083"/>
    </row>
    <row r="421" spans="2:31" ht="13.5" hidden="1" thickTop="1">
      <c r="B421" s="1149"/>
      <c r="C421" s="1613"/>
      <c r="D421" s="1149"/>
      <c r="E421" s="1150"/>
      <c r="F421" s="1151"/>
      <c r="I421" s="1083"/>
      <c r="J421" s="1083"/>
      <c r="K421" s="1083"/>
      <c r="L421" s="1083"/>
      <c r="M421" s="1083"/>
      <c r="N421" s="1083"/>
      <c r="O421" s="1083"/>
      <c r="P421" s="1083"/>
      <c r="Q421" s="1083"/>
      <c r="R421" s="1083"/>
      <c r="S421" s="1083"/>
      <c r="T421" s="1083"/>
      <c r="U421" s="1083"/>
      <c r="V421" s="1083"/>
      <c r="W421" s="1083"/>
      <c r="X421" s="1083"/>
      <c r="Y421" s="1083"/>
      <c r="Z421" s="1083"/>
      <c r="AA421" s="1083"/>
      <c r="AB421" s="1083"/>
      <c r="AC421" s="1083"/>
      <c r="AD421" s="1083"/>
      <c r="AE421" s="1083"/>
    </row>
    <row r="422" spans="2:31" ht="13.5" hidden="1" thickBot="1">
      <c r="B422" s="1392" t="s">
        <v>683</v>
      </c>
      <c r="C422" s="1614"/>
      <c r="D422" s="1135"/>
      <c r="E422" s="1135"/>
      <c r="F422" s="1135"/>
      <c r="I422" s="1083"/>
      <c r="J422" s="1083"/>
      <c r="K422" s="1083"/>
      <c r="L422" s="1083"/>
      <c r="M422" s="1083"/>
      <c r="N422" s="1083"/>
      <c r="O422" s="1083"/>
      <c r="P422" s="1083"/>
      <c r="Q422" s="1083"/>
      <c r="R422" s="1083"/>
      <c r="S422" s="1083"/>
      <c r="T422" s="1083"/>
      <c r="U422" s="1083"/>
      <c r="V422" s="1083"/>
      <c r="W422" s="1083"/>
      <c r="X422" s="1083"/>
      <c r="Y422" s="1083"/>
      <c r="Z422" s="1083"/>
      <c r="AA422" s="1083"/>
      <c r="AB422" s="1083"/>
      <c r="AC422" s="1083"/>
      <c r="AD422" s="1083"/>
      <c r="AE422" s="1083"/>
    </row>
    <row r="423" spans="2:31" ht="13.5" hidden="1" thickTop="1">
      <c r="B423" s="1137" t="s">
        <v>1225</v>
      </c>
      <c r="C423" s="1610">
        <v>1.05</v>
      </c>
      <c r="D423" s="1138" t="s">
        <v>2</v>
      </c>
      <c r="E423" s="1139" t="e">
        <f>+E418</f>
        <v>#REF!</v>
      </c>
      <c r="F423" s="1140" t="e">
        <f>C423*E423</f>
        <v>#REF!</v>
      </c>
      <c r="I423" s="1083"/>
      <c r="J423" s="1083"/>
      <c r="K423" s="1083"/>
      <c r="L423" s="1083"/>
      <c r="M423" s="1083"/>
      <c r="N423" s="1083"/>
      <c r="O423" s="1083"/>
      <c r="P423" s="1083"/>
      <c r="Q423" s="1083"/>
      <c r="R423" s="1083"/>
      <c r="S423" s="1083"/>
      <c r="T423" s="1083"/>
      <c r="U423" s="1083"/>
      <c r="V423" s="1083"/>
      <c r="W423" s="1083"/>
      <c r="X423" s="1083"/>
      <c r="Y423" s="1083"/>
      <c r="Z423" s="1083"/>
      <c r="AA423" s="1083"/>
      <c r="AB423" s="1083"/>
      <c r="AC423" s="1083"/>
      <c r="AD423" s="1083"/>
      <c r="AE423" s="1083"/>
    </row>
    <row r="424" spans="2:31" hidden="1">
      <c r="B424" s="1141" t="s">
        <v>1087</v>
      </c>
      <c r="C424" s="1611">
        <v>4.18</v>
      </c>
      <c r="D424" s="1142" t="s">
        <v>126</v>
      </c>
      <c r="E424" s="1143">
        <f>+E419</f>
        <v>2913</v>
      </c>
      <c r="F424" s="1144">
        <f>C424*E424</f>
        <v>12176.34</v>
      </c>
      <c r="I424" s="1083"/>
      <c r="J424" s="1083"/>
      <c r="K424" s="1083"/>
      <c r="L424" s="1083"/>
      <c r="M424" s="1083"/>
      <c r="N424" s="1083"/>
      <c r="O424" s="1083"/>
      <c r="P424" s="1083"/>
      <c r="Q424" s="1083"/>
      <c r="R424" s="1083"/>
      <c r="S424" s="1083"/>
      <c r="T424" s="1083"/>
      <c r="U424" s="1083"/>
      <c r="V424" s="1083"/>
      <c r="W424" s="1083"/>
      <c r="X424" s="1083"/>
      <c r="Y424" s="1083"/>
      <c r="Z424" s="1083"/>
      <c r="AA424" s="1083"/>
      <c r="AB424" s="1083"/>
      <c r="AC424" s="1083"/>
      <c r="AD424" s="1083"/>
      <c r="AE424" s="1083"/>
    </row>
    <row r="425" spans="2:31" hidden="1">
      <c r="B425" s="1141" t="s">
        <v>1089</v>
      </c>
      <c r="C425" s="1611">
        <f>1/0.1</f>
        <v>10</v>
      </c>
      <c r="D425" s="1152" t="s">
        <v>1</v>
      </c>
      <c r="E425" s="1143">
        <v>1000</v>
      </c>
      <c r="F425" s="1144">
        <f>C425*E425</f>
        <v>10000</v>
      </c>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row>
    <row r="426" spans="2:31" ht="13.5" hidden="1" thickBot="1">
      <c r="B426" s="1145"/>
      <c r="C426" s="1612"/>
      <c r="D426" s="1146"/>
      <c r="E426" s="1147" t="s">
        <v>1031</v>
      </c>
      <c r="F426" s="1148" t="e">
        <f>ROUND(SUM(F423:F425),2)</f>
        <v>#REF!</v>
      </c>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row>
    <row r="427" spans="2:31" ht="13.5" hidden="1" thickTop="1">
      <c r="B427" s="1087"/>
      <c r="C427" s="1603"/>
      <c r="D427" s="1087"/>
      <c r="E427" s="1100"/>
      <c r="F427" s="1105"/>
      <c r="I427" s="1083"/>
      <c r="J427" s="1083"/>
      <c r="K427" s="1083"/>
      <c r="L427" s="1083"/>
      <c r="M427" s="1083"/>
      <c r="N427" s="1083"/>
      <c r="O427" s="1083"/>
      <c r="P427" s="1083"/>
      <c r="Q427" s="1083"/>
      <c r="R427" s="1083"/>
      <c r="S427" s="1083"/>
      <c r="T427" s="1083"/>
      <c r="U427" s="1083"/>
      <c r="V427" s="1083"/>
      <c r="W427" s="1083"/>
      <c r="X427" s="1083"/>
      <c r="Y427" s="1083"/>
      <c r="Z427" s="1083"/>
      <c r="AA427" s="1083"/>
      <c r="AB427" s="1083"/>
      <c r="AC427" s="1083"/>
      <c r="AD427" s="1083"/>
      <c r="AE427" s="1083"/>
    </row>
    <row r="428" spans="2:31" ht="20.25" hidden="1">
      <c r="B428" s="1914" t="s">
        <v>715</v>
      </c>
      <c r="C428" s="1603"/>
      <c r="D428" s="1087"/>
      <c r="E428" s="1100"/>
      <c r="F428" s="1105"/>
      <c r="I428" s="1083"/>
      <c r="J428" s="1083"/>
      <c r="K428" s="1083"/>
      <c r="L428" s="1083"/>
      <c r="M428" s="1083"/>
      <c r="N428" s="1083"/>
      <c r="O428" s="1083"/>
      <c r="P428" s="1083"/>
      <c r="Q428" s="1083"/>
      <c r="R428" s="1083"/>
      <c r="S428" s="1083"/>
      <c r="T428" s="1083"/>
      <c r="U428" s="1083"/>
      <c r="V428" s="1083"/>
      <c r="W428" s="1083"/>
      <c r="X428" s="1083"/>
      <c r="Y428" s="1083"/>
      <c r="Z428" s="1083"/>
      <c r="AA428" s="1083"/>
      <c r="AB428" s="1083"/>
      <c r="AC428" s="1083"/>
      <c r="AD428" s="1083"/>
      <c r="AE428" s="1083"/>
    </row>
    <row r="429" spans="2:31" hidden="1">
      <c r="B429" s="1087"/>
      <c r="C429" s="1603"/>
      <c r="D429" s="1087"/>
      <c r="E429" s="1100"/>
      <c r="F429" s="1105"/>
      <c r="I429" s="1083"/>
      <c r="J429" s="1083"/>
      <c r="K429" s="1083"/>
      <c r="L429" s="1083"/>
      <c r="M429" s="1083"/>
      <c r="N429" s="1083"/>
      <c r="O429" s="1083"/>
      <c r="P429" s="1083"/>
      <c r="Q429" s="1083"/>
      <c r="R429" s="1083"/>
      <c r="S429" s="1083"/>
      <c r="T429" s="1083"/>
      <c r="U429" s="1083"/>
      <c r="V429" s="1083"/>
      <c r="W429" s="1083"/>
      <c r="X429" s="1083"/>
      <c r="Y429" s="1083"/>
      <c r="Z429" s="1083"/>
      <c r="AA429" s="1083"/>
      <c r="AB429" s="1083"/>
      <c r="AC429" s="1083"/>
      <c r="AD429" s="1083"/>
      <c r="AE429" s="1083"/>
    </row>
    <row r="430" spans="2:31" ht="13.5" hidden="1" thickBot="1">
      <c r="B430" s="1387" t="s">
        <v>629</v>
      </c>
      <c r="C430" s="1609"/>
      <c r="D430" s="1131"/>
      <c r="E430" s="1132"/>
      <c r="F430" s="1133"/>
      <c r="I430" s="1083"/>
      <c r="J430" s="1083"/>
      <c r="K430" s="1083"/>
      <c r="L430" s="1083"/>
      <c r="M430" s="1083"/>
      <c r="N430" s="1083"/>
      <c r="O430" s="1083"/>
      <c r="P430" s="1083"/>
      <c r="Q430" s="1083"/>
      <c r="R430" s="1083"/>
      <c r="S430" s="1083"/>
      <c r="T430" s="1083"/>
      <c r="U430" s="1083"/>
      <c r="V430" s="1083"/>
      <c r="W430" s="1083"/>
      <c r="X430" s="1083"/>
      <c r="Y430" s="1083"/>
      <c r="Z430" s="1083"/>
      <c r="AA430" s="1083"/>
      <c r="AB430" s="1083"/>
      <c r="AC430" s="1083"/>
      <c r="AD430" s="1083"/>
      <c r="AE430" s="1083"/>
    </row>
    <row r="431" spans="2:31" ht="13.5" hidden="1" thickTop="1">
      <c r="B431" s="1137" t="s">
        <v>1225</v>
      </c>
      <c r="C431" s="1610">
        <v>1.05</v>
      </c>
      <c r="D431" s="1138" t="s">
        <v>2</v>
      </c>
      <c r="E431" s="1139" t="e">
        <f>+E423</f>
        <v>#REF!</v>
      </c>
      <c r="F431" s="1140" t="e">
        <f>C431*E431</f>
        <v>#REF!</v>
      </c>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row>
    <row r="432" spans="2:31" hidden="1">
      <c r="B432" s="1141" t="s">
        <v>272</v>
      </c>
      <c r="C432" s="1611">
        <v>1.42</v>
      </c>
      <c r="D432" s="1142" t="s">
        <v>126</v>
      </c>
      <c r="E432" s="1143">
        <f>+E424</f>
        <v>2913</v>
      </c>
      <c r="F432" s="1144">
        <f>C432*E432</f>
        <v>4136.46</v>
      </c>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row>
    <row r="433" spans="2:31" ht="13.5" hidden="1" thickBot="1">
      <c r="B433" s="1145"/>
      <c r="C433" s="1612"/>
      <c r="D433" s="1146"/>
      <c r="E433" s="1147" t="s">
        <v>1031</v>
      </c>
      <c r="F433" s="1148" t="e">
        <f>ROUND(SUM(F431:F432),2)</f>
        <v>#REF!</v>
      </c>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row>
    <row r="434" spans="2:31" ht="13.5" hidden="1" thickTop="1">
      <c r="B434" s="1149"/>
      <c r="C434" s="1613"/>
      <c r="D434" s="1149"/>
      <c r="E434" s="1150"/>
      <c r="F434" s="1151"/>
      <c r="I434" s="1083"/>
      <c r="J434" s="1083"/>
      <c r="K434" s="1083"/>
      <c r="L434" s="1083"/>
      <c r="M434" s="1083"/>
      <c r="N434" s="1083"/>
      <c r="O434" s="1083"/>
      <c r="P434" s="1083"/>
      <c r="Q434" s="1083"/>
      <c r="R434" s="1083"/>
      <c r="S434" s="1083"/>
      <c r="T434" s="1083"/>
      <c r="U434" s="1083"/>
      <c r="V434" s="1083"/>
      <c r="W434" s="1083"/>
      <c r="X434" s="1083"/>
      <c r="Y434" s="1083"/>
      <c r="Z434" s="1083"/>
      <c r="AA434" s="1083"/>
      <c r="AB434" s="1083"/>
      <c r="AC434" s="1083"/>
      <c r="AD434" s="1083"/>
      <c r="AE434" s="1083"/>
    </row>
    <row r="435" spans="2:31" ht="20.25" hidden="1">
      <c r="B435" s="1914" t="s">
        <v>719</v>
      </c>
      <c r="C435" s="1603"/>
      <c r="D435" s="1087"/>
      <c r="E435" s="1100"/>
      <c r="F435" s="1105"/>
      <c r="I435" s="1083"/>
      <c r="J435" s="1083"/>
      <c r="K435" s="1083"/>
      <c r="L435" s="1083"/>
      <c r="M435" s="1083"/>
      <c r="N435" s="1083"/>
      <c r="O435" s="1083"/>
      <c r="P435" s="1083"/>
      <c r="Q435" s="1083"/>
      <c r="R435" s="1083"/>
      <c r="S435" s="1083"/>
      <c r="T435" s="1083"/>
      <c r="U435" s="1083"/>
      <c r="V435" s="1083"/>
      <c r="W435" s="1083"/>
      <c r="X435" s="1083"/>
      <c r="Y435" s="1083"/>
      <c r="Z435" s="1083"/>
      <c r="AA435" s="1083"/>
      <c r="AB435" s="1083"/>
      <c r="AC435" s="1083"/>
      <c r="AD435" s="1083"/>
      <c r="AE435" s="1083"/>
    </row>
    <row r="436" spans="2:31" hidden="1">
      <c r="B436" s="1087"/>
      <c r="C436" s="1603"/>
      <c r="D436" s="1087"/>
      <c r="E436" s="1100"/>
      <c r="F436" s="1105"/>
      <c r="I436" s="1083"/>
      <c r="J436" s="1083"/>
      <c r="K436" s="1083"/>
      <c r="L436" s="1083"/>
      <c r="M436" s="1083"/>
      <c r="N436" s="1083"/>
      <c r="O436" s="1083"/>
      <c r="P436" s="1083"/>
      <c r="Q436" s="1083"/>
      <c r="R436" s="1083"/>
      <c r="S436" s="1083"/>
      <c r="T436" s="1083"/>
      <c r="U436" s="1083"/>
      <c r="V436" s="1083"/>
      <c r="W436" s="1083"/>
      <c r="X436" s="1083"/>
      <c r="Y436" s="1083"/>
      <c r="Z436" s="1083"/>
      <c r="AA436" s="1083"/>
      <c r="AB436" s="1083"/>
      <c r="AC436" s="1083"/>
      <c r="AD436" s="1083"/>
      <c r="AE436" s="1083"/>
    </row>
    <row r="437" spans="2:31" ht="13.5" hidden="1" thickBot="1">
      <c r="B437" s="1387" t="s">
        <v>629</v>
      </c>
      <c r="C437" s="1609"/>
      <c r="D437" s="1131"/>
      <c r="E437" s="1132"/>
      <c r="F437" s="1133"/>
      <c r="I437" s="1083"/>
      <c r="J437" s="1083"/>
      <c r="K437" s="1083"/>
      <c r="L437" s="1083"/>
      <c r="M437" s="1083"/>
      <c r="N437" s="1083"/>
      <c r="O437" s="1083"/>
      <c r="P437" s="1083"/>
      <c r="Q437" s="1083"/>
      <c r="R437" s="1083"/>
      <c r="S437" s="1083"/>
      <c r="T437" s="1083"/>
      <c r="U437" s="1083"/>
      <c r="V437" s="1083"/>
      <c r="W437" s="1083"/>
      <c r="X437" s="1083"/>
      <c r="Y437" s="1083"/>
      <c r="Z437" s="1083"/>
      <c r="AA437" s="1083"/>
      <c r="AB437" s="1083"/>
      <c r="AC437" s="1083"/>
      <c r="AD437" s="1083"/>
      <c r="AE437" s="1083"/>
    </row>
    <row r="438" spans="2:31" ht="13.5" hidden="1" thickTop="1">
      <c r="B438" s="1137" t="s">
        <v>1225</v>
      </c>
      <c r="C438" s="1610">
        <v>1.05</v>
      </c>
      <c r="D438" s="1138" t="s">
        <v>2</v>
      </c>
      <c r="E438" s="1139" t="e">
        <f>+E431</f>
        <v>#REF!</v>
      </c>
      <c r="F438" s="1140" t="e">
        <f>C438*E438</f>
        <v>#REF!</v>
      </c>
      <c r="I438" s="1083"/>
      <c r="J438" s="1083"/>
      <c r="K438" s="1083"/>
      <c r="L438" s="1083"/>
      <c r="M438" s="1083"/>
      <c r="N438" s="1083"/>
      <c r="O438" s="1083"/>
      <c r="P438" s="1083"/>
      <c r="Q438" s="1083"/>
      <c r="R438" s="1083"/>
      <c r="S438" s="1083"/>
      <c r="T438" s="1083"/>
      <c r="U438" s="1083"/>
      <c r="V438" s="1083"/>
      <c r="W438" s="1083"/>
      <c r="X438" s="1083"/>
      <c r="Y438" s="1083"/>
      <c r="Z438" s="1083"/>
      <c r="AA438" s="1083"/>
      <c r="AB438" s="1083"/>
      <c r="AC438" s="1083"/>
      <c r="AD438" s="1083"/>
      <c r="AE438" s="1083"/>
    </row>
    <row r="439" spans="2:31" hidden="1">
      <c r="B439" s="1141" t="s">
        <v>272</v>
      </c>
      <c r="C439" s="1611">
        <v>1.42</v>
      </c>
      <c r="D439" s="1142" t="s">
        <v>126</v>
      </c>
      <c r="E439" s="1143">
        <f>+E432</f>
        <v>2913</v>
      </c>
      <c r="F439" s="1144">
        <f>C439*E439</f>
        <v>4136.46</v>
      </c>
      <c r="I439" s="1083"/>
      <c r="J439" s="1083"/>
      <c r="K439" s="1083"/>
      <c r="L439" s="1083"/>
      <c r="M439" s="1083"/>
      <c r="N439" s="1083"/>
      <c r="O439" s="1083"/>
      <c r="P439" s="1083"/>
      <c r="Q439" s="1083"/>
      <c r="R439" s="1083"/>
      <c r="S439" s="1083"/>
      <c r="T439" s="1083"/>
      <c r="U439" s="1083"/>
      <c r="V439" s="1083"/>
      <c r="W439" s="1083"/>
      <c r="X439" s="1083"/>
      <c r="Y439" s="1083"/>
      <c r="Z439" s="1083"/>
      <c r="AA439" s="1083"/>
      <c r="AB439" s="1083"/>
      <c r="AC439" s="1083"/>
      <c r="AD439" s="1083"/>
      <c r="AE439" s="1083"/>
    </row>
    <row r="440" spans="2:31" ht="13.5" hidden="1" thickBot="1">
      <c r="B440" s="1145"/>
      <c r="C440" s="1612"/>
      <c r="D440" s="1146"/>
      <c r="E440" s="1147" t="s">
        <v>1031</v>
      </c>
      <c r="F440" s="1148" t="e">
        <f>ROUND(SUM(F438:F439),2)</f>
        <v>#REF!</v>
      </c>
      <c r="I440" s="1083"/>
      <c r="J440" s="1083"/>
      <c r="K440" s="1083"/>
      <c r="L440" s="1083"/>
      <c r="M440" s="1083"/>
      <c r="N440" s="1083"/>
      <c r="O440" s="1083"/>
      <c r="P440" s="1083"/>
      <c r="Q440" s="1083"/>
      <c r="R440" s="1083"/>
      <c r="S440" s="1083"/>
      <c r="T440" s="1083"/>
      <c r="U440" s="1083"/>
      <c r="V440" s="1083"/>
      <c r="W440" s="1083"/>
      <c r="X440" s="1083"/>
      <c r="Y440" s="1083"/>
      <c r="Z440" s="1083"/>
      <c r="AA440" s="1083"/>
      <c r="AB440" s="1083"/>
      <c r="AC440" s="1083"/>
      <c r="AD440" s="1083"/>
      <c r="AE440" s="1083"/>
    </row>
    <row r="441" spans="2:31" ht="13.5" hidden="1" thickTop="1">
      <c r="B441" s="1087"/>
      <c r="C441" s="1603"/>
      <c r="D441" s="1087"/>
      <c r="E441" s="1100"/>
      <c r="F441" s="1105"/>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1083"/>
      <c r="AE441" s="1083"/>
    </row>
    <row r="442" spans="2:31" hidden="1">
      <c r="B442" s="1149"/>
      <c r="C442" s="1613"/>
      <c r="D442" s="1149"/>
      <c r="E442" s="1150"/>
      <c r="F442" s="1151"/>
      <c r="I442" s="1083"/>
      <c r="J442" s="1083"/>
      <c r="K442" s="1083"/>
      <c r="L442" s="1083"/>
      <c r="M442" s="1083"/>
      <c r="N442" s="1083"/>
      <c r="O442" s="1083"/>
      <c r="P442" s="1083"/>
      <c r="Q442" s="1083"/>
      <c r="R442" s="1083"/>
      <c r="S442" s="1083"/>
      <c r="T442" s="1083"/>
      <c r="U442" s="1083"/>
      <c r="V442" s="1083"/>
      <c r="W442" s="1083"/>
      <c r="X442" s="1083"/>
      <c r="Y442" s="1083"/>
      <c r="Z442" s="1083"/>
      <c r="AA442" s="1083"/>
      <c r="AB442" s="1083"/>
      <c r="AC442" s="1083"/>
      <c r="AD442" s="1083"/>
      <c r="AE442" s="1083"/>
    </row>
    <row r="443" spans="2:31" ht="20.25" hidden="1">
      <c r="B443" s="1914" t="s">
        <v>723</v>
      </c>
      <c r="C443" s="1603"/>
      <c r="D443" s="1087"/>
      <c r="E443" s="1100"/>
      <c r="F443" s="1105"/>
      <c r="I443" s="1083"/>
      <c r="J443" s="1083"/>
      <c r="K443" s="1083"/>
      <c r="L443" s="1083"/>
      <c r="M443" s="1083"/>
      <c r="N443" s="1083"/>
      <c r="O443" s="1083"/>
      <c r="P443" s="1083"/>
      <c r="Q443" s="1083"/>
      <c r="R443" s="1083"/>
      <c r="S443" s="1083"/>
      <c r="T443" s="1083"/>
      <c r="U443" s="1083"/>
      <c r="V443" s="1083"/>
      <c r="W443" s="1083"/>
      <c r="X443" s="1083"/>
      <c r="Y443" s="1083"/>
      <c r="Z443" s="1083"/>
      <c r="AA443" s="1083"/>
      <c r="AB443" s="1083"/>
      <c r="AC443" s="1083"/>
      <c r="AD443" s="1083"/>
      <c r="AE443" s="1083"/>
    </row>
    <row r="444" spans="2:31" hidden="1">
      <c r="B444" s="1087"/>
      <c r="C444" s="1603"/>
      <c r="D444" s="1087"/>
      <c r="E444" s="1100"/>
      <c r="F444" s="1105"/>
      <c r="I444" s="1083"/>
      <c r="J444" s="1083"/>
      <c r="K444" s="1083"/>
      <c r="L444" s="1083"/>
      <c r="M444" s="1083"/>
      <c r="N444" s="1083"/>
      <c r="O444" s="1083"/>
      <c r="P444" s="1083"/>
      <c r="Q444" s="1083"/>
      <c r="R444" s="1083"/>
      <c r="S444" s="1083"/>
      <c r="T444" s="1083"/>
      <c r="U444" s="1083"/>
      <c r="V444" s="1083"/>
      <c r="W444" s="1083"/>
      <c r="X444" s="1083"/>
      <c r="Y444" s="1083"/>
      <c r="Z444" s="1083"/>
      <c r="AA444" s="1083"/>
      <c r="AB444" s="1083"/>
      <c r="AC444" s="1083"/>
      <c r="AD444" s="1083"/>
      <c r="AE444" s="1083"/>
    </row>
    <row r="445" spans="2:31" ht="13.5" hidden="1" thickBot="1">
      <c r="B445" s="1387" t="s">
        <v>629</v>
      </c>
      <c r="C445" s="1609"/>
      <c r="D445" s="1131"/>
      <c r="E445" s="1132"/>
      <c r="F445" s="1133"/>
      <c r="I445" s="1083"/>
      <c r="J445" s="1083"/>
      <c r="K445" s="1083"/>
      <c r="L445" s="1083"/>
      <c r="M445" s="1083"/>
      <c r="N445" s="1083"/>
      <c r="O445" s="1083"/>
      <c r="P445" s="1083"/>
      <c r="Q445" s="1083"/>
      <c r="R445" s="1083"/>
      <c r="S445" s="1083"/>
      <c r="T445" s="1083"/>
      <c r="U445" s="1083"/>
      <c r="V445" s="1083"/>
      <c r="W445" s="1083"/>
      <c r="X445" s="1083"/>
      <c r="Y445" s="1083"/>
      <c r="Z445" s="1083"/>
      <c r="AA445" s="1083"/>
      <c r="AB445" s="1083"/>
      <c r="AC445" s="1083"/>
      <c r="AD445" s="1083"/>
      <c r="AE445" s="1083"/>
    </row>
    <row r="446" spans="2:31" ht="13.5" hidden="1" thickTop="1">
      <c r="B446" s="1137" t="s">
        <v>1225</v>
      </c>
      <c r="C446" s="1610">
        <v>1.05</v>
      </c>
      <c r="D446" s="1138" t="s">
        <v>2</v>
      </c>
      <c r="E446" s="1139" t="e">
        <f>+E438</f>
        <v>#REF!</v>
      </c>
      <c r="F446" s="1140" t="e">
        <f>C446*E446</f>
        <v>#REF!</v>
      </c>
      <c r="I446" s="1083"/>
      <c r="J446" s="1083"/>
      <c r="K446" s="1083"/>
      <c r="L446" s="1083"/>
      <c r="M446" s="1083"/>
      <c r="N446" s="1083"/>
      <c r="O446" s="1083"/>
      <c r="P446" s="1083"/>
      <c r="Q446" s="1083"/>
      <c r="R446" s="1083"/>
      <c r="S446" s="1083"/>
      <c r="T446" s="1083"/>
      <c r="U446" s="1083"/>
      <c r="V446" s="1083"/>
      <c r="W446" s="1083"/>
      <c r="X446" s="1083"/>
      <c r="Y446" s="1083"/>
      <c r="Z446" s="1083"/>
      <c r="AA446" s="1083"/>
      <c r="AB446" s="1083"/>
      <c r="AC446" s="1083"/>
      <c r="AD446" s="1083"/>
      <c r="AE446" s="1083"/>
    </row>
    <row r="447" spans="2:31" hidden="1">
      <c r="B447" s="1141" t="s">
        <v>272</v>
      </c>
      <c r="C447" s="1611">
        <v>1.42</v>
      </c>
      <c r="D447" s="1142" t="s">
        <v>126</v>
      </c>
      <c r="E447" s="1143">
        <f>+E439</f>
        <v>2913</v>
      </c>
      <c r="F447" s="1144">
        <f>C447*E447</f>
        <v>4136.46</v>
      </c>
      <c r="I447" s="1083"/>
      <c r="J447" s="1083"/>
      <c r="K447" s="1083"/>
      <c r="L447" s="1083"/>
      <c r="M447" s="1083"/>
      <c r="N447" s="1083"/>
      <c r="O447" s="1083"/>
      <c r="P447" s="1083"/>
      <c r="Q447" s="1083"/>
      <c r="R447" s="1083"/>
      <c r="S447" s="1083"/>
      <c r="T447" s="1083"/>
      <c r="U447" s="1083"/>
      <c r="V447" s="1083"/>
      <c r="W447" s="1083"/>
      <c r="X447" s="1083"/>
      <c r="Y447" s="1083"/>
      <c r="Z447" s="1083"/>
      <c r="AA447" s="1083"/>
      <c r="AB447" s="1083"/>
      <c r="AC447" s="1083"/>
      <c r="AD447" s="1083"/>
      <c r="AE447" s="1083"/>
    </row>
    <row r="448" spans="2:31" ht="13.5" hidden="1" thickBot="1">
      <c r="B448" s="1145"/>
      <c r="C448" s="1612"/>
      <c r="D448" s="1146"/>
      <c r="E448" s="1147" t="s">
        <v>1031</v>
      </c>
      <c r="F448" s="1148" t="e">
        <f>ROUND(SUM(F446:F447),2)</f>
        <v>#REF!</v>
      </c>
      <c r="I448" s="1083"/>
      <c r="J448" s="1083"/>
      <c r="K448" s="1083"/>
      <c r="L448" s="1083"/>
      <c r="M448" s="1083"/>
      <c r="N448" s="1083"/>
      <c r="O448" s="1083"/>
      <c r="P448" s="1083"/>
      <c r="Q448" s="1083"/>
      <c r="R448" s="1083"/>
      <c r="S448" s="1083"/>
      <c r="T448" s="1083"/>
      <c r="U448" s="1083"/>
      <c r="V448" s="1083"/>
      <c r="W448" s="1083"/>
      <c r="X448" s="1083"/>
      <c r="Y448" s="1083"/>
      <c r="Z448" s="1083"/>
      <c r="AA448" s="1083"/>
      <c r="AB448" s="1083"/>
      <c r="AC448" s="1083"/>
      <c r="AD448" s="1083"/>
      <c r="AE448" s="1083"/>
    </row>
    <row r="449" spans="2:31" ht="13.5" hidden="1" thickTop="1">
      <c r="B449" s="1087"/>
      <c r="C449" s="1603"/>
      <c r="D449" s="1087"/>
      <c r="E449" s="1100"/>
      <c r="F449" s="1105"/>
      <c r="I449" s="1083"/>
      <c r="J449" s="1083"/>
      <c r="K449" s="1083"/>
      <c r="L449" s="1083"/>
      <c r="M449" s="1083"/>
      <c r="N449" s="1083"/>
      <c r="O449" s="1083"/>
      <c r="P449" s="1083"/>
      <c r="Q449" s="1083"/>
      <c r="R449" s="1083"/>
      <c r="S449" s="1083"/>
      <c r="T449" s="1083"/>
      <c r="U449" s="1083"/>
      <c r="V449" s="1083"/>
      <c r="W449" s="1083"/>
      <c r="X449" s="1083"/>
      <c r="Y449" s="1083"/>
      <c r="Z449" s="1083"/>
      <c r="AA449" s="1083"/>
      <c r="AB449" s="1083"/>
      <c r="AC449" s="1083"/>
      <c r="AD449" s="1083"/>
      <c r="AE449" s="1083"/>
    </row>
    <row r="450" spans="2:31" ht="20.25" hidden="1">
      <c r="B450" s="1914" t="s">
        <v>678</v>
      </c>
      <c r="C450" s="1603"/>
      <c r="D450" s="1087"/>
      <c r="E450" s="1100"/>
      <c r="F450" s="1105"/>
      <c r="I450" s="1083"/>
      <c r="J450" s="1083"/>
      <c r="K450" s="1083"/>
      <c r="L450" s="1083"/>
      <c r="M450" s="1083"/>
      <c r="N450" s="1083"/>
      <c r="O450" s="1083"/>
      <c r="P450" s="1083"/>
      <c r="Q450" s="1083"/>
      <c r="R450" s="1083"/>
      <c r="S450" s="1083"/>
      <c r="T450" s="1083"/>
      <c r="U450" s="1083"/>
      <c r="V450" s="1083"/>
      <c r="W450" s="1083"/>
      <c r="X450" s="1083"/>
      <c r="Y450" s="1083"/>
      <c r="Z450" s="1083"/>
      <c r="AA450" s="1083"/>
      <c r="AB450" s="1083"/>
      <c r="AC450" s="1083"/>
      <c r="AD450" s="1083"/>
      <c r="AE450" s="1083"/>
    </row>
    <row r="451" spans="2:31" hidden="1">
      <c r="B451" s="1087"/>
      <c r="C451" s="1603"/>
      <c r="D451" s="1087"/>
      <c r="E451" s="1100"/>
      <c r="F451" s="1105"/>
      <c r="I451" s="1083"/>
      <c r="J451" s="1083"/>
      <c r="K451" s="1083"/>
      <c r="L451" s="1083"/>
      <c r="M451" s="1083"/>
      <c r="N451" s="1083"/>
      <c r="O451" s="1083"/>
      <c r="P451" s="1083"/>
      <c r="Q451" s="1083"/>
      <c r="R451" s="1083"/>
      <c r="S451" s="1083"/>
      <c r="T451" s="1083"/>
      <c r="U451" s="1083"/>
      <c r="V451" s="1083"/>
      <c r="W451" s="1083"/>
      <c r="X451" s="1083"/>
      <c r="Y451" s="1083"/>
      <c r="Z451" s="1083"/>
      <c r="AA451" s="1083"/>
      <c r="AB451" s="1083"/>
      <c r="AC451" s="1083"/>
      <c r="AD451" s="1083"/>
      <c r="AE451" s="1083"/>
    </row>
    <row r="452" spans="2:31" ht="13.5" hidden="1" thickBot="1">
      <c r="B452" s="1387" t="s">
        <v>730</v>
      </c>
      <c r="C452" s="1609"/>
      <c r="D452" s="1131"/>
      <c r="E452" s="1132"/>
      <c r="F452" s="1133"/>
      <c r="I452" s="1083"/>
      <c r="J452" s="1083"/>
      <c r="K452" s="1083"/>
      <c r="L452" s="1083"/>
      <c r="M452" s="1083"/>
      <c r="N452" s="1083"/>
      <c r="O452" s="1083"/>
      <c r="P452" s="1083"/>
      <c r="Q452" s="1083"/>
      <c r="R452" s="1083"/>
      <c r="S452" s="1083"/>
      <c r="T452" s="1083"/>
      <c r="U452" s="1083"/>
      <c r="V452" s="1083"/>
      <c r="W452" s="1083"/>
      <c r="X452" s="1083"/>
      <c r="Y452" s="1083"/>
      <c r="Z452" s="1083"/>
      <c r="AA452" s="1083"/>
      <c r="AB452" s="1083"/>
      <c r="AC452" s="1083"/>
      <c r="AD452" s="1083"/>
      <c r="AE452" s="1083"/>
    </row>
    <row r="453" spans="2:31" ht="13.5" hidden="1" thickTop="1">
      <c r="B453" s="1137" t="s">
        <v>1225</v>
      </c>
      <c r="C453" s="1610">
        <v>1.05</v>
      </c>
      <c r="D453" s="1138" t="s">
        <v>2</v>
      </c>
      <c r="E453" s="1139" t="e">
        <f>+E446</f>
        <v>#REF!</v>
      </c>
      <c r="F453" s="1140" t="e">
        <f>C453*E453</f>
        <v>#REF!</v>
      </c>
      <c r="I453" s="1083"/>
      <c r="J453" s="1083"/>
      <c r="K453" s="1083"/>
      <c r="L453" s="1083"/>
      <c r="M453" s="1083"/>
      <c r="N453" s="1083"/>
      <c r="O453" s="1083"/>
      <c r="P453" s="1083"/>
      <c r="Q453" s="1083"/>
      <c r="R453" s="1083"/>
      <c r="S453" s="1083"/>
      <c r="T453" s="1083"/>
      <c r="U453" s="1083"/>
      <c r="V453" s="1083"/>
      <c r="W453" s="1083"/>
      <c r="X453" s="1083"/>
      <c r="Y453" s="1083"/>
      <c r="Z453" s="1083"/>
      <c r="AA453" s="1083"/>
      <c r="AB453" s="1083"/>
      <c r="AC453" s="1083"/>
      <c r="AD453" s="1083"/>
      <c r="AE453" s="1083"/>
    </row>
    <row r="454" spans="2:31" hidden="1">
      <c r="B454" s="1141" t="s">
        <v>272</v>
      </c>
      <c r="C454" s="1611">
        <v>0.56000000000000005</v>
      </c>
      <c r="D454" s="1142" t="s">
        <v>126</v>
      </c>
      <c r="E454" s="1143">
        <f>+E447</f>
        <v>2913</v>
      </c>
      <c r="F454" s="1144">
        <f>C454*E454</f>
        <v>1631.28</v>
      </c>
      <c r="I454" s="1083"/>
      <c r="J454" s="1083"/>
      <c r="K454" s="1083"/>
      <c r="L454" s="1083"/>
      <c r="M454" s="1083"/>
      <c r="N454" s="1083"/>
      <c r="O454" s="1083"/>
      <c r="P454" s="1083"/>
      <c r="Q454" s="1083"/>
      <c r="R454" s="1083"/>
      <c r="S454" s="1083"/>
      <c r="T454" s="1083"/>
      <c r="U454" s="1083"/>
      <c r="V454" s="1083"/>
      <c r="W454" s="1083"/>
      <c r="X454" s="1083"/>
      <c r="Y454" s="1083"/>
      <c r="Z454" s="1083"/>
      <c r="AA454" s="1083"/>
      <c r="AB454" s="1083"/>
      <c r="AC454" s="1083"/>
      <c r="AD454" s="1083"/>
      <c r="AE454" s="1083"/>
    </row>
    <row r="455" spans="2:31" ht="13.5" hidden="1" thickBot="1">
      <c r="B455" s="1145"/>
      <c r="C455" s="1612"/>
      <c r="D455" s="1146"/>
      <c r="E455" s="1147" t="s">
        <v>1031</v>
      </c>
      <c r="F455" s="1148" t="e">
        <f>ROUND(SUM(F453:F454),2)</f>
        <v>#REF!</v>
      </c>
      <c r="I455" s="1083"/>
      <c r="J455" s="1083"/>
      <c r="K455" s="1083"/>
      <c r="L455" s="1083"/>
      <c r="M455" s="1083"/>
      <c r="N455" s="1083"/>
      <c r="O455" s="1083"/>
      <c r="P455" s="1083"/>
      <c r="Q455" s="1083"/>
      <c r="R455" s="1083"/>
      <c r="S455" s="1083"/>
      <c r="T455" s="1083"/>
      <c r="U455" s="1083"/>
      <c r="V455" s="1083"/>
      <c r="W455" s="1083"/>
      <c r="X455" s="1083"/>
      <c r="Y455" s="1083"/>
      <c r="Z455" s="1083"/>
      <c r="AA455" s="1083"/>
      <c r="AB455" s="1083"/>
      <c r="AC455" s="1083"/>
      <c r="AD455" s="1083"/>
      <c r="AE455" s="1083"/>
    </row>
    <row r="456" spans="2:31" ht="13.5" hidden="1" thickTop="1">
      <c r="B456" s="1149"/>
      <c r="C456" s="1613"/>
      <c r="D456" s="1149"/>
      <c r="E456" s="1150"/>
      <c r="F456" s="1151"/>
      <c r="I456" s="1083"/>
      <c r="J456" s="1083"/>
      <c r="K456" s="1083"/>
      <c r="L456" s="1083"/>
      <c r="M456" s="1083"/>
      <c r="N456" s="1083"/>
      <c r="O456" s="1083"/>
      <c r="P456" s="1083"/>
      <c r="Q456" s="1083"/>
      <c r="R456" s="1083"/>
      <c r="S456" s="1083"/>
      <c r="T456" s="1083"/>
      <c r="U456" s="1083"/>
      <c r="V456" s="1083"/>
      <c r="W456" s="1083"/>
      <c r="X456" s="1083"/>
      <c r="Y456" s="1083"/>
      <c r="Z456" s="1083"/>
      <c r="AA456" s="1083"/>
      <c r="AB456" s="1083"/>
      <c r="AC456" s="1083"/>
      <c r="AD456" s="1083"/>
      <c r="AE456" s="1083"/>
    </row>
    <row r="457" spans="2:31" ht="13.5" hidden="1" thickBot="1">
      <c r="B457" s="1392" t="s">
        <v>732</v>
      </c>
      <c r="C457" s="1614"/>
      <c r="D457" s="1135"/>
      <c r="E457" s="1135"/>
      <c r="F457" s="1135"/>
      <c r="I457" s="1083"/>
      <c r="J457" s="1083"/>
      <c r="K457" s="1083"/>
      <c r="L457" s="1083"/>
      <c r="M457" s="1083"/>
      <c r="N457" s="1083"/>
      <c r="O457" s="1083"/>
      <c r="P457" s="1083"/>
      <c r="Q457" s="1083"/>
      <c r="R457" s="1083"/>
      <c r="S457" s="1083"/>
      <c r="T457" s="1083"/>
      <c r="U457" s="1083"/>
      <c r="V457" s="1083"/>
      <c r="W457" s="1083"/>
      <c r="X457" s="1083"/>
      <c r="Y457" s="1083"/>
      <c r="Z457" s="1083"/>
      <c r="AA457" s="1083"/>
      <c r="AB457" s="1083"/>
      <c r="AC457" s="1083"/>
      <c r="AD457" s="1083"/>
      <c r="AE457" s="1083"/>
    </row>
    <row r="458" spans="2:31" ht="13.5" hidden="1" thickTop="1">
      <c r="B458" s="1137" t="s">
        <v>1225</v>
      </c>
      <c r="C458" s="1610">
        <v>1.05</v>
      </c>
      <c r="D458" s="1138" t="s">
        <v>2</v>
      </c>
      <c r="E458" s="1139" t="e">
        <f>+E453</f>
        <v>#REF!</v>
      </c>
      <c r="F458" s="1140" t="e">
        <f>C458*E458</f>
        <v>#REF!</v>
      </c>
      <c r="I458" s="1083"/>
      <c r="J458" s="1083"/>
      <c r="K458" s="1083"/>
      <c r="L458" s="1083"/>
      <c r="M458" s="1083"/>
      <c r="N458" s="1083"/>
      <c r="O458" s="1083"/>
      <c r="P458" s="1083"/>
      <c r="Q458" s="1083"/>
      <c r="R458" s="1083"/>
      <c r="S458" s="1083"/>
      <c r="T458" s="1083"/>
      <c r="U458" s="1083"/>
      <c r="V458" s="1083"/>
      <c r="W458" s="1083"/>
      <c r="X458" s="1083"/>
      <c r="Y458" s="1083"/>
      <c r="Z458" s="1083"/>
      <c r="AA458" s="1083"/>
      <c r="AB458" s="1083"/>
      <c r="AC458" s="1083"/>
      <c r="AD458" s="1083"/>
      <c r="AE458" s="1083"/>
    </row>
    <row r="459" spans="2:31" hidden="1">
      <c r="B459" s="1141" t="s">
        <v>1087</v>
      </c>
      <c r="C459" s="1611">
        <v>2.5</v>
      </c>
      <c r="D459" s="1142" t="s">
        <v>126</v>
      </c>
      <c r="E459" s="1143">
        <f>+E454</f>
        <v>2913</v>
      </c>
      <c r="F459" s="1144">
        <f>C459*E459</f>
        <v>7282.5</v>
      </c>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1083"/>
      <c r="AD459" s="1083"/>
      <c r="AE459" s="1083"/>
    </row>
    <row r="460" spans="2:31" hidden="1">
      <c r="B460" s="1141" t="s">
        <v>1089</v>
      </c>
      <c r="C460" s="1611">
        <f>1/0.25</f>
        <v>4</v>
      </c>
      <c r="D460" s="1152" t="s">
        <v>1</v>
      </c>
      <c r="E460" s="1143">
        <v>1000</v>
      </c>
      <c r="F460" s="1144">
        <f>C460*E460</f>
        <v>4000</v>
      </c>
      <c r="I460" s="1083"/>
      <c r="J460" s="1083"/>
      <c r="K460" s="1083"/>
      <c r="L460" s="1083"/>
      <c r="M460" s="1083"/>
      <c r="N460" s="1083"/>
      <c r="O460" s="1083"/>
      <c r="P460" s="1083"/>
      <c r="Q460" s="1083"/>
      <c r="R460" s="1083"/>
      <c r="S460" s="1083"/>
      <c r="T460" s="1083"/>
      <c r="U460" s="1083"/>
      <c r="V460" s="1083"/>
      <c r="W460" s="1083"/>
      <c r="X460" s="1083"/>
      <c r="Y460" s="1083"/>
      <c r="Z460" s="1083"/>
      <c r="AA460" s="1083"/>
      <c r="AB460" s="1083"/>
      <c r="AC460" s="1083"/>
      <c r="AD460" s="1083"/>
      <c r="AE460" s="1083"/>
    </row>
    <row r="461" spans="2:31" ht="13.5" hidden="1" thickBot="1">
      <c r="B461" s="1145"/>
      <c r="C461" s="1612"/>
      <c r="D461" s="1146"/>
      <c r="E461" s="1147" t="s">
        <v>1031</v>
      </c>
      <c r="F461" s="1148" t="e">
        <f>ROUND(SUM(F458:F460),2)</f>
        <v>#REF!</v>
      </c>
      <c r="I461" s="1083"/>
      <c r="J461" s="1083"/>
      <c r="K461" s="1083"/>
      <c r="L461" s="1083"/>
      <c r="M461" s="1083"/>
      <c r="N461" s="1083"/>
      <c r="O461" s="1083"/>
      <c r="P461" s="1083"/>
      <c r="Q461" s="1083"/>
      <c r="R461" s="1083"/>
      <c r="S461" s="1083"/>
      <c r="T461" s="1083"/>
      <c r="U461" s="1083"/>
      <c r="V461" s="1083"/>
      <c r="W461" s="1083"/>
      <c r="X461" s="1083"/>
      <c r="Y461" s="1083"/>
      <c r="Z461" s="1083"/>
      <c r="AA461" s="1083"/>
      <c r="AB461" s="1083"/>
      <c r="AC461" s="1083"/>
      <c r="AD461" s="1083"/>
      <c r="AE461" s="1083"/>
    </row>
    <row r="462" spans="2:31" ht="13.5" hidden="1" thickTop="1">
      <c r="B462" s="1087"/>
      <c r="C462" s="1603"/>
      <c r="D462" s="1087"/>
      <c r="E462" s="1100"/>
      <c r="F462" s="1105"/>
      <c r="I462" s="1083"/>
      <c r="J462" s="1083"/>
      <c r="K462" s="1083"/>
      <c r="L462" s="1083"/>
      <c r="M462" s="1083"/>
      <c r="N462" s="1083"/>
      <c r="O462" s="1083"/>
      <c r="P462" s="1083"/>
      <c r="Q462" s="1083"/>
      <c r="R462" s="1083"/>
      <c r="S462" s="1083"/>
      <c r="T462" s="1083"/>
      <c r="U462" s="1083"/>
      <c r="V462" s="1083"/>
      <c r="W462" s="1083"/>
      <c r="X462" s="1083"/>
      <c r="Y462" s="1083"/>
      <c r="Z462" s="1083"/>
      <c r="AA462" s="1083"/>
      <c r="AB462" s="1083"/>
      <c r="AC462" s="1083"/>
      <c r="AD462" s="1083"/>
      <c r="AE462" s="1083"/>
    </row>
    <row r="463" spans="2:31" ht="20.25" hidden="1">
      <c r="B463" s="1914" t="s">
        <v>736</v>
      </c>
      <c r="C463" s="1603"/>
      <c r="D463" s="1087"/>
      <c r="E463" s="1100"/>
      <c r="F463" s="1105"/>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1083"/>
      <c r="AD463" s="1083"/>
      <c r="AE463" s="1083"/>
    </row>
    <row r="464" spans="2:31" hidden="1">
      <c r="B464" s="1087"/>
      <c r="C464" s="1603"/>
      <c r="D464" s="1087"/>
      <c r="E464" s="1100"/>
      <c r="F464" s="1105"/>
      <c r="I464" s="1083"/>
      <c r="J464" s="1083"/>
      <c r="K464" s="1083"/>
      <c r="L464" s="1083"/>
      <c r="M464" s="1083"/>
      <c r="N464" s="1083"/>
      <c r="O464" s="1083"/>
      <c r="P464" s="1083"/>
      <c r="Q464" s="1083"/>
      <c r="R464" s="1083"/>
      <c r="S464" s="1083"/>
      <c r="T464" s="1083"/>
      <c r="U464" s="1083"/>
      <c r="V464" s="1083"/>
      <c r="W464" s="1083"/>
      <c r="X464" s="1083"/>
      <c r="Y464" s="1083"/>
      <c r="Z464" s="1083"/>
      <c r="AA464" s="1083"/>
      <c r="AB464" s="1083"/>
      <c r="AC464" s="1083"/>
      <c r="AD464" s="1083"/>
      <c r="AE464" s="1083"/>
    </row>
    <row r="465" spans="2:31" ht="13.5" hidden="1" thickBot="1">
      <c r="B465" s="1387" t="s">
        <v>738</v>
      </c>
      <c r="C465" s="1609"/>
      <c r="D465" s="1131"/>
      <c r="E465" s="1132"/>
      <c r="F465" s="113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1083"/>
      <c r="AD465" s="1083"/>
      <c r="AE465" s="1083"/>
    </row>
    <row r="466" spans="2:31" ht="13.5" hidden="1" thickTop="1">
      <c r="B466" s="1137" t="s">
        <v>1225</v>
      </c>
      <c r="C466" s="1610">
        <v>1.05</v>
      </c>
      <c r="D466" s="1138" t="s">
        <v>2</v>
      </c>
      <c r="E466" s="1139" t="e">
        <f>+E458</f>
        <v>#REF!</v>
      </c>
      <c r="F466" s="1140" t="e">
        <f>C466*E466</f>
        <v>#REF!</v>
      </c>
      <c r="I466" s="1083"/>
      <c r="J466" s="1083"/>
      <c r="K466" s="1083"/>
      <c r="L466" s="1083"/>
      <c r="M466" s="1083"/>
      <c r="N466" s="1083"/>
      <c r="O466" s="1083"/>
      <c r="P466" s="1083"/>
      <c r="Q466" s="1083"/>
      <c r="R466" s="1083"/>
      <c r="S466" s="1083"/>
      <c r="T466" s="1083"/>
      <c r="U466" s="1083"/>
      <c r="V466" s="1083"/>
      <c r="W466" s="1083"/>
      <c r="X466" s="1083"/>
      <c r="Y466" s="1083"/>
      <c r="Z466" s="1083"/>
      <c r="AA466" s="1083"/>
      <c r="AB466" s="1083"/>
      <c r="AC466" s="1083"/>
      <c r="AD466" s="1083"/>
      <c r="AE466" s="1083"/>
    </row>
    <row r="467" spans="2:31" hidden="1">
      <c r="B467" s="1141" t="s">
        <v>272</v>
      </c>
      <c r="C467" s="1611">
        <v>1.65</v>
      </c>
      <c r="D467" s="1142" t="s">
        <v>126</v>
      </c>
      <c r="E467" s="1143">
        <f>+E459</f>
        <v>2913</v>
      </c>
      <c r="F467" s="1144">
        <f>C467*E467</f>
        <v>4806.45</v>
      </c>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1083"/>
      <c r="AD467" s="1083"/>
      <c r="AE467" s="1083"/>
    </row>
    <row r="468" spans="2:31" ht="13.5" hidden="1" thickBot="1">
      <c r="B468" s="1145"/>
      <c r="C468" s="1612"/>
      <c r="D468" s="1146"/>
      <c r="E468" s="1147" t="s">
        <v>1031</v>
      </c>
      <c r="F468" s="1148" t="e">
        <f>ROUND(SUM(F466:F467),2)</f>
        <v>#REF!</v>
      </c>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1083"/>
      <c r="AD468" s="1083"/>
      <c r="AE468" s="1083"/>
    </row>
    <row r="469" spans="2:31" ht="13.5" hidden="1" thickTop="1">
      <c r="B469" s="1087"/>
      <c r="C469" s="1603"/>
      <c r="D469" s="1087"/>
      <c r="E469" s="1100"/>
      <c r="F469" s="1105"/>
      <c r="I469" s="1083"/>
      <c r="J469" s="1083"/>
      <c r="K469" s="1083"/>
      <c r="L469" s="1083"/>
      <c r="M469" s="1083"/>
      <c r="N469" s="1083"/>
      <c r="O469" s="1083"/>
      <c r="P469" s="1083"/>
      <c r="Q469" s="1083"/>
      <c r="R469" s="1083"/>
      <c r="S469" s="1083"/>
      <c r="T469" s="1083"/>
      <c r="U469" s="1083"/>
      <c r="V469" s="1083"/>
      <c r="W469" s="1083"/>
      <c r="X469" s="1083"/>
      <c r="Y469" s="1083"/>
      <c r="Z469" s="1083"/>
      <c r="AA469" s="1083"/>
      <c r="AB469" s="1083"/>
      <c r="AC469" s="1083"/>
      <c r="AD469" s="1083"/>
      <c r="AE469" s="1083"/>
    </row>
    <row r="470" spans="2:31" ht="20.25" hidden="1">
      <c r="B470" s="1914" t="s">
        <v>741</v>
      </c>
      <c r="C470" s="1603"/>
      <c r="D470" s="1087"/>
      <c r="E470" s="1100"/>
      <c r="F470" s="1105"/>
      <c r="I470" s="1083"/>
      <c r="J470" s="1083"/>
      <c r="K470" s="1083"/>
      <c r="L470" s="1083"/>
      <c r="M470" s="1083"/>
      <c r="N470" s="1083"/>
      <c r="O470" s="1083"/>
      <c r="P470" s="1083"/>
      <c r="Q470" s="1083"/>
      <c r="R470" s="1083"/>
      <c r="S470" s="1083"/>
      <c r="T470" s="1083"/>
      <c r="U470" s="1083"/>
      <c r="V470" s="1083"/>
      <c r="W470" s="1083"/>
      <c r="X470" s="1083"/>
      <c r="Y470" s="1083"/>
      <c r="Z470" s="1083"/>
      <c r="AA470" s="1083"/>
      <c r="AB470" s="1083"/>
      <c r="AC470" s="1083"/>
      <c r="AD470" s="1083"/>
      <c r="AE470" s="1083"/>
    </row>
    <row r="471" spans="2:31" hidden="1">
      <c r="B471" s="1087"/>
      <c r="C471" s="1603"/>
      <c r="D471" s="1087"/>
      <c r="E471" s="1100"/>
      <c r="F471" s="1105"/>
      <c r="I471" s="1083"/>
      <c r="J471" s="1083"/>
      <c r="K471" s="1083"/>
      <c r="L471" s="1083"/>
      <c r="M471" s="1083"/>
      <c r="N471" s="1083"/>
      <c r="O471" s="1083"/>
      <c r="P471" s="1083"/>
      <c r="Q471" s="1083"/>
      <c r="R471" s="1083"/>
      <c r="S471" s="1083"/>
      <c r="T471" s="1083"/>
      <c r="U471" s="1083"/>
      <c r="V471" s="1083"/>
      <c r="W471" s="1083"/>
      <c r="X471" s="1083"/>
      <c r="Y471" s="1083"/>
      <c r="Z471" s="1083"/>
      <c r="AA471" s="1083"/>
      <c r="AB471" s="1083"/>
      <c r="AC471" s="1083"/>
      <c r="AD471" s="1083"/>
      <c r="AE471" s="1083"/>
    </row>
    <row r="472" spans="2:31" ht="13.5" hidden="1" thickBot="1">
      <c r="B472" s="1387" t="s">
        <v>584</v>
      </c>
      <c r="C472" s="1609"/>
      <c r="D472" s="1131"/>
      <c r="E472" s="1132"/>
      <c r="F472" s="1133"/>
      <c r="I472" s="1083"/>
      <c r="J472" s="1083"/>
      <c r="K472" s="1083"/>
      <c r="L472" s="1083"/>
      <c r="M472" s="1083"/>
      <c r="N472" s="1083"/>
      <c r="O472" s="1083"/>
      <c r="P472" s="1083"/>
      <c r="Q472" s="1083"/>
      <c r="R472" s="1083"/>
      <c r="S472" s="1083"/>
      <c r="T472" s="1083"/>
      <c r="U472" s="1083"/>
      <c r="V472" s="1083"/>
      <c r="W472" s="1083"/>
      <c r="X472" s="1083"/>
      <c r="Y472" s="1083"/>
      <c r="Z472" s="1083"/>
      <c r="AA472" s="1083"/>
      <c r="AB472" s="1083"/>
      <c r="AC472" s="1083"/>
      <c r="AD472" s="1083"/>
      <c r="AE472" s="1083"/>
    </row>
    <row r="473" spans="2:31" ht="13.5" hidden="1" thickTop="1">
      <c r="B473" s="1137" t="s">
        <v>1225</v>
      </c>
      <c r="C473" s="1610">
        <v>1.05</v>
      </c>
      <c r="D473" s="1138" t="s">
        <v>2</v>
      </c>
      <c r="E473" s="1139" t="e">
        <f>+E466</f>
        <v>#REF!</v>
      </c>
      <c r="F473" s="1140" t="e">
        <f>C473*E473</f>
        <v>#REF!</v>
      </c>
      <c r="I473" s="1083"/>
      <c r="J473" s="1083"/>
      <c r="K473" s="1083"/>
      <c r="L473" s="1083"/>
      <c r="M473" s="1083"/>
      <c r="N473" s="1083"/>
      <c r="O473" s="1083"/>
      <c r="P473" s="1083"/>
      <c r="Q473" s="1083"/>
      <c r="R473" s="1083"/>
      <c r="S473" s="1083"/>
      <c r="T473" s="1083"/>
      <c r="U473" s="1083"/>
      <c r="V473" s="1083"/>
      <c r="W473" s="1083"/>
      <c r="X473" s="1083"/>
      <c r="Y473" s="1083"/>
      <c r="Z473" s="1083"/>
      <c r="AA473" s="1083"/>
      <c r="AB473" s="1083"/>
      <c r="AC473" s="1083"/>
      <c r="AD473" s="1083"/>
      <c r="AE473" s="1083"/>
    </row>
    <row r="474" spans="2:31" hidden="1">
      <c r="B474" s="1141" t="s">
        <v>272</v>
      </c>
      <c r="C474" s="1611">
        <v>1.79</v>
      </c>
      <c r="D474" s="1142" t="s">
        <v>126</v>
      </c>
      <c r="E474" s="1143">
        <f>+E467</f>
        <v>2913</v>
      </c>
      <c r="F474" s="1144">
        <f>C474*E474</f>
        <v>5214.2700000000004</v>
      </c>
      <c r="I474" s="1083"/>
      <c r="J474" s="1083"/>
      <c r="K474" s="1083"/>
      <c r="L474" s="1083"/>
      <c r="M474" s="1083"/>
      <c r="N474" s="1083"/>
      <c r="O474" s="1083"/>
      <c r="P474" s="1083"/>
      <c r="Q474" s="1083"/>
      <c r="R474" s="1083"/>
      <c r="S474" s="1083"/>
      <c r="T474" s="1083"/>
      <c r="U474" s="1083"/>
      <c r="V474" s="1083"/>
      <c r="W474" s="1083"/>
      <c r="X474" s="1083"/>
      <c r="Y474" s="1083"/>
      <c r="Z474" s="1083"/>
      <c r="AA474" s="1083"/>
      <c r="AB474" s="1083"/>
      <c r="AC474" s="1083"/>
      <c r="AD474" s="1083"/>
      <c r="AE474" s="1083"/>
    </row>
    <row r="475" spans="2:31" ht="13.5" hidden="1" thickBot="1">
      <c r="B475" s="1145"/>
      <c r="C475" s="1612"/>
      <c r="D475" s="1146"/>
      <c r="E475" s="1147" t="s">
        <v>1031</v>
      </c>
      <c r="F475" s="1148" t="e">
        <f>ROUND(SUM(F473:F474),2)</f>
        <v>#REF!</v>
      </c>
      <c r="I475" s="1083"/>
      <c r="J475" s="1083"/>
      <c r="K475" s="1083"/>
      <c r="L475" s="1083"/>
      <c r="M475" s="1083"/>
      <c r="N475" s="1083"/>
      <c r="O475" s="1083"/>
      <c r="P475" s="1083"/>
      <c r="Q475" s="1083"/>
      <c r="R475" s="1083"/>
      <c r="S475" s="1083"/>
      <c r="T475" s="1083"/>
      <c r="U475" s="1083"/>
      <c r="V475" s="1083"/>
      <c r="W475" s="1083"/>
      <c r="X475" s="1083"/>
      <c r="Y475" s="1083"/>
      <c r="Z475" s="1083"/>
      <c r="AA475" s="1083"/>
      <c r="AB475" s="1083"/>
      <c r="AC475" s="1083"/>
      <c r="AD475" s="1083"/>
      <c r="AE475" s="1083"/>
    </row>
    <row r="476" spans="2:31" ht="13.5" hidden="1" thickTop="1">
      <c r="B476" s="1149"/>
      <c r="C476" s="1613"/>
      <c r="D476" s="1149"/>
      <c r="E476" s="1150"/>
      <c r="F476" s="1151"/>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row>
    <row r="477" spans="2:31" ht="13.5" hidden="1" thickBot="1">
      <c r="B477" s="1392" t="s">
        <v>585</v>
      </c>
      <c r="C477" s="1614"/>
      <c r="D477" s="1135"/>
      <c r="E477" s="1135"/>
      <c r="F477" s="1135"/>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row>
    <row r="478" spans="2:31" ht="13.5" hidden="1" thickTop="1">
      <c r="B478" s="1137" t="s">
        <v>1225</v>
      </c>
      <c r="C478" s="1610">
        <v>1.05</v>
      </c>
      <c r="D478" s="1138" t="s">
        <v>2</v>
      </c>
      <c r="E478" s="1139" t="e">
        <f>+E473</f>
        <v>#REF!</v>
      </c>
      <c r="F478" s="1140" t="e">
        <f>C478*E478</f>
        <v>#REF!</v>
      </c>
      <c r="I478" s="1083"/>
      <c r="J478" s="1083"/>
      <c r="K478" s="1083"/>
      <c r="L478" s="1083"/>
      <c r="M478" s="1083"/>
      <c r="N478" s="1083"/>
      <c r="O478" s="1083"/>
      <c r="P478" s="1083"/>
      <c r="Q478" s="1083"/>
      <c r="R478" s="1083"/>
      <c r="S478" s="1083"/>
      <c r="T478" s="1083"/>
      <c r="U478" s="1083"/>
      <c r="V478" s="1083"/>
      <c r="W478" s="1083"/>
      <c r="X478" s="1083"/>
      <c r="Y478" s="1083"/>
      <c r="Z478" s="1083"/>
      <c r="AA478" s="1083"/>
      <c r="AB478" s="1083"/>
      <c r="AC478" s="1083"/>
      <c r="AD478" s="1083"/>
      <c r="AE478" s="1083"/>
    </row>
    <row r="479" spans="2:31" hidden="1">
      <c r="B479" s="1141" t="s">
        <v>1087</v>
      </c>
      <c r="C479" s="1611">
        <v>1.6</v>
      </c>
      <c r="D479" s="1142" t="s">
        <v>126</v>
      </c>
      <c r="E479" s="1143">
        <f>+E474</f>
        <v>2913</v>
      </c>
      <c r="F479" s="1144">
        <f>C479*E479</f>
        <v>4660.8</v>
      </c>
      <c r="I479" s="1083"/>
      <c r="J479" s="1083"/>
      <c r="K479" s="1083"/>
      <c r="L479" s="1083"/>
      <c r="M479" s="1083"/>
      <c r="N479" s="1083"/>
      <c r="O479" s="1083"/>
      <c r="P479" s="1083"/>
      <c r="Q479" s="1083"/>
      <c r="R479" s="1083"/>
      <c r="S479" s="1083"/>
      <c r="T479" s="1083"/>
      <c r="U479" s="1083"/>
      <c r="V479" s="1083"/>
      <c r="W479" s="1083"/>
      <c r="X479" s="1083"/>
      <c r="Y479" s="1083"/>
      <c r="Z479" s="1083"/>
      <c r="AA479" s="1083"/>
      <c r="AB479" s="1083"/>
      <c r="AC479" s="1083"/>
      <c r="AD479" s="1083"/>
      <c r="AE479" s="1083"/>
    </row>
    <row r="480" spans="2:31" hidden="1">
      <c r="B480" s="1141" t="s">
        <v>1089</v>
      </c>
      <c r="C480" s="1611">
        <f>1/0.2</f>
        <v>5</v>
      </c>
      <c r="D480" s="1152" t="s">
        <v>1</v>
      </c>
      <c r="E480" s="1143">
        <v>1000</v>
      </c>
      <c r="F480" s="1144">
        <f>C480*E480</f>
        <v>5000</v>
      </c>
      <c r="I480" s="1083"/>
      <c r="J480" s="1083"/>
      <c r="K480" s="1083"/>
      <c r="L480" s="1083"/>
      <c r="M480" s="1083"/>
      <c r="N480" s="1083"/>
      <c r="O480" s="1083"/>
      <c r="P480" s="1083"/>
      <c r="Q480" s="1083"/>
      <c r="R480" s="1083"/>
      <c r="S480" s="1083"/>
      <c r="T480" s="1083"/>
      <c r="U480" s="1083"/>
      <c r="V480" s="1083"/>
      <c r="W480" s="1083"/>
      <c r="X480" s="1083"/>
      <c r="Y480" s="1083"/>
      <c r="Z480" s="1083"/>
      <c r="AA480" s="1083"/>
      <c r="AB480" s="1083"/>
      <c r="AC480" s="1083"/>
      <c r="AD480" s="1083"/>
      <c r="AE480" s="1083"/>
    </row>
    <row r="481" spans="2:31" ht="13.5" hidden="1" thickBot="1">
      <c r="B481" s="1145"/>
      <c r="C481" s="1612"/>
      <c r="D481" s="1146"/>
      <c r="E481" s="1147" t="s">
        <v>1031</v>
      </c>
      <c r="F481" s="1148" t="e">
        <f>ROUND(SUM(F478:F480),2)</f>
        <v>#REF!</v>
      </c>
      <c r="I481" s="1083"/>
      <c r="J481" s="1083"/>
      <c r="K481" s="1083"/>
      <c r="L481" s="1083"/>
      <c r="M481" s="1083"/>
      <c r="N481" s="1083"/>
      <c r="O481" s="1083"/>
      <c r="P481" s="1083"/>
      <c r="Q481" s="1083"/>
      <c r="R481" s="1083"/>
      <c r="S481" s="1083"/>
      <c r="T481" s="1083"/>
      <c r="U481" s="1083"/>
      <c r="V481" s="1083"/>
      <c r="W481" s="1083"/>
      <c r="X481" s="1083"/>
      <c r="Y481" s="1083"/>
      <c r="Z481" s="1083"/>
      <c r="AA481" s="1083"/>
      <c r="AB481" s="1083"/>
      <c r="AC481" s="1083"/>
      <c r="AD481" s="1083"/>
      <c r="AE481" s="1083"/>
    </row>
    <row r="482" spans="2:31" ht="13.5" hidden="1" thickTop="1">
      <c r="B482" s="1087"/>
      <c r="C482" s="1603"/>
      <c r="D482" s="1087"/>
      <c r="E482" s="1100"/>
      <c r="F482" s="1105"/>
      <c r="I482" s="1083"/>
      <c r="J482" s="1083"/>
      <c r="K482" s="1083"/>
      <c r="L482" s="1083"/>
      <c r="M482" s="1083"/>
      <c r="N482" s="1083"/>
      <c r="O482" s="1083"/>
      <c r="P482" s="1083"/>
      <c r="Q482" s="1083"/>
      <c r="R482" s="1083"/>
      <c r="S482" s="1083"/>
      <c r="T482" s="1083"/>
      <c r="U482" s="1083"/>
      <c r="V482" s="1083"/>
      <c r="W482" s="1083"/>
      <c r="X482" s="1083"/>
      <c r="Y482" s="1083"/>
      <c r="Z482" s="1083"/>
      <c r="AA482" s="1083"/>
      <c r="AB482" s="1083"/>
      <c r="AC482" s="1083"/>
      <c r="AD482" s="1083"/>
      <c r="AE482" s="1083"/>
    </row>
    <row r="483" spans="2:31" ht="20.25" hidden="1">
      <c r="B483" s="1914" t="s">
        <v>1230</v>
      </c>
      <c r="C483" s="1603"/>
      <c r="D483" s="1087"/>
      <c r="E483" s="1100"/>
      <c r="F483" s="1105"/>
      <c r="I483" s="1083"/>
      <c r="J483" s="1083"/>
      <c r="K483" s="1083"/>
      <c r="L483" s="1083"/>
      <c r="M483" s="1083"/>
      <c r="N483" s="1083"/>
      <c r="O483" s="1083"/>
      <c r="P483" s="1083"/>
      <c r="Q483" s="1083"/>
      <c r="R483" s="1083"/>
      <c r="S483" s="1083"/>
      <c r="T483" s="1083"/>
      <c r="U483" s="1083"/>
      <c r="V483" s="1083"/>
      <c r="W483" s="1083"/>
      <c r="X483" s="1083"/>
      <c r="Y483" s="1083"/>
      <c r="Z483" s="1083"/>
      <c r="AA483" s="1083"/>
      <c r="AB483" s="1083"/>
      <c r="AC483" s="1083"/>
      <c r="AD483" s="1083"/>
      <c r="AE483" s="1083"/>
    </row>
    <row r="484" spans="2:31" hidden="1">
      <c r="B484" s="1087"/>
      <c r="C484" s="1603"/>
      <c r="D484" s="1087"/>
      <c r="E484" s="1100"/>
      <c r="F484" s="1105"/>
      <c r="I484" s="1083"/>
      <c r="J484" s="1083"/>
      <c r="K484" s="1083"/>
      <c r="L484" s="1083"/>
      <c r="M484" s="1083"/>
      <c r="N484" s="1083"/>
      <c r="O484" s="1083"/>
      <c r="P484" s="1083"/>
      <c r="Q484" s="1083"/>
      <c r="R484" s="1083"/>
      <c r="S484" s="1083"/>
      <c r="T484" s="1083"/>
      <c r="U484" s="1083"/>
      <c r="V484" s="1083"/>
      <c r="W484" s="1083"/>
      <c r="X484" s="1083"/>
      <c r="Y484" s="1083"/>
      <c r="Z484" s="1083"/>
      <c r="AA484" s="1083"/>
      <c r="AB484" s="1083"/>
      <c r="AC484" s="1083"/>
      <c r="AD484" s="1083"/>
      <c r="AE484" s="1083"/>
    </row>
    <row r="485" spans="2:31" ht="13.5" hidden="1" thickBot="1">
      <c r="B485" s="1387" t="s">
        <v>777</v>
      </c>
      <c r="C485" s="1609"/>
      <c r="D485" s="1131"/>
      <c r="E485" s="1132"/>
      <c r="F485" s="1133"/>
      <c r="I485" s="1083"/>
      <c r="J485" s="1083"/>
      <c r="K485" s="1083"/>
      <c r="L485" s="1083"/>
      <c r="M485" s="1083"/>
      <c r="N485" s="1083"/>
      <c r="O485" s="1083"/>
      <c r="P485" s="1083"/>
      <c r="Q485" s="1083"/>
      <c r="R485" s="1083"/>
      <c r="S485" s="1083"/>
      <c r="T485" s="1083"/>
      <c r="U485" s="1083"/>
      <c r="V485" s="1083"/>
      <c r="W485" s="1083"/>
      <c r="X485" s="1083"/>
      <c r="Y485" s="1083"/>
      <c r="Z485" s="1083"/>
      <c r="AA485" s="1083"/>
      <c r="AB485" s="1083"/>
      <c r="AC485" s="1083"/>
      <c r="AD485" s="1083"/>
      <c r="AE485" s="1083"/>
    </row>
    <row r="486" spans="2:31" ht="13.5" hidden="1" thickTop="1">
      <c r="B486" s="1137" t="s">
        <v>1225</v>
      </c>
      <c r="C486" s="1610">
        <v>1.05</v>
      </c>
      <c r="D486" s="1138" t="s">
        <v>2</v>
      </c>
      <c r="E486" s="1139" t="e">
        <f>+E478</f>
        <v>#REF!</v>
      </c>
      <c r="F486" s="1140" t="e">
        <f>C486*E486</f>
        <v>#REF!</v>
      </c>
      <c r="I486" s="1083"/>
      <c r="J486" s="1083"/>
      <c r="K486" s="1083"/>
      <c r="L486" s="1083"/>
      <c r="M486" s="1083"/>
      <c r="N486" s="1083"/>
      <c r="O486" s="1083"/>
      <c r="P486" s="1083"/>
      <c r="Q486" s="1083"/>
      <c r="R486" s="1083"/>
      <c r="S486" s="1083"/>
      <c r="T486" s="1083"/>
      <c r="U486" s="1083"/>
      <c r="V486" s="1083"/>
      <c r="W486" s="1083"/>
      <c r="X486" s="1083"/>
      <c r="Y486" s="1083"/>
      <c r="Z486" s="1083"/>
      <c r="AA486" s="1083"/>
      <c r="AB486" s="1083"/>
      <c r="AC486" s="1083"/>
      <c r="AD486" s="1083"/>
      <c r="AE486" s="1083"/>
    </row>
    <row r="487" spans="2:31" hidden="1">
      <c r="B487" s="1141" t="s">
        <v>272</v>
      </c>
      <c r="C487" s="1611">
        <v>0.78</v>
      </c>
      <c r="D487" s="1142" t="s">
        <v>126</v>
      </c>
      <c r="E487" s="1143">
        <f>+E474</f>
        <v>2913</v>
      </c>
      <c r="F487" s="1144">
        <f>C487*E487</f>
        <v>2272.14</v>
      </c>
      <c r="I487" s="1083"/>
      <c r="J487" s="1083"/>
      <c r="K487" s="1083"/>
      <c r="L487" s="1083"/>
      <c r="M487" s="1083"/>
      <c r="N487" s="1083"/>
      <c r="O487" s="1083"/>
      <c r="P487" s="1083"/>
      <c r="Q487" s="1083"/>
      <c r="R487" s="1083"/>
      <c r="S487" s="1083"/>
      <c r="T487" s="1083"/>
      <c r="U487" s="1083"/>
      <c r="V487" s="1083"/>
      <c r="W487" s="1083"/>
      <c r="X487" s="1083"/>
      <c r="Y487" s="1083"/>
      <c r="Z487" s="1083"/>
      <c r="AA487" s="1083"/>
      <c r="AB487" s="1083"/>
      <c r="AC487" s="1083"/>
      <c r="AD487" s="1083"/>
      <c r="AE487" s="1083"/>
    </row>
    <row r="488" spans="2:31" ht="13.5" hidden="1" thickBot="1">
      <c r="B488" s="1145"/>
      <c r="C488" s="1612"/>
      <c r="D488" s="1146"/>
      <c r="E488" s="1147" t="s">
        <v>1031</v>
      </c>
      <c r="F488" s="1148" t="e">
        <f>ROUND(SUM(F486:F487),2)</f>
        <v>#REF!</v>
      </c>
      <c r="I488" s="1083"/>
      <c r="J488" s="1083"/>
      <c r="K488" s="1083"/>
      <c r="L488" s="1083"/>
      <c r="M488" s="1083"/>
      <c r="N488" s="1083"/>
      <c r="O488" s="1083"/>
      <c r="P488" s="1083"/>
      <c r="Q488" s="1083"/>
      <c r="R488" s="1083"/>
      <c r="S488" s="1083"/>
      <c r="T488" s="1083"/>
      <c r="U488" s="1083"/>
      <c r="V488" s="1083"/>
      <c r="W488" s="1083"/>
      <c r="X488" s="1083"/>
      <c r="Y488" s="1083"/>
      <c r="Z488" s="1083"/>
      <c r="AA488" s="1083"/>
      <c r="AB488" s="1083"/>
      <c r="AC488" s="1083"/>
      <c r="AD488" s="1083"/>
      <c r="AE488" s="1083"/>
    </row>
    <row r="489" spans="2:31" ht="13.5" hidden="1" thickTop="1">
      <c r="B489" s="1087"/>
      <c r="C489" s="1603"/>
      <c r="D489" s="1087"/>
      <c r="E489" s="1100"/>
      <c r="F489" s="1105"/>
      <c r="I489" s="1083"/>
      <c r="J489" s="1083"/>
      <c r="K489" s="1083"/>
      <c r="L489" s="1083"/>
      <c r="M489" s="1083"/>
      <c r="N489" s="1083"/>
      <c r="O489" s="1083"/>
      <c r="P489" s="1083"/>
      <c r="Q489" s="1083"/>
      <c r="R489" s="1083"/>
      <c r="S489" s="1083"/>
      <c r="T489" s="1083"/>
      <c r="U489" s="1083"/>
      <c r="V489" s="1083"/>
      <c r="W489" s="1083"/>
      <c r="X489" s="1083"/>
      <c r="Y489" s="1083"/>
      <c r="Z489" s="1083"/>
      <c r="AA489" s="1083"/>
      <c r="AB489" s="1083"/>
      <c r="AC489" s="1083"/>
      <c r="AD489" s="1083"/>
      <c r="AE489" s="1083"/>
    </row>
    <row r="490" spans="2:31" ht="13.5" hidden="1" thickBot="1">
      <c r="B490" s="1387" t="s">
        <v>778</v>
      </c>
      <c r="C490" s="1609"/>
      <c r="D490" s="1131"/>
      <c r="E490" s="1132"/>
      <c r="F490" s="1133"/>
      <c r="I490" s="1083"/>
      <c r="J490" s="1083"/>
      <c r="K490" s="1083"/>
      <c r="L490" s="1083"/>
      <c r="M490" s="1083"/>
      <c r="N490" s="1083"/>
      <c r="O490" s="1083"/>
      <c r="P490" s="1083"/>
      <c r="Q490" s="1083"/>
      <c r="R490" s="1083"/>
      <c r="S490" s="1083"/>
      <c r="T490" s="1083"/>
      <c r="U490" s="1083"/>
      <c r="V490" s="1083"/>
      <c r="W490" s="1083"/>
      <c r="X490" s="1083"/>
      <c r="Y490" s="1083"/>
      <c r="Z490" s="1083"/>
      <c r="AA490" s="1083"/>
      <c r="AB490" s="1083"/>
      <c r="AC490" s="1083"/>
      <c r="AD490" s="1083"/>
      <c r="AE490" s="1083"/>
    </row>
    <row r="491" spans="2:31" ht="13.5" hidden="1" thickTop="1">
      <c r="B491" s="1137" t="s">
        <v>1225</v>
      </c>
      <c r="C491" s="1610">
        <v>1.05</v>
      </c>
      <c r="D491" s="1138" t="s">
        <v>2</v>
      </c>
      <c r="E491" s="1139" t="e">
        <f>+E486</f>
        <v>#REF!</v>
      </c>
      <c r="F491" s="1140" t="e">
        <f>C491*E491</f>
        <v>#REF!</v>
      </c>
      <c r="I491" s="1083"/>
      <c r="J491" s="1083"/>
      <c r="K491" s="1083"/>
      <c r="L491" s="1083"/>
      <c r="M491" s="1083"/>
      <c r="N491" s="1083"/>
      <c r="O491" s="1083"/>
      <c r="P491" s="1083"/>
      <c r="Q491" s="1083"/>
      <c r="R491" s="1083"/>
      <c r="S491" s="1083"/>
      <c r="T491" s="1083"/>
      <c r="U491" s="1083"/>
      <c r="V491" s="1083"/>
      <c r="W491" s="1083"/>
      <c r="X491" s="1083"/>
      <c r="Y491" s="1083"/>
      <c r="Z491" s="1083"/>
      <c r="AA491" s="1083"/>
      <c r="AB491" s="1083"/>
      <c r="AC491" s="1083"/>
      <c r="AD491" s="1083"/>
      <c r="AE491" s="1083"/>
    </row>
    <row r="492" spans="2:31" hidden="1">
      <c r="B492" s="1141" t="s">
        <v>272</v>
      </c>
      <c r="C492" s="1611">
        <v>1.39</v>
      </c>
      <c r="D492" s="1142" t="s">
        <v>126</v>
      </c>
      <c r="E492" s="1143">
        <f>+E487</f>
        <v>2913</v>
      </c>
      <c r="F492" s="1144">
        <f>C492*E492</f>
        <v>4049.07</v>
      </c>
      <c r="I492" s="1083"/>
      <c r="J492" s="1083"/>
      <c r="K492" s="1083"/>
      <c r="L492" s="1083"/>
      <c r="M492" s="1083"/>
      <c r="N492" s="1083"/>
      <c r="O492" s="1083"/>
      <c r="P492" s="1083"/>
      <c r="Q492" s="1083"/>
      <c r="R492" s="1083"/>
      <c r="S492" s="1083"/>
      <c r="T492" s="1083"/>
      <c r="U492" s="1083"/>
      <c r="V492" s="1083"/>
      <c r="W492" s="1083"/>
      <c r="X492" s="1083"/>
      <c r="Y492" s="1083"/>
      <c r="Z492" s="1083"/>
      <c r="AA492" s="1083"/>
      <c r="AB492" s="1083"/>
      <c r="AC492" s="1083"/>
      <c r="AD492" s="1083"/>
      <c r="AE492" s="1083"/>
    </row>
    <row r="493" spans="2:31" ht="13.5" hidden="1" thickBot="1">
      <c r="B493" s="1145"/>
      <c r="C493" s="1612"/>
      <c r="D493" s="1146"/>
      <c r="E493" s="1147" t="s">
        <v>1031</v>
      </c>
      <c r="F493" s="1148" t="e">
        <f>ROUND(SUM(F491:F492),2)</f>
        <v>#REF!</v>
      </c>
      <c r="I493" s="1083"/>
      <c r="J493" s="1083"/>
      <c r="K493" s="1083"/>
      <c r="L493" s="1083"/>
      <c r="M493" s="1083"/>
      <c r="N493" s="1083"/>
      <c r="O493" s="1083"/>
      <c r="P493" s="1083"/>
      <c r="Q493" s="1083"/>
      <c r="R493" s="1083"/>
      <c r="S493" s="1083"/>
      <c r="T493" s="1083"/>
      <c r="U493" s="1083"/>
      <c r="V493" s="1083"/>
      <c r="W493" s="1083"/>
      <c r="X493" s="1083"/>
      <c r="Y493" s="1083"/>
      <c r="Z493" s="1083"/>
      <c r="AA493" s="1083"/>
      <c r="AB493" s="1083"/>
      <c r="AC493" s="1083"/>
      <c r="AD493" s="1083"/>
      <c r="AE493" s="1083"/>
    </row>
    <row r="494" spans="2:31" ht="13.5" hidden="1" thickTop="1">
      <c r="B494" s="1149"/>
      <c r="C494" s="1613"/>
      <c r="D494" s="1149"/>
      <c r="E494" s="1150"/>
      <c r="F494" s="1151"/>
      <c r="I494" s="1083"/>
      <c r="J494" s="1083"/>
      <c r="K494" s="1083"/>
      <c r="L494" s="1083"/>
      <c r="M494" s="1083"/>
      <c r="N494" s="1083"/>
      <c r="O494" s="1083"/>
      <c r="P494" s="1083"/>
      <c r="Q494" s="1083"/>
      <c r="R494" s="1083"/>
      <c r="S494" s="1083"/>
      <c r="T494" s="1083"/>
      <c r="U494" s="1083"/>
      <c r="V494" s="1083"/>
      <c r="W494" s="1083"/>
      <c r="X494" s="1083"/>
      <c r="Y494" s="1083"/>
      <c r="Z494" s="1083"/>
      <c r="AA494" s="1083"/>
      <c r="AB494" s="1083"/>
      <c r="AC494" s="1083"/>
      <c r="AD494" s="1083"/>
      <c r="AE494" s="1083"/>
    </row>
    <row r="495" spans="2:31" hidden="1">
      <c r="B495" s="1087"/>
      <c r="C495" s="1603"/>
      <c r="D495" s="1087"/>
      <c r="E495" s="1100"/>
      <c r="F495" s="1105"/>
      <c r="I495" s="1083"/>
      <c r="J495" s="1083"/>
      <c r="K495" s="1083"/>
      <c r="L495" s="1083"/>
      <c r="M495" s="1083"/>
      <c r="N495" s="1083"/>
      <c r="O495" s="1083"/>
      <c r="P495" s="1083"/>
      <c r="Q495" s="1083"/>
      <c r="R495" s="1083"/>
      <c r="S495" s="1083"/>
      <c r="T495" s="1083"/>
      <c r="U495" s="1083"/>
      <c r="V495" s="1083"/>
      <c r="W495" s="1083"/>
      <c r="X495" s="1083"/>
      <c r="Y495" s="1083"/>
      <c r="Z495" s="1083"/>
      <c r="AA495" s="1083"/>
      <c r="AB495" s="1083"/>
      <c r="AC495" s="1083"/>
      <c r="AD495" s="1083"/>
      <c r="AE495" s="1083"/>
    </row>
    <row r="496" spans="2:31" ht="13.5" hidden="1" thickBot="1">
      <c r="B496" s="1392" t="s">
        <v>779</v>
      </c>
      <c r="C496" s="1614"/>
      <c r="D496" s="1135"/>
      <c r="E496" s="1135"/>
      <c r="F496" s="1135"/>
      <c r="I496" s="1083"/>
      <c r="J496" s="1083"/>
      <c r="K496" s="1083"/>
      <c r="L496" s="1083"/>
      <c r="M496" s="1083"/>
      <c r="N496" s="1083"/>
      <c r="O496" s="1083"/>
      <c r="P496" s="1083"/>
      <c r="Q496" s="1083"/>
      <c r="R496" s="1083"/>
      <c r="S496" s="1083"/>
      <c r="T496" s="1083"/>
      <c r="U496" s="1083"/>
      <c r="V496" s="1083"/>
      <c r="W496" s="1083"/>
      <c r="X496" s="1083"/>
      <c r="Y496" s="1083"/>
      <c r="Z496" s="1083"/>
      <c r="AA496" s="1083"/>
      <c r="AB496" s="1083"/>
      <c r="AC496" s="1083"/>
      <c r="AD496" s="1083"/>
      <c r="AE496" s="1083"/>
    </row>
    <row r="497" spans="2:31" ht="13.5" hidden="1" thickTop="1">
      <c r="B497" s="1137" t="s">
        <v>1225</v>
      </c>
      <c r="C497" s="1610">
        <v>1.05</v>
      </c>
      <c r="D497" s="1138" t="s">
        <v>2</v>
      </c>
      <c r="E497" s="1139" t="e">
        <f>+E486</f>
        <v>#REF!</v>
      </c>
      <c r="F497" s="1140" t="e">
        <f>C497*E497</f>
        <v>#REF!</v>
      </c>
      <c r="I497" s="1083"/>
      <c r="J497" s="1083"/>
      <c r="K497" s="1083"/>
      <c r="L497" s="1083"/>
      <c r="M497" s="1083"/>
      <c r="N497" s="1083"/>
      <c r="O497" s="1083"/>
      <c r="P497" s="1083"/>
      <c r="Q497" s="1083"/>
      <c r="R497" s="1083"/>
      <c r="S497" s="1083"/>
      <c r="T497" s="1083"/>
      <c r="U497" s="1083"/>
      <c r="V497" s="1083"/>
      <c r="W497" s="1083"/>
      <c r="X497" s="1083"/>
      <c r="Y497" s="1083"/>
      <c r="Z497" s="1083"/>
      <c r="AA497" s="1083"/>
      <c r="AB497" s="1083"/>
      <c r="AC497" s="1083"/>
      <c r="AD497" s="1083"/>
      <c r="AE497" s="1083"/>
    </row>
    <row r="498" spans="2:31" hidden="1">
      <c r="B498" s="1141" t="s">
        <v>1087</v>
      </c>
      <c r="C498" s="1611">
        <v>7.86</v>
      </c>
      <c r="D498" s="1142" t="s">
        <v>126</v>
      </c>
      <c r="E498" s="1143">
        <f>+E487</f>
        <v>2913</v>
      </c>
      <c r="F498" s="1144">
        <f>C498*E498</f>
        <v>22896.18</v>
      </c>
      <c r="I498" s="1083"/>
      <c r="J498" s="1083"/>
      <c r="K498" s="1083"/>
      <c r="L498" s="1083"/>
      <c r="M498" s="1083"/>
      <c r="N498" s="1083"/>
      <c r="O498" s="1083"/>
      <c r="P498" s="1083"/>
      <c r="Q498" s="1083"/>
      <c r="R498" s="1083"/>
      <c r="S498" s="1083"/>
      <c r="T498" s="1083"/>
      <c r="U498" s="1083"/>
      <c r="V498" s="1083"/>
      <c r="W498" s="1083"/>
      <c r="X498" s="1083"/>
      <c r="Y498" s="1083"/>
      <c r="Z498" s="1083"/>
      <c r="AA498" s="1083"/>
      <c r="AB498" s="1083"/>
      <c r="AC498" s="1083"/>
      <c r="AD498" s="1083"/>
      <c r="AE498" s="1083"/>
    </row>
    <row r="499" spans="2:31" hidden="1">
      <c r="B499" s="1141" t="s">
        <v>1089</v>
      </c>
      <c r="C499" s="1611">
        <f>1/(0.2*0.2)</f>
        <v>25</v>
      </c>
      <c r="D499" s="1152" t="s">
        <v>1</v>
      </c>
      <c r="E499" s="1143">
        <v>1000</v>
      </c>
      <c r="F499" s="1144">
        <f>C499*E499</f>
        <v>25000</v>
      </c>
      <c r="I499" s="1083"/>
      <c r="J499" s="1083"/>
      <c r="K499" s="1083"/>
      <c r="L499" s="1083"/>
      <c r="M499" s="1083"/>
      <c r="N499" s="1083"/>
      <c r="O499" s="1083"/>
      <c r="P499" s="1083"/>
      <c r="Q499" s="1083"/>
      <c r="R499" s="1083"/>
      <c r="S499" s="1083"/>
      <c r="T499" s="1083"/>
      <c r="U499" s="1083"/>
      <c r="V499" s="1083"/>
      <c r="W499" s="1083"/>
      <c r="X499" s="1083"/>
      <c r="Y499" s="1083"/>
      <c r="Z499" s="1083"/>
      <c r="AA499" s="1083"/>
      <c r="AB499" s="1083"/>
      <c r="AC499" s="1083"/>
      <c r="AD499" s="1083"/>
      <c r="AE499" s="1083"/>
    </row>
    <row r="500" spans="2:31" ht="13.5" hidden="1" thickBot="1">
      <c r="B500" s="1145"/>
      <c r="C500" s="1612"/>
      <c r="D500" s="1146"/>
      <c r="E500" s="1147" t="s">
        <v>1031</v>
      </c>
      <c r="F500" s="1148" t="e">
        <f>ROUND(SUM(F497:F499),2)</f>
        <v>#REF!</v>
      </c>
      <c r="I500" s="1083"/>
      <c r="J500" s="1083"/>
      <c r="K500" s="1083"/>
      <c r="L500" s="1083"/>
      <c r="M500" s="1083"/>
      <c r="N500" s="1083"/>
      <c r="O500" s="1083"/>
      <c r="P500" s="1083"/>
      <c r="Q500" s="1083"/>
      <c r="R500" s="1083"/>
      <c r="S500" s="1083"/>
      <c r="T500" s="1083"/>
      <c r="U500" s="1083"/>
      <c r="V500" s="1083"/>
      <c r="W500" s="1083"/>
      <c r="X500" s="1083"/>
      <c r="Y500" s="1083"/>
      <c r="Z500" s="1083"/>
      <c r="AA500" s="1083"/>
      <c r="AB500" s="1083"/>
      <c r="AC500" s="1083"/>
      <c r="AD500" s="1083"/>
      <c r="AE500" s="1083"/>
    </row>
    <row r="501" spans="2:31" ht="13.5" hidden="1" thickTop="1">
      <c r="B501" s="1087"/>
      <c r="C501" s="1603"/>
      <c r="D501" s="1087"/>
      <c r="E501" s="1100"/>
      <c r="F501" s="1105"/>
      <c r="I501" s="1083"/>
      <c r="J501" s="1083"/>
      <c r="K501" s="1083"/>
      <c r="L501" s="1083"/>
      <c r="M501" s="1083"/>
      <c r="N501" s="1083"/>
      <c r="O501" s="1083"/>
      <c r="P501" s="1083"/>
      <c r="Q501" s="1083"/>
      <c r="R501" s="1083"/>
      <c r="S501" s="1083"/>
      <c r="T501" s="1083"/>
      <c r="U501" s="1083"/>
      <c r="V501" s="1083"/>
      <c r="W501" s="1083"/>
      <c r="X501" s="1083"/>
      <c r="Y501" s="1083"/>
      <c r="Z501" s="1083"/>
      <c r="AA501" s="1083"/>
      <c r="AB501" s="1083"/>
      <c r="AC501" s="1083"/>
      <c r="AD501" s="1083"/>
      <c r="AE501" s="1083"/>
    </row>
    <row r="502" spans="2:31" ht="13.5" hidden="1" thickBot="1">
      <c r="B502" s="1392" t="s">
        <v>780</v>
      </c>
      <c r="C502" s="1614"/>
      <c r="D502" s="1135"/>
      <c r="E502" s="1135"/>
      <c r="F502" s="1135"/>
      <c r="I502" s="1083"/>
      <c r="J502" s="1083"/>
      <c r="K502" s="1083"/>
      <c r="L502" s="1083"/>
      <c r="M502" s="1083"/>
      <c r="N502" s="1083"/>
      <c r="O502" s="1083"/>
      <c r="P502" s="1083"/>
      <c r="Q502" s="1083"/>
      <c r="R502" s="1083"/>
      <c r="S502" s="1083"/>
      <c r="T502" s="1083"/>
      <c r="U502" s="1083"/>
      <c r="V502" s="1083"/>
      <c r="W502" s="1083"/>
      <c r="X502" s="1083"/>
      <c r="Y502" s="1083"/>
      <c r="Z502" s="1083"/>
      <c r="AA502" s="1083"/>
      <c r="AB502" s="1083"/>
      <c r="AC502" s="1083"/>
      <c r="AD502" s="1083"/>
      <c r="AE502" s="1083"/>
    </row>
    <row r="503" spans="2:31" ht="13.5" hidden="1" thickTop="1">
      <c r="B503" s="1137" t="s">
        <v>1225</v>
      </c>
      <c r="C503" s="1610">
        <v>1.05</v>
      </c>
      <c r="D503" s="1138" t="s">
        <v>2</v>
      </c>
      <c r="E503" s="1139" t="e">
        <f>+E497</f>
        <v>#REF!</v>
      </c>
      <c r="F503" s="1140" t="e">
        <f>C503*E503</f>
        <v>#REF!</v>
      </c>
      <c r="I503" s="1083"/>
      <c r="J503" s="1083"/>
      <c r="K503" s="1083"/>
      <c r="L503" s="1083"/>
      <c r="M503" s="1083"/>
      <c r="N503" s="1083"/>
      <c r="O503" s="1083"/>
      <c r="P503" s="1083"/>
      <c r="Q503" s="1083"/>
      <c r="R503" s="1083"/>
      <c r="S503" s="1083"/>
      <c r="T503" s="1083"/>
      <c r="U503" s="1083"/>
      <c r="V503" s="1083"/>
      <c r="W503" s="1083"/>
      <c r="X503" s="1083"/>
      <c r="Y503" s="1083"/>
      <c r="Z503" s="1083"/>
      <c r="AA503" s="1083"/>
      <c r="AB503" s="1083"/>
      <c r="AC503" s="1083"/>
      <c r="AD503" s="1083"/>
      <c r="AE503" s="1083"/>
    </row>
    <row r="504" spans="2:31" hidden="1">
      <c r="B504" s="1141" t="s">
        <v>1087</v>
      </c>
      <c r="C504" s="1611">
        <v>5.61</v>
      </c>
      <c r="D504" s="1142" t="s">
        <v>126</v>
      </c>
      <c r="E504" s="1143">
        <f>+E498</f>
        <v>2913</v>
      </c>
      <c r="F504" s="1144">
        <f>C504*E504</f>
        <v>16341.93</v>
      </c>
      <c r="I504" s="1083"/>
      <c r="J504" s="1083"/>
      <c r="K504" s="1083"/>
      <c r="L504" s="1083"/>
      <c r="M504" s="1083"/>
      <c r="N504" s="1083"/>
      <c r="O504" s="1083"/>
      <c r="P504" s="1083"/>
      <c r="Q504" s="1083"/>
      <c r="R504" s="1083"/>
      <c r="S504" s="1083"/>
      <c r="T504" s="1083"/>
      <c r="U504" s="1083"/>
      <c r="V504" s="1083"/>
      <c r="W504" s="1083"/>
      <c r="X504" s="1083"/>
      <c r="Y504" s="1083"/>
      <c r="Z504" s="1083"/>
      <c r="AA504" s="1083"/>
      <c r="AB504" s="1083"/>
      <c r="AC504" s="1083"/>
      <c r="AD504" s="1083"/>
      <c r="AE504" s="1083"/>
    </row>
    <row r="505" spans="2:31" hidden="1">
      <c r="B505" s="1141" t="s">
        <v>1089</v>
      </c>
      <c r="C505" s="1611">
        <f>1/(0.2*0.3)</f>
        <v>16.670000000000002</v>
      </c>
      <c r="D505" s="1152" t="s">
        <v>1</v>
      </c>
      <c r="E505" s="1143">
        <v>1000</v>
      </c>
      <c r="F505" s="1144">
        <f>C505*E505</f>
        <v>16670</v>
      </c>
      <c r="I505" s="1083"/>
      <c r="J505" s="1083"/>
      <c r="K505" s="1083"/>
      <c r="L505" s="1083"/>
      <c r="M505" s="1083"/>
      <c r="N505" s="1083"/>
      <c r="O505" s="1083"/>
      <c r="P505" s="1083"/>
      <c r="Q505" s="1083"/>
      <c r="R505" s="1083"/>
      <c r="S505" s="1083"/>
      <c r="T505" s="1083"/>
      <c r="U505" s="1083"/>
      <c r="V505" s="1083"/>
      <c r="W505" s="1083"/>
      <c r="X505" s="1083"/>
      <c r="Y505" s="1083"/>
      <c r="Z505" s="1083"/>
      <c r="AA505" s="1083"/>
      <c r="AB505" s="1083"/>
      <c r="AC505" s="1083"/>
      <c r="AD505" s="1083"/>
      <c r="AE505" s="1083"/>
    </row>
    <row r="506" spans="2:31" ht="13.5" hidden="1" thickBot="1">
      <c r="B506" s="1145"/>
      <c r="C506" s="1612"/>
      <c r="D506" s="1146"/>
      <c r="E506" s="1147" t="s">
        <v>1031</v>
      </c>
      <c r="F506" s="1148" t="e">
        <f>ROUND(SUM(F503:F505),2)</f>
        <v>#REF!</v>
      </c>
      <c r="I506" s="1083"/>
      <c r="J506" s="1083"/>
      <c r="K506" s="1083"/>
      <c r="L506" s="1083"/>
      <c r="M506" s="1083"/>
      <c r="N506" s="1083"/>
      <c r="O506" s="1083"/>
      <c r="P506" s="1083"/>
      <c r="Q506" s="1083"/>
      <c r="R506" s="1083"/>
      <c r="S506" s="1083"/>
      <c r="T506" s="1083"/>
      <c r="U506" s="1083"/>
      <c r="V506" s="1083"/>
      <c r="W506" s="1083"/>
      <c r="X506" s="1083"/>
      <c r="Y506" s="1083"/>
      <c r="Z506" s="1083"/>
      <c r="AA506" s="1083"/>
      <c r="AB506" s="1083"/>
      <c r="AC506" s="1083"/>
      <c r="AD506" s="1083"/>
      <c r="AE506" s="1083"/>
    </row>
    <row r="507" spans="2:31" ht="13.5" hidden="1" thickTop="1">
      <c r="B507" s="1087"/>
      <c r="C507" s="1603"/>
      <c r="D507" s="1087"/>
      <c r="E507" s="1100"/>
      <c r="F507" s="1105"/>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083"/>
      <c r="AD507" s="1083"/>
      <c r="AE507" s="1083"/>
    </row>
    <row r="508" spans="2:31" hidden="1">
      <c r="B508" s="1087"/>
      <c r="C508" s="1603"/>
      <c r="D508" s="1087"/>
      <c r="E508" s="1100"/>
      <c r="F508" s="1105"/>
      <c r="I508" s="1083"/>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083"/>
      <c r="AD508" s="1083"/>
      <c r="AE508" s="1083"/>
    </row>
    <row r="509" spans="2:31" ht="13.5" hidden="1" thickBot="1">
      <c r="B509" s="1392" t="s">
        <v>782</v>
      </c>
      <c r="C509" s="1614"/>
      <c r="D509" s="1135"/>
      <c r="E509" s="1135"/>
      <c r="F509" s="1135"/>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083"/>
      <c r="AD509" s="1083"/>
      <c r="AE509" s="1083"/>
    </row>
    <row r="510" spans="2:31" ht="13.5" hidden="1" thickTop="1">
      <c r="B510" s="1137" t="s">
        <v>1225</v>
      </c>
      <c r="C510" s="1610">
        <v>1.05</v>
      </c>
      <c r="D510" s="1138" t="s">
        <v>2</v>
      </c>
      <c r="E510" s="1139" t="e">
        <f>+E285</f>
        <v>#REF!</v>
      </c>
      <c r="F510" s="1140" t="e">
        <f>C510*E510</f>
        <v>#REF!</v>
      </c>
      <c r="I510" s="1083"/>
      <c r="J510" s="1083"/>
      <c r="K510" s="1083"/>
      <c r="L510" s="1083"/>
      <c r="M510" s="1083"/>
      <c r="N510" s="1083"/>
      <c r="O510" s="1083"/>
      <c r="P510" s="1083"/>
      <c r="Q510" s="1083"/>
      <c r="R510" s="1083"/>
      <c r="S510" s="1083"/>
      <c r="T510" s="1083"/>
      <c r="U510" s="1083"/>
      <c r="V510" s="1083"/>
      <c r="W510" s="1083"/>
      <c r="X510" s="1083"/>
      <c r="Y510" s="1083"/>
      <c r="Z510" s="1083"/>
      <c r="AA510" s="1083"/>
      <c r="AB510" s="1083"/>
      <c r="AC510" s="1083"/>
      <c r="AD510" s="1083"/>
      <c r="AE510" s="1083"/>
    </row>
    <row r="511" spans="2:31" hidden="1">
      <c r="B511" s="1141" t="s">
        <v>1087</v>
      </c>
      <c r="C511" s="1611">
        <v>1.35</v>
      </c>
      <c r="D511" s="1142" t="s">
        <v>126</v>
      </c>
      <c r="E511" s="1143">
        <f>+E286</f>
        <v>2913</v>
      </c>
      <c r="F511" s="1144">
        <f>C511*E511</f>
        <v>3932.55</v>
      </c>
      <c r="I511" s="1083"/>
      <c r="J511" s="1083"/>
      <c r="K511" s="1083"/>
      <c r="L511" s="1083"/>
      <c r="M511" s="1083"/>
      <c r="N511" s="1083"/>
      <c r="O511" s="1083"/>
      <c r="P511" s="1083"/>
      <c r="Q511" s="1083"/>
      <c r="R511" s="1083"/>
      <c r="S511" s="1083"/>
      <c r="T511" s="1083"/>
      <c r="U511" s="1083"/>
      <c r="V511" s="1083"/>
      <c r="W511" s="1083"/>
      <c r="X511" s="1083"/>
      <c r="Y511" s="1083"/>
      <c r="Z511" s="1083"/>
      <c r="AA511" s="1083"/>
      <c r="AB511" s="1083"/>
      <c r="AC511" s="1083"/>
      <c r="AD511" s="1083"/>
      <c r="AE511" s="1083"/>
    </row>
    <row r="512" spans="2:31" hidden="1">
      <c r="B512" s="1141" t="s">
        <v>1089</v>
      </c>
      <c r="C512" s="1611">
        <f>1/0.12</f>
        <v>8.33</v>
      </c>
      <c r="D512" s="1152" t="s">
        <v>1</v>
      </c>
      <c r="E512" s="1143">
        <v>1000</v>
      </c>
      <c r="F512" s="1144">
        <f>C512*E512</f>
        <v>8330</v>
      </c>
      <c r="I512" s="1083"/>
      <c r="J512" s="1083"/>
      <c r="K512" s="1083"/>
      <c r="L512" s="1083"/>
      <c r="M512" s="1083"/>
      <c r="N512" s="1083"/>
      <c r="O512" s="1083"/>
      <c r="P512" s="1083"/>
      <c r="Q512" s="1083"/>
      <c r="R512" s="1083"/>
      <c r="S512" s="1083"/>
      <c r="T512" s="1083"/>
      <c r="U512" s="1083"/>
      <c r="V512" s="1083"/>
      <c r="W512" s="1083"/>
      <c r="X512" s="1083"/>
      <c r="Y512" s="1083"/>
      <c r="Z512" s="1083"/>
      <c r="AA512" s="1083"/>
      <c r="AB512" s="1083"/>
      <c r="AC512" s="1083"/>
      <c r="AD512" s="1083"/>
      <c r="AE512" s="1083"/>
    </row>
    <row r="513" spans="2:31" ht="13.5" hidden="1" thickBot="1">
      <c r="B513" s="1145"/>
      <c r="C513" s="1612"/>
      <c r="D513" s="1146"/>
      <c r="E513" s="1147" t="s">
        <v>1031</v>
      </c>
      <c r="F513" s="1148" t="e">
        <f>ROUND(SUM(F510:F512),2)</f>
        <v>#REF!</v>
      </c>
      <c r="I513" s="1083"/>
      <c r="J513" s="1083"/>
      <c r="K513" s="1083"/>
      <c r="L513" s="1083"/>
      <c r="M513" s="1083"/>
      <c r="N513" s="1083"/>
      <c r="O513" s="1083"/>
      <c r="P513" s="1083"/>
      <c r="Q513" s="1083"/>
      <c r="R513" s="1083"/>
      <c r="S513" s="1083"/>
      <c r="T513" s="1083"/>
      <c r="U513" s="1083"/>
      <c r="V513" s="1083"/>
      <c r="W513" s="1083"/>
      <c r="X513" s="1083"/>
      <c r="Y513" s="1083"/>
      <c r="Z513" s="1083"/>
      <c r="AA513" s="1083"/>
      <c r="AB513" s="1083"/>
      <c r="AC513" s="1083"/>
      <c r="AD513" s="1083"/>
      <c r="AE513" s="1083"/>
    </row>
    <row r="514" spans="2:31" ht="13.5" hidden="1" thickTop="1">
      <c r="B514" s="1087"/>
      <c r="C514" s="1603"/>
      <c r="D514" s="1087"/>
      <c r="E514" s="1100"/>
      <c r="F514" s="1105"/>
      <c r="I514" s="1083"/>
      <c r="J514" s="1083"/>
      <c r="K514" s="1083"/>
      <c r="L514" s="1083"/>
      <c r="M514" s="1083"/>
      <c r="N514" s="1083"/>
      <c r="O514" s="1083"/>
      <c r="P514" s="1083"/>
      <c r="Q514" s="1083"/>
      <c r="R514" s="1083"/>
      <c r="S514" s="1083"/>
      <c r="T514" s="1083"/>
      <c r="U514" s="1083"/>
      <c r="V514" s="1083"/>
      <c r="W514" s="1083"/>
      <c r="X514" s="1083"/>
      <c r="Y514" s="1083"/>
      <c r="Z514" s="1083"/>
      <c r="AA514" s="1083"/>
      <c r="AB514" s="1083"/>
      <c r="AC514" s="1083"/>
      <c r="AD514" s="1083"/>
      <c r="AE514" s="1083"/>
    </row>
    <row r="515" spans="2:31" ht="13.5" hidden="1" thickBot="1">
      <c r="B515" s="1392" t="s">
        <v>783</v>
      </c>
      <c r="C515" s="1614"/>
      <c r="D515" s="1135"/>
      <c r="E515" s="1135"/>
      <c r="F515" s="1135"/>
      <c r="I515" s="1083"/>
      <c r="J515" s="1083"/>
      <c r="K515" s="1083"/>
      <c r="L515" s="1083"/>
      <c r="M515" s="1083"/>
      <c r="N515" s="1083"/>
      <c r="O515" s="1083"/>
      <c r="P515" s="1083"/>
      <c r="Q515" s="1083"/>
      <c r="R515" s="1083"/>
      <c r="S515" s="1083"/>
      <c r="T515" s="1083"/>
      <c r="U515" s="1083"/>
      <c r="V515" s="1083"/>
      <c r="W515" s="1083"/>
      <c r="X515" s="1083"/>
      <c r="Y515" s="1083"/>
      <c r="Z515" s="1083"/>
      <c r="AA515" s="1083"/>
      <c r="AB515" s="1083"/>
      <c r="AC515" s="1083"/>
      <c r="AD515" s="1083"/>
      <c r="AE515" s="1083"/>
    </row>
    <row r="516" spans="2:31" ht="13.5" hidden="1" thickTop="1">
      <c r="B516" s="1137" t="s">
        <v>1225</v>
      </c>
      <c r="C516" s="1610">
        <v>1.05</v>
      </c>
      <c r="D516" s="1138" t="s">
        <v>2</v>
      </c>
      <c r="E516" s="1139" t="e">
        <f>+E510</f>
        <v>#REF!</v>
      </c>
      <c r="F516" s="1140" t="e">
        <f>C516*E516</f>
        <v>#REF!</v>
      </c>
      <c r="I516" s="1083"/>
      <c r="J516" s="1083"/>
      <c r="K516" s="1083"/>
      <c r="L516" s="1083"/>
      <c r="M516" s="1083"/>
      <c r="N516" s="1083"/>
      <c r="O516" s="1083"/>
      <c r="P516" s="1083"/>
      <c r="Q516" s="1083"/>
      <c r="R516" s="1083"/>
      <c r="S516" s="1083"/>
      <c r="T516" s="1083"/>
      <c r="U516" s="1083"/>
      <c r="V516" s="1083"/>
      <c r="W516" s="1083"/>
      <c r="X516" s="1083"/>
      <c r="Y516" s="1083"/>
      <c r="Z516" s="1083"/>
      <c r="AA516" s="1083"/>
      <c r="AB516" s="1083"/>
      <c r="AC516" s="1083"/>
      <c r="AD516" s="1083"/>
      <c r="AE516" s="1083"/>
    </row>
    <row r="517" spans="2:31" hidden="1">
      <c r="B517" s="1141" t="s">
        <v>1087</v>
      </c>
      <c r="C517" s="1611">
        <v>1.35</v>
      </c>
      <c r="D517" s="1142" t="s">
        <v>126</v>
      </c>
      <c r="E517" s="1143">
        <f>+E511</f>
        <v>2913</v>
      </c>
      <c r="F517" s="1144">
        <f>C517*E517</f>
        <v>3932.55</v>
      </c>
      <c r="I517" s="1083"/>
      <c r="J517" s="1083"/>
      <c r="K517" s="1083"/>
      <c r="L517" s="1083"/>
      <c r="M517" s="1083"/>
      <c r="N517" s="1083"/>
      <c r="O517" s="1083"/>
      <c r="P517" s="1083"/>
      <c r="Q517" s="1083"/>
      <c r="R517" s="1083"/>
      <c r="S517" s="1083"/>
      <c r="T517" s="1083"/>
      <c r="U517" s="1083"/>
      <c r="V517" s="1083"/>
      <c r="W517" s="1083"/>
      <c r="X517" s="1083"/>
      <c r="Y517" s="1083"/>
      <c r="Z517" s="1083"/>
      <c r="AA517" s="1083"/>
      <c r="AB517" s="1083"/>
      <c r="AC517" s="1083"/>
      <c r="AD517" s="1083"/>
      <c r="AE517" s="1083"/>
    </row>
    <row r="518" spans="2:31" hidden="1">
      <c r="B518" s="1141" t="s">
        <v>1089</v>
      </c>
      <c r="C518" s="1611">
        <f>1/0.12</f>
        <v>8.33</v>
      </c>
      <c r="D518" s="1152" t="s">
        <v>1</v>
      </c>
      <c r="E518" s="1143">
        <v>1000</v>
      </c>
      <c r="F518" s="1144">
        <f>C518*E518</f>
        <v>8330</v>
      </c>
    </row>
    <row r="519" spans="2:31" ht="13.5" hidden="1" thickBot="1">
      <c r="B519" s="1145"/>
      <c r="C519" s="1612"/>
      <c r="D519" s="1146"/>
      <c r="E519" s="1147" t="s">
        <v>1031</v>
      </c>
      <c r="F519" s="1148" t="e">
        <f>ROUND(SUM(F516:F518),2)</f>
        <v>#REF!</v>
      </c>
    </row>
    <row r="520" spans="2:31">
      <c r="B520" s="1087"/>
      <c r="C520" s="1603"/>
      <c r="D520" s="1087"/>
      <c r="E520" s="1100"/>
      <c r="F520" s="1105"/>
    </row>
    <row r="521" spans="2:31">
      <c r="B521" s="1107" t="s">
        <v>1040</v>
      </c>
      <c r="C521" s="1616"/>
      <c r="D521" s="1108"/>
      <c r="E521" s="1109"/>
      <c r="F521" s="1110"/>
    </row>
    <row r="522" spans="2:31">
      <c r="B522" s="3321" t="s">
        <v>1041</v>
      </c>
      <c r="C522" s="3322" t="s">
        <v>2</v>
      </c>
      <c r="D522" s="3323">
        <v>8.7999999999999995E-2</v>
      </c>
      <c r="E522" s="3324">
        <v>75</v>
      </c>
      <c r="F522" s="3245">
        <f>E522*D522</f>
        <v>6.6</v>
      </c>
    </row>
    <row r="523" spans="2:31">
      <c r="B523" s="3321" t="s">
        <v>1042</v>
      </c>
      <c r="C523" s="3322" t="s">
        <v>11</v>
      </c>
      <c r="D523" s="3324">
        <v>1</v>
      </c>
      <c r="E523" s="3324">
        <v>29.7</v>
      </c>
      <c r="F523" s="3245">
        <f>E523*D523</f>
        <v>29.7</v>
      </c>
    </row>
    <row r="524" spans="2:31">
      <c r="B524" s="3325"/>
      <c r="C524" s="3326"/>
      <c r="D524" s="3325"/>
      <c r="E524" s="3327" t="s">
        <v>1031</v>
      </c>
      <c r="F524" s="3273">
        <f>SUM(F522:F523)</f>
        <v>36.299999999999997</v>
      </c>
    </row>
    <row r="525" spans="2:31">
      <c r="B525" s="1087"/>
      <c r="C525" s="1615"/>
      <c r="D525" s="1094"/>
      <c r="E525" s="1095"/>
      <c r="F525" s="1103"/>
    </row>
    <row r="526" spans="2:31">
      <c r="B526" s="1087"/>
      <c r="C526" s="1615"/>
      <c r="D526" s="1094"/>
      <c r="E526" s="1095"/>
      <c r="F526" s="1103"/>
      <c r="I526" s="1083"/>
      <c r="J526" s="1083"/>
      <c r="K526" s="1083"/>
      <c r="L526" s="1083"/>
      <c r="M526" s="1083"/>
      <c r="N526" s="1083"/>
      <c r="O526" s="1083"/>
      <c r="P526" s="1083"/>
      <c r="Q526" s="1083"/>
      <c r="R526" s="1083"/>
      <c r="S526" s="1083"/>
      <c r="T526" s="1083"/>
      <c r="U526" s="1083"/>
      <c r="V526" s="1083"/>
      <c r="W526" s="1083"/>
      <c r="X526" s="1083"/>
      <c r="Y526" s="1083"/>
      <c r="Z526" s="1083"/>
      <c r="AA526" s="1083"/>
      <c r="AB526" s="1083"/>
      <c r="AC526" s="1083"/>
      <c r="AD526" s="1083"/>
      <c r="AE526" s="1083"/>
    </row>
    <row r="527" spans="2:31">
      <c r="B527" s="1101" t="s">
        <v>1045</v>
      </c>
      <c r="C527" s="1615"/>
      <c r="D527" s="1094"/>
      <c r="E527" s="1095"/>
      <c r="F527" s="1103"/>
      <c r="I527" s="1083"/>
      <c r="J527" s="1083"/>
      <c r="K527" s="1083"/>
      <c r="L527" s="1083"/>
      <c r="M527" s="1083"/>
      <c r="N527" s="1083"/>
      <c r="O527" s="1083"/>
      <c r="P527" s="1083"/>
      <c r="Q527" s="1083"/>
      <c r="R527" s="1083"/>
      <c r="S527" s="1083"/>
      <c r="T527" s="1083"/>
      <c r="U527" s="1083"/>
      <c r="V527" s="1083"/>
      <c r="W527" s="1083"/>
      <c r="X527" s="1083"/>
      <c r="Y527" s="1083"/>
      <c r="Z527" s="1083"/>
      <c r="AA527" s="1083"/>
      <c r="AB527" s="1083"/>
      <c r="AC527" s="1083"/>
      <c r="AD527" s="1083"/>
      <c r="AE527" s="1083"/>
    </row>
    <row r="528" spans="2:31">
      <c r="B528" s="3252" t="s">
        <v>181</v>
      </c>
      <c r="C528" s="3270" t="s">
        <v>126</v>
      </c>
      <c r="D528" s="3254">
        <v>1</v>
      </c>
      <c r="E528" s="3245">
        <f>+E59</f>
        <v>2500</v>
      </c>
      <c r="F528" s="3245">
        <f>E528*D528</f>
        <v>2500</v>
      </c>
      <c r="I528" s="1083"/>
      <c r="J528" s="1083"/>
      <c r="K528" s="1083"/>
      <c r="L528" s="1083"/>
      <c r="M528" s="1083"/>
      <c r="N528" s="1083"/>
      <c r="O528" s="1083"/>
      <c r="P528" s="1083"/>
      <c r="Q528" s="1083"/>
      <c r="R528" s="1083"/>
      <c r="S528" s="1083"/>
      <c r="T528" s="1083"/>
      <c r="U528" s="1083"/>
      <c r="V528" s="1083"/>
      <c r="W528" s="1083"/>
      <c r="X528" s="1083"/>
      <c r="Y528" s="1083"/>
      <c r="Z528" s="1083"/>
      <c r="AA528" s="1083"/>
      <c r="AB528" s="1083"/>
      <c r="AC528" s="1083"/>
      <c r="AD528" s="1083"/>
      <c r="AE528" s="1083"/>
    </row>
    <row r="529" spans="2:31">
      <c r="B529" s="3252" t="s">
        <v>1044</v>
      </c>
      <c r="C529" s="3270" t="s">
        <v>183</v>
      </c>
      <c r="D529" s="3254">
        <v>2</v>
      </c>
      <c r="E529" s="3245">
        <v>45</v>
      </c>
      <c r="F529" s="3245">
        <f>E529*D529</f>
        <v>90</v>
      </c>
      <c r="I529" s="1083"/>
      <c r="J529" s="1083"/>
      <c r="K529" s="1083"/>
      <c r="L529" s="1083"/>
      <c r="M529" s="1083"/>
      <c r="N529" s="1083"/>
      <c r="O529" s="1083"/>
      <c r="P529" s="1083"/>
      <c r="Q529" s="1083"/>
      <c r="R529" s="1083"/>
      <c r="S529" s="1083"/>
      <c r="T529" s="1083"/>
      <c r="U529" s="1083"/>
      <c r="V529" s="1083"/>
      <c r="W529" s="1083"/>
      <c r="X529" s="1083"/>
      <c r="Y529" s="1083"/>
      <c r="Z529" s="1083"/>
      <c r="AA529" s="1083"/>
      <c r="AB529" s="1083"/>
      <c r="AC529" s="1083"/>
      <c r="AD529" s="1083"/>
      <c r="AE529" s="1083"/>
    </row>
    <row r="530" spans="2:31">
      <c r="B530" s="3252"/>
      <c r="C530" s="3270"/>
      <c r="D530" s="3254"/>
      <c r="E530" s="3263" t="s">
        <v>1031</v>
      </c>
      <c r="F530" s="3273">
        <f>SUM(F528:F529)</f>
        <v>2590</v>
      </c>
      <c r="I530" s="1083"/>
      <c r="J530" s="1083"/>
      <c r="K530" s="1083"/>
      <c r="L530" s="1083"/>
      <c r="M530" s="1083"/>
      <c r="N530" s="1083"/>
      <c r="O530" s="1083"/>
      <c r="P530" s="1083"/>
      <c r="Q530" s="1083"/>
      <c r="R530" s="1083"/>
      <c r="S530" s="1083"/>
      <c r="T530" s="1083"/>
      <c r="U530" s="1083"/>
      <c r="V530" s="1083"/>
      <c r="W530" s="1083"/>
      <c r="X530" s="1083"/>
      <c r="Y530" s="1083"/>
      <c r="Z530" s="1083"/>
      <c r="AA530" s="1083"/>
      <c r="AB530" s="1083"/>
      <c r="AC530" s="1083"/>
      <c r="AD530" s="1083"/>
      <c r="AE530" s="1083"/>
    </row>
    <row r="531" spans="2:31">
      <c r="B531" s="1087"/>
      <c r="C531" s="1615"/>
      <c r="D531" s="1094"/>
      <c r="E531" s="1095"/>
      <c r="F531" s="1103"/>
      <c r="I531" s="1083"/>
      <c r="J531" s="1083"/>
      <c r="K531" s="1083"/>
      <c r="L531" s="1083"/>
      <c r="M531" s="1083"/>
      <c r="N531" s="1083"/>
      <c r="O531" s="1083"/>
      <c r="P531" s="1083"/>
      <c r="Q531" s="1083"/>
      <c r="R531" s="1083"/>
      <c r="S531" s="1083"/>
      <c r="T531" s="1083"/>
      <c r="U531" s="1083"/>
      <c r="V531" s="1083"/>
      <c r="W531" s="1083"/>
      <c r="X531" s="1083"/>
      <c r="Y531" s="1083"/>
      <c r="Z531" s="1083"/>
      <c r="AA531" s="1083"/>
      <c r="AB531" s="1083"/>
      <c r="AC531" s="1083"/>
      <c r="AD531" s="1083"/>
      <c r="AE531" s="1083"/>
    </row>
    <row r="532" spans="2:31" ht="15.75">
      <c r="B532" s="1112" t="s">
        <v>186</v>
      </c>
      <c r="C532" s="1617"/>
      <c r="D532" s="1113"/>
      <c r="E532" s="1113"/>
      <c r="F532" s="1113"/>
      <c r="I532" s="1083"/>
      <c r="J532" s="1083"/>
      <c r="K532" s="1083"/>
      <c r="L532" s="1083"/>
      <c r="M532" s="1083"/>
      <c r="N532" s="1083"/>
      <c r="O532" s="1083"/>
      <c r="P532" s="1083"/>
      <c r="Q532" s="1083"/>
      <c r="R532" s="1083"/>
      <c r="S532" s="1083"/>
      <c r="T532" s="1083"/>
      <c r="U532" s="1083"/>
      <c r="V532" s="1083"/>
      <c r="W532" s="1083"/>
      <c r="X532" s="1083"/>
      <c r="Y532" s="1083"/>
      <c r="Z532" s="1083"/>
      <c r="AA532" s="1083"/>
      <c r="AB532" s="1083"/>
      <c r="AC532" s="1083"/>
      <c r="AD532" s="1083"/>
      <c r="AE532" s="1083"/>
    </row>
    <row r="533" spans="2:31">
      <c r="B533" s="1088" t="s">
        <v>187</v>
      </c>
      <c r="C533" s="1603"/>
      <c r="D533" s="1087"/>
      <c r="E533" s="1087"/>
      <c r="F533" s="1087"/>
      <c r="I533" s="1083"/>
      <c r="J533" s="1083"/>
      <c r="K533" s="1083"/>
      <c r="L533" s="1083"/>
      <c r="M533" s="1083"/>
      <c r="N533" s="1083"/>
      <c r="O533" s="1083"/>
      <c r="P533" s="1083"/>
      <c r="Q533" s="1083"/>
      <c r="R533" s="1083"/>
      <c r="S533" s="1083"/>
      <c r="T533" s="1083"/>
      <c r="U533" s="1083"/>
      <c r="V533" s="1083"/>
      <c r="W533" s="1083"/>
      <c r="X533" s="1083"/>
      <c r="Y533" s="1083"/>
      <c r="Z533" s="1083"/>
      <c r="AA533" s="1083"/>
      <c r="AB533" s="1083"/>
      <c r="AC533" s="1083"/>
      <c r="AD533" s="1083"/>
      <c r="AE533" s="1083"/>
    </row>
    <row r="534" spans="2:31">
      <c r="B534" s="3252" t="s">
        <v>122</v>
      </c>
      <c r="C534" s="3255" t="s">
        <v>2</v>
      </c>
      <c r="D534" s="3252">
        <v>0.52</v>
      </c>
      <c r="E534" s="3245">
        <f>F16</f>
        <v>1115</v>
      </c>
      <c r="F534" s="3245">
        <f>E534*D534</f>
        <v>579.79999999999995</v>
      </c>
      <c r="I534" s="1083"/>
      <c r="J534" s="1083"/>
      <c r="K534" s="1083"/>
      <c r="L534" s="1083"/>
      <c r="M534" s="1083"/>
      <c r="N534" s="1083"/>
      <c r="O534" s="1083"/>
      <c r="P534" s="1083"/>
      <c r="Q534" s="1083"/>
      <c r="R534" s="1083"/>
      <c r="S534" s="1083"/>
      <c r="T534" s="1083"/>
      <c r="U534" s="1083"/>
      <c r="V534" s="1083"/>
      <c r="W534" s="1083"/>
      <c r="X534" s="1083"/>
      <c r="Y534" s="1083"/>
      <c r="Z534" s="1083"/>
      <c r="AA534" s="1083"/>
      <c r="AB534" s="1083"/>
      <c r="AC534" s="1083"/>
      <c r="AD534" s="1083"/>
      <c r="AE534" s="1083"/>
    </row>
    <row r="535" spans="2:31">
      <c r="B535" s="3252" t="s">
        <v>124</v>
      </c>
      <c r="C535" s="3255" t="s">
        <v>2</v>
      </c>
      <c r="D535" s="3252">
        <v>0.85</v>
      </c>
      <c r="E535" s="3245">
        <f>F21</f>
        <v>1215</v>
      </c>
      <c r="F535" s="3245">
        <f>E535*D535</f>
        <v>1032.75</v>
      </c>
      <c r="I535" s="1083"/>
      <c r="J535" s="1083"/>
      <c r="K535" s="1083"/>
      <c r="L535" s="1083"/>
      <c r="M535" s="1083"/>
      <c r="N535" s="1083"/>
      <c r="O535" s="1083"/>
      <c r="P535" s="1083"/>
      <c r="Q535" s="1083"/>
      <c r="R535" s="1083"/>
      <c r="S535" s="1083"/>
      <c r="T535" s="1083"/>
      <c r="U535" s="1083"/>
      <c r="V535" s="1083"/>
      <c r="W535" s="1083"/>
      <c r="X535" s="1083"/>
      <c r="Y535" s="1083"/>
      <c r="Z535" s="1083"/>
      <c r="AA535" s="1083"/>
      <c r="AB535" s="1083"/>
      <c r="AC535" s="1083"/>
      <c r="AD535" s="1083"/>
      <c r="AE535" s="1083"/>
    </row>
    <row r="536" spans="2:31">
      <c r="B536" s="3252" t="s">
        <v>117</v>
      </c>
      <c r="C536" s="3255" t="s">
        <v>118</v>
      </c>
      <c r="D536" s="3264">
        <v>60</v>
      </c>
      <c r="E536" s="3245">
        <f>F3</f>
        <v>2.5</v>
      </c>
      <c r="F536" s="3245">
        <f>E536*D536</f>
        <v>150</v>
      </c>
      <c r="I536" s="1083"/>
      <c r="J536" s="1083"/>
      <c r="K536" s="1083"/>
      <c r="L536" s="1083"/>
      <c r="M536" s="1083"/>
      <c r="N536" s="1083"/>
      <c r="O536" s="1083"/>
      <c r="P536" s="1083"/>
      <c r="Q536" s="1083"/>
      <c r="R536" s="1083"/>
      <c r="S536" s="1083"/>
      <c r="T536" s="1083"/>
      <c r="U536" s="1083"/>
      <c r="V536" s="1083"/>
      <c r="W536" s="1083"/>
      <c r="X536" s="1083"/>
      <c r="Y536" s="1083"/>
      <c r="Z536" s="1083"/>
      <c r="AA536" s="1083"/>
      <c r="AB536" s="1083"/>
      <c r="AC536" s="1083"/>
      <c r="AD536" s="1083"/>
      <c r="AE536" s="1083"/>
    </row>
    <row r="537" spans="2:31">
      <c r="B537" s="3252" t="s">
        <v>188</v>
      </c>
      <c r="C537" s="3255" t="s">
        <v>1026</v>
      </c>
      <c r="D537" s="3264">
        <v>6.4</v>
      </c>
      <c r="E537" s="3245">
        <f>F4</f>
        <v>325</v>
      </c>
      <c r="F537" s="3245">
        <f>E537*D537</f>
        <v>2080</v>
      </c>
      <c r="I537" s="1083"/>
      <c r="J537" s="1083"/>
      <c r="K537" s="1083"/>
      <c r="L537" s="1083"/>
      <c r="M537" s="1083"/>
      <c r="N537" s="1083"/>
      <c r="O537" s="1083"/>
      <c r="P537" s="1083"/>
      <c r="Q537" s="1083"/>
      <c r="R537" s="1083"/>
      <c r="S537" s="1083"/>
      <c r="T537" s="1083"/>
      <c r="U537" s="1083"/>
      <c r="V537" s="1083"/>
      <c r="W537" s="1083"/>
      <c r="X537" s="1083"/>
      <c r="Y537" s="1083"/>
      <c r="Z537" s="1083"/>
      <c r="AA537" s="1083"/>
      <c r="AB537" s="1083"/>
      <c r="AC537" s="1083"/>
      <c r="AD537" s="1083"/>
      <c r="AE537" s="1083"/>
    </row>
    <row r="538" spans="2:31">
      <c r="B538" s="3252" t="s">
        <v>189</v>
      </c>
      <c r="C538" s="3255" t="s">
        <v>148</v>
      </c>
      <c r="D538" s="3264">
        <v>0.5</v>
      </c>
      <c r="E538" s="3245">
        <v>659</v>
      </c>
      <c r="F538" s="3245">
        <f>E538*D538</f>
        <v>329.5</v>
      </c>
      <c r="I538" s="1083"/>
      <c r="J538" s="1083"/>
      <c r="K538" s="1083"/>
      <c r="L538" s="1083"/>
      <c r="M538" s="1083"/>
      <c r="N538" s="1083"/>
      <c r="O538" s="1083"/>
      <c r="P538" s="1083"/>
      <c r="Q538" s="1083"/>
      <c r="R538" s="1083"/>
      <c r="S538" s="1083"/>
      <c r="T538" s="1083"/>
      <c r="U538" s="1083"/>
      <c r="V538" s="1083"/>
      <c r="W538" s="1083"/>
      <c r="X538" s="1083"/>
      <c r="Y538" s="1083"/>
      <c r="Z538" s="1083"/>
      <c r="AA538" s="1083"/>
      <c r="AB538" s="1083"/>
      <c r="AC538" s="1083"/>
      <c r="AD538" s="1083"/>
      <c r="AE538" s="1083"/>
    </row>
    <row r="539" spans="2:31">
      <c r="B539" s="3271" t="s">
        <v>190</v>
      </c>
      <c r="C539" s="3260"/>
      <c r="D539" s="3252"/>
      <c r="E539" s="3252"/>
      <c r="F539" s="3254">
        <f>SUM(F534+F535+F536+F537)*0.03</f>
        <v>115.28</v>
      </c>
      <c r="I539" s="1083"/>
      <c r="J539" s="1083"/>
      <c r="K539" s="1083"/>
      <c r="L539" s="1083"/>
      <c r="M539" s="1083"/>
      <c r="N539" s="1083"/>
      <c r="O539" s="1083"/>
      <c r="P539" s="1083"/>
      <c r="Q539" s="1083"/>
      <c r="R539" s="1083"/>
      <c r="S539" s="1083"/>
      <c r="T539" s="1083"/>
      <c r="U539" s="1083"/>
      <c r="V539" s="1083"/>
      <c r="W539" s="1083"/>
      <c r="X539" s="1083"/>
      <c r="Y539" s="1083"/>
      <c r="Z539" s="1083"/>
      <c r="AA539" s="1083"/>
      <c r="AB539" s="1083"/>
      <c r="AC539" s="1083"/>
      <c r="AD539" s="1083"/>
      <c r="AE539" s="1083"/>
    </row>
    <row r="540" spans="2:31">
      <c r="B540" s="3252"/>
      <c r="C540" s="3260"/>
      <c r="D540" s="3252"/>
      <c r="E540" s="3262" t="s">
        <v>1031</v>
      </c>
      <c r="F540" s="3263">
        <f>SUM(F534:F539)</f>
        <v>4287.33</v>
      </c>
      <c r="I540" s="1083"/>
      <c r="J540" s="1083"/>
      <c r="K540" s="1083"/>
      <c r="L540" s="1083"/>
      <c r="M540" s="1083"/>
      <c r="N540" s="1083"/>
      <c r="O540" s="1083"/>
      <c r="P540" s="1083"/>
      <c r="Q540" s="1083"/>
      <c r="R540" s="1083"/>
      <c r="S540" s="1083"/>
      <c r="T540" s="1083"/>
      <c r="U540" s="1083"/>
      <c r="V540" s="1083"/>
      <c r="W540" s="1083"/>
      <c r="X540" s="1083"/>
      <c r="Y540" s="1083"/>
      <c r="Z540" s="1083"/>
      <c r="AA540" s="1083"/>
      <c r="AB540" s="1083"/>
      <c r="AC540" s="1083"/>
      <c r="AD540" s="1083"/>
      <c r="AE540" s="1083"/>
    </row>
    <row r="541" spans="2:31">
      <c r="B541" s="1087"/>
      <c r="C541" s="1603"/>
      <c r="D541" s="1087"/>
      <c r="E541" s="1100"/>
      <c r="F541" s="1095"/>
      <c r="I541" s="1083"/>
      <c r="J541" s="1083"/>
      <c r="K541" s="1083"/>
      <c r="L541" s="1083"/>
      <c r="M541" s="1083"/>
      <c r="N541" s="1083"/>
      <c r="O541" s="1083"/>
      <c r="P541" s="1083"/>
      <c r="Q541" s="1083"/>
      <c r="R541" s="1083"/>
      <c r="S541" s="1083"/>
      <c r="T541" s="1083"/>
      <c r="U541" s="1083"/>
      <c r="V541" s="1083"/>
      <c r="W541" s="1083"/>
      <c r="X541" s="1083"/>
      <c r="Y541" s="1083"/>
      <c r="Z541" s="1083"/>
      <c r="AA541" s="1083"/>
      <c r="AB541" s="1083"/>
      <c r="AC541" s="1083"/>
      <c r="AD541" s="1083"/>
      <c r="AE541" s="1083"/>
    </row>
    <row r="542" spans="2:31">
      <c r="B542" s="1101" t="s">
        <v>191</v>
      </c>
      <c r="C542" s="1603"/>
      <c r="D542" s="1087"/>
      <c r="E542" s="1087"/>
      <c r="F542" s="1087"/>
      <c r="I542" s="1083"/>
      <c r="J542" s="1083"/>
      <c r="K542" s="1083"/>
      <c r="L542" s="1083"/>
      <c r="M542" s="1083"/>
      <c r="N542" s="1083"/>
      <c r="O542" s="1083"/>
      <c r="P542" s="1083"/>
      <c r="Q542" s="1083"/>
      <c r="R542" s="1083"/>
      <c r="S542" s="1083"/>
      <c r="T542" s="1083"/>
      <c r="U542" s="1083"/>
      <c r="V542" s="1083"/>
      <c r="W542" s="1083"/>
      <c r="X542" s="1083"/>
      <c r="Y542" s="1083"/>
      <c r="Z542" s="1083"/>
      <c r="AA542" s="1083"/>
      <c r="AB542" s="1083"/>
      <c r="AC542" s="1083"/>
      <c r="AD542" s="1083"/>
      <c r="AE542" s="1083"/>
    </row>
    <row r="543" spans="2:31">
      <c r="B543" s="3252" t="s">
        <v>192</v>
      </c>
      <c r="C543" s="3255" t="s">
        <v>3</v>
      </c>
      <c r="D543" s="3264">
        <v>13</v>
      </c>
      <c r="E543" s="3245">
        <v>28.5</v>
      </c>
      <c r="F543" s="3245">
        <f t="shared" ref="F543:F550" si="2">E543*D543</f>
        <v>370.5</v>
      </c>
      <c r="I543" s="1083"/>
      <c r="J543" s="1083"/>
      <c r="K543" s="1083"/>
      <c r="L543" s="1083"/>
      <c r="M543" s="1083"/>
      <c r="N543" s="1083"/>
      <c r="O543" s="1083"/>
      <c r="P543" s="1083"/>
      <c r="Q543" s="1083"/>
      <c r="R543" s="1083"/>
      <c r="S543" s="1083"/>
      <c r="T543" s="1083"/>
      <c r="U543" s="1083"/>
      <c r="V543" s="1083"/>
      <c r="W543" s="1083"/>
      <c r="X543" s="1083"/>
      <c r="Y543" s="1083"/>
      <c r="Z543" s="1083"/>
      <c r="AA543" s="1083"/>
      <c r="AB543" s="1083"/>
      <c r="AC543" s="1083"/>
      <c r="AD543" s="1083"/>
      <c r="AE543" s="1083"/>
    </row>
    <row r="544" spans="2:31">
      <c r="B544" s="3252" t="s">
        <v>193</v>
      </c>
      <c r="C544" s="3255" t="s">
        <v>3</v>
      </c>
      <c r="D544" s="3264">
        <v>13</v>
      </c>
      <c r="E544" s="3245">
        <v>18</v>
      </c>
      <c r="F544" s="3245">
        <f t="shared" si="2"/>
        <v>234</v>
      </c>
      <c r="I544" s="1083"/>
      <c r="J544" s="1083"/>
      <c r="K544" s="1083"/>
      <c r="L544" s="1083"/>
      <c r="M544" s="1083"/>
      <c r="N544" s="1083"/>
      <c r="O544" s="1083"/>
      <c r="P544" s="1083"/>
      <c r="Q544" s="1083"/>
      <c r="R544" s="1083"/>
      <c r="S544" s="1083"/>
      <c r="T544" s="1083"/>
      <c r="U544" s="1083"/>
      <c r="V544" s="1083"/>
      <c r="W544" s="1083"/>
      <c r="X544" s="1083"/>
      <c r="Y544" s="1083"/>
      <c r="Z544" s="1083"/>
      <c r="AA544" s="1083"/>
      <c r="AB544" s="1083"/>
      <c r="AC544" s="1083"/>
      <c r="AD544" s="1083"/>
      <c r="AE544" s="1083"/>
    </row>
    <row r="545" spans="2:31">
      <c r="B545" s="3271" t="s">
        <v>194</v>
      </c>
      <c r="C545" s="3255" t="s">
        <v>2</v>
      </c>
      <c r="D545" s="3252">
        <v>3.1199999999999999E-2</v>
      </c>
      <c r="E545" s="3245">
        <f>F84</f>
        <v>5506.4</v>
      </c>
      <c r="F545" s="3245">
        <f t="shared" si="2"/>
        <v>171.8</v>
      </c>
      <c r="I545" s="1083"/>
      <c r="J545" s="1083"/>
      <c r="K545" s="1083"/>
      <c r="L545" s="1083"/>
      <c r="M545" s="1083"/>
      <c r="N545" s="1083"/>
      <c r="O545" s="1083"/>
      <c r="P545" s="1083"/>
      <c r="Q545" s="1083"/>
      <c r="R545" s="1083"/>
      <c r="S545" s="1083"/>
      <c r="T545" s="1083"/>
      <c r="U545" s="1083"/>
      <c r="V545" s="1083"/>
      <c r="W545" s="1083"/>
      <c r="X545" s="1083"/>
      <c r="Y545" s="1083"/>
      <c r="Z545" s="1083"/>
      <c r="AA545" s="1083"/>
      <c r="AB545" s="1083"/>
      <c r="AC545" s="1083"/>
      <c r="AD545" s="1083"/>
      <c r="AE545" s="1083"/>
    </row>
    <row r="546" spans="2:31">
      <c r="B546" s="3252" t="s">
        <v>195</v>
      </c>
      <c r="C546" s="3255" t="s">
        <v>2</v>
      </c>
      <c r="D546" s="3328">
        <v>0.01</v>
      </c>
      <c r="E546" s="3245">
        <f>SUM(F540)</f>
        <v>4287.33</v>
      </c>
      <c r="F546" s="3245">
        <f t="shared" si="2"/>
        <v>42.87</v>
      </c>
      <c r="I546" s="1083"/>
      <c r="J546" s="1083"/>
      <c r="K546" s="1083"/>
      <c r="L546" s="1083"/>
      <c r="M546" s="1083"/>
      <c r="N546" s="1083"/>
      <c r="O546" s="1083"/>
      <c r="P546" s="1083"/>
      <c r="Q546" s="1083"/>
      <c r="R546" s="1083"/>
      <c r="S546" s="1083"/>
      <c r="T546" s="1083"/>
      <c r="U546" s="1083"/>
      <c r="V546" s="1083"/>
      <c r="W546" s="1083"/>
      <c r="X546" s="1083"/>
      <c r="Y546" s="1083"/>
      <c r="Z546" s="1083"/>
      <c r="AA546" s="1083"/>
      <c r="AB546" s="1083"/>
      <c r="AC546" s="1083"/>
      <c r="AD546" s="1083"/>
      <c r="AE546" s="1083"/>
    </row>
    <row r="547" spans="2:31">
      <c r="B547" s="3252" t="s">
        <v>196</v>
      </c>
      <c r="C547" s="3255" t="s">
        <v>126</v>
      </c>
      <c r="D547" s="3252">
        <v>2.9600000000000001E-2</v>
      </c>
      <c r="E547" s="3245">
        <f>F62</f>
        <v>2913</v>
      </c>
      <c r="F547" s="3245">
        <f t="shared" si="2"/>
        <v>86.22</v>
      </c>
      <c r="I547" s="1083"/>
      <c r="J547" s="1083"/>
      <c r="K547" s="1083"/>
      <c r="L547" s="1083"/>
      <c r="M547" s="1083"/>
      <c r="N547" s="1083"/>
      <c r="O547" s="1083"/>
      <c r="P547" s="1083"/>
      <c r="Q547" s="1083"/>
      <c r="R547" s="1083"/>
      <c r="S547" s="1083"/>
      <c r="T547" s="1083"/>
      <c r="U547" s="1083"/>
      <c r="V547" s="1083"/>
      <c r="W547" s="1083"/>
      <c r="X547" s="1083"/>
      <c r="Y547" s="1083"/>
      <c r="Z547" s="1083"/>
      <c r="AA547" s="1083"/>
      <c r="AB547" s="1083"/>
      <c r="AC547" s="1083"/>
      <c r="AD547" s="1083"/>
      <c r="AE547" s="1083"/>
    </row>
    <row r="548" spans="2:31">
      <c r="B548" s="3252" t="s">
        <v>197</v>
      </c>
      <c r="C548" s="3255" t="s">
        <v>155</v>
      </c>
      <c r="D548" s="3252">
        <v>0.18179999999999999</v>
      </c>
      <c r="E548" s="3245">
        <v>45</v>
      </c>
      <c r="F548" s="3245">
        <f t="shared" si="2"/>
        <v>8.18</v>
      </c>
      <c r="I548" s="1083"/>
      <c r="J548" s="1083"/>
      <c r="K548" s="1083"/>
      <c r="L548" s="1083"/>
      <c r="M548" s="1083"/>
      <c r="N548" s="1083"/>
      <c r="O548" s="1083"/>
      <c r="P548" s="1083"/>
      <c r="Q548" s="1083"/>
      <c r="R548" s="1083"/>
      <c r="S548" s="1083"/>
      <c r="T548" s="1083"/>
      <c r="U548" s="1083"/>
      <c r="V548" s="1083"/>
      <c r="W548" s="1083"/>
      <c r="X548" s="1083"/>
      <c r="Y548" s="1083"/>
      <c r="Z548" s="1083"/>
      <c r="AA548" s="1083"/>
      <c r="AB548" s="1083"/>
      <c r="AC548" s="1083"/>
      <c r="AD548" s="1083"/>
      <c r="AE548" s="1083"/>
    </row>
    <row r="549" spans="2:31">
      <c r="B549" s="3252" t="s">
        <v>198</v>
      </c>
      <c r="C549" s="3255" t="s">
        <v>148</v>
      </c>
      <c r="D549" s="3252">
        <v>2.3E-2</v>
      </c>
      <c r="E549" s="3245">
        <v>659</v>
      </c>
      <c r="F549" s="3245">
        <f t="shared" si="2"/>
        <v>15.16</v>
      </c>
      <c r="I549" s="1083"/>
      <c r="J549" s="1083"/>
      <c r="K549" s="1083"/>
      <c r="L549" s="1083"/>
      <c r="M549" s="1083"/>
      <c r="N549" s="1083"/>
      <c r="O549" s="1083"/>
      <c r="P549" s="1083"/>
      <c r="Q549" s="1083"/>
      <c r="R549" s="1083"/>
      <c r="S549" s="1083"/>
      <c r="T549" s="1083"/>
      <c r="U549" s="1083"/>
      <c r="V549" s="1083"/>
      <c r="W549" s="1083"/>
      <c r="X549" s="1083"/>
      <c r="Y549" s="1083"/>
      <c r="Z549" s="1083"/>
      <c r="AA549" s="1083"/>
      <c r="AB549" s="1083"/>
      <c r="AC549" s="1083"/>
      <c r="AD549" s="1083"/>
      <c r="AE549" s="1083"/>
    </row>
    <row r="550" spans="2:31">
      <c r="B550" s="3252" t="s">
        <v>199</v>
      </c>
      <c r="C550" s="3255" t="s">
        <v>2</v>
      </c>
      <c r="D550" s="3328">
        <v>0.01</v>
      </c>
      <c r="E550" s="3245">
        <v>659</v>
      </c>
      <c r="F550" s="3245">
        <f t="shared" si="2"/>
        <v>6.59</v>
      </c>
      <c r="I550" s="1083"/>
      <c r="J550" s="1083"/>
      <c r="K550" s="1083"/>
      <c r="L550" s="1083"/>
      <c r="M550" s="1083"/>
      <c r="N550" s="1083"/>
      <c r="O550" s="1083"/>
      <c r="P550" s="1083"/>
      <c r="Q550" s="1083"/>
      <c r="R550" s="1083"/>
      <c r="S550" s="1083"/>
      <c r="T550" s="1083"/>
      <c r="U550" s="1083"/>
      <c r="V550" s="1083"/>
      <c r="W550" s="1083"/>
      <c r="X550" s="1083"/>
      <c r="Y550" s="1083"/>
      <c r="Z550" s="1083"/>
      <c r="AA550" s="1083"/>
      <c r="AB550" s="1083"/>
      <c r="AC550" s="1083"/>
      <c r="AD550" s="1083"/>
      <c r="AE550" s="1083"/>
    </row>
    <row r="551" spans="2:31">
      <c r="B551" s="3252"/>
      <c r="C551" s="3260"/>
      <c r="D551" s="3252"/>
      <c r="E551" s="3262" t="s">
        <v>1031</v>
      </c>
      <c r="F551" s="3263">
        <f>SUM(F543:F550)</f>
        <v>935.32</v>
      </c>
      <c r="I551" s="1083"/>
      <c r="J551" s="1083"/>
      <c r="K551" s="1083"/>
      <c r="L551" s="1083"/>
      <c r="M551" s="1083"/>
      <c r="N551" s="1083"/>
      <c r="O551" s="1083"/>
      <c r="P551" s="1083"/>
      <c r="Q551" s="1083"/>
      <c r="R551" s="1083"/>
      <c r="S551" s="1083"/>
      <c r="T551" s="1083"/>
      <c r="U551" s="1083"/>
      <c r="V551" s="1083"/>
      <c r="W551" s="1083"/>
      <c r="X551" s="1083"/>
      <c r="Y551" s="1083"/>
      <c r="Z551" s="1083"/>
      <c r="AA551" s="1083"/>
      <c r="AB551" s="1083"/>
      <c r="AC551" s="1083"/>
      <c r="AD551" s="1083"/>
      <c r="AE551" s="1083"/>
    </row>
    <row r="552" spans="2:31">
      <c r="B552" s="1101" t="s">
        <v>1046</v>
      </c>
      <c r="C552" s="1603"/>
      <c r="D552" s="1087"/>
      <c r="E552" s="1100"/>
      <c r="F552" s="1095">
        <f>+F551-F549</f>
        <v>920.16</v>
      </c>
      <c r="I552" s="1083"/>
      <c r="J552" s="1083"/>
      <c r="K552" s="1083"/>
      <c r="L552" s="1083"/>
      <c r="M552" s="1083"/>
      <c r="N552" s="1083"/>
      <c r="O552" s="1083"/>
      <c r="P552" s="1083"/>
      <c r="Q552" s="1083"/>
      <c r="R552" s="1083"/>
      <c r="S552" s="1083"/>
      <c r="T552" s="1083"/>
      <c r="U552" s="1083"/>
      <c r="V552" s="1083"/>
      <c r="W552" s="1083"/>
      <c r="X552" s="1083"/>
      <c r="Y552" s="1083"/>
      <c r="Z552" s="1083"/>
      <c r="AA552" s="1083"/>
      <c r="AB552" s="1083"/>
      <c r="AC552" s="1083"/>
      <c r="AD552" s="1083"/>
      <c r="AE552" s="1083"/>
    </row>
    <row r="553" spans="2:31">
      <c r="B553" s="1101"/>
      <c r="C553" s="1603"/>
      <c r="D553" s="1087"/>
      <c r="E553" s="1100"/>
      <c r="F553" s="1095"/>
      <c r="I553" s="1083"/>
      <c r="J553" s="1083"/>
      <c r="K553" s="1083"/>
      <c r="L553" s="1083"/>
      <c r="M553" s="1083"/>
      <c r="N553" s="1083"/>
      <c r="O553" s="1083"/>
      <c r="P553" s="1083"/>
      <c r="Q553" s="1083"/>
      <c r="R553" s="1083"/>
      <c r="S553" s="1083"/>
      <c r="T553" s="1083"/>
      <c r="U553" s="1083"/>
      <c r="V553" s="1083"/>
      <c r="W553" s="1083"/>
      <c r="X553" s="1083"/>
      <c r="Y553" s="1083"/>
      <c r="Z553" s="1083"/>
      <c r="AA553" s="1083"/>
      <c r="AB553" s="1083"/>
      <c r="AC553" s="1083"/>
      <c r="AD553" s="1083"/>
      <c r="AE553" s="1083"/>
    </row>
    <row r="554" spans="2:31">
      <c r="B554" s="1391" t="s">
        <v>1047</v>
      </c>
      <c r="C554" s="1603"/>
      <c r="D554" s="1087"/>
      <c r="E554" s="1087"/>
      <c r="F554" s="1087"/>
      <c r="I554" s="1083"/>
      <c r="J554" s="1083"/>
      <c r="K554" s="1083"/>
      <c r="L554" s="1083"/>
      <c r="M554" s="1083"/>
      <c r="N554" s="1083"/>
      <c r="O554" s="1083"/>
      <c r="P554" s="1083"/>
      <c r="Q554" s="1083"/>
      <c r="R554" s="1083"/>
      <c r="S554" s="1083"/>
      <c r="T554" s="1083"/>
      <c r="U554" s="1083"/>
      <c r="V554" s="1083"/>
      <c r="W554" s="1083"/>
      <c r="X554" s="1083"/>
      <c r="Y554" s="1083"/>
      <c r="Z554" s="1083"/>
      <c r="AA554" s="1083"/>
      <c r="AB554" s="1083"/>
      <c r="AC554" s="1083"/>
      <c r="AD554" s="1083"/>
      <c r="AE554" s="1083"/>
    </row>
    <row r="555" spans="2:31">
      <c r="B555" s="3271" t="s">
        <v>1048</v>
      </c>
      <c r="C555" s="3255" t="s">
        <v>3</v>
      </c>
      <c r="D555" s="3264">
        <v>13</v>
      </c>
      <c r="E555" s="3245">
        <v>27</v>
      </c>
      <c r="F555" s="3245">
        <f t="shared" ref="F555:F562" si="3">E555*D555</f>
        <v>351</v>
      </c>
      <c r="I555" s="1083"/>
      <c r="J555" s="1083"/>
      <c r="K555" s="1083"/>
      <c r="L555" s="1083"/>
      <c r="M555" s="1083"/>
      <c r="N555" s="1083"/>
      <c r="O555" s="1083"/>
      <c r="P555" s="1083"/>
      <c r="Q555" s="1083"/>
      <c r="R555" s="1083"/>
      <c r="S555" s="1083"/>
      <c r="T555" s="1083"/>
      <c r="U555" s="1083"/>
      <c r="V555" s="1083"/>
      <c r="W555" s="1083"/>
      <c r="X555" s="1083"/>
      <c r="Y555" s="1083"/>
      <c r="Z555" s="1083"/>
      <c r="AA555" s="1083"/>
      <c r="AB555" s="1083"/>
      <c r="AC555" s="1083"/>
      <c r="AD555" s="1083"/>
      <c r="AE555" s="1083"/>
    </row>
    <row r="556" spans="2:31">
      <c r="B556" s="3271" t="s">
        <v>1049</v>
      </c>
      <c r="C556" s="3255" t="s">
        <v>3</v>
      </c>
      <c r="D556" s="3264">
        <v>13</v>
      </c>
      <c r="E556" s="3245">
        <v>17</v>
      </c>
      <c r="F556" s="3245">
        <f t="shared" si="3"/>
        <v>221</v>
      </c>
      <c r="I556" s="1083"/>
      <c r="J556" s="1083"/>
      <c r="K556" s="1083"/>
      <c r="L556" s="1083"/>
      <c r="M556" s="1083"/>
      <c r="N556" s="1083"/>
      <c r="O556" s="1083"/>
      <c r="P556" s="1083"/>
      <c r="Q556" s="1083"/>
      <c r="R556" s="1083"/>
      <c r="S556" s="1083"/>
      <c r="T556" s="1083"/>
      <c r="U556" s="1083"/>
      <c r="V556" s="1083"/>
      <c r="W556" s="1083"/>
      <c r="X556" s="1083"/>
      <c r="Y556" s="1083"/>
      <c r="Z556" s="1083"/>
      <c r="AA556" s="1083"/>
      <c r="AB556" s="1083"/>
      <c r="AC556" s="1083"/>
      <c r="AD556" s="1083"/>
      <c r="AE556" s="1083"/>
    </row>
    <row r="557" spans="2:31">
      <c r="B557" s="3252" t="s">
        <v>1050</v>
      </c>
      <c r="C557" s="3255" t="s">
        <v>2</v>
      </c>
      <c r="D557" s="3328">
        <v>0.02</v>
      </c>
      <c r="E557" s="3245">
        <f>F84</f>
        <v>5506.4</v>
      </c>
      <c r="F557" s="3245">
        <f t="shared" si="3"/>
        <v>110.13</v>
      </c>
      <c r="I557" s="1083"/>
      <c r="J557" s="1083"/>
      <c r="K557" s="1083"/>
      <c r="L557" s="1083"/>
      <c r="M557" s="1083"/>
      <c r="N557" s="1083"/>
      <c r="O557" s="1083"/>
      <c r="P557" s="1083"/>
      <c r="Q557" s="1083"/>
      <c r="R557" s="1083"/>
      <c r="S557" s="1083"/>
      <c r="T557" s="1083"/>
      <c r="U557" s="1083"/>
      <c r="V557" s="1083"/>
      <c r="W557" s="1083"/>
      <c r="X557" s="1083"/>
      <c r="Y557" s="1083"/>
      <c r="Z557" s="1083"/>
      <c r="AA557" s="1083"/>
      <c r="AB557" s="1083"/>
      <c r="AC557" s="1083"/>
      <c r="AD557" s="1083"/>
      <c r="AE557" s="1083"/>
    </row>
    <row r="558" spans="2:31">
      <c r="B558" s="3252" t="s">
        <v>1051</v>
      </c>
      <c r="C558" s="3255" t="s">
        <v>2</v>
      </c>
      <c r="D558" s="3252">
        <v>9.1999999999999998E-3</v>
      </c>
      <c r="E558" s="3245">
        <f>SUM(F540)</f>
        <v>4287.33</v>
      </c>
      <c r="F558" s="3245">
        <f t="shared" si="3"/>
        <v>39.44</v>
      </c>
      <c r="I558" s="1083"/>
      <c r="J558" s="1083"/>
      <c r="K558" s="1083"/>
      <c r="L558" s="1083"/>
      <c r="M558" s="1083"/>
      <c r="N558" s="1083"/>
      <c r="O558" s="1083"/>
      <c r="P558" s="1083"/>
      <c r="Q558" s="1083"/>
      <c r="R558" s="1083"/>
      <c r="S558" s="1083"/>
      <c r="T558" s="1083"/>
      <c r="U558" s="1083"/>
      <c r="V558" s="1083"/>
      <c r="W558" s="1083"/>
      <c r="X558" s="1083"/>
      <c r="Y558" s="1083"/>
      <c r="Z558" s="1083"/>
      <c r="AA558" s="1083"/>
      <c r="AB558" s="1083"/>
      <c r="AC558" s="1083"/>
      <c r="AD558" s="1083"/>
      <c r="AE558" s="1083"/>
    </row>
    <row r="559" spans="2:31">
      <c r="B559" s="3252" t="s">
        <v>1052</v>
      </c>
      <c r="C559" s="3255" t="s">
        <v>126</v>
      </c>
      <c r="D559" s="3252">
        <v>2.9600000000000001E-2</v>
      </c>
      <c r="E559" s="3245">
        <f>F62</f>
        <v>2913</v>
      </c>
      <c r="F559" s="3245">
        <f t="shared" si="3"/>
        <v>86.22</v>
      </c>
      <c r="I559" s="1083"/>
      <c r="J559" s="1083"/>
      <c r="K559" s="1083"/>
      <c r="L559" s="1083"/>
      <c r="M559" s="1083"/>
      <c r="N559" s="1083"/>
      <c r="O559" s="1083"/>
      <c r="P559" s="1083"/>
      <c r="Q559" s="1083"/>
      <c r="R559" s="1083"/>
      <c r="S559" s="1083"/>
      <c r="T559" s="1083"/>
      <c r="U559" s="1083"/>
      <c r="V559" s="1083"/>
      <c r="W559" s="1083"/>
      <c r="X559" s="1083"/>
      <c r="Y559" s="1083"/>
      <c r="Z559" s="1083"/>
      <c r="AA559" s="1083"/>
      <c r="AB559" s="1083"/>
      <c r="AC559" s="1083"/>
      <c r="AD559" s="1083"/>
      <c r="AE559" s="1083"/>
    </row>
    <row r="560" spans="2:31">
      <c r="B560" s="3271" t="s">
        <v>1053</v>
      </c>
      <c r="C560" s="3255" t="s">
        <v>155</v>
      </c>
      <c r="D560" s="3252">
        <v>0.18179999999999999</v>
      </c>
      <c r="E560" s="3245">
        <v>23.15</v>
      </c>
      <c r="F560" s="3245">
        <f t="shared" si="3"/>
        <v>4.21</v>
      </c>
      <c r="I560" s="1083"/>
      <c r="J560" s="1083"/>
      <c r="K560" s="1083"/>
      <c r="L560" s="1083"/>
      <c r="M560" s="1083"/>
      <c r="N560" s="1083"/>
      <c r="O560" s="1083"/>
      <c r="P560" s="1083"/>
      <c r="Q560" s="1083"/>
      <c r="R560" s="1083"/>
      <c r="S560" s="1083"/>
      <c r="T560" s="1083"/>
      <c r="U560" s="1083"/>
      <c r="V560" s="1083"/>
      <c r="W560" s="1083"/>
      <c r="X560" s="1083"/>
      <c r="Y560" s="1083"/>
      <c r="Z560" s="1083"/>
      <c r="AA560" s="1083"/>
      <c r="AB560" s="1083"/>
      <c r="AC560" s="1083"/>
      <c r="AD560" s="1083"/>
      <c r="AE560" s="1083"/>
    </row>
    <row r="561" spans="2:31">
      <c r="B561" s="3252" t="s">
        <v>198</v>
      </c>
      <c r="C561" s="3255" t="s">
        <v>148</v>
      </c>
      <c r="D561" s="3252">
        <v>2.3E-2</v>
      </c>
      <c r="E561" s="3245">
        <v>659</v>
      </c>
      <c r="F561" s="3245">
        <f t="shared" si="3"/>
        <v>15.16</v>
      </c>
      <c r="I561" s="1083"/>
      <c r="J561" s="1083"/>
      <c r="K561" s="1083"/>
      <c r="L561" s="1083"/>
      <c r="M561" s="1083"/>
      <c r="N561" s="1083"/>
      <c r="O561" s="1083"/>
      <c r="P561" s="1083"/>
      <c r="Q561" s="1083"/>
      <c r="R561" s="1083"/>
      <c r="S561" s="1083"/>
      <c r="T561" s="1083"/>
      <c r="U561" s="1083"/>
      <c r="V561" s="1083"/>
      <c r="W561" s="1083"/>
      <c r="X561" s="1083"/>
      <c r="Y561" s="1083"/>
      <c r="Z561" s="1083"/>
      <c r="AA561" s="1083"/>
      <c r="AB561" s="1083"/>
      <c r="AC561" s="1083"/>
      <c r="AD561" s="1083"/>
      <c r="AE561" s="1083"/>
    </row>
    <row r="562" spans="2:31">
      <c r="B562" s="3252" t="s">
        <v>199</v>
      </c>
      <c r="C562" s="3255" t="s">
        <v>2</v>
      </c>
      <c r="D562" s="3328">
        <v>0.01</v>
      </c>
      <c r="E562" s="3245">
        <v>659</v>
      </c>
      <c r="F562" s="3245">
        <f t="shared" si="3"/>
        <v>6.59</v>
      </c>
      <c r="I562" s="1083"/>
      <c r="J562" s="1083"/>
      <c r="K562" s="1083"/>
      <c r="L562" s="1083"/>
      <c r="M562" s="1083"/>
      <c r="N562" s="1083"/>
      <c r="O562" s="1083"/>
      <c r="P562" s="1083"/>
      <c r="Q562" s="1083"/>
      <c r="R562" s="1083"/>
      <c r="S562" s="1083"/>
      <c r="T562" s="1083"/>
      <c r="U562" s="1083"/>
      <c r="V562" s="1083"/>
      <c r="W562" s="1083"/>
      <c r="X562" s="1083"/>
      <c r="Y562" s="1083"/>
      <c r="Z562" s="1083"/>
      <c r="AA562" s="1083"/>
      <c r="AB562" s="1083"/>
      <c r="AC562" s="1083"/>
      <c r="AD562" s="1083"/>
      <c r="AE562" s="1083"/>
    </row>
    <row r="563" spans="2:31">
      <c r="B563" s="3252"/>
      <c r="C563" s="3260"/>
      <c r="D563" s="3328"/>
      <c r="E563" s="3262" t="s">
        <v>1031</v>
      </c>
      <c r="F563" s="3263">
        <f>SUM(F555:F562)</f>
        <v>833.75</v>
      </c>
      <c r="I563" s="1083"/>
      <c r="J563" s="1083"/>
      <c r="K563" s="1083"/>
      <c r="L563" s="1083"/>
      <c r="M563" s="1083"/>
      <c r="N563" s="1083"/>
      <c r="O563" s="1083"/>
      <c r="P563" s="1083"/>
      <c r="Q563" s="1083"/>
      <c r="R563" s="1083"/>
      <c r="S563" s="1083"/>
      <c r="T563" s="1083"/>
      <c r="U563" s="1083"/>
      <c r="V563" s="1083"/>
      <c r="W563" s="1083"/>
      <c r="X563" s="1083"/>
      <c r="Y563" s="1083"/>
      <c r="Z563" s="1083"/>
      <c r="AA563" s="1083"/>
      <c r="AB563" s="1083"/>
      <c r="AC563" s="1083"/>
      <c r="AD563" s="1083"/>
      <c r="AE563" s="1083"/>
    </row>
    <row r="564" spans="2:31">
      <c r="B564" s="1087"/>
      <c r="C564" s="1603"/>
      <c r="D564" s="1087"/>
      <c r="E564" s="1100"/>
      <c r="F564" s="1095"/>
      <c r="I564" s="1083"/>
      <c r="J564" s="1083"/>
      <c r="K564" s="1083"/>
      <c r="L564" s="1083"/>
      <c r="M564" s="1083"/>
      <c r="N564" s="1083"/>
      <c r="O564" s="1083"/>
      <c r="P564" s="1083"/>
      <c r="Q564" s="1083"/>
      <c r="R564" s="1083"/>
      <c r="S564" s="1083"/>
      <c r="T564" s="1083"/>
      <c r="U564" s="1083"/>
      <c r="V564" s="1083"/>
      <c r="W564" s="1083"/>
      <c r="X564" s="1083"/>
      <c r="Y564" s="1083"/>
      <c r="Z564" s="1083"/>
      <c r="AA564" s="1083"/>
      <c r="AB564" s="1083"/>
      <c r="AC564" s="1083"/>
      <c r="AD564" s="1083"/>
      <c r="AE564" s="1083"/>
    </row>
    <row r="565" spans="2:31">
      <c r="B565" s="1101" t="s">
        <v>1054</v>
      </c>
      <c r="C565" s="1603"/>
      <c r="D565" s="1114"/>
      <c r="E565" s="1100"/>
      <c r="F565" s="1095"/>
      <c r="I565" s="1083"/>
      <c r="J565" s="1083"/>
      <c r="K565" s="1083"/>
      <c r="L565" s="1083"/>
      <c r="M565" s="1083"/>
      <c r="N565" s="1083"/>
      <c r="O565" s="1083"/>
      <c r="P565" s="1083"/>
      <c r="Q565" s="1083"/>
      <c r="R565" s="1083"/>
      <c r="S565" s="1083"/>
      <c r="T565" s="1083"/>
      <c r="U565" s="1083"/>
      <c r="V565" s="1083"/>
      <c r="W565" s="1083"/>
      <c r="X565" s="1083"/>
      <c r="Y565" s="1083"/>
      <c r="Z565" s="1083"/>
      <c r="AA565" s="1083"/>
      <c r="AB565" s="1083"/>
      <c r="AC565" s="1083"/>
      <c r="AD565" s="1083"/>
      <c r="AE565" s="1083"/>
    </row>
    <row r="566" spans="2:31">
      <c r="B566" s="3252" t="s">
        <v>1055</v>
      </c>
      <c r="C566" s="3255" t="s">
        <v>3</v>
      </c>
      <c r="D566" s="3264">
        <v>13</v>
      </c>
      <c r="E566" s="3245">
        <v>60</v>
      </c>
      <c r="F566" s="3245">
        <f>E566*D566</f>
        <v>780</v>
      </c>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row>
    <row r="567" spans="2:31">
      <c r="B567" s="3252" t="s">
        <v>1056</v>
      </c>
      <c r="C567" s="3255" t="s">
        <v>3</v>
      </c>
      <c r="D567" s="3264">
        <v>13</v>
      </c>
      <c r="E567" s="3245">
        <v>20</v>
      </c>
      <c r="F567" s="3245">
        <f>E567*D567</f>
        <v>260</v>
      </c>
      <c r="I567" s="1083"/>
      <c r="J567" s="1083"/>
      <c r="K567" s="1083"/>
      <c r="L567" s="1083"/>
      <c r="M567" s="1083"/>
      <c r="N567" s="1083"/>
      <c r="O567" s="1083"/>
      <c r="P567" s="1083"/>
      <c r="Q567" s="1083"/>
      <c r="R567" s="1083"/>
      <c r="S567" s="1083"/>
      <c r="T567" s="1083"/>
      <c r="U567" s="1083"/>
      <c r="V567" s="1083"/>
      <c r="W567" s="1083"/>
      <c r="X567" s="1083"/>
      <c r="Y567" s="1083"/>
      <c r="Z567" s="1083"/>
      <c r="AA567" s="1083"/>
      <c r="AB567" s="1083"/>
      <c r="AC567" s="1083"/>
      <c r="AD567" s="1083"/>
      <c r="AE567" s="1083"/>
    </row>
    <row r="568" spans="2:31">
      <c r="B568" s="3252" t="s">
        <v>1057</v>
      </c>
      <c r="C568" s="3255" t="s">
        <v>2</v>
      </c>
      <c r="D568" s="3328">
        <v>8.6E-3</v>
      </c>
      <c r="E568" s="3245">
        <f>F76</f>
        <v>5653.39</v>
      </c>
      <c r="F568" s="3245">
        <f>E568*D568</f>
        <v>48.62</v>
      </c>
      <c r="I568" s="1083"/>
      <c r="J568" s="1083"/>
      <c r="K568" s="1083"/>
      <c r="L568" s="1083"/>
      <c r="M568" s="1083"/>
      <c r="N568" s="1083"/>
      <c r="O568" s="1083"/>
      <c r="P568" s="1083"/>
      <c r="Q568" s="1083"/>
      <c r="R568" s="1083"/>
      <c r="S568" s="1083"/>
      <c r="T568" s="1083"/>
      <c r="U568" s="1083"/>
      <c r="V568" s="1083"/>
      <c r="W568" s="1083"/>
      <c r="X568" s="1083"/>
      <c r="Y568" s="1083"/>
      <c r="Z568" s="1083"/>
      <c r="AA568" s="1083"/>
      <c r="AB568" s="1083"/>
      <c r="AC568" s="1083"/>
      <c r="AD568" s="1083"/>
      <c r="AE568" s="1083"/>
    </row>
    <row r="569" spans="2:31">
      <c r="B569" s="3252" t="s">
        <v>1058</v>
      </c>
      <c r="C569" s="3255" t="s">
        <v>3</v>
      </c>
      <c r="D569" s="3264">
        <v>0.13</v>
      </c>
      <c r="E569" s="3245">
        <v>60</v>
      </c>
      <c r="F569" s="3245">
        <f>E569*D569</f>
        <v>7.8</v>
      </c>
      <c r="I569" s="1083"/>
      <c r="J569" s="1083"/>
      <c r="K569" s="1083"/>
      <c r="L569" s="1083"/>
      <c r="M569" s="1083"/>
      <c r="N569" s="1083"/>
      <c r="O569" s="1083"/>
      <c r="P569" s="1083"/>
      <c r="Q569" s="1083"/>
      <c r="R569" s="1083"/>
      <c r="S569" s="1083"/>
      <c r="T569" s="1083"/>
      <c r="U569" s="1083"/>
      <c r="V569" s="1083"/>
      <c r="W569" s="1083"/>
      <c r="X569" s="1083"/>
      <c r="Y569" s="1083"/>
      <c r="Z569" s="1083"/>
      <c r="AA569" s="1083"/>
      <c r="AB569" s="1083"/>
      <c r="AC569" s="1083"/>
      <c r="AD569" s="1083"/>
      <c r="AE569" s="1083"/>
    </row>
    <row r="570" spans="2:31">
      <c r="B570" s="3252"/>
      <c r="C570" s="3260"/>
      <c r="D570" s="3328"/>
      <c r="E570" s="3262" t="s">
        <v>1031</v>
      </c>
      <c r="F570" s="3263">
        <f>SUM(F566:F569)</f>
        <v>1096.42</v>
      </c>
      <c r="I570" s="1083"/>
      <c r="J570" s="1083"/>
      <c r="K570" s="1083"/>
      <c r="L570" s="1083"/>
      <c r="M570" s="1083"/>
      <c r="N570" s="1083"/>
      <c r="O570" s="1083"/>
      <c r="P570" s="1083"/>
      <c r="Q570" s="1083"/>
      <c r="R570" s="1083"/>
      <c r="S570" s="1083"/>
      <c r="T570" s="1083"/>
      <c r="U570" s="1083"/>
      <c r="V570" s="1083"/>
      <c r="W570" s="1083"/>
      <c r="X570" s="1083"/>
      <c r="Y570" s="1083"/>
      <c r="Z570" s="1083"/>
      <c r="AA570" s="1083"/>
      <c r="AB570" s="1083"/>
      <c r="AC570" s="1083"/>
      <c r="AD570" s="1083"/>
      <c r="AE570" s="1083"/>
    </row>
    <row r="571" spans="2:31">
      <c r="B571" s="1087"/>
      <c r="C571" s="1603"/>
      <c r="D571" s="1114"/>
      <c r="E571" s="1100"/>
      <c r="F571" s="1095"/>
      <c r="I571" s="1083"/>
      <c r="J571" s="1083"/>
      <c r="K571" s="1083"/>
      <c r="L571" s="1083"/>
      <c r="M571" s="1083"/>
      <c r="N571" s="1083"/>
      <c r="O571" s="1083"/>
      <c r="P571" s="1083"/>
      <c r="Q571" s="1083"/>
      <c r="R571" s="1083"/>
      <c r="S571" s="1083"/>
      <c r="T571" s="1083"/>
      <c r="U571" s="1083"/>
      <c r="V571" s="1083"/>
      <c r="W571" s="1083"/>
      <c r="X571" s="1083"/>
      <c r="Y571" s="1083"/>
      <c r="Z571" s="1083"/>
      <c r="AA571" s="1083"/>
      <c r="AB571" s="1083"/>
      <c r="AC571" s="1083"/>
      <c r="AD571" s="1083"/>
      <c r="AE571" s="1083"/>
    </row>
    <row r="572" spans="2:31">
      <c r="B572" s="1101" t="s">
        <v>1063</v>
      </c>
      <c r="C572" s="1603"/>
      <c r="D572" s="1087"/>
      <c r="E572" s="1100"/>
      <c r="F572" s="1095"/>
      <c r="I572" s="1083"/>
      <c r="J572" s="1083"/>
      <c r="K572" s="1083"/>
      <c r="L572" s="1083"/>
      <c r="M572" s="1083"/>
      <c r="N572" s="1083"/>
      <c r="O572" s="1083"/>
      <c r="P572" s="1083"/>
      <c r="Q572" s="1083"/>
      <c r="R572" s="1083"/>
      <c r="S572" s="1083"/>
      <c r="T572" s="1083"/>
      <c r="U572" s="1083"/>
      <c r="V572" s="1083"/>
      <c r="W572" s="1083"/>
      <c r="X572" s="1083"/>
      <c r="Y572" s="1083"/>
      <c r="Z572" s="1083"/>
      <c r="AA572" s="1083"/>
      <c r="AB572" s="1083"/>
      <c r="AC572" s="1083"/>
      <c r="AD572" s="1083"/>
      <c r="AE572" s="1083"/>
    </row>
    <row r="573" spans="2:31">
      <c r="B573" s="3252" t="s">
        <v>1064</v>
      </c>
      <c r="C573" s="3255" t="s">
        <v>2</v>
      </c>
      <c r="D573" s="3264">
        <v>0.08</v>
      </c>
      <c r="E573" s="3245">
        <f>F540</f>
        <v>4287.33</v>
      </c>
      <c r="F573" s="3245">
        <f t="shared" ref="F573:F578" si="4">E573*D573</f>
        <v>342.99</v>
      </c>
      <c r="I573" s="1083"/>
      <c r="J573" s="1083"/>
      <c r="K573" s="1083"/>
      <c r="L573" s="1083"/>
      <c r="M573" s="1083"/>
      <c r="N573" s="1083"/>
      <c r="O573" s="1083"/>
      <c r="P573" s="1083"/>
      <c r="Q573" s="1083"/>
      <c r="R573" s="1083"/>
      <c r="S573" s="1083"/>
      <c r="T573" s="1083"/>
      <c r="U573" s="1083"/>
      <c r="V573" s="1083"/>
      <c r="W573" s="1083"/>
      <c r="X573" s="1083"/>
      <c r="Y573" s="1083"/>
      <c r="Z573" s="1083"/>
      <c r="AA573" s="1083"/>
      <c r="AB573" s="1083"/>
      <c r="AC573" s="1083"/>
      <c r="AD573" s="1083"/>
      <c r="AE573" s="1083"/>
    </row>
    <row r="574" spans="2:31">
      <c r="B574" s="3252" t="s">
        <v>1065</v>
      </c>
      <c r="C574" s="3255" t="s">
        <v>2</v>
      </c>
      <c r="D574" s="3252">
        <v>2.1999999999999999E-2</v>
      </c>
      <c r="E574" s="3245">
        <f>F76</f>
        <v>5653.39</v>
      </c>
      <c r="F574" s="3245">
        <f t="shared" si="4"/>
        <v>124.37</v>
      </c>
      <c r="I574" s="1083"/>
      <c r="J574" s="1083"/>
      <c r="K574" s="1083"/>
      <c r="L574" s="1083"/>
      <c r="M574" s="1083"/>
      <c r="N574" s="1083"/>
      <c r="O574" s="1083"/>
      <c r="P574" s="1083"/>
      <c r="Q574" s="1083"/>
      <c r="R574" s="1083"/>
      <c r="S574" s="1083"/>
      <c r="T574" s="1083"/>
      <c r="U574" s="1083"/>
      <c r="V574" s="1083"/>
      <c r="W574" s="1083"/>
      <c r="X574" s="1083"/>
      <c r="Y574" s="1083"/>
      <c r="Z574" s="1083"/>
      <c r="AA574" s="1083"/>
      <c r="AB574" s="1083"/>
      <c r="AC574" s="1083"/>
      <c r="AD574" s="1083"/>
      <c r="AE574" s="1083"/>
    </row>
    <row r="575" spans="2:31">
      <c r="B575" s="3252" t="s">
        <v>154</v>
      </c>
      <c r="C575" s="3255" t="s">
        <v>155</v>
      </c>
      <c r="D575" s="3252">
        <v>8.7999999999999995E-2</v>
      </c>
      <c r="E575" s="3245">
        <v>45</v>
      </c>
      <c r="F575" s="3245">
        <f t="shared" si="4"/>
        <v>3.96</v>
      </c>
      <c r="I575" s="1083"/>
      <c r="J575" s="1083"/>
      <c r="K575" s="1083"/>
      <c r="L575" s="1083"/>
      <c r="M575" s="1083"/>
      <c r="N575" s="1083"/>
      <c r="O575" s="1083"/>
      <c r="P575" s="1083"/>
      <c r="Q575" s="1083"/>
      <c r="R575" s="1083"/>
      <c r="S575" s="1083"/>
      <c r="T575" s="1083"/>
      <c r="U575" s="1083"/>
      <c r="V575" s="1083"/>
      <c r="W575" s="1083"/>
      <c r="X575" s="1083"/>
      <c r="Y575" s="1083"/>
      <c r="Z575" s="1083"/>
      <c r="AA575" s="1083"/>
      <c r="AB575" s="1083"/>
      <c r="AC575" s="1083"/>
      <c r="AD575" s="1083"/>
      <c r="AE575" s="1083"/>
    </row>
    <row r="576" spans="2:31">
      <c r="B576" s="3252" t="s">
        <v>1066</v>
      </c>
      <c r="C576" s="3255" t="s">
        <v>11</v>
      </c>
      <c r="D576" s="3264">
        <v>1</v>
      </c>
      <c r="E576" s="3245">
        <v>70</v>
      </c>
      <c r="F576" s="3245">
        <f t="shared" si="4"/>
        <v>70</v>
      </c>
      <c r="I576" s="1083"/>
      <c r="J576" s="1083"/>
      <c r="K576" s="1083"/>
      <c r="L576" s="1083"/>
      <c r="M576" s="1083"/>
      <c r="N576" s="1083"/>
      <c r="O576" s="1083"/>
      <c r="P576" s="1083"/>
      <c r="Q576" s="1083"/>
      <c r="R576" s="1083"/>
      <c r="S576" s="1083"/>
      <c r="T576" s="1083"/>
      <c r="U576" s="1083"/>
      <c r="V576" s="1083"/>
      <c r="W576" s="1083"/>
      <c r="X576" s="1083"/>
      <c r="Y576" s="1083"/>
      <c r="Z576" s="1083"/>
      <c r="AA576" s="1083"/>
      <c r="AB576" s="1083"/>
      <c r="AC576" s="1083"/>
      <c r="AD576" s="1083"/>
      <c r="AE576" s="1083"/>
    </row>
    <row r="577" spans="2:31">
      <c r="B577" s="3252" t="s">
        <v>1062</v>
      </c>
      <c r="C577" s="3255" t="s">
        <v>1</v>
      </c>
      <c r="D577" s="3264">
        <v>0.8</v>
      </c>
      <c r="E577" s="3245">
        <f>F267</f>
        <v>82.22</v>
      </c>
      <c r="F577" s="3245">
        <f t="shared" si="4"/>
        <v>65.78</v>
      </c>
      <c r="I577" s="1083"/>
      <c r="J577" s="1083"/>
      <c r="K577" s="1083"/>
      <c r="L577" s="1083"/>
      <c r="M577" s="1083"/>
      <c r="N577" s="1083"/>
      <c r="O577" s="1083"/>
      <c r="P577" s="1083"/>
      <c r="Q577" s="1083"/>
      <c r="R577" s="1083"/>
      <c r="S577" s="1083"/>
      <c r="T577" s="1083"/>
      <c r="U577" s="1083"/>
      <c r="V577" s="1083"/>
      <c r="W577" s="1083"/>
      <c r="X577" s="1083"/>
      <c r="Y577" s="1083"/>
      <c r="Z577" s="1083"/>
      <c r="AA577" s="1083"/>
      <c r="AB577" s="1083"/>
      <c r="AC577" s="1083"/>
      <c r="AD577" s="1083"/>
      <c r="AE577" s="1083"/>
    </row>
    <row r="578" spans="2:31">
      <c r="B578" s="3252" t="s">
        <v>1067</v>
      </c>
      <c r="C578" s="3311" t="s">
        <v>1026</v>
      </c>
      <c r="D578" s="3252">
        <v>0.04</v>
      </c>
      <c r="E578" s="3245">
        <f>F4</f>
        <v>325</v>
      </c>
      <c r="F578" s="3245">
        <f t="shared" si="4"/>
        <v>13</v>
      </c>
      <c r="I578" s="1083"/>
      <c r="J578" s="1083"/>
      <c r="K578" s="1083"/>
      <c r="L578" s="1083"/>
      <c r="M578" s="1083"/>
      <c r="N578" s="1083"/>
      <c r="O578" s="1083"/>
      <c r="P578" s="1083"/>
      <c r="Q578" s="1083"/>
      <c r="R578" s="1083"/>
      <c r="S578" s="1083"/>
      <c r="T578" s="1083"/>
      <c r="U578" s="1083"/>
      <c r="V578" s="1083"/>
      <c r="W578" s="1083"/>
      <c r="X578" s="1083"/>
      <c r="Y578" s="1083"/>
      <c r="Z578" s="1083"/>
      <c r="AA578" s="1083"/>
      <c r="AB578" s="1083"/>
      <c r="AC578" s="1083"/>
      <c r="AD578" s="1083"/>
      <c r="AE578" s="1083"/>
    </row>
    <row r="579" spans="2:31">
      <c r="B579" s="3252"/>
      <c r="C579" s="3260"/>
      <c r="D579" s="3252"/>
      <c r="E579" s="3262" t="s">
        <v>1031</v>
      </c>
      <c r="F579" s="3273">
        <f>SUM(F573:F578)</f>
        <v>620.1</v>
      </c>
      <c r="I579" s="1083"/>
      <c r="J579" s="1083"/>
      <c r="K579" s="1083"/>
      <c r="L579" s="1083"/>
      <c r="M579" s="1083"/>
      <c r="N579" s="1083"/>
      <c r="O579" s="1083"/>
      <c r="P579" s="1083"/>
      <c r="Q579" s="1083"/>
      <c r="R579" s="1083"/>
      <c r="S579" s="1083"/>
      <c r="T579" s="1083"/>
      <c r="U579" s="1083"/>
      <c r="V579" s="1083"/>
      <c r="W579" s="1083"/>
      <c r="X579" s="1083"/>
      <c r="Y579" s="1083"/>
      <c r="Z579" s="1083"/>
      <c r="AA579" s="1083"/>
      <c r="AB579" s="1083"/>
      <c r="AC579" s="1083"/>
      <c r="AD579" s="1083"/>
      <c r="AE579" s="1083"/>
    </row>
    <row r="580" spans="2:31">
      <c r="B580" s="1087"/>
      <c r="C580" s="1608"/>
      <c r="D580" s="1087"/>
      <c r="E580" s="1094"/>
      <c r="F580" s="1115"/>
      <c r="I580" s="1083"/>
      <c r="J580" s="1083"/>
      <c r="K580" s="1083"/>
      <c r="L580" s="1083"/>
      <c r="M580" s="1083"/>
      <c r="N580" s="1083"/>
      <c r="O580" s="1083"/>
      <c r="P580" s="1083"/>
      <c r="Q580" s="1083"/>
      <c r="R580" s="1083"/>
      <c r="S580" s="1083"/>
      <c r="T580" s="1083"/>
      <c r="U580" s="1083"/>
      <c r="V580" s="1083"/>
      <c r="W580" s="1083"/>
      <c r="X580" s="1083"/>
      <c r="Y580" s="1083"/>
      <c r="Z580" s="1083"/>
      <c r="AA580" s="1083"/>
      <c r="AB580" s="1083"/>
      <c r="AC580" s="1083"/>
      <c r="AD580" s="1083"/>
      <c r="AE580" s="1083"/>
    </row>
    <row r="581" spans="2:31">
      <c r="B581" s="1101" t="s">
        <v>1068</v>
      </c>
      <c r="C581" s="1603"/>
      <c r="D581" s="1087"/>
      <c r="E581" s="1087"/>
      <c r="F581" s="1087"/>
      <c r="I581" s="1083"/>
      <c r="J581" s="1083"/>
      <c r="K581" s="1083"/>
      <c r="L581" s="1083"/>
      <c r="M581" s="1083"/>
      <c r="N581" s="1083"/>
      <c r="O581" s="1083"/>
      <c r="P581" s="1083"/>
      <c r="Q581" s="1083"/>
      <c r="R581" s="1083"/>
      <c r="S581" s="1083"/>
      <c r="T581" s="1083"/>
      <c r="U581" s="1083"/>
      <c r="V581" s="1083"/>
      <c r="W581" s="1083"/>
      <c r="X581" s="1083"/>
      <c r="Y581" s="1083"/>
      <c r="Z581" s="1083"/>
      <c r="AA581" s="1083"/>
      <c r="AB581" s="1083"/>
      <c r="AC581" s="1083"/>
      <c r="AD581" s="1083"/>
      <c r="AE581" s="1083"/>
    </row>
    <row r="582" spans="2:31">
      <c r="B582" s="3252" t="s">
        <v>1069</v>
      </c>
      <c r="C582" s="3255" t="s">
        <v>2</v>
      </c>
      <c r="D582" s="3264">
        <v>0.8</v>
      </c>
      <c r="E582" s="3245">
        <f>F56</f>
        <v>4782.66</v>
      </c>
      <c r="F582" s="3245">
        <f>E582*D582</f>
        <v>3826.13</v>
      </c>
      <c r="I582" s="1083"/>
      <c r="J582" s="1083"/>
      <c r="K582" s="1083"/>
      <c r="L582" s="1083"/>
      <c r="M582" s="1083"/>
      <c r="N582" s="1083"/>
      <c r="O582" s="1083"/>
      <c r="P582" s="1083"/>
      <c r="Q582" s="1083"/>
      <c r="R582" s="1083"/>
      <c r="S582" s="1083"/>
      <c r="T582" s="1083"/>
      <c r="U582" s="1083"/>
      <c r="V582" s="1083"/>
      <c r="W582" s="1083"/>
      <c r="X582" s="1083"/>
      <c r="Y582" s="1083"/>
      <c r="Z582" s="1083"/>
      <c r="AA582" s="1083"/>
      <c r="AB582" s="1083"/>
      <c r="AC582" s="1083"/>
      <c r="AD582" s="1083"/>
      <c r="AE582" s="1083"/>
    </row>
    <row r="583" spans="2:31">
      <c r="B583" s="3252" t="s">
        <v>1070</v>
      </c>
      <c r="C583" s="3255" t="s">
        <v>2</v>
      </c>
      <c r="D583" s="3252">
        <v>0.45</v>
      </c>
      <c r="E583" s="3245">
        <v>750</v>
      </c>
      <c r="F583" s="3245">
        <f>E583*D583</f>
        <v>337.5</v>
      </c>
      <c r="I583" s="1083"/>
      <c r="J583" s="1083"/>
      <c r="K583" s="1083"/>
      <c r="L583" s="1083"/>
      <c r="M583" s="1083"/>
      <c r="N583" s="1083"/>
      <c r="O583" s="1083"/>
      <c r="P583" s="1083"/>
      <c r="Q583" s="1083"/>
      <c r="R583" s="1083"/>
      <c r="S583" s="1083"/>
      <c r="T583" s="1083"/>
      <c r="U583" s="1083"/>
      <c r="V583" s="1083"/>
      <c r="W583" s="1083"/>
      <c r="X583" s="1083"/>
      <c r="Y583" s="1083"/>
      <c r="Z583" s="1083"/>
      <c r="AA583" s="1083"/>
      <c r="AB583" s="1083"/>
      <c r="AC583" s="1083"/>
      <c r="AD583" s="1083"/>
      <c r="AE583" s="1083"/>
    </row>
    <row r="584" spans="2:31">
      <c r="B584" s="3252" t="s">
        <v>41</v>
      </c>
      <c r="C584" s="3255" t="s">
        <v>2</v>
      </c>
      <c r="D584" s="3264">
        <v>1</v>
      </c>
      <c r="E584" s="3245">
        <v>659</v>
      </c>
      <c r="F584" s="3245">
        <f>E584*D584</f>
        <v>659</v>
      </c>
      <c r="I584" s="1083"/>
      <c r="J584" s="1083"/>
      <c r="K584" s="1083"/>
      <c r="L584" s="1083"/>
      <c r="M584" s="1083"/>
      <c r="N584" s="1083"/>
      <c r="O584" s="1083"/>
      <c r="P584" s="1083"/>
      <c r="Q584" s="1083"/>
      <c r="R584" s="1083"/>
      <c r="S584" s="1083"/>
      <c r="T584" s="1083"/>
      <c r="U584" s="1083"/>
      <c r="V584" s="1083"/>
      <c r="W584" s="1083"/>
      <c r="X584" s="1083"/>
      <c r="Y584" s="1083"/>
      <c r="Z584" s="1083"/>
      <c r="AA584" s="1083"/>
      <c r="AB584" s="1083"/>
      <c r="AC584" s="1083"/>
      <c r="AD584" s="1083"/>
      <c r="AE584" s="1083"/>
    </row>
    <row r="585" spans="2:31">
      <c r="B585" s="3252"/>
      <c r="C585" s="3260"/>
      <c r="D585" s="3252"/>
      <c r="E585" s="3254"/>
      <c r="F585" s="3273">
        <f>SUM(F582:F584)</f>
        <v>4822.63</v>
      </c>
      <c r="I585" s="1083"/>
      <c r="J585" s="1083"/>
      <c r="K585" s="1083"/>
      <c r="L585" s="1083"/>
      <c r="M585" s="1083"/>
      <c r="N585" s="1083"/>
      <c r="O585" s="1083"/>
      <c r="P585" s="1083"/>
      <c r="Q585" s="1083"/>
      <c r="R585" s="1083"/>
      <c r="S585" s="1083"/>
      <c r="T585" s="1083"/>
      <c r="U585" s="1083"/>
      <c r="V585" s="1083"/>
      <c r="W585" s="1083"/>
      <c r="X585" s="1083"/>
      <c r="Y585" s="1083"/>
      <c r="Z585" s="1083"/>
      <c r="AA585" s="1083"/>
      <c r="AB585" s="1083"/>
      <c r="AC585" s="1083"/>
      <c r="AD585" s="1083"/>
      <c r="AE585" s="1083"/>
    </row>
    <row r="586" spans="2:31">
      <c r="B586" s="1087"/>
      <c r="C586" s="1608"/>
      <c r="D586" s="1087"/>
      <c r="E586" s="1094"/>
      <c r="F586" s="1115"/>
      <c r="I586" s="1083"/>
      <c r="J586" s="1083"/>
      <c r="K586" s="1083"/>
      <c r="L586" s="1083"/>
      <c r="M586" s="1083"/>
      <c r="N586" s="1083"/>
      <c r="O586" s="1083"/>
      <c r="P586" s="1083"/>
      <c r="Q586" s="1083"/>
      <c r="R586" s="1083"/>
      <c r="S586" s="1083"/>
      <c r="T586" s="1083"/>
      <c r="U586" s="1083"/>
      <c r="V586" s="1083"/>
      <c r="W586" s="1083"/>
      <c r="X586" s="1083"/>
      <c r="Y586" s="1083"/>
      <c r="Z586" s="1083"/>
      <c r="AA586" s="1083"/>
      <c r="AB586" s="1083"/>
      <c r="AC586" s="1083"/>
      <c r="AD586" s="1083"/>
      <c r="AE586" s="1083"/>
    </row>
    <row r="587" spans="2:31">
      <c r="B587" s="1117" t="s">
        <v>1072</v>
      </c>
      <c r="C587" s="1619"/>
      <c r="D587" s="1118"/>
      <c r="E587" s="1118"/>
      <c r="F587" s="1118"/>
      <c r="I587" s="1083"/>
      <c r="J587" s="1083"/>
      <c r="K587" s="1083"/>
      <c r="L587" s="1083"/>
      <c r="M587" s="1083"/>
      <c r="N587" s="1083"/>
      <c r="O587" s="1083"/>
      <c r="P587" s="1083"/>
      <c r="Q587" s="1083"/>
      <c r="R587" s="1083"/>
      <c r="S587" s="1083"/>
      <c r="T587" s="1083"/>
      <c r="U587" s="1083"/>
      <c r="V587" s="1083"/>
      <c r="W587" s="1083"/>
      <c r="X587" s="1083"/>
      <c r="Y587" s="1083"/>
      <c r="Z587" s="1083"/>
      <c r="AA587" s="1083"/>
      <c r="AB587" s="1083"/>
      <c r="AC587" s="1083"/>
      <c r="AD587" s="1083"/>
      <c r="AE587" s="1083"/>
    </row>
    <row r="588" spans="2:31">
      <c r="B588" s="3329" t="s">
        <v>1073</v>
      </c>
      <c r="C588" s="3330" t="s">
        <v>1074</v>
      </c>
      <c r="D588" s="3331">
        <v>0.08</v>
      </c>
      <c r="E588" s="3245">
        <v>890</v>
      </c>
      <c r="F588" s="3245">
        <f>E588*D588</f>
        <v>71.2</v>
      </c>
      <c r="I588" s="1083"/>
      <c r="J588" s="1083"/>
      <c r="K588" s="1083"/>
      <c r="L588" s="1083"/>
      <c r="M588" s="1083"/>
      <c r="N588" s="1083"/>
      <c r="O588" s="1083"/>
      <c r="P588" s="1083"/>
      <c r="Q588" s="1083"/>
      <c r="R588" s="1083"/>
      <c r="S588" s="1083"/>
      <c r="T588" s="1083"/>
      <c r="U588" s="1083"/>
      <c r="V588" s="1083"/>
      <c r="W588" s="1083"/>
      <c r="X588" s="1083"/>
      <c r="Y588" s="1083"/>
      <c r="Z588" s="1083"/>
      <c r="AA588" s="1083"/>
      <c r="AB588" s="1083"/>
      <c r="AC588" s="1083"/>
      <c r="AD588" s="1083"/>
      <c r="AE588" s="1083"/>
    </row>
    <row r="589" spans="2:31">
      <c r="B589" s="3329" t="s">
        <v>1075</v>
      </c>
      <c r="C589" s="3330" t="s">
        <v>118</v>
      </c>
      <c r="D589" s="3331">
        <v>0.02</v>
      </c>
      <c r="E589" s="3245">
        <v>350</v>
      </c>
      <c r="F589" s="3245">
        <f>E589*D589</f>
        <v>7</v>
      </c>
      <c r="I589" s="1083"/>
      <c r="J589" s="1083"/>
      <c r="K589" s="1083"/>
      <c r="L589" s="1083"/>
      <c r="M589" s="1083"/>
      <c r="N589" s="1083"/>
      <c r="O589" s="1083"/>
      <c r="P589" s="1083"/>
      <c r="Q589" s="1083"/>
      <c r="R589" s="1083"/>
      <c r="S589" s="1083"/>
      <c r="T589" s="1083"/>
      <c r="U589" s="1083"/>
      <c r="V589" s="1083"/>
      <c r="W589" s="1083"/>
      <c r="X589" s="1083"/>
      <c r="Y589" s="1083"/>
      <c r="Z589" s="1083"/>
      <c r="AA589" s="1083"/>
      <c r="AB589" s="1083"/>
      <c r="AC589" s="1083"/>
      <c r="AD589" s="1083"/>
      <c r="AE589" s="1083"/>
    </row>
    <row r="590" spans="2:31">
      <c r="B590" s="3329" t="s">
        <v>1076</v>
      </c>
      <c r="C590" s="3330" t="s">
        <v>11</v>
      </c>
      <c r="D590" s="3331">
        <v>1</v>
      </c>
      <c r="E590" s="3245">
        <v>55</v>
      </c>
      <c r="F590" s="3245">
        <f>E590*D590</f>
        <v>55</v>
      </c>
      <c r="I590" s="1083"/>
      <c r="J590" s="1083"/>
      <c r="K590" s="1083"/>
      <c r="L590" s="1083"/>
      <c r="M590" s="1083"/>
      <c r="N590" s="1083"/>
      <c r="O590" s="1083"/>
      <c r="P590" s="1083"/>
      <c r="Q590" s="1083"/>
      <c r="R590" s="1083"/>
      <c r="S590" s="1083"/>
      <c r="T590" s="1083"/>
      <c r="U590" s="1083"/>
      <c r="V590" s="1083"/>
      <c r="W590" s="1083"/>
      <c r="X590" s="1083"/>
      <c r="Y590" s="1083"/>
      <c r="Z590" s="1083"/>
      <c r="AA590" s="1083"/>
      <c r="AB590" s="1083"/>
      <c r="AC590" s="1083"/>
      <c r="AD590" s="1083"/>
      <c r="AE590" s="1083"/>
    </row>
    <row r="591" spans="2:31">
      <c r="B591" s="1916" t="s">
        <v>1077</v>
      </c>
      <c r="C591" s="3330" t="s">
        <v>3</v>
      </c>
      <c r="D591" s="1916">
        <v>1</v>
      </c>
      <c r="E591" s="3248">
        <f>SUM(F588:F589)*0.15</f>
        <v>11.73</v>
      </c>
      <c r="F591" s="3248">
        <f>E591*D591</f>
        <v>11.73</v>
      </c>
      <c r="I591" s="1083"/>
      <c r="J591" s="1083"/>
      <c r="K591" s="1083"/>
      <c r="L591" s="1083"/>
      <c r="M591" s="1083"/>
      <c r="N591" s="1083"/>
      <c r="O591" s="1083"/>
      <c r="P591" s="1083"/>
      <c r="Q591" s="1083"/>
      <c r="R591" s="1083"/>
      <c r="S591" s="1083"/>
      <c r="T591" s="1083"/>
      <c r="U591" s="1083"/>
      <c r="V591" s="1083"/>
      <c r="W591" s="1083"/>
      <c r="X591" s="1083"/>
      <c r="Y591" s="1083"/>
      <c r="Z591" s="1083"/>
      <c r="AA591" s="1083"/>
      <c r="AB591" s="1083"/>
      <c r="AC591" s="1083"/>
      <c r="AD591" s="1083"/>
      <c r="AE591" s="1083"/>
    </row>
    <row r="592" spans="2:31">
      <c r="B592" s="3329" t="s">
        <v>1078</v>
      </c>
      <c r="C592" s="3332"/>
      <c r="D592" s="3333"/>
      <c r="E592" s="3334" t="s">
        <v>1031</v>
      </c>
      <c r="F592" s="3334">
        <f>ROUND(SUM(F588:F591),2)</f>
        <v>144.93</v>
      </c>
      <c r="I592" s="1083"/>
      <c r="J592" s="1083"/>
      <c r="K592" s="1083"/>
      <c r="L592" s="1083"/>
      <c r="M592" s="1083"/>
      <c r="N592" s="1083"/>
      <c r="O592" s="1083"/>
      <c r="P592" s="1083"/>
      <c r="Q592" s="1083"/>
      <c r="R592" s="1083"/>
      <c r="S592" s="1083"/>
      <c r="T592" s="1083"/>
      <c r="U592" s="1083"/>
      <c r="V592" s="1083"/>
      <c r="W592" s="1083"/>
      <c r="X592" s="1083"/>
      <c r="Y592" s="1083"/>
      <c r="Z592" s="1083"/>
      <c r="AA592" s="1083"/>
      <c r="AB592" s="1083"/>
      <c r="AC592" s="1083"/>
      <c r="AD592" s="1083"/>
      <c r="AE592" s="1083"/>
    </row>
    <row r="593" spans="2:31">
      <c r="B593" s="1101"/>
      <c r="C593" s="1119"/>
      <c r="D593" s="1120"/>
      <c r="E593" s="1121"/>
      <c r="F593" s="1122"/>
      <c r="I593" s="1083"/>
      <c r="J593" s="1083"/>
      <c r="K593" s="1083"/>
      <c r="L593" s="1083"/>
      <c r="M593" s="1083"/>
      <c r="N593" s="1083"/>
      <c r="O593" s="1083"/>
      <c r="P593" s="1083"/>
      <c r="Q593" s="1083"/>
      <c r="R593" s="1083"/>
      <c r="S593" s="1083"/>
      <c r="T593" s="1083"/>
      <c r="U593" s="1083"/>
      <c r="V593" s="1083"/>
      <c r="W593" s="1083"/>
      <c r="X593" s="1083"/>
      <c r="Y593" s="1083"/>
      <c r="Z593" s="1083"/>
      <c r="AA593" s="1083"/>
      <c r="AB593" s="1083"/>
      <c r="AC593" s="1083"/>
      <c r="AD593" s="1083"/>
      <c r="AE593" s="1083"/>
    </row>
    <row r="594" spans="2:31">
      <c r="B594" s="1117" t="s">
        <v>1079</v>
      </c>
      <c r="C594" s="1619"/>
      <c r="D594" s="1118"/>
      <c r="E594" s="1118"/>
      <c r="F594" s="1118"/>
      <c r="I594" s="1083"/>
      <c r="J594" s="1083"/>
      <c r="K594" s="1083"/>
      <c r="L594" s="1083"/>
      <c r="M594" s="1083"/>
      <c r="N594" s="1083"/>
      <c r="O594" s="1083"/>
      <c r="P594" s="1083"/>
      <c r="Q594" s="1083"/>
      <c r="R594" s="1083"/>
      <c r="S594" s="1083"/>
      <c r="T594" s="1083"/>
      <c r="U594" s="1083"/>
      <c r="V594" s="1083"/>
      <c r="W594" s="1083"/>
      <c r="X594" s="1083"/>
      <c r="Y594" s="1083"/>
      <c r="Z594" s="1083"/>
      <c r="AA594" s="1083"/>
      <c r="AB594" s="1083"/>
      <c r="AC594" s="1083"/>
      <c r="AD594" s="1083"/>
      <c r="AE594" s="1083"/>
    </row>
    <row r="595" spans="2:31">
      <c r="B595" s="1916" t="s">
        <v>1080</v>
      </c>
      <c r="C595" s="3330" t="s">
        <v>118</v>
      </c>
      <c r="D595" s="3331">
        <v>1</v>
      </c>
      <c r="E595" s="3248">
        <f>6914/5</f>
        <v>1382.8</v>
      </c>
      <c r="F595" s="3248">
        <f>E595*D595</f>
        <v>1382.8</v>
      </c>
      <c r="I595" s="1083"/>
      <c r="J595" s="1083"/>
      <c r="K595" s="1083"/>
      <c r="L595" s="1083"/>
      <c r="M595" s="1083"/>
      <c r="N595" s="1083"/>
      <c r="O595" s="1083"/>
      <c r="P595" s="1083"/>
      <c r="Q595" s="1083"/>
      <c r="R595" s="1083"/>
      <c r="S595" s="1083"/>
      <c r="T595" s="1083"/>
      <c r="U595" s="1083"/>
      <c r="V595" s="1083"/>
      <c r="W595" s="1083"/>
      <c r="X595" s="1083"/>
      <c r="Y595" s="1083"/>
      <c r="Z595" s="1083"/>
      <c r="AA595" s="1083"/>
      <c r="AB595" s="1083"/>
      <c r="AC595" s="1083"/>
      <c r="AD595" s="1083"/>
      <c r="AE595" s="1083"/>
    </row>
    <row r="596" spans="2:31">
      <c r="B596" s="3329" t="s">
        <v>1076</v>
      </c>
      <c r="C596" s="3330" t="s">
        <v>11</v>
      </c>
      <c r="D596" s="3331">
        <v>25</v>
      </c>
      <c r="E596" s="3248">
        <v>55</v>
      </c>
      <c r="F596" s="3248">
        <f>E596*D596</f>
        <v>1375</v>
      </c>
      <c r="G596" s="1123">
        <f>E596/2</f>
        <v>27.5</v>
      </c>
      <c r="I596" s="1083"/>
      <c r="J596" s="1083"/>
      <c r="K596" s="1083"/>
      <c r="L596" s="1083"/>
      <c r="M596" s="1083"/>
      <c r="N596" s="1083"/>
      <c r="O596" s="1083"/>
      <c r="P596" s="1083"/>
      <c r="Q596" s="1083"/>
      <c r="R596" s="1083"/>
      <c r="S596" s="1083"/>
      <c r="T596" s="1083"/>
      <c r="U596" s="1083"/>
      <c r="V596" s="1083"/>
      <c r="W596" s="1083"/>
      <c r="X596" s="1083"/>
      <c r="Y596" s="1083"/>
      <c r="Z596" s="1083"/>
      <c r="AA596" s="1083"/>
      <c r="AB596" s="1083"/>
      <c r="AC596" s="1083"/>
      <c r="AD596" s="1083"/>
      <c r="AE596" s="1083"/>
    </row>
    <row r="597" spans="2:31">
      <c r="B597" s="1916" t="s">
        <v>1077</v>
      </c>
      <c r="C597" s="3330" t="s">
        <v>3</v>
      </c>
      <c r="D597" s="3331">
        <v>1</v>
      </c>
      <c r="E597" s="3248">
        <f>SUM(F595:F595)*0.15</f>
        <v>207.42</v>
      </c>
      <c r="F597" s="3248">
        <f>E597*D597</f>
        <v>207.42</v>
      </c>
      <c r="I597" s="1083"/>
      <c r="J597" s="1083"/>
      <c r="K597" s="1083"/>
      <c r="L597" s="1083"/>
      <c r="M597" s="1083"/>
      <c r="N597" s="1083"/>
      <c r="O597" s="1083"/>
      <c r="P597" s="1083"/>
      <c r="Q597" s="1083"/>
      <c r="R597" s="1083"/>
      <c r="S597" s="1083"/>
      <c r="T597" s="1083"/>
      <c r="U597" s="1083"/>
      <c r="V597" s="1083"/>
      <c r="W597" s="1083"/>
      <c r="X597" s="1083"/>
      <c r="Y597" s="1083"/>
      <c r="Z597" s="1083"/>
      <c r="AA597" s="1083"/>
      <c r="AB597" s="1083"/>
      <c r="AC597" s="1083"/>
      <c r="AD597" s="1083"/>
      <c r="AE597" s="1083"/>
    </row>
    <row r="598" spans="2:31">
      <c r="B598" s="3329" t="s">
        <v>1078</v>
      </c>
      <c r="C598" s="3332"/>
      <c r="D598" s="3333"/>
      <c r="E598" s="3334" t="s">
        <v>1031</v>
      </c>
      <c r="F598" s="3334">
        <f>ROUND(SUM(F595:F597),2)</f>
        <v>2965.22</v>
      </c>
      <c r="I598" s="1083"/>
      <c r="J598" s="1083"/>
      <c r="K598" s="1083"/>
      <c r="L598" s="1083"/>
      <c r="M598" s="1083"/>
      <c r="N598" s="1083"/>
      <c r="O598" s="1083"/>
      <c r="P598" s="1083"/>
      <c r="Q598" s="1083"/>
      <c r="R598" s="1083"/>
      <c r="S598" s="1083"/>
      <c r="T598" s="1083"/>
      <c r="U598" s="1083"/>
      <c r="V598" s="1083"/>
      <c r="W598" s="1083"/>
      <c r="X598" s="1083"/>
      <c r="Y598" s="1083"/>
      <c r="Z598" s="1083"/>
      <c r="AA598" s="1083"/>
      <c r="AB598" s="1083"/>
      <c r="AC598" s="1083"/>
      <c r="AD598" s="1083"/>
      <c r="AE598" s="1083"/>
    </row>
    <row r="599" spans="2:31">
      <c r="B599" s="1101"/>
      <c r="C599" s="1119"/>
      <c r="D599" s="1120"/>
      <c r="E599" s="1121"/>
      <c r="F599" s="1122"/>
      <c r="I599" s="1083"/>
      <c r="J599" s="1083"/>
      <c r="K599" s="1083"/>
      <c r="L599" s="1083"/>
      <c r="M599" s="1083"/>
      <c r="N599" s="1083"/>
      <c r="O599" s="1083"/>
      <c r="P599" s="1083"/>
      <c r="Q599" s="1083"/>
      <c r="R599" s="1083"/>
      <c r="S599" s="1083"/>
      <c r="T599" s="1083"/>
      <c r="U599" s="1083"/>
      <c r="V599" s="1083"/>
      <c r="W599" s="1083"/>
      <c r="X599" s="1083"/>
      <c r="Y599" s="1083"/>
      <c r="Z599" s="1083"/>
      <c r="AA599" s="1083"/>
      <c r="AB599" s="1083"/>
      <c r="AC599" s="1083"/>
      <c r="AD599" s="1083"/>
      <c r="AE599" s="1083"/>
    </row>
    <row r="600" spans="2:31" ht="13.5" thickBot="1">
      <c r="B600" s="1397" t="s">
        <v>3541</v>
      </c>
      <c r="C600" s="1620"/>
      <c r="D600" s="1124"/>
      <c r="E600" s="1125"/>
      <c r="F600" s="1124"/>
      <c r="I600" s="1083"/>
      <c r="J600" s="1083"/>
      <c r="K600" s="1083"/>
      <c r="L600" s="1083"/>
      <c r="M600" s="1083"/>
      <c r="N600" s="1083"/>
      <c r="O600" s="1083"/>
      <c r="P600" s="1083"/>
      <c r="Q600" s="1083"/>
      <c r="R600" s="1083"/>
      <c r="S600" s="1083"/>
      <c r="T600" s="1083"/>
      <c r="U600" s="1083"/>
      <c r="V600" s="1083"/>
      <c r="W600" s="1083"/>
      <c r="X600" s="1083"/>
      <c r="Y600" s="1083"/>
      <c r="Z600" s="1083"/>
      <c r="AA600" s="1083"/>
      <c r="AB600" s="1083"/>
      <c r="AC600" s="1083"/>
      <c r="AD600" s="1083"/>
      <c r="AE600" s="1083"/>
    </row>
    <row r="601" spans="2:31" ht="14.25" thickTop="1" thickBot="1">
      <c r="B601" s="1126" t="s">
        <v>166</v>
      </c>
      <c r="C601" s="1621">
        <v>1.0999999999999999E-2</v>
      </c>
      <c r="D601" s="1127" t="s">
        <v>2</v>
      </c>
      <c r="E601" s="1128">
        <f>+F76</f>
        <v>5653.39</v>
      </c>
      <c r="F601" s="1129">
        <f>C601*E601</f>
        <v>62.19</v>
      </c>
      <c r="I601" s="1083"/>
      <c r="J601" s="1083"/>
      <c r="K601" s="1083"/>
      <c r="L601" s="1083"/>
      <c r="M601" s="1083"/>
      <c r="N601" s="1083"/>
      <c r="O601" s="1083"/>
      <c r="P601" s="1083"/>
      <c r="Q601" s="1083"/>
      <c r="R601" s="1083"/>
      <c r="S601" s="1083"/>
      <c r="T601" s="1083"/>
      <c r="U601" s="1083"/>
      <c r="V601" s="1083"/>
      <c r="W601" s="1083"/>
      <c r="X601" s="1083"/>
      <c r="Y601" s="1083"/>
      <c r="Z601" s="1083"/>
      <c r="AA601" s="1083"/>
      <c r="AB601" s="1083"/>
      <c r="AC601" s="1083"/>
      <c r="AD601" s="1083"/>
      <c r="AE601" s="1083"/>
    </row>
    <row r="602" spans="2:31" ht="14.25" thickTop="1" thickBot="1">
      <c r="B602" s="3335" t="s">
        <v>1081</v>
      </c>
      <c r="C602" s="3336">
        <v>1</v>
      </c>
      <c r="D602" s="3337" t="s">
        <v>11</v>
      </c>
      <c r="E602" s="3338">
        <v>35</v>
      </c>
      <c r="F602" s="1129">
        <f>C602*E602</f>
        <v>35</v>
      </c>
      <c r="I602" s="1083"/>
      <c r="J602" s="1083"/>
      <c r="K602" s="1083"/>
      <c r="L602" s="1083"/>
      <c r="M602" s="1083"/>
      <c r="N602" s="1083"/>
      <c r="O602" s="1083"/>
      <c r="P602" s="1083"/>
      <c r="Q602" s="1083"/>
      <c r="R602" s="1083"/>
      <c r="S602" s="1083"/>
      <c r="T602" s="1083"/>
      <c r="U602" s="1083"/>
      <c r="V602" s="1083"/>
      <c r="W602" s="1083"/>
      <c r="X602" s="1083"/>
      <c r="Y602" s="1083"/>
      <c r="Z602" s="1083"/>
      <c r="AA602" s="1083"/>
      <c r="AB602" s="1083"/>
      <c r="AC602" s="1083"/>
      <c r="AD602" s="1083"/>
      <c r="AE602" s="1083"/>
    </row>
    <row r="603" spans="2:31" ht="13.5" thickTop="1">
      <c r="B603" s="3339" t="s">
        <v>1082</v>
      </c>
      <c r="C603" s="3340">
        <v>1.0999999999999999E-2</v>
      </c>
      <c r="D603" s="3341" t="s">
        <v>2</v>
      </c>
      <c r="E603" s="3342">
        <v>150</v>
      </c>
      <c r="F603" s="1129">
        <f>C603*E603</f>
        <v>1.65</v>
      </c>
      <c r="I603" s="1083"/>
      <c r="J603" s="1083"/>
      <c r="K603" s="1083"/>
      <c r="L603" s="1083"/>
      <c r="M603" s="1083"/>
      <c r="N603" s="1083"/>
      <c r="O603" s="1083"/>
      <c r="P603" s="1083"/>
      <c r="Q603" s="1083"/>
      <c r="R603" s="1083"/>
      <c r="S603" s="1083"/>
      <c r="T603" s="1083"/>
      <c r="U603" s="1083"/>
      <c r="V603" s="1083"/>
      <c r="W603" s="1083"/>
      <c r="X603" s="1083"/>
      <c r="Y603" s="1083"/>
      <c r="Z603" s="1083"/>
      <c r="AA603" s="1083"/>
      <c r="AB603" s="1083"/>
      <c r="AC603" s="1083"/>
      <c r="AD603" s="1083"/>
      <c r="AE603" s="1083"/>
    </row>
    <row r="604" spans="2:31" ht="13.5" thickBot="1">
      <c r="B604" s="3343"/>
      <c r="C604" s="3344"/>
      <c r="D604" s="3345"/>
      <c r="E604" s="3346" t="s">
        <v>1031</v>
      </c>
      <c r="F604" s="3347">
        <f>SUM(F601:F603)</f>
        <v>98.84</v>
      </c>
      <c r="I604" s="1083"/>
      <c r="J604" s="1083"/>
      <c r="K604" s="1083"/>
      <c r="L604" s="1083"/>
      <c r="M604" s="1083"/>
      <c r="N604" s="1083"/>
      <c r="O604" s="1083"/>
      <c r="P604" s="1083"/>
      <c r="Q604" s="1083"/>
      <c r="R604" s="1083"/>
      <c r="S604" s="1083"/>
      <c r="T604" s="1083"/>
      <c r="U604" s="1083"/>
      <c r="V604" s="1083"/>
      <c r="W604" s="1083"/>
      <c r="X604" s="1083"/>
      <c r="Y604" s="1083"/>
      <c r="Z604" s="1083"/>
      <c r="AA604" s="1083"/>
      <c r="AB604" s="1083"/>
      <c r="AC604" s="1083"/>
      <c r="AD604" s="1083"/>
      <c r="AE604" s="1083"/>
    </row>
    <row r="605" spans="2:31" ht="13.5" thickTop="1">
      <c r="B605" s="1087"/>
      <c r="C605" s="1608"/>
      <c r="D605" s="1087"/>
      <c r="E605" s="1094"/>
      <c r="F605" s="1115"/>
      <c r="I605" s="1083"/>
      <c r="J605" s="1083"/>
      <c r="K605" s="1083"/>
      <c r="L605" s="1083"/>
      <c r="M605" s="1083"/>
      <c r="N605" s="1083"/>
      <c r="O605" s="1083"/>
      <c r="P605" s="1083"/>
      <c r="Q605" s="1083"/>
      <c r="R605" s="1083"/>
      <c r="S605" s="1083"/>
      <c r="T605" s="1083"/>
      <c r="U605" s="1083"/>
      <c r="V605" s="1083"/>
      <c r="W605" s="1083"/>
      <c r="X605" s="1083"/>
      <c r="Y605" s="1083"/>
      <c r="Z605" s="1083"/>
      <c r="AA605" s="1083"/>
      <c r="AB605" s="1083"/>
      <c r="AC605" s="1083"/>
      <c r="AD605" s="1083"/>
      <c r="AE605" s="1083"/>
    </row>
    <row r="607" spans="2:31">
      <c r="B607" s="1916" t="s">
        <v>1083</v>
      </c>
      <c r="C607" s="1916"/>
      <c r="D607" s="1916"/>
      <c r="E607" s="1916"/>
      <c r="F607" s="1916"/>
      <c r="I607" s="1083"/>
      <c r="J607" s="1083"/>
      <c r="K607" s="1083"/>
      <c r="L607" s="1083"/>
      <c r="M607" s="1083"/>
      <c r="N607" s="1083"/>
      <c r="O607" s="1083"/>
      <c r="P607" s="1083"/>
      <c r="Q607" s="1083"/>
      <c r="R607" s="1083"/>
      <c r="S607" s="1083"/>
      <c r="T607" s="1083"/>
      <c r="U607" s="1083"/>
      <c r="V607" s="1083"/>
      <c r="W607" s="1083"/>
      <c r="X607" s="1083"/>
      <c r="Y607" s="1083"/>
      <c r="Z607" s="1083"/>
      <c r="AA607" s="1083"/>
      <c r="AB607" s="1083"/>
      <c r="AC607" s="1083"/>
      <c r="AD607" s="1083"/>
      <c r="AE607" s="1083"/>
    </row>
    <row r="608" spans="2:31">
      <c r="B608" s="1916"/>
      <c r="C608" s="1916"/>
      <c r="D608" s="1916"/>
      <c r="E608" s="1916"/>
      <c r="F608" s="1916"/>
      <c r="I608" s="1083"/>
      <c r="J608" s="1083"/>
      <c r="K608" s="1083"/>
      <c r="L608" s="1083"/>
      <c r="M608" s="1083"/>
      <c r="N608" s="1083"/>
      <c r="O608" s="1083"/>
      <c r="P608" s="1083"/>
      <c r="Q608" s="1083"/>
      <c r="R608" s="1083"/>
      <c r="S608" s="1083"/>
      <c r="T608" s="1083"/>
      <c r="U608" s="1083"/>
      <c r="V608" s="1083"/>
      <c r="W608" s="1083"/>
      <c r="X608" s="1083"/>
      <c r="Y608" s="1083"/>
      <c r="Z608" s="1083"/>
      <c r="AA608" s="1083"/>
      <c r="AB608" s="1083"/>
      <c r="AC608" s="1083"/>
      <c r="AD608" s="1083"/>
      <c r="AE608" s="1083"/>
    </row>
    <row r="609" spans="2:31">
      <c r="B609" s="1916" t="s">
        <v>1084</v>
      </c>
      <c r="C609" s="1916"/>
      <c r="D609" s="1916"/>
      <c r="E609" s="1916"/>
      <c r="F609" s="1916"/>
      <c r="I609" s="1083"/>
      <c r="J609" s="1083"/>
      <c r="K609" s="1083"/>
      <c r="L609" s="1083"/>
      <c r="M609" s="1083"/>
      <c r="N609" s="1083"/>
      <c r="O609" s="1083"/>
      <c r="P609" s="1083"/>
      <c r="Q609" s="1083"/>
      <c r="R609" s="1083"/>
      <c r="S609" s="1083"/>
      <c r="T609" s="1083"/>
      <c r="U609" s="1083"/>
      <c r="V609" s="1083"/>
      <c r="W609" s="1083"/>
      <c r="X609" s="1083"/>
      <c r="Y609" s="1083"/>
      <c r="Z609" s="1083"/>
      <c r="AA609" s="1083"/>
      <c r="AB609" s="1083"/>
      <c r="AC609" s="1083"/>
      <c r="AD609" s="1083"/>
      <c r="AE609" s="1083"/>
    </row>
    <row r="610" spans="2:31">
      <c r="B610" s="1916" t="s">
        <v>1085</v>
      </c>
      <c r="C610" s="1916">
        <v>1.05</v>
      </c>
      <c r="D610" s="1916" t="s">
        <v>2</v>
      </c>
      <c r="E610" s="1916">
        <f>F25</f>
        <v>8154.9</v>
      </c>
      <c r="F610" s="1916">
        <f>C610*E610</f>
        <v>8562.6450000000004</v>
      </c>
      <c r="I610" s="1083"/>
      <c r="J610" s="1083"/>
      <c r="K610" s="1083"/>
      <c r="L610" s="1083"/>
      <c r="M610" s="1083"/>
      <c r="N610" s="1083"/>
      <c r="O610" s="1083"/>
      <c r="P610" s="1083"/>
      <c r="Q610" s="1083"/>
      <c r="R610" s="1083"/>
      <c r="S610" s="1083"/>
      <c r="T610" s="1083"/>
      <c r="U610" s="1083"/>
      <c r="V610" s="1083"/>
      <c r="W610" s="1083"/>
      <c r="X610" s="1083"/>
      <c r="Y610" s="1083"/>
      <c r="Z610" s="1083"/>
      <c r="AA610" s="1083"/>
      <c r="AB610" s="1083"/>
      <c r="AC610" s="1083"/>
      <c r="AD610" s="1083"/>
      <c r="AE610" s="1083"/>
    </row>
    <row r="611" spans="2:31">
      <c r="B611" s="1916" t="s">
        <v>1087</v>
      </c>
      <c r="C611" s="1916">
        <v>0.86</v>
      </c>
      <c r="D611" s="1916" t="s">
        <v>126</v>
      </c>
      <c r="E611" s="1916">
        <f>+F62</f>
        <v>2913</v>
      </c>
      <c r="F611" s="1916">
        <f>C611*E611</f>
        <v>2505.1799999999998</v>
      </c>
      <c r="I611" s="1083"/>
      <c r="J611" s="1083"/>
      <c r="K611" s="1083"/>
      <c r="L611" s="1083"/>
      <c r="M611" s="1083"/>
      <c r="N611" s="1083"/>
      <c r="O611" s="1083"/>
      <c r="P611" s="1083"/>
      <c r="Q611" s="1083"/>
      <c r="R611" s="1083"/>
      <c r="S611" s="1083"/>
      <c r="T611" s="1083"/>
      <c r="U611" s="1083"/>
      <c r="V611" s="1083"/>
      <c r="W611" s="1083"/>
      <c r="X611" s="1083"/>
      <c r="Y611" s="1083"/>
      <c r="Z611" s="1083"/>
      <c r="AA611" s="1083"/>
      <c r="AB611" s="1083"/>
      <c r="AC611" s="1083"/>
      <c r="AD611" s="1083"/>
      <c r="AE611" s="1083"/>
    </row>
    <row r="612" spans="2:31">
      <c r="B612" s="1916"/>
      <c r="C612" s="1916"/>
      <c r="D612" s="1916"/>
      <c r="E612" s="1916" t="s">
        <v>1031</v>
      </c>
      <c r="F612" s="1916">
        <f>ROUND(SUM(F610:F611),2)</f>
        <v>11067.83</v>
      </c>
      <c r="I612" s="1083"/>
      <c r="J612" s="1083"/>
      <c r="K612" s="1083"/>
      <c r="L612" s="1083"/>
      <c r="M612" s="1083"/>
      <c r="N612" s="1083"/>
      <c r="O612" s="1083"/>
      <c r="P612" s="1083"/>
      <c r="Q612" s="1083"/>
      <c r="R612" s="1083"/>
      <c r="S612" s="1083"/>
      <c r="T612" s="1083"/>
      <c r="U612" s="1083"/>
      <c r="V612" s="1083"/>
      <c r="W612" s="1083"/>
      <c r="X612" s="1083"/>
      <c r="Y612" s="1083"/>
      <c r="Z612" s="1083"/>
      <c r="AA612" s="1083"/>
      <c r="AB612" s="1083"/>
      <c r="AC612" s="1083"/>
      <c r="AD612" s="1083"/>
      <c r="AE612" s="1083"/>
    </row>
    <row r="613" spans="2:31">
      <c r="B613" s="1916"/>
      <c r="C613" s="1916"/>
      <c r="D613" s="1916"/>
      <c r="E613" s="1916"/>
      <c r="F613" s="1916"/>
      <c r="I613" s="1083"/>
      <c r="J613" s="1083"/>
      <c r="K613" s="1083"/>
      <c r="L613" s="1083"/>
      <c r="M613" s="1083"/>
      <c r="N613" s="1083"/>
      <c r="O613" s="1083"/>
      <c r="P613" s="1083"/>
      <c r="Q613" s="1083"/>
      <c r="R613" s="1083"/>
      <c r="S613" s="1083"/>
      <c r="T613" s="1083"/>
      <c r="U613" s="1083"/>
      <c r="V613" s="1083"/>
      <c r="W613" s="1083"/>
      <c r="X613" s="1083"/>
      <c r="Y613" s="1083"/>
      <c r="Z613" s="1083"/>
      <c r="AA613" s="1083"/>
      <c r="AB613" s="1083"/>
      <c r="AC613" s="1083"/>
      <c r="AD613" s="1083"/>
      <c r="AE613" s="1083"/>
    </row>
    <row r="614" spans="2:31">
      <c r="B614" s="1916" t="s">
        <v>1086</v>
      </c>
      <c r="C614" s="1916"/>
      <c r="D614" s="1916"/>
      <c r="E614" s="1916"/>
      <c r="F614" s="1916"/>
      <c r="I614" s="1083"/>
      <c r="J614" s="1083"/>
      <c r="K614" s="1083"/>
      <c r="L614" s="1083"/>
      <c r="M614" s="1083"/>
      <c r="N614" s="1083"/>
      <c r="O614" s="1083"/>
      <c r="P614" s="1083"/>
      <c r="Q614" s="1083"/>
      <c r="R614" s="1083"/>
      <c r="S614" s="1083"/>
      <c r="T614" s="1083"/>
      <c r="U614" s="1083"/>
      <c r="V614" s="1083"/>
      <c r="W614" s="1083"/>
      <c r="X614" s="1083"/>
      <c r="Y614" s="1083"/>
      <c r="Z614" s="1083"/>
      <c r="AA614" s="1083"/>
      <c r="AB614" s="1083"/>
      <c r="AC614" s="1083"/>
      <c r="AD614" s="1083"/>
      <c r="AE614" s="1083"/>
    </row>
    <row r="615" spans="2:31">
      <c r="B615" s="1916" t="s">
        <v>1085</v>
      </c>
      <c r="C615" s="1916">
        <v>1.05</v>
      </c>
      <c r="D615" s="1916" t="s">
        <v>2</v>
      </c>
      <c r="E615" s="1916">
        <f>+E610</f>
        <v>8154.9</v>
      </c>
      <c r="F615" s="1916">
        <f>C615*E615</f>
        <v>8562.6450000000004</v>
      </c>
      <c r="I615" s="1083"/>
      <c r="J615" s="1083"/>
      <c r="K615" s="1083"/>
      <c r="L615" s="1083"/>
      <c r="M615" s="1083"/>
      <c r="N615" s="1083"/>
      <c r="O615" s="1083"/>
      <c r="P615" s="1083"/>
      <c r="Q615" s="1083"/>
      <c r="R615" s="1083"/>
      <c r="S615" s="1083"/>
      <c r="T615" s="1083"/>
      <c r="U615" s="1083"/>
      <c r="V615" s="1083"/>
      <c r="W615" s="1083"/>
      <c r="X615" s="1083"/>
      <c r="Y615" s="1083"/>
      <c r="Z615" s="1083"/>
      <c r="AA615" s="1083"/>
      <c r="AB615" s="1083"/>
      <c r="AC615" s="1083"/>
      <c r="AD615" s="1083"/>
      <c r="AE615" s="1083"/>
    </row>
    <row r="616" spans="2:31">
      <c r="B616" s="1916" t="s">
        <v>1087</v>
      </c>
      <c r="C616" s="1916">
        <v>1</v>
      </c>
      <c r="D616" s="1916" t="s">
        <v>126</v>
      </c>
      <c r="E616" s="1916">
        <f>+F530</f>
        <v>2590</v>
      </c>
      <c r="F616" s="1916">
        <f>C616*E616</f>
        <v>2590</v>
      </c>
      <c r="I616" s="1083"/>
      <c r="J616" s="1083"/>
      <c r="K616" s="1083"/>
      <c r="L616" s="1083"/>
      <c r="M616" s="1083"/>
      <c r="N616" s="1083"/>
      <c r="O616" s="1083"/>
      <c r="P616" s="1083"/>
      <c r="Q616" s="1083"/>
      <c r="R616" s="1083"/>
      <c r="S616" s="1083"/>
      <c r="T616" s="1083"/>
      <c r="U616" s="1083"/>
      <c r="V616" s="1083"/>
      <c r="W616" s="1083"/>
      <c r="X616" s="1083"/>
      <c r="Y616" s="1083"/>
      <c r="Z616" s="1083"/>
      <c r="AA616" s="1083"/>
      <c r="AB616" s="1083"/>
      <c r="AC616" s="1083"/>
      <c r="AD616" s="1083"/>
      <c r="AE616" s="1083"/>
    </row>
    <row r="617" spans="2:31">
      <c r="B617" s="1916"/>
      <c r="C617" s="1916"/>
      <c r="D617" s="1916"/>
      <c r="E617" s="1916" t="s">
        <v>1031</v>
      </c>
      <c r="F617" s="1916">
        <f>ROUND(SUM(F615:F616),2)</f>
        <v>11152.65</v>
      </c>
      <c r="I617" s="1083"/>
      <c r="J617" s="1083"/>
      <c r="K617" s="1083"/>
      <c r="L617" s="1083"/>
      <c r="M617" s="1083"/>
      <c r="N617" s="1083"/>
      <c r="O617" s="1083"/>
      <c r="P617" s="1083"/>
      <c r="Q617" s="1083"/>
      <c r="R617" s="1083"/>
      <c r="S617" s="1083"/>
      <c r="T617" s="1083"/>
      <c r="U617" s="1083"/>
      <c r="V617" s="1083"/>
      <c r="W617" s="1083"/>
      <c r="X617" s="1083"/>
      <c r="Y617" s="1083"/>
      <c r="Z617" s="1083"/>
      <c r="AA617" s="1083"/>
      <c r="AB617" s="1083"/>
      <c r="AC617" s="1083"/>
      <c r="AD617" s="1083"/>
      <c r="AE617" s="1083"/>
    </row>
    <row r="618" spans="2:31">
      <c r="B618" s="1916"/>
      <c r="C618" s="1916"/>
      <c r="D618" s="1916"/>
      <c r="E618" s="1916"/>
      <c r="F618" s="1916"/>
      <c r="I618" s="1083"/>
      <c r="J618" s="1083"/>
      <c r="K618" s="1083"/>
      <c r="L618" s="1083"/>
      <c r="M618" s="1083"/>
      <c r="N618" s="1083"/>
      <c r="O618" s="1083"/>
      <c r="P618" s="1083"/>
      <c r="Q618" s="1083"/>
      <c r="R618" s="1083"/>
      <c r="S618" s="1083"/>
      <c r="T618" s="1083"/>
      <c r="U618" s="1083"/>
      <c r="V618" s="1083"/>
      <c r="W618" s="1083"/>
      <c r="X618" s="1083"/>
      <c r="Y618" s="1083"/>
      <c r="Z618" s="1083"/>
      <c r="AA618" s="1083"/>
      <c r="AB618" s="1083"/>
      <c r="AC618" s="1083"/>
      <c r="AD618" s="1083"/>
      <c r="AE618" s="1083"/>
    </row>
    <row r="619" spans="2:31">
      <c r="B619" s="1916" t="s">
        <v>1091</v>
      </c>
      <c r="C619" s="1916"/>
      <c r="D619" s="1916"/>
      <c r="E619" s="1916"/>
      <c r="F619" s="1916"/>
      <c r="I619" s="1083"/>
      <c r="J619" s="1083"/>
      <c r="K619" s="1083"/>
      <c r="L619" s="1083"/>
      <c r="M619" s="1083"/>
      <c r="N619" s="1083"/>
      <c r="O619" s="1083"/>
      <c r="P619" s="1083"/>
      <c r="Q619" s="1083"/>
      <c r="R619" s="1083"/>
      <c r="S619" s="1083"/>
      <c r="T619" s="1083"/>
      <c r="U619" s="1083"/>
      <c r="V619" s="1083"/>
      <c r="W619" s="1083"/>
      <c r="X619" s="1083"/>
      <c r="Y619" s="1083"/>
      <c r="Z619" s="1083"/>
      <c r="AA619" s="1083"/>
      <c r="AB619" s="1083"/>
      <c r="AC619" s="1083"/>
      <c r="AD619" s="1083"/>
      <c r="AE619" s="1083"/>
    </row>
    <row r="620" spans="2:31">
      <c r="B620" s="1916" t="s">
        <v>1085</v>
      </c>
      <c r="C620" s="1916">
        <v>1.05</v>
      </c>
      <c r="D620" s="1916" t="s">
        <v>2</v>
      </c>
      <c r="E620" s="1916" t="e">
        <f>+E296</f>
        <v>#REF!</v>
      </c>
      <c r="F620" s="1916" t="e">
        <f>C620*E620</f>
        <v>#REF!</v>
      </c>
      <c r="I620" s="1083"/>
      <c r="J620" s="1083"/>
      <c r="K620" s="1083"/>
      <c r="L620" s="1083"/>
      <c r="M620" s="1083"/>
      <c r="N620" s="1083"/>
      <c r="O620" s="1083"/>
      <c r="P620" s="1083"/>
      <c r="Q620" s="1083"/>
      <c r="R620" s="1083"/>
      <c r="S620" s="1083"/>
      <c r="T620" s="1083"/>
      <c r="U620" s="1083"/>
      <c r="V620" s="1083"/>
      <c r="W620" s="1083"/>
      <c r="X620" s="1083"/>
      <c r="Y620" s="1083"/>
      <c r="Z620" s="1083"/>
      <c r="AA620" s="1083"/>
      <c r="AB620" s="1083"/>
      <c r="AC620" s="1083"/>
      <c r="AD620" s="1083"/>
      <c r="AE620" s="1083"/>
    </row>
    <row r="621" spans="2:31">
      <c r="B621" s="1916" t="s">
        <v>1092</v>
      </c>
      <c r="C621" s="1916">
        <v>5.0199999999999996</v>
      </c>
      <c r="D621" s="1916" t="s">
        <v>126</v>
      </c>
      <c r="E621" s="1916">
        <f>+F530</f>
        <v>2590</v>
      </c>
      <c r="F621" s="1916">
        <f>C621*E621</f>
        <v>13001.8</v>
      </c>
      <c r="I621" s="1083"/>
      <c r="J621" s="1083"/>
      <c r="K621" s="1083"/>
      <c r="L621" s="1083"/>
      <c r="M621" s="1083"/>
      <c r="N621" s="1083"/>
      <c r="O621" s="1083"/>
      <c r="P621" s="1083"/>
      <c r="Q621" s="1083"/>
      <c r="R621" s="1083"/>
      <c r="S621" s="1083"/>
      <c r="T621" s="1083"/>
      <c r="U621" s="1083"/>
      <c r="V621" s="1083"/>
      <c r="W621" s="1083"/>
      <c r="X621" s="1083"/>
      <c r="Y621" s="1083"/>
      <c r="Z621" s="1083"/>
      <c r="AA621" s="1083"/>
      <c r="AB621" s="1083"/>
      <c r="AC621" s="1083"/>
      <c r="AD621" s="1083"/>
      <c r="AE621" s="1083"/>
    </row>
    <row r="622" spans="2:31">
      <c r="B622" s="1916" t="s">
        <v>1089</v>
      </c>
      <c r="C622" s="1916">
        <f>1/(0.4*0.4)</f>
        <v>6.25</v>
      </c>
      <c r="D622" s="1916" t="s">
        <v>1</v>
      </c>
      <c r="E622" s="1916">
        <v>350</v>
      </c>
      <c r="F622" s="1916">
        <f>C622*E622</f>
        <v>2187.5</v>
      </c>
      <c r="I622" s="1083"/>
      <c r="J622" s="1083"/>
      <c r="K622" s="1083"/>
      <c r="L622" s="1083"/>
      <c r="M622" s="1083"/>
      <c r="N622" s="1083"/>
      <c r="O622" s="1083"/>
      <c r="P622" s="1083"/>
      <c r="Q622" s="1083"/>
      <c r="R622" s="1083"/>
      <c r="S622" s="1083"/>
      <c r="T622" s="1083"/>
      <c r="U622" s="1083"/>
      <c r="V622" s="1083"/>
      <c r="W622" s="1083"/>
      <c r="X622" s="1083"/>
      <c r="Y622" s="1083"/>
      <c r="Z622" s="1083"/>
      <c r="AA622" s="1083"/>
      <c r="AB622" s="1083"/>
      <c r="AC622" s="1083"/>
      <c r="AD622" s="1083"/>
      <c r="AE622" s="1083"/>
    </row>
    <row r="623" spans="2:31">
      <c r="B623" s="1916" t="s">
        <v>1093</v>
      </c>
      <c r="C623" s="1916">
        <f>+C622</f>
        <v>6.25</v>
      </c>
      <c r="D623" s="1916" t="s">
        <v>1</v>
      </c>
      <c r="E623" s="1916">
        <v>141.81</v>
      </c>
      <c r="F623" s="1916">
        <f>C623*E623</f>
        <v>886.3125</v>
      </c>
      <c r="I623" s="1083"/>
      <c r="J623" s="1083"/>
      <c r="K623" s="1083"/>
      <c r="L623" s="1083"/>
      <c r="M623" s="1083"/>
      <c r="N623" s="1083"/>
      <c r="O623" s="1083"/>
      <c r="P623" s="1083"/>
      <c r="Q623" s="1083"/>
      <c r="R623" s="1083"/>
      <c r="S623" s="1083"/>
      <c r="T623" s="1083"/>
      <c r="U623" s="1083"/>
      <c r="V623" s="1083"/>
      <c r="W623" s="1083"/>
      <c r="X623" s="1083"/>
      <c r="Y623" s="1083"/>
      <c r="Z623" s="1083"/>
      <c r="AA623" s="1083"/>
      <c r="AB623" s="1083"/>
      <c r="AC623" s="1083"/>
      <c r="AD623" s="1083"/>
      <c r="AE623" s="1083"/>
    </row>
    <row r="624" spans="2:31">
      <c r="B624" s="1916"/>
      <c r="C624" s="1916"/>
      <c r="D624" s="1916"/>
      <c r="E624" s="1916" t="s">
        <v>1031</v>
      </c>
      <c r="F624" s="1916" t="e">
        <f>ROUND(SUM(F620:F623),2)</f>
        <v>#REF!</v>
      </c>
      <c r="I624" s="1083"/>
      <c r="J624" s="1083"/>
      <c r="K624" s="1083"/>
      <c r="L624" s="1083"/>
      <c r="M624" s="1083"/>
      <c r="N624" s="1083"/>
      <c r="O624" s="1083"/>
      <c r="P624" s="1083"/>
      <c r="Q624" s="1083"/>
      <c r="R624" s="1083"/>
      <c r="S624" s="1083"/>
      <c r="T624" s="1083"/>
      <c r="U624" s="1083"/>
      <c r="V624" s="1083"/>
      <c r="W624" s="1083"/>
      <c r="X624" s="1083"/>
      <c r="Y624" s="1083"/>
      <c r="Z624" s="1083"/>
      <c r="AA624" s="1083"/>
      <c r="AB624" s="1083"/>
      <c r="AC624" s="1083"/>
      <c r="AD624" s="1083"/>
      <c r="AE624" s="1083"/>
    </row>
    <row r="625" spans="2:31">
      <c r="B625" s="1916"/>
      <c r="C625" s="1916"/>
      <c r="D625" s="1916"/>
      <c r="E625" s="1916"/>
      <c r="F625" s="1916"/>
      <c r="I625" s="1083"/>
      <c r="J625" s="1083"/>
      <c r="K625" s="1083"/>
      <c r="L625" s="1083"/>
      <c r="M625" s="1083"/>
      <c r="N625" s="1083"/>
      <c r="O625" s="1083"/>
      <c r="P625" s="1083"/>
      <c r="Q625" s="1083"/>
      <c r="R625" s="1083"/>
      <c r="S625" s="1083"/>
      <c r="T625" s="1083"/>
      <c r="U625" s="1083"/>
      <c r="V625" s="1083"/>
      <c r="W625" s="1083"/>
      <c r="X625" s="1083"/>
      <c r="Y625" s="1083"/>
      <c r="Z625" s="1083"/>
      <c r="AA625" s="1083"/>
      <c r="AB625" s="1083"/>
      <c r="AC625" s="1083"/>
      <c r="AD625" s="1083"/>
      <c r="AE625" s="1083"/>
    </row>
    <row r="626" spans="2:31">
      <c r="B626" s="1916" t="s">
        <v>1094</v>
      </c>
      <c r="C626" s="1916"/>
      <c r="D626" s="1916"/>
      <c r="E626" s="1916"/>
      <c r="F626" s="1916"/>
      <c r="I626" s="1083"/>
      <c r="J626" s="1083"/>
      <c r="K626" s="1083"/>
      <c r="L626" s="1083"/>
      <c r="M626" s="1083"/>
      <c r="N626" s="1083"/>
      <c r="O626" s="1083"/>
      <c r="P626" s="1083"/>
      <c r="Q626" s="1083"/>
      <c r="R626" s="1083"/>
      <c r="S626" s="1083"/>
      <c r="T626" s="1083"/>
      <c r="U626" s="1083"/>
      <c r="V626" s="1083"/>
      <c r="W626" s="1083"/>
      <c r="X626" s="1083"/>
      <c r="Y626" s="1083"/>
      <c r="Z626" s="1083"/>
      <c r="AA626" s="1083"/>
      <c r="AB626" s="1083"/>
      <c r="AC626" s="1083"/>
      <c r="AD626" s="1083"/>
      <c r="AE626" s="1083"/>
    </row>
    <row r="627" spans="2:31">
      <c r="B627" s="1916" t="s">
        <v>1085</v>
      </c>
      <c r="C627" s="1916">
        <v>1.05</v>
      </c>
      <c r="D627" s="1916" t="s">
        <v>2</v>
      </c>
      <c r="E627" s="1916" t="e">
        <f>+E296</f>
        <v>#REF!</v>
      </c>
      <c r="F627" s="1916" t="e">
        <f>C627*E627</f>
        <v>#REF!</v>
      </c>
      <c r="I627" s="1083"/>
      <c r="J627" s="1083"/>
      <c r="K627" s="1083"/>
      <c r="L627" s="1083"/>
      <c r="M627" s="1083"/>
      <c r="N627" s="1083"/>
      <c r="O627" s="1083"/>
      <c r="P627" s="1083"/>
      <c r="Q627" s="1083"/>
      <c r="R627" s="1083"/>
      <c r="S627" s="1083"/>
      <c r="T627" s="1083"/>
      <c r="U627" s="1083"/>
      <c r="V627" s="1083"/>
      <c r="W627" s="1083"/>
      <c r="X627" s="1083"/>
      <c r="Y627" s="1083"/>
      <c r="Z627" s="1083"/>
      <c r="AA627" s="1083"/>
      <c r="AB627" s="1083"/>
      <c r="AC627" s="1083"/>
      <c r="AD627" s="1083"/>
      <c r="AE627" s="1083"/>
    </row>
    <row r="628" spans="2:31">
      <c r="B628" s="1916" t="s">
        <v>1092</v>
      </c>
      <c r="C628" s="1916">
        <v>2.71</v>
      </c>
      <c r="D628" s="1916" t="s">
        <v>126</v>
      </c>
      <c r="E628" s="1916">
        <f>+F530</f>
        <v>2590</v>
      </c>
      <c r="F628" s="1916">
        <f>C628*E628</f>
        <v>7018.9</v>
      </c>
      <c r="I628" s="1083"/>
      <c r="J628" s="1083"/>
      <c r="K628" s="1083"/>
      <c r="L628" s="1083"/>
      <c r="M628" s="1083"/>
      <c r="N628" s="1083"/>
      <c r="O628" s="1083"/>
      <c r="P628" s="1083"/>
      <c r="Q628" s="1083"/>
      <c r="R628" s="1083"/>
      <c r="S628" s="1083"/>
      <c r="T628" s="1083"/>
      <c r="U628" s="1083"/>
      <c r="V628" s="1083"/>
      <c r="W628" s="1083"/>
      <c r="X628" s="1083"/>
      <c r="Y628" s="1083"/>
      <c r="Z628" s="1083"/>
      <c r="AA628" s="1083"/>
      <c r="AB628" s="1083"/>
      <c r="AC628" s="1083"/>
      <c r="AD628" s="1083"/>
      <c r="AE628" s="1083"/>
    </row>
    <row r="629" spans="2:31">
      <c r="B629" s="1916" t="s">
        <v>1089</v>
      </c>
      <c r="C629" s="1916">
        <f>1/(0.4*0.2)</f>
        <v>12.5</v>
      </c>
      <c r="D629" s="1916" t="s">
        <v>1</v>
      </c>
      <c r="E629" s="1916">
        <v>350</v>
      </c>
      <c r="F629" s="1916">
        <f>C629*E629</f>
        <v>4375</v>
      </c>
      <c r="I629" s="1083"/>
      <c r="J629" s="1083"/>
      <c r="K629" s="1083"/>
      <c r="L629" s="1083"/>
      <c r="M629" s="1083"/>
      <c r="N629" s="1083"/>
      <c r="O629" s="1083"/>
      <c r="P629" s="1083"/>
      <c r="Q629" s="1083"/>
      <c r="R629" s="1083"/>
      <c r="S629" s="1083"/>
      <c r="T629" s="1083"/>
      <c r="U629" s="1083"/>
      <c r="V629" s="1083"/>
      <c r="W629" s="1083"/>
      <c r="X629" s="1083"/>
      <c r="Y629" s="1083"/>
      <c r="Z629" s="1083"/>
      <c r="AA629" s="1083"/>
      <c r="AB629" s="1083"/>
      <c r="AC629" s="1083"/>
      <c r="AD629" s="1083"/>
      <c r="AE629" s="1083"/>
    </row>
    <row r="630" spans="2:31">
      <c r="B630" s="1916" t="s">
        <v>1093</v>
      </c>
      <c r="C630" s="1916">
        <f>+C629</f>
        <v>12.5</v>
      </c>
      <c r="D630" s="1916" t="s">
        <v>1</v>
      </c>
      <c r="E630" s="1916">
        <v>94.62</v>
      </c>
      <c r="F630" s="1916">
        <f>C630*E630</f>
        <v>1182.75</v>
      </c>
      <c r="I630" s="1083"/>
      <c r="J630" s="1083"/>
      <c r="K630" s="1083"/>
      <c r="L630" s="1083"/>
      <c r="M630" s="1083"/>
      <c r="N630" s="1083"/>
      <c r="O630" s="1083"/>
      <c r="P630" s="1083"/>
      <c r="Q630" s="1083"/>
      <c r="R630" s="1083"/>
      <c r="S630" s="1083"/>
      <c r="T630" s="1083"/>
      <c r="U630" s="1083"/>
      <c r="V630" s="1083"/>
      <c r="W630" s="1083"/>
      <c r="X630" s="1083"/>
      <c r="Y630" s="1083"/>
      <c r="Z630" s="1083"/>
      <c r="AA630" s="1083"/>
      <c r="AB630" s="1083"/>
      <c r="AC630" s="1083"/>
      <c r="AD630" s="1083"/>
      <c r="AE630" s="1083"/>
    </row>
    <row r="631" spans="2:31">
      <c r="B631" s="1916"/>
      <c r="C631" s="1916"/>
      <c r="D631" s="1916"/>
      <c r="E631" s="1916" t="s">
        <v>1031</v>
      </c>
      <c r="F631" s="1916" t="e">
        <f>ROUND(SUM(F627:F630),2)</f>
        <v>#REF!</v>
      </c>
      <c r="I631" s="1083"/>
      <c r="J631" s="1083"/>
      <c r="K631" s="1083"/>
      <c r="L631" s="1083"/>
      <c r="M631" s="1083"/>
      <c r="N631" s="1083"/>
      <c r="O631" s="1083"/>
      <c r="P631" s="1083"/>
      <c r="Q631" s="1083"/>
      <c r="R631" s="1083"/>
      <c r="S631" s="1083"/>
      <c r="T631" s="1083"/>
      <c r="U631" s="1083"/>
      <c r="V631" s="1083"/>
      <c r="W631" s="1083"/>
      <c r="X631" s="1083"/>
      <c r="Y631" s="1083"/>
      <c r="Z631" s="1083"/>
      <c r="AA631" s="1083"/>
      <c r="AB631" s="1083"/>
      <c r="AC631" s="1083"/>
      <c r="AD631" s="1083"/>
      <c r="AE631" s="1083"/>
    </row>
    <row r="632" spans="2:31">
      <c r="B632" s="1916"/>
      <c r="C632" s="1916"/>
      <c r="D632" s="1916"/>
      <c r="E632" s="1916"/>
      <c r="F632" s="1916"/>
      <c r="I632" s="1083"/>
      <c r="J632" s="1083"/>
      <c r="K632" s="1083"/>
      <c r="L632" s="1083"/>
      <c r="M632" s="1083"/>
      <c r="N632" s="1083"/>
      <c r="O632" s="1083"/>
      <c r="P632" s="1083"/>
      <c r="Q632" s="1083"/>
      <c r="R632" s="1083"/>
      <c r="S632" s="1083"/>
      <c r="T632" s="1083"/>
      <c r="U632" s="1083"/>
      <c r="V632" s="1083"/>
      <c r="W632" s="1083"/>
      <c r="X632" s="1083"/>
      <c r="Y632" s="1083"/>
      <c r="Z632" s="1083"/>
      <c r="AA632" s="1083"/>
      <c r="AB632" s="1083"/>
      <c r="AC632" s="1083"/>
      <c r="AD632" s="1083"/>
      <c r="AE632" s="1083"/>
    </row>
    <row r="633" spans="2:31">
      <c r="B633" s="1916" t="s">
        <v>1095</v>
      </c>
      <c r="C633" s="1916"/>
      <c r="D633" s="1916"/>
      <c r="E633" s="1916"/>
      <c r="F633" s="1916"/>
      <c r="I633" s="1083"/>
      <c r="J633" s="1083"/>
      <c r="K633" s="1083"/>
      <c r="L633" s="1083"/>
      <c r="M633" s="1083"/>
      <c r="N633" s="1083"/>
      <c r="O633" s="1083"/>
      <c r="P633" s="1083"/>
      <c r="Q633" s="1083"/>
      <c r="R633" s="1083"/>
      <c r="S633" s="1083"/>
      <c r="T633" s="1083"/>
      <c r="U633" s="1083"/>
      <c r="V633" s="1083"/>
      <c r="W633" s="1083"/>
      <c r="X633" s="1083"/>
      <c r="Y633" s="1083"/>
      <c r="Z633" s="1083"/>
      <c r="AA633" s="1083"/>
      <c r="AB633" s="1083"/>
      <c r="AC633" s="1083"/>
      <c r="AD633" s="1083"/>
      <c r="AE633" s="1083"/>
    </row>
    <row r="634" spans="2:31">
      <c r="B634" s="1916" t="s">
        <v>1085</v>
      </c>
      <c r="C634" s="1916">
        <v>1.05</v>
      </c>
      <c r="D634" s="1916" t="s">
        <v>2</v>
      </c>
      <c r="E634" s="1916" t="e">
        <f>+E627</f>
        <v>#REF!</v>
      </c>
      <c r="F634" s="1916" t="e">
        <f>C634*E634</f>
        <v>#REF!</v>
      </c>
      <c r="I634" s="1083"/>
      <c r="J634" s="1083"/>
      <c r="K634" s="1083"/>
      <c r="L634" s="1083"/>
      <c r="M634" s="1083"/>
      <c r="N634" s="1083"/>
      <c r="O634" s="1083"/>
      <c r="P634" s="1083"/>
      <c r="Q634" s="1083"/>
      <c r="R634" s="1083"/>
      <c r="S634" s="1083"/>
      <c r="T634" s="1083"/>
      <c r="U634" s="1083"/>
      <c r="V634" s="1083"/>
      <c r="W634" s="1083"/>
      <c r="X634" s="1083"/>
      <c r="Y634" s="1083"/>
      <c r="Z634" s="1083"/>
      <c r="AA634" s="1083"/>
      <c r="AB634" s="1083"/>
      <c r="AC634" s="1083"/>
      <c r="AD634" s="1083"/>
      <c r="AE634" s="1083"/>
    </row>
    <row r="635" spans="2:31">
      <c r="B635" s="1916" t="s">
        <v>272</v>
      </c>
      <c r="C635" s="1916">
        <v>1.1499999999999999</v>
      </c>
      <c r="D635" s="1916" t="s">
        <v>126</v>
      </c>
      <c r="E635" s="1916">
        <f>+E611</f>
        <v>2913</v>
      </c>
      <c r="F635" s="1916">
        <f>C635*E635</f>
        <v>3349.95</v>
      </c>
      <c r="I635" s="1083"/>
      <c r="J635" s="1083"/>
      <c r="K635" s="1083"/>
      <c r="L635" s="1083"/>
      <c r="M635" s="1083"/>
      <c r="N635" s="1083"/>
      <c r="O635" s="1083"/>
      <c r="P635" s="1083"/>
      <c r="Q635" s="1083"/>
      <c r="R635" s="1083"/>
      <c r="S635" s="1083"/>
      <c r="T635" s="1083"/>
      <c r="U635" s="1083"/>
      <c r="V635" s="1083"/>
      <c r="W635" s="1083"/>
      <c r="X635" s="1083"/>
      <c r="Y635" s="1083"/>
      <c r="Z635" s="1083"/>
      <c r="AA635" s="1083"/>
      <c r="AB635" s="1083"/>
      <c r="AC635" s="1083"/>
      <c r="AD635" s="1083"/>
      <c r="AE635" s="1083"/>
    </row>
    <row r="636" spans="2:31">
      <c r="B636" s="1916" t="s">
        <v>1089</v>
      </c>
      <c r="C636" s="1916">
        <f>1/0.15</f>
        <v>6.6666666666666696</v>
      </c>
      <c r="D636" s="1916" t="s">
        <v>11</v>
      </c>
      <c r="E636" s="1916">
        <v>225</v>
      </c>
      <c r="F636" s="1916">
        <f>C636*E636</f>
        <v>1500</v>
      </c>
      <c r="I636" s="1083"/>
      <c r="J636" s="1083"/>
      <c r="K636" s="1083"/>
      <c r="L636" s="1083"/>
      <c r="M636" s="1083"/>
      <c r="N636" s="1083"/>
      <c r="O636" s="1083"/>
      <c r="P636" s="1083"/>
      <c r="Q636" s="1083"/>
      <c r="R636" s="1083"/>
      <c r="S636" s="1083"/>
      <c r="T636" s="1083"/>
      <c r="U636" s="1083"/>
      <c r="V636" s="1083"/>
      <c r="W636" s="1083"/>
      <c r="X636" s="1083"/>
      <c r="Y636" s="1083"/>
      <c r="Z636" s="1083"/>
      <c r="AA636" s="1083"/>
      <c r="AB636" s="1083"/>
      <c r="AC636" s="1083"/>
      <c r="AD636" s="1083"/>
      <c r="AE636" s="1083"/>
    </row>
    <row r="637" spans="2:31">
      <c r="B637" s="1916"/>
      <c r="C637" s="1916"/>
      <c r="D637" s="1916"/>
      <c r="E637" s="1916" t="s">
        <v>1031</v>
      </c>
      <c r="F637" s="1916" t="e">
        <f>ROUND(SUM(F634:F636),2)</f>
        <v>#REF!</v>
      </c>
      <c r="I637" s="1083"/>
      <c r="J637" s="1083"/>
      <c r="K637" s="1083"/>
      <c r="L637" s="1083"/>
      <c r="M637" s="1083"/>
      <c r="N637" s="1083"/>
      <c r="O637" s="1083"/>
      <c r="P637" s="1083"/>
      <c r="Q637" s="1083"/>
      <c r="R637" s="1083"/>
      <c r="S637" s="1083"/>
      <c r="T637" s="1083"/>
      <c r="U637" s="1083"/>
      <c r="V637" s="1083"/>
      <c r="W637" s="1083"/>
      <c r="X637" s="1083"/>
      <c r="Y637" s="1083"/>
      <c r="Z637" s="1083"/>
      <c r="AA637" s="1083"/>
      <c r="AB637" s="1083"/>
      <c r="AC637" s="1083"/>
      <c r="AD637" s="1083"/>
      <c r="AE637" s="1083"/>
    </row>
    <row r="638" spans="2:31">
      <c r="B638" s="1130"/>
      <c r="C638" s="1609"/>
      <c r="D638" s="1131"/>
      <c r="E638" s="1132"/>
      <c r="F638" s="1133"/>
      <c r="I638" s="1083"/>
      <c r="J638" s="1083"/>
      <c r="K638" s="1083"/>
      <c r="L638" s="1083"/>
      <c r="M638" s="1083"/>
      <c r="N638" s="1083"/>
      <c r="O638" s="1083"/>
      <c r="P638" s="1083"/>
      <c r="Q638" s="1083"/>
      <c r="R638" s="1083"/>
      <c r="S638" s="1083"/>
      <c r="T638" s="1083"/>
      <c r="U638" s="1083"/>
      <c r="V638" s="1083"/>
      <c r="W638" s="1083"/>
      <c r="X638" s="1083"/>
      <c r="Y638" s="1083"/>
      <c r="Z638" s="1083"/>
      <c r="AA638" s="1083"/>
      <c r="AB638" s="1083"/>
      <c r="AC638" s="1083"/>
      <c r="AD638" s="1083"/>
      <c r="AE638" s="1083"/>
    </row>
    <row r="639" spans="2:31" ht="38.25">
      <c r="B639" s="1153" t="s">
        <v>1010</v>
      </c>
      <c r="C639" s="1609"/>
      <c r="D639" s="1131"/>
      <c r="E639" s="1132"/>
      <c r="F639" s="1133"/>
      <c r="I639" s="1083"/>
      <c r="J639" s="1083"/>
      <c r="K639" s="1083"/>
      <c r="L639" s="1083"/>
      <c r="M639" s="1083"/>
      <c r="N639" s="1083"/>
      <c r="O639" s="1083"/>
      <c r="P639" s="1083"/>
      <c r="Q639" s="1083"/>
      <c r="R639" s="1083"/>
      <c r="S639" s="1083"/>
      <c r="T639" s="1083"/>
      <c r="U639" s="1083"/>
      <c r="V639" s="1083"/>
      <c r="W639" s="1083"/>
      <c r="X639" s="1083"/>
      <c r="Y639" s="1083"/>
      <c r="Z639" s="1083"/>
      <c r="AA639" s="1083"/>
      <c r="AB639" s="1083"/>
      <c r="AC639" s="1083"/>
      <c r="AD639" s="1083"/>
      <c r="AE639" s="1083"/>
    </row>
    <row r="640" spans="2:31">
      <c r="B640" s="1130"/>
      <c r="C640" s="1609"/>
      <c r="D640" s="1131"/>
      <c r="E640" s="1132"/>
      <c r="F640" s="1133"/>
      <c r="I640" s="1083"/>
      <c r="J640" s="1083"/>
      <c r="K640" s="1083"/>
      <c r="L640" s="1083"/>
      <c r="M640" s="1083"/>
      <c r="N640" s="1083"/>
      <c r="O640" s="1083"/>
      <c r="P640" s="1083"/>
      <c r="Q640" s="1083"/>
      <c r="R640" s="1083"/>
      <c r="S640" s="1083"/>
      <c r="T640" s="1083"/>
      <c r="U640" s="1083"/>
      <c r="V640" s="1083"/>
      <c r="W640" s="1083"/>
      <c r="X640" s="1083"/>
      <c r="Y640" s="1083"/>
      <c r="Z640" s="1083"/>
      <c r="AA640" s="1083"/>
      <c r="AB640" s="1083"/>
      <c r="AC640" s="1083"/>
      <c r="AD640" s="1083"/>
      <c r="AE640" s="1083"/>
    </row>
    <row r="641" spans="2:31" ht="13.5" thickBot="1">
      <c r="B641" s="1154" t="s">
        <v>1096</v>
      </c>
      <c r="C641" s="1614"/>
      <c r="D641" s="1136"/>
      <c r="E641" s="1135"/>
      <c r="F641" s="1135"/>
      <c r="I641" s="1083"/>
      <c r="J641" s="1083"/>
      <c r="K641" s="1083"/>
      <c r="L641" s="1083"/>
      <c r="M641" s="1083"/>
      <c r="N641" s="1083"/>
      <c r="O641" s="1083"/>
      <c r="P641" s="1083"/>
      <c r="Q641" s="1083"/>
      <c r="R641" s="1083"/>
      <c r="S641" s="1083"/>
      <c r="T641" s="1083"/>
      <c r="U641" s="1083"/>
      <c r="V641" s="1083"/>
      <c r="W641" s="1083"/>
      <c r="X641" s="1083"/>
      <c r="Y641" s="1083"/>
      <c r="Z641" s="1083"/>
      <c r="AA641" s="1083"/>
      <c r="AB641" s="1083"/>
      <c r="AC641" s="1083"/>
      <c r="AD641" s="1083"/>
      <c r="AE641" s="1083"/>
    </row>
    <row r="642" spans="2:31" ht="13.5" thickTop="1">
      <c r="B642" s="1137" t="s">
        <v>1097</v>
      </c>
      <c r="C642" s="1610">
        <v>1.05</v>
      </c>
      <c r="D642" s="1138" t="s">
        <v>2</v>
      </c>
      <c r="E642" s="1139">
        <f>+E610</f>
        <v>8154.9</v>
      </c>
      <c r="F642" s="1140">
        <f>C642*E642</f>
        <v>8562.65</v>
      </c>
      <c r="I642" s="1083"/>
      <c r="J642" s="1083"/>
      <c r="K642" s="1083"/>
      <c r="L642" s="1083"/>
      <c r="M642" s="1083"/>
      <c r="N642" s="1083"/>
      <c r="O642" s="1083"/>
      <c r="P642" s="1083"/>
      <c r="Q642" s="1083"/>
      <c r="R642" s="1083"/>
      <c r="S642" s="1083"/>
      <c r="T642" s="1083"/>
      <c r="U642" s="1083"/>
      <c r="V642" s="1083"/>
      <c r="W642" s="1083"/>
      <c r="X642" s="1083"/>
      <c r="Y642" s="1083"/>
      <c r="Z642" s="1083"/>
      <c r="AA642" s="1083"/>
      <c r="AB642" s="1083"/>
      <c r="AC642" s="1083"/>
      <c r="AD642" s="1083"/>
      <c r="AE642" s="1083"/>
    </row>
    <row r="643" spans="2:31">
      <c r="B643" s="1141" t="s">
        <v>1087</v>
      </c>
      <c r="C643" s="1611">
        <v>0.46</v>
      </c>
      <c r="D643" s="1142" t="s">
        <v>126</v>
      </c>
      <c r="E643" s="1143">
        <f>+E611</f>
        <v>2913</v>
      </c>
      <c r="F643" s="1144">
        <f>C643*E643</f>
        <v>1339.98</v>
      </c>
      <c r="I643" s="1083"/>
      <c r="J643" s="1083"/>
      <c r="K643" s="1083"/>
      <c r="L643" s="1083"/>
      <c r="M643" s="1083"/>
      <c r="N643" s="1083"/>
      <c r="O643" s="1083"/>
      <c r="P643" s="1083"/>
      <c r="Q643" s="1083"/>
      <c r="R643" s="1083"/>
      <c r="S643" s="1083"/>
      <c r="T643" s="1083"/>
      <c r="U643" s="1083"/>
      <c r="V643" s="1083"/>
      <c r="W643" s="1083"/>
      <c r="X643" s="1083"/>
      <c r="Y643" s="1083"/>
      <c r="Z643" s="1083"/>
      <c r="AA643" s="1083"/>
      <c r="AB643" s="1083"/>
      <c r="AC643" s="1083"/>
      <c r="AD643" s="1083"/>
      <c r="AE643" s="1083"/>
    </row>
    <row r="644" spans="2:31" ht="13.5" thickBot="1">
      <c r="B644" s="1145"/>
      <c r="C644" s="1612"/>
      <c r="D644" s="1146"/>
      <c r="E644" s="1147" t="s">
        <v>1031</v>
      </c>
      <c r="F644" s="1148">
        <f>ROUND(SUM(F642:F643),2)</f>
        <v>9902.6299999999992</v>
      </c>
      <c r="I644" s="1083"/>
      <c r="J644" s="1083"/>
      <c r="K644" s="1083"/>
      <c r="L644" s="1083"/>
      <c r="M644" s="1083"/>
      <c r="N644" s="1083"/>
      <c r="O644" s="1083"/>
      <c r="P644" s="1083"/>
      <c r="Q644" s="1083"/>
      <c r="R644" s="1083"/>
      <c r="S644" s="1083"/>
      <c r="T644" s="1083"/>
      <c r="U644" s="1083"/>
      <c r="V644" s="1083"/>
      <c r="W644" s="1083"/>
      <c r="X644" s="1083"/>
      <c r="Y644" s="1083"/>
      <c r="Z644" s="1083"/>
      <c r="AA644" s="1083"/>
      <c r="AB644" s="1083"/>
      <c r="AC644" s="1083"/>
      <c r="AD644" s="1083"/>
      <c r="AE644" s="1083"/>
    </row>
    <row r="645" spans="2:31" ht="13.5" thickTop="1">
      <c r="B645" s="1130"/>
      <c r="C645" s="1609"/>
      <c r="D645" s="1131"/>
      <c r="E645" s="1132"/>
      <c r="F645" s="1133"/>
      <c r="I645" s="1083"/>
      <c r="J645" s="1083"/>
      <c r="K645" s="1083"/>
      <c r="L645" s="1083"/>
      <c r="M645" s="1083"/>
      <c r="N645" s="1083"/>
      <c r="O645" s="1083"/>
      <c r="P645" s="1083"/>
      <c r="Q645" s="1083"/>
      <c r="R645" s="1083"/>
      <c r="S645" s="1083"/>
      <c r="T645" s="1083"/>
      <c r="U645" s="1083"/>
      <c r="V645" s="1083"/>
      <c r="W645" s="1083"/>
      <c r="X645" s="1083"/>
      <c r="Y645" s="1083"/>
      <c r="Z645" s="1083"/>
      <c r="AA645" s="1083"/>
      <c r="AB645" s="1083"/>
      <c r="AC645" s="1083"/>
      <c r="AD645" s="1083"/>
      <c r="AE645" s="1083"/>
    </row>
    <row r="646" spans="2:31">
      <c r="B646" s="1130"/>
      <c r="C646" s="1609"/>
      <c r="D646" s="1131"/>
      <c r="E646" s="1132"/>
      <c r="F646" s="1133"/>
      <c r="I646" s="1083"/>
      <c r="J646" s="1083"/>
      <c r="K646" s="1083"/>
      <c r="L646" s="1083"/>
      <c r="M646" s="1083"/>
      <c r="N646" s="1083"/>
      <c r="O646" s="1083"/>
      <c r="P646" s="1083"/>
      <c r="Q646" s="1083"/>
      <c r="R646" s="1083"/>
      <c r="S646" s="1083"/>
      <c r="T646" s="1083"/>
      <c r="U646" s="1083"/>
      <c r="V646" s="1083"/>
      <c r="W646" s="1083"/>
      <c r="X646" s="1083"/>
      <c r="Y646" s="1083"/>
      <c r="Z646" s="1083"/>
      <c r="AA646" s="1083"/>
      <c r="AB646" s="1083"/>
      <c r="AC646" s="1083"/>
      <c r="AD646" s="1083"/>
      <c r="AE646" s="1083"/>
    </row>
    <row r="647" spans="2:31" ht="13.5" thickBot="1">
      <c r="B647" s="1154" t="s">
        <v>1011</v>
      </c>
      <c r="C647" s="1609"/>
      <c r="D647" s="1131"/>
      <c r="E647" s="1132"/>
      <c r="F647" s="1133"/>
      <c r="I647" s="1083"/>
      <c r="J647" s="1083"/>
      <c r="K647" s="1083"/>
      <c r="L647" s="1083"/>
      <c r="M647" s="1083"/>
      <c r="N647" s="1083"/>
      <c r="O647" s="1083"/>
      <c r="P647" s="1083"/>
      <c r="Q647" s="1083"/>
      <c r="R647" s="1083"/>
      <c r="S647" s="1083"/>
      <c r="T647" s="1083"/>
      <c r="U647" s="1083"/>
      <c r="V647" s="1083"/>
      <c r="W647" s="1083"/>
      <c r="X647" s="1083"/>
      <c r="Y647" s="1083"/>
      <c r="Z647" s="1083"/>
      <c r="AA647" s="1083"/>
      <c r="AB647" s="1083"/>
      <c r="AC647" s="1083"/>
      <c r="AD647" s="1083"/>
      <c r="AE647" s="1083"/>
    </row>
    <row r="648" spans="2:31" ht="13.5" thickTop="1">
      <c r="B648" s="1137" t="s">
        <v>1097</v>
      </c>
      <c r="C648" s="1610">
        <v>1.05</v>
      </c>
      <c r="D648" s="1138" t="s">
        <v>2</v>
      </c>
      <c r="E648" s="1139">
        <f>E642</f>
        <v>8154.9</v>
      </c>
      <c r="F648" s="1140">
        <f>C648*E648</f>
        <v>8562.65</v>
      </c>
      <c r="I648" s="1083"/>
      <c r="J648" s="1083"/>
      <c r="K648" s="1083"/>
      <c r="L648" s="1083"/>
      <c r="M648" s="1083"/>
      <c r="N648" s="1083"/>
      <c r="O648" s="1083"/>
      <c r="P648" s="1083"/>
      <c r="Q648" s="1083"/>
      <c r="R648" s="1083"/>
      <c r="S648" s="1083"/>
      <c r="T648" s="1083"/>
      <c r="U648" s="1083"/>
      <c r="V648" s="1083"/>
      <c r="W648" s="1083"/>
      <c r="X648" s="1083"/>
      <c r="Y648" s="1083"/>
      <c r="Z648" s="1083"/>
      <c r="AA648" s="1083"/>
      <c r="AB648" s="1083"/>
      <c r="AC648" s="1083"/>
      <c r="AD648" s="1083"/>
      <c r="AE648" s="1083"/>
    </row>
    <row r="649" spans="2:31">
      <c r="B649" s="1141" t="s">
        <v>1087</v>
      </c>
      <c r="C649" s="1611">
        <v>1.28</v>
      </c>
      <c r="D649" s="1142" t="s">
        <v>126</v>
      </c>
      <c r="E649" s="1143">
        <f>E643</f>
        <v>2913</v>
      </c>
      <c r="F649" s="1144">
        <f>C649*E649</f>
        <v>3728.64</v>
      </c>
      <c r="I649" s="1083"/>
      <c r="J649" s="1083"/>
      <c r="K649" s="1083"/>
      <c r="L649" s="1083"/>
      <c r="M649" s="1083"/>
      <c r="N649" s="1083"/>
      <c r="O649" s="1083"/>
      <c r="P649" s="1083"/>
      <c r="Q649" s="1083"/>
      <c r="R649" s="1083"/>
      <c r="S649" s="1083"/>
      <c r="T649" s="1083"/>
      <c r="U649" s="1083"/>
      <c r="V649" s="1083"/>
      <c r="W649" s="1083"/>
      <c r="X649" s="1083"/>
      <c r="Y649" s="1083"/>
      <c r="Z649" s="1083"/>
      <c r="AA649" s="1083"/>
      <c r="AB649" s="1083"/>
      <c r="AC649" s="1083"/>
      <c r="AD649" s="1083"/>
      <c r="AE649" s="1083"/>
    </row>
    <row r="650" spans="2:31" ht="13.5" thickBot="1">
      <c r="B650" s="1145"/>
      <c r="C650" s="1612"/>
      <c r="D650" s="1146"/>
      <c r="E650" s="1147" t="s">
        <v>1031</v>
      </c>
      <c r="F650" s="1148">
        <f>ROUND(SUM(F648:F649),2)</f>
        <v>12291.29</v>
      </c>
      <c r="I650" s="1083"/>
      <c r="J650" s="1083"/>
      <c r="K650" s="1083"/>
      <c r="L650" s="1083"/>
      <c r="M650" s="1083"/>
      <c r="N650" s="1083"/>
      <c r="O650" s="1083"/>
      <c r="P650" s="1083"/>
      <c r="Q650" s="1083"/>
      <c r="R650" s="1083"/>
      <c r="S650" s="1083"/>
      <c r="T650" s="1083"/>
      <c r="U650" s="1083"/>
      <c r="V650" s="1083"/>
      <c r="W650" s="1083"/>
      <c r="X650" s="1083"/>
      <c r="Y650" s="1083"/>
      <c r="Z650" s="1083"/>
      <c r="AA650" s="1083"/>
      <c r="AB650" s="1083"/>
      <c r="AC650" s="1083"/>
      <c r="AD650" s="1083"/>
      <c r="AE650" s="1083"/>
    </row>
    <row r="651" spans="2:31" ht="13.5" thickTop="1">
      <c r="B651" s="1130"/>
      <c r="C651" s="1609"/>
      <c r="D651" s="1131"/>
      <c r="E651" s="1132"/>
      <c r="F651" s="1133"/>
      <c r="I651" s="1083"/>
      <c r="J651" s="1083"/>
      <c r="K651" s="1083"/>
      <c r="L651" s="1083"/>
      <c r="M651" s="1083"/>
      <c r="N651" s="1083"/>
      <c r="O651" s="1083"/>
      <c r="P651" s="1083"/>
      <c r="Q651" s="1083"/>
      <c r="R651" s="1083"/>
      <c r="S651" s="1083"/>
      <c r="T651" s="1083"/>
      <c r="U651" s="1083"/>
      <c r="V651" s="1083"/>
      <c r="W651" s="1083"/>
      <c r="X651" s="1083"/>
      <c r="Y651" s="1083"/>
      <c r="Z651" s="1083"/>
      <c r="AA651" s="1083"/>
      <c r="AB651" s="1083"/>
      <c r="AC651" s="1083"/>
      <c r="AD651" s="1083"/>
      <c r="AE651" s="1083"/>
    </row>
    <row r="652" spans="2:31">
      <c r="B652" s="1130"/>
      <c r="C652" s="1609"/>
      <c r="D652" s="1131"/>
      <c r="E652" s="1132"/>
      <c r="F652" s="1133"/>
      <c r="I652" s="1083"/>
      <c r="J652" s="1083"/>
      <c r="K652" s="1083"/>
      <c r="L652" s="1083"/>
      <c r="M652" s="1083"/>
      <c r="N652" s="1083"/>
      <c r="O652" s="1083"/>
      <c r="P652" s="1083"/>
      <c r="Q652" s="1083"/>
      <c r="R652" s="1083"/>
      <c r="S652" s="1083"/>
      <c r="T652" s="1083"/>
      <c r="U652" s="1083"/>
      <c r="V652" s="1083"/>
      <c r="W652" s="1083"/>
      <c r="X652" s="1083"/>
      <c r="Y652" s="1083"/>
      <c r="Z652" s="1083"/>
      <c r="AA652" s="1083"/>
      <c r="AB652" s="1083"/>
      <c r="AC652" s="1083"/>
      <c r="AD652" s="1083"/>
      <c r="AE652" s="1083"/>
    </row>
    <row r="653" spans="2:31" ht="13.5" thickBot="1">
      <c r="B653" s="1155" t="s">
        <v>1012</v>
      </c>
      <c r="C653" s="1614"/>
      <c r="D653" s="1135"/>
      <c r="E653" s="1135"/>
      <c r="F653" s="1135"/>
      <c r="I653" s="1083"/>
      <c r="J653" s="1083"/>
      <c r="K653" s="1083"/>
      <c r="L653" s="1083"/>
      <c r="M653" s="1083"/>
      <c r="N653" s="1083"/>
      <c r="O653" s="1083"/>
      <c r="P653" s="1083"/>
      <c r="Q653" s="1083"/>
      <c r="R653" s="1083"/>
      <c r="S653" s="1083"/>
      <c r="T653" s="1083"/>
      <c r="U653" s="1083"/>
      <c r="V653" s="1083"/>
      <c r="W653" s="1083"/>
      <c r="X653" s="1083"/>
      <c r="Y653" s="1083"/>
      <c r="Z653" s="1083"/>
      <c r="AA653" s="1083"/>
      <c r="AB653" s="1083"/>
      <c r="AC653" s="1083"/>
      <c r="AD653" s="1083"/>
      <c r="AE653" s="1083"/>
    </row>
    <row r="654" spans="2:31" ht="13.5" thickTop="1">
      <c r="B654" s="1137" t="s">
        <v>1097</v>
      </c>
      <c r="C654" s="1610">
        <v>1.05</v>
      </c>
      <c r="D654" s="1138" t="s">
        <v>2</v>
      </c>
      <c r="E654" s="1139">
        <f>+E87</f>
        <v>8154.9</v>
      </c>
      <c r="F654" s="1140">
        <f>C654*E654</f>
        <v>8562.65</v>
      </c>
      <c r="I654" s="1083"/>
      <c r="J654" s="1083"/>
      <c r="K654" s="1083"/>
      <c r="L654" s="1083"/>
      <c r="M654" s="1083"/>
      <c r="N654" s="1083"/>
      <c r="O654" s="1083"/>
      <c r="P654" s="1083"/>
      <c r="Q654" s="1083"/>
      <c r="R654" s="1083"/>
      <c r="S654" s="1083"/>
      <c r="T654" s="1083"/>
      <c r="U654" s="1083"/>
      <c r="V654" s="1083"/>
      <c r="W654" s="1083"/>
      <c r="X654" s="1083"/>
      <c r="Y654" s="1083"/>
      <c r="Z654" s="1083"/>
      <c r="AA654" s="1083"/>
      <c r="AB654" s="1083"/>
      <c r="AC654" s="1083"/>
      <c r="AD654" s="1083"/>
      <c r="AE654" s="1083"/>
    </row>
    <row r="655" spans="2:31">
      <c r="B655" s="1141" t="s">
        <v>1092</v>
      </c>
      <c r="C655" s="1611">
        <v>6.63</v>
      </c>
      <c r="D655" s="1142" t="s">
        <v>126</v>
      </c>
      <c r="E655" s="1143">
        <f>+E621</f>
        <v>2590</v>
      </c>
      <c r="F655" s="1144">
        <f>C655*E655</f>
        <v>17171.7</v>
      </c>
      <c r="I655" s="1083"/>
      <c r="J655" s="1083"/>
      <c r="K655" s="1083"/>
      <c r="L655" s="1083"/>
      <c r="M655" s="1083"/>
      <c r="N655" s="1083"/>
      <c r="O655" s="1083"/>
      <c r="P655" s="1083"/>
      <c r="Q655" s="1083"/>
      <c r="R655" s="1083"/>
      <c r="S655" s="1083"/>
      <c r="T655" s="1083"/>
      <c r="U655" s="1083"/>
      <c r="V655" s="1083"/>
      <c r="W655" s="1083"/>
      <c r="X655" s="1083"/>
      <c r="Y655" s="1083"/>
      <c r="Z655" s="1083"/>
      <c r="AA655" s="1083"/>
      <c r="AB655" s="1083"/>
      <c r="AC655" s="1083"/>
      <c r="AD655" s="1083"/>
      <c r="AE655" s="1083"/>
    </row>
    <row r="656" spans="2:31">
      <c r="B656" s="1141" t="s">
        <v>1089</v>
      </c>
      <c r="C656" s="1611">
        <f>1/(0.25*0.25)</f>
        <v>16</v>
      </c>
      <c r="D656" s="1152" t="s">
        <v>1</v>
      </c>
      <c r="E656" s="1143">
        <v>400</v>
      </c>
      <c r="F656" s="1144">
        <f>C656*E656</f>
        <v>6400</v>
      </c>
      <c r="I656" s="1083"/>
      <c r="J656" s="1083"/>
      <c r="K656" s="1083"/>
      <c r="L656" s="1083"/>
      <c r="M656" s="1083"/>
      <c r="N656" s="1083"/>
      <c r="O656" s="1083"/>
      <c r="P656" s="1083"/>
      <c r="Q656" s="1083"/>
      <c r="R656" s="1083"/>
      <c r="S656" s="1083"/>
      <c r="T656" s="1083"/>
      <c r="U656" s="1083"/>
      <c r="V656" s="1083"/>
      <c r="W656" s="1083"/>
      <c r="X656" s="1083"/>
      <c r="Y656" s="1083"/>
      <c r="Z656" s="1083"/>
      <c r="AA656" s="1083"/>
      <c r="AB656" s="1083"/>
      <c r="AC656" s="1083"/>
      <c r="AD656" s="1083"/>
      <c r="AE656" s="1083"/>
    </row>
    <row r="657" spans="2:31">
      <c r="B657" s="1141" t="s">
        <v>1093</v>
      </c>
      <c r="C657" s="1611">
        <f>+C656</f>
        <v>16</v>
      </c>
      <c r="D657" s="1152" t="s">
        <v>1</v>
      </c>
      <c r="E657" s="1143">
        <v>110</v>
      </c>
      <c r="F657" s="1144">
        <f>C657*E657</f>
        <v>1760</v>
      </c>
      <c r="I657" s="1083"/>
      <c r="J657" s="1083"/>
      <c r="K657" s="1083"/>
      <c r="L657" s="1083"/>
      <c r="M657" s="1083"/>
      <c r="N657" s="1083"/>
      <c r="O657" s="1083"/>
      <c r="P657" s="1083"/>
      <c r="Q657" s="1083"/>
      <c r="R657" s="1083"/>
      <c r="S657" s="1083"/>
      <c r="T657" s="1083"/>
      <c r="U657" s="1083"/>
      <c r="V657" s="1083"/>
      <c r="W657" s="1083"/>
      <c r="X657" s="1083"/>
      <c r="Y657" s="1083"/>
      <c r="Z657" s="1083"/>
      <c r="AA657" s="1083"/>
      <c r="AB657" s="1083"/>
      <c r="AC657" s="1083"/>
      <c r="AD657" s="1083"/>
      <c r="AE657" s="1083"/>
    </row>
    <row r="658" spans="2:31" ht="13.5" thickBot="1">
      <c r="B658" s="1145"/>
      <c r="C658" s="1612"/>
      <c r="D658" s="1146"/>
      <c r="E658" s="1147" t="s">
        <v>1031</v>
      </c>
      <c r="F658" s="1148">
        <f>ROUND(SUM(F654:F657),2)</f>
        <v>33894.35</v>
      </c>
      <c r="I658" s="1083"/>
      <c r="J658" s="1083"/>
      <c r="K658" s="1083"/>
      <c r="L658" s="1083"/>
      <c r="M658" s="1083"/>
      <c r="N658" s="1083"/>
      <c r="O658" s="1083"/>
      <c r="P658" s="1083"/>
      <c r="Q658" s="1083"/>
      <c r="R658" s="1083"/>
      <c r="S658" s="1083"/>
      <c r="T658" s="1083"/>
      <c r="U658" s="1083"/>
      <c r="V658" s="1083"/>
      <c r="W658" s="1083"/>
      <c r="X658" s="1083"/>
      <c r="Y658" s="1083"/>
      <c r="Z658" s="1083"/>
      <c r="AA658" s="1083"/>
      <c r="AB658" s="1083"/>
      <c r="AC658" s="1083"/>
      <c r="AD658" s="1083"/>
      <c r="AE658" s="1083"/>
    </row>
    <row r="659" spans="2:31" ht="13.5" thickTop="1">
      <c r="B659" s="1130"/>
      <c r="C659" s="1609"/>
      <c r="D659" s="1131"/>
      <c r="E659" s="1132"/>
      <c r="F659" s="1133"/>
      <c r="I659" s="1083"/>
      <c r="J659" s="1083"/>
      <c r="K659" s="1083"/>
      <c r="L659" s="1083"/>
      <c r="M659" s="1083"/>
      <c r="N659" s="1083"/>
      <c r="O659" s="1083"/>
      <c r="P659" s="1083"/>
      <c r="Q659" s="1083"/>
      <c r="R659" s="1083"/>
      <c r="S659" s="1083"/>
      <c r="T659" s="1083"/>
      <c r="U659" s="1083"/>
      <c r="V659" s="1083"/>
      <c r="W659" s="1083"/>
      <c r="X659" s="1083"/>
      <c r="Y659" s="1083"/>
      <c r="Z659" s="1083"/>
      <c r="AA659" s="1083"/>
      <c r="AB659" s="1083"/>
      <c r="AC659" s="1083"/>
      <c r="AD659" s="1083"/>
      <c r="AE659" s="1083"/>
    </row>
    <row r="660" spans="2:31" ht="13.5" thickBot="1">
      <c r="B660" s="1155" t="s">
        <v>1013</v>
      </c>
      <c r="C660" s="1609"/>
      <c r="D660" s="1131"/>
      <c r="E660" s="1132"/>
      <c r="F660" s="1133"/>
      <c r="I660" s="1083"/>
      <c r="J660" s="1083"/>
      <c r="K660" s="1083"/>
      <c r="L660" s="1083"/>
      <c r="M660" s="1083"/>
      <c r="N660" s="1083"/>
      <c r="O660" s="1083"/>
      <c r="P660" s="1083"/>
      <c r="Q660" s="1083"/>
      <c r="R660" s="1083"/>
      <c r="S660" s="1083"/>
      <c r="T660" s="1083"/>
      <c r="U660" s="1083"/>
      <c r="V660" s="1083"/>
      <c r="W660" s="1083"/>
      <c r="X660" s="1083"/>
      <c r="Y660" s="1083"/>
      <c r="Z660" s="1083"/>
      <c r="AA660" s="1083"/>
      <c r="AB660" s="1083"/>
      <c r="AC660" s="1083"/>
      <c r="AD660" s="1083"/>
      <c r="AE660" s="1083"/>
    </row>
    <row r="661" spans="2:31" ht="13.5" thickTop="1">
      <c r="B661" s="1137" t="s">
        <v>1097</v>
      </c>
      <c r="C661" s="1610">
        <v>1.05</v>
      </c>
      <c r="D661" s="1138" t="s">
        <v>2</v>
      </c>
      <c r="E661" s="1139">
        <f>+E654</f>
        <v>8154.9</v>
      </c>
      <c r="F661" s="1140">
        <f>C661*E661</f>
        <v>8562.65</v>
      </c>
      <c r="I661" s="1083"/>
      <c r="J661" s="1083"/>
      <c r="K661" s="1083"/>
      <c r="L661" s="1083"/>
      <c r="M661" s="1083"/>
      <c r="N661" s="1083"/>
      <c r="O661" s="1083"/>
      <c r="P661" s="1083"/>
      <c r="Q661" s="1083"/>
      <c r="R661" s="1083"/>
      <c r="S661" s="1083"/>
      <c r="T661" s="1083"/>
      <c r="U661" s="1083"/>
      <c r="V661" s="1083"/>
      <c r="W661" s="1083"/>
      <c r="X661" s="1083"/>
      <c r="Y661" s="1083"/>
      <c r="Z661" s="1083"/>
      <c r="AA661" s="1083"/>
      <c r="AB661" s="1083"/>
      <c r="AC661" s="1083"/>
      <c r="AD661" s="1083"/>
      <c r="AE661" s="1083"/>
    </row>
    <row r="662" spans="2:31">
      <c r="B662" s="1141" t="s">
        <v>1092</v>
      </c>
      <c r="C662" s="1611">
        <v>4.05</v>
      </c>
      <c r="D662" s="1142" t="s">
        <v>126</v>
      </c>
      <c r="E662" s="1143">
        <f>+E655</f>
        <v>2590</v>
      </c>
      <c r="F662" s="1144">
        <f>C662*E662</f>
        <v>10489.5</v>
      </c>
      <c r="I662" s="1083"/>
      <c r="J662" s="1083"/>
      <c r="K662" s="1083"/>
      <c r="L662" s="1083"/>
      <c r="M662" s="1083"/>
      <c r="N662" s="1083"/>
      <c r="O662" s="1083"/>
      <c r="P662" s="1083"/>
      <c r="Q662" s="1083"/>
      <c r="R662" s="1083"/>
      <c r="S662" s="1083"/>
      <c r="T662" s="1083"/>
      <c r="U662" s="1083"/>
      <c r="V662" s="1083"/>
      <c r="W662" s="1083"/>
      <c r="X662" s="1083"/>
      <c r="Y662" s="1083"/>
      <c r="Z662" s="1083"/>
      <c r="AA662" s="1083"/>
      <c r="AB662" s="1083"/>
      <c r="AC662" s="1083"/>
      <c r="AD662" s="1083"/>
      <c r="AE662" s="1083"/>
    </row>
    <row r="663" spans="2:31">
      <c r="B663" s="1141" t="s">
        <v>1089</v>
      </c>
      <c r="C663" s="1611">
        <f>1/(0.25*0.3)</f>
        <v>13.33</v>
      </c>
      <c r="D663" s="1152" t="s">
        <v>1</v>
      </c>
      <c r="E663" s="1143">
        <v>400</v>
      </c>
      <c r="F663" s="1144">
        <f>C663*E663</f>
        <v>5332</v>
      </c>
      <c r="I663" s="1083"/>
      <c r="J663" s="1083"/>
      <c r="K663" s="1083"/>
      <c r="L663" s="1083"/>
      <c r="M663" s="1083"/>
      <c r="N663" s="1083"/>
      <c r="O663" s="1083"/>
      <c r="P663" s="1083"/>
      <c r="Q663" s="1083"/>
      <c r="R663" s="1083"/>
      <c r="S663" s="1083"/>
      <c r="T663" s="1083"/>
      <c r="U663" s="1083"/>
      <c r="V663" s="1083"/>
      <c r="W663" s="1083"/>
      <c r="X663" s="1083"/>
      <c r="Y663" s="1083"/>
      <c r="Z663" s="1083"/>
      <c r="AA663" s="1083"/>
      <c r="AB663" s="1083"/>
      <c r="AC663" s="1083"/>
      <c r="AD663" s="1083"/>
      <c r="AE663" s="1083"/>
    </row>
    <row r="664" spans="2:31">
      <c r="B664" s="1141" t="s">
        <v>1093</v>
      </c>
      <c r="C664" s="1611">
        <f>+C663</f>
        <v>13.33</v>
      </c>
      <c r="D664" s="1152" t="s">
        <v>1</v>
      </c>
      <c r="E664" s="1143">
        <v>110</v>
      </c>
      <c r="F664" s="1144">
        <f>C664*E664</f>
        <v>1466.3</v>
      </c>
      <c r="I664" s="1083"/>
      <c r="J664" s="1083"/>
      <c r="K664" s="1083"/>
      <c r="L664" s="1083"/>
      <c r="M664" s="1083"/>
      <c r="N664" s="1083"/>
      <c r="O664" s="1083"/>
      <c r="P664" s="1083"/>
      <c r="Q664" s="1083"/>
      <c r="R664" s="1083"/>
      <c r="S664" s="1083"/>
      <c r="T664" s="1083"/>
      <c r="U664" s="1083"/>
      <c r="V664" s="1083"/>
      <c r="W664" s="1083"/>
      <c r="X664" s="1083"/>
      <c r="Y664" s="1083"/>
      <c r="Z664" s="1083"/>
      <c r="AA664" s="1083"/>
      <c r="AB664" s="1083"/>
      <c r="AC664" s="1083"/>
      <c r="AD664" s="1083"/>
      <c r="AE664" s="1083"/>
    </row>
    <row r="665" spans="2:31" ht="13.5" thickBot="1">
      <c r="B665" s="1145"/>
      <c r="C665" s="1612"/>
      <c r="D665" s="1146"/>
      <c r="E665" s="1147" t="s">
        <v>1031</v>
      </c>
      <c r="F665" s="1148">
        <f>ROUND(SUM(F661:F664),2)</f>
        <v>25850.45</v>
      </c>
      <c r="I665" s="1083"/>
      <c r="J665" s="1083"/>
      <c r="K665" s="1083"/>
      <c r="L665" s="1083"/>
      <c r="M665" s="1083"/>
      <c r="N665" s="1083"/>
      <c r="O665" s="1083"/>
      <c r="P665" s="1083"/>
      <c r="Q665" s="1083"/>
      <c r="R665" s="1083"/>
      <c r="S665" s="1083"/>
      <c r="T665" s="1083"/>
      <c r="U665" s="1083"/>
      <c r="V665" s="1083"/>
      <c r="W665" s="1083"/>
      <c r="X665" s="1083"/>
      <c r="Y665" s="1083"/>
      <c r="Z665" s="1083"/>
      <c r="AA665" s="1083"/>
      <c r="AB665" s="1083"/>
      <c r="AC665" s="1083"/>
      <c r="AD665" s="1083"/>
      <c r="AE665" s="1083"/>
    </row>
    <row r="666" spans="2:31" ht="13.5" thickTop="1">
      <c r="B666" s="1130"/>
      <c r="C666" s="1609"/>
      <c r="D666" s="1131"/>
      <c r="E666" s="1132"/>
      <c r="F666" s="1133"/>
      <c r="I666" s="1083"/>
      <c r="J666" s="1083"/>
      <c r="K666" s="1083"/>
      <c r="L666" s="1083"/>
      <c r="M666" s="1083"/>
      <c r="N666" s="1083"/>
      <c r="O666" s="1083"/>
      <c r="P666" s="1083"/>
      <c r="Q666" s="1083"/>
      <c r="R666" s="1083"/>
      <c r="S666" s="1083"/>
      <c r="T666" s="1083"/>
      <c r="U666" s="1083"/>
      <c r="V666" s="1083"/>
      <c r="W666" s="1083"/>
      <c r="X666" s="1083"/>
      <c r="Y666" s="1083"/>
      <c r="Z666" s="1083"/>
      <c r="AA666" s="1083"/>
      <c r="AB666" s="1083"/>
      <c r="AC666" s="1083"/>
      <c r="AD666" s="1083"/>
      <c r="AE666" s="1083"/>
    </row>
    <row r="667" spans="2:31" ht="13.5" thickBot="1">
      <c r="B667" s="1154" t="s">
        <v>1015</v>
      </c>
      <c r="C667" s="1609"/>
      <c r="D667" s="1131"/>
      <c r="E667" s="1132"/>
      <c r="F667" s="1133"/>
      <c r="I667" s="1083"/>
      <c r="J667" s="1083"/>
      <c r="K667" s="1083"/>
      <c r="L667" s="1083"/>
      <c r="M667" s="1083"/>
      <c r="N667" s="1083"/>
      <c r="O667" s="1083"/>
      <c r="P667" s="1083"/>
      <c r="Q667" s="1083"/>
      <c r="R667" s="1083"/>
      <c r="S667" s="1083"/>
      <c r="T667" s="1083"/>
      <c r="U667" s="1083"/>
      <c r="V667" s="1083"/>
      <c r="W667" s="1083"/>
      <c r="X667" s="1083"/>
      <c r="Y667" s="1083"/>
      <c r="Z667" s="1083"/>
      <c r="AA667" s="1083"/>
      <c r="AB667" s="1083"/>
      <c r="AC667" s="1083"/>
      <c r="AD667" s="1083"/>
      <c r="AE667" s="1083"/>
    </row>
    <row r="668" spans="2:31" ht="13.5" thickTop="1">
      <c r="B668" s="1137" t="s">
        <v>1097</v>
      </c>
      <c r="C668" s="1610">
        <v>1.05</v>
      </c>
      <c r="D668" s="1138" t="s">
        <v>2</v>
      </c>
      <c r="E668" s="1139">
        <f>+E661</f>
        <v>8154.9</v>
      </c>
      <c r="F668" s="1140">
        <f>C668*E668</f>
        <v>8562.65</v>
      </c>
      <c r="I668" s="1083"/>
      <c r="J668" s="1083"/>
      <c r="K668" s="1083"/>
      <c r="L668" s="1083"/>
      <c r="M668" s="1083"/>
      <c r="N668" s="1083"/>
      <c r="O668" s="1083"/>
      <c r="P668" s="1083"/>
      <c r="Q668" s="1083"/>
      <c r="R668" s="1083"/>
      <c r="S668" s="1083"/>
      <c r="T668" s="1083"/>
      <c r="U668" s="1083"/>
      <c r="V668" s="1083"/>
      <c r="W668" s="1083"/>
      <c r="X668" s="1083"/>
      <c r="Y668" s="1083"/>
      <c r="Z668" s="1083"/>
      <c r="AA668" s="1083"/>
      <c r="AB668" s="1083"/>
      <c r="AC668" s="1083"/>
      <c r="AD668" s="1083"/>
      <c r="AE668" s="1083"/>
    </row>
    <row r="669" spans="2:31">
      <c r="B669" s="1141" t="s">
        <v>1087</v>
      </c>
      <c r="C669" s="1611">
        <v>3.2</v>
      </c>
      <c r="D669" s="1142" t="s">
        <v>126</v>
      </c>
      <c r="E669" s="1143">
        <f>+E297</f>
        <v>2913</v>
      </c>
      <c r="F669" s="1144">
        <f>C669*E669</f>
        <v>9321.6</v>
      </c>
      <c r="I669" s="1083"/>
      <c r="J669" s="1083"/>
      <c r="K669" s="1083"/>
      <c r="L669" s="1083"/>
      <c r="M669" s="1083"/>
      <c r="N669" s="1083"/>
      <c r="O669" s="1083"/>
      <c r="P669" s="1083"/>
      <c r="Q669" s="1083"/>
      <c r="R669" s="1083"/>
      <c r="S669" s="1083"/>
      <c r="T669" s="1083"/>
      <c r="U669" s="1083"/>
      <c r="V669" s="1083"/>
      <c r="W669" s="1083"/>
      <c r="X669" s="1083"/>
      <c r="Y669" s="1083"/>
      <c r="Z669" s="1083"/>
      <c r="AA669" s="1083"/>
      <c r="AB669" s="1083"/>
      <c r="AC669" s="1083"/>
      <c r="AD669" s="1083"/>
      <c r="AE669" s="1083"/>
    </row>
    <row r="670" spans="2:31">
      <c r="B670" s="1141" t="s">
        <v>1089</v>
      </c>
      <c r="C670" s="1611">
        <f>1/0.25</f>
        <v>4</v>
      </c>
      <c r="D670" s="1152" t="s">
        <v>11</v>
      </c>
      <c r="E670" s="1143">
        <v>1200</v>
      </c>
      <c r="F670" s="1144">
        <f>C670*E670</f>
        <v>4800</v>
      </c>
      <c r="I670" s="1083"/>
      <c r="J670" s="1083"/>
      <c r="K670" s="1083"/>
      <c r="L670" s="1083"/>
      <c r="M670" s="1083"/>
      <c r="N670" s="1083"/>
      <c r="O670" s="1083"/>
      <c r="P670" s="1083"/>
      <c r="Q670" s="1083"/>
      <c r="R670" s="1083"/>
      <c r="S670" s="1083"/>
      <c r="T670" s="1083"/>
      <c r="U670" s="1083"/>
      <c r="V670" s="1083"/>
      <c r="W670" s="1083"/>
      <c r="X670" s="1083"/>
      <c r="Y670" s="1083"/>
      <c r="Z670" s="1083"/>
      <c r="AA670" s="1083"/>
      <c r="AB670" s="1083"/>
      <c r="AC670" s="1083"/>
      <c r="AD670" s="1083"/>
      <c r="AE670" s="1083"/>
    </row>
    <row r="671" spans="2:31" ht="13.5" thickBot="1">
      <c r="B671" s="1145"/>
      <c r="C671" s="1612"/>
      <c r="D671" s="1146"/>
      <c r="E671" s="1147" t="s">
        <v>1031</v>
      </c>
      <c r="F671" s="1148">
        <f>ROUND(SUM(F668:F670),2)</f>
        <v>22684.25</v>
      </c>
      <c r="I671" s="1083"/>
      <c r="J671" s="1083"/>
      <c r="K671" s="1083"/>
      <c r="L671" s="1083"/>
      <c r="M671" s="1083"/>
      <c r="N671" s="1083"/>
      <c r="O671" s="1083"/>
      <c r="P671" s="1083"/>
      <c r="Q671" s="1083"/>
      <c r="R671" s="1083"/>
      <c r="S671" s="1083"/>
      <c r="T671" s="1083"/>
      <c r="U671" s="1083"/>
      <c r="V671" s="1083"/>
      <c r="W671" s="1083"/>
      <c r="X671" s="1083"/>
      <c r="Y671" s="1083"/>
      <c r="Z671" s="1083"/>
      <c r="AA671" s="1083"/>
      <c r="AB671" s="1083"/>
      <c r="AC671" s="1083"/>
      <c r="AD671" s="1083"/>
      <c r="AE671" s="1083"/>
    </row>
    <row r="672" spans="2:31" ht="13.5" thickTop="1">
      <c r="B672" s="1130"/>
      <c r="C672" s="1609"/>
      <c r="D672" s="1131"/>
      <c r="E672" s="1132"/>
      <c r="F672" s="1133"/>
      <c r="I672" s="1083"/>
      <c r="J672" s="1083"/>
      <c r="K672" s="1083"/>
      <c r="L672" s="1083"/>
      <c r="M672" s="1083"/>
      <c r="N672" s="1083"/>
      <c r="O672" s="1083"/>
      <c r="P672" s="1083"/>
      <c r="Q672" s="1083"/>
      <c r="R672" s="1083"/>
      <c r="S672" s="1083"/>
      <c r="T672" s="1083"/>
      <c r="U672" s="1083"/>
      <c r="V672" s="1083"/>
      <c r="W672" s="1083"/>
      <c r="X672" s="1083"/>
      <c r="Y672" s="1083"/>
      <c r="Z672" s="1083"/>
      <c r="AA672" s="1083"/>
      <c r="AB672" s="1083"/>
      <c r="AC672" s="1083"/>
      <c r="AD672" s="1083"/>
      <c r="AE672" s="1083"/>
    </row>
    <row r="673" spans="2:31" ht="13.5" thickBot="1">
      <c r="B673" s="1154" t="s">
        <v>1016</v>
      </c>
      <c r="C673" s="1609"/>
      <c r="D673" s="1131"/>
      <c r="E673" s="1132"/>
      <c r="F673" s="113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1083"/>
      <c r="AE673" s="1083"/>
    </row>
    <row r="674" spans="2:31" ht="13.5" thickTop="1">
      <c r="B674" s="1137" t="s">
        <v>1097</v>
      </c>
      <c r="C674" s="1610">
        <v>1.05</v>
      </c>
      <c r="D674" s="1138" t="s">
        <v>2</v>
      </c>
      <c r="E674" s="1139">
        <f>+E668</f>
        <v>8154.9</v>
      </c>
      <c r="F674" s="1140">
        <f>C674*E674</f>
        <v>8562.65</v>
      </c>
      <c r="I674" s="1083"/>
      <c r="J674" s="1083"/>
      <c r="K674" s="1083"/>
      <c r="L674" s="1083"/>
      <c r="M674" s="1083"/>
      <c r="N674" s="1083"/>
      <c r="O674" s="1083"/>
      <c r="P674" s="1083"/>
      <c r="Q674" s="1083"/>
      <c r="R674" s="1083"/>
      <c r="S674" s="1083"/>
      <c r="T674" s="1083"/>
      <c r="U674" s="1083"/>
      <c r="V674" s="1083"/>
      <c r="W674" s="1083"/>
      <c r="X674" s="1083"/>
      <c r="Y674" s="1083"/>
      <c r="Z674" s="1083"/>
      <c r="AA674" s="1083"/>
      <c r="AB674" s="1083"/>
      <c r="AC674" s="1083"/>
      <c r="AD674" s="1083"/>
      <c r="AE674" s="1083"/>
    </row>
    <row r="675" spans="2:31">
      <c r="B675" s="1141" t="s">
        <v>272</v>
      </c>
      <c r="C675" s="1611">
        <v>1.76</v>
      </c>
      <c r="D675" s="1142" t="s">
        <v>126</v>
      </c>
      <c r="E675" s="1143">
        <f>+E635</f>
        <v>2913</v>
      </c>
      <c r="F675" s="1144">
        <f>C675*E675</f>
        <v>5126.88</v>
      </c>
      <c r="I675" s="1083"/>
      <c r="J675" s="1083"/>
      <c r="K675" s="1083"/>
      <c r="L675" s="1083"/>
      <c r="M675" s="1083"/>
      <c r="N675" s="1083"/>
      <c r="O675" s="1083"/>
      <c r="P675" s="1083"/>
      <c r="Q675" s="1083"/>
      <c r="R675" s="1083"/>
      <c r="S675" s="1083"/>
      <c r="T675" s="1083"/>
      <c r="U675" s="1083"/>
      <c r="V675" s="1083"/>
      <c r="W675" s="1083"/>
      <c r="X675" s="1083"/>
      <c r="Y675" s="1083"/>
      <c r="Z675" s="1083"/>
      <c r="AA675" s="1083"/>
      <c r="AB675" s="1083"/>
      <c r="AC675" s="1083"/>
      <c r="AD675" s="1083"/>
      <c r="AE675" s="1083"/>
    </row>
    <row r="676" spans="2:31">
      <c r="B676" s="1141" t="s">
        <v>1089</v>
      </c>
      <c r="C676" s="1611">
        <f>1/0.15</f>
        <v>6.67</v>
      </c>
      <c r="D676" s="1152" t="s">
        <v>11</v>
      </c>
      <c r="E676" s="1143">
        <v>350</v>
      </c>
      <c r="F676" s="1144">
        <f>C676*E676</f>
        <v>2334.5</v>
      </c>
      <c r="I676" s="1083"/>
      <c r="J676" s="1083"/>
      <c r="K676" s="1083"/>
      <c r="L676" s="1083"/>
      <c r="M676" s="1083"/>
      <c r="N676" s="1083"/>
      <c r="O676" s="1083"/>
      <c r="P676" s="1083"/>
      <c r="Q676" s="1083"/>
      <c r="R676" s="1083"/>
      <c r="S676" s="1083"/>
      <c r="T676" s="1083"/>
      <c r="U676" s="1083"/>
      <c r="V676" s="1083"/>
      <c r="W676" s="1083"/>
      <c r="X676" s="1083"/>
      <c r="Y676" s="1083"/>
      <c r="Z676" s="1083"/>
      <c r="AA676" s="1083"/>
      <c r="AB676" s="1083"/>
      <c r="AC676" s="1083"/>
      <c r="AD676" s="1083"/>
      <c r="AE676" s="1083"/>
    </row>
    <row r="677" spans="2:31" ht="13.5" thickBot="1">
      <c r="B677" s="1145"/>
      <c r="C677" s="1612"/>
      <c r="D677" s="1146"/>
      <c r="E677" s="1147" t="s">
        <v>1031</v>
      </c>
      <c r="F677" s="1148">
        <f>ROUND(SUM(F674:F676),2)</f>
        <v>16024.03</v>
      </c>
      <c r="I677" s="1083"/>
      <c r="J677" s="1083"/>
      <c r="K677" s="1083"/>
      <c r="L677" s="1083"/>
      <c r="M677" s="1083"/>
      <c r="N677" s="1083"/>
      <c r="O677" s="1083"/>
      <c r="P677" s="1083"/>
      <c r="Q677" s="1083"/>
      <c r="R677" s="1083"/>
      <c r="S677" s="1083"/>
      <c r="T677" s="1083"/>
      <c r="U677" s="1083"/>
      <c r="V677" s="1083"/>
      <c r="W677" s="1083"/>
      <c r="X677" s="1083"/>
      <c r="Y677" s="1083"/>
      <c r="Z677" s="1083"/>
      <c r="AA677" s="1083"/>
      <c r="AB677" s="1083"/>
      <c r="AC677" s="1083"/>
      <c r="AD677" s="1083"/>
      <c r="AE677" s="1083"/>
    </row>
    <row r="678" spans="2:31" ht="13.5" thickTop="1">
      <c r="B678" s="1130"/>
      <c r="C678" s="1609"/>
      <c r="D678" s="1131"/>
      <c r="E678" s="1132"/>
      <c r="F678" s="1133"/>
      <c r="I678" s="1083"/>
      <c r="J678" s="1083"/>
      <c r="K678" s="1083"/>
      <c r="L678" s="1083"/>
      <c r="M678" s="1083"/>
      <c r="N678" s="1083"/>
      <c r="O678" s="1083"/>
      <c r="P678" s="1083"/>
      <c r="Q678" s="1083"/>
      <c r="R678" s="1083"/>
      <c r="S678" s="1083"/>
      <c r="T678" s="1083"/>
      <c r="U678" s="1083"/>
      <c r="V678" s="1083"/>
      <c r="W678" s="1083"/>
      <c r="X678" s="1083"/>
      <c r="Y678" s="1083"/>
      <c r="Z678" s="1083"/>
      <c r="AA678" s="1083"/>
      <c r="AB678" s="1083"/>
      <c r="AC678" s="1083"/>
      <c r="AD678" s="1083"/>
      <c r="AE678" s="1083"/>
    </row>
    <row r="679" spans="2:31" ht="13.5" thickBot="1">
      <c r="B679" s="1154" t="s">
        <v>1014</v>
      </c>
      <c r="C679" s="1614"/>
      <c r="D679" s="1135"/>
      <c r="E679" s="1135"/>
      <c r="F679" s="1135"/>
      <c r="I679" s="1083"/>
      <c r="J679" s="1083"/>
      <c r="K679" s="1083"/>
      <c r="L679" s="1083"/>
      <c r="M679" s="1083"/>
      <c r="N679" s="1083"/>
      <c r="O679" s="1083"/>
      <c r="P679" s="1083"/>
      <c r="Q679" s="1083"/>
      <c r="R679" s="1083"/>
      <c r="S679" s="1083"/>
      <c r="T679" s="1083"/>
      <c r="U679" s="1083"/>
      <c r="V679" s="1083"/>
      <c r="W679" s="1083"/>
      <c r="X679" s="1083"/>
      <c r="Y679" s="1083"/>
      <c r="Z679" s="1083"/>
      <c r="AA679" s="1083"/>
      <c r="AB679" s="1083"/>
      <c r="AC679" s="1083"/>
      <c r="AD679" s="1083"/>
      <c r="AE679" s="1083"/>
    </row>
    <row r="680" spans="2:31" ht="13.5" thickTop="1">
      <c r="B680" s="1137" t="s">
        <v>271</v>
      </c>
      <c r="C680" s="1610">
        <v>1.05</v>
      </c>
      <c r="D680" s="1138" t="s">
        <v>2</v>
      </c>
      <c r="E680" s="1139">
        <f>+E674</f>
        <v>8154.9</v>
      </c>
      <c r="F680" s="1140">
        <f>C680*E680</f>
        <v>8562.65</v>
      </c>
      <c r="I680" s="1083"/>
      <c r="J680" s="1083"/>
      <c r="K680" s="1083"/>
      <c r="L680" s="1083"/>
      <c r="M680" s="1083"/>
      <c r="N680" s="1083"/>
      <c r="O680" s="1083"/>
      <c r="P680" s="1083"/>
      <c r="Q680" s="1083"/>
      <c r="R680" s="1083"/>
      <c r="S680" s="1083"/>
      <c r="T680" s="1083"/>
      <c r="U680" s="1083"/>
      <c r="V680" s="1083"/>
      <c r="W680" s="1083"/>
      <c r="X680" s="1083"/>
      <c r="Y680" s="1083"/>
      <c r="Z680" s="1083"/>
      <c r="AA680" s="1083"/>
      <c r="AB680" s="1083"/>
      <c r="AC680" s="1083"/>
      <c r="AD680" s="1083"/>
      <c r="AE680" s="1083"/>
    </row>
    <row r="681" spans="2:31">
      <c r="B681" s="1141" t="s">
        <v>1092</v>
      </c>
      <c r="C681" s="1611">
        <v>3.06</v>
      </c>
      <c r="D681" s="1142" t="s">
        <v>126</v>
      </c>
      <c r="E681" s="1143">
        <f>+E628</f>
        <v>2590</v>
      </c>
      <c r="F681" s="1144">
        <f>C681*E681</f>
        <v>7925.4</v>
      </c>
      <c r="I681" s="1083"/>
      <c r="J681" s="1083"/>
      <c r="K681" s="1083"/>
      <c r="L681" s="1083"/>
      <c r="M681" s="1083"/>
      <c r="N681" s="1083"/>
      <c r="O681" s="1083"/>
      <c r="P681" s="1083"/>
      <c r="Q681" s="1083"/>
      <c r="R681" s="1083"/>
      <c r="S681" s="1083"/>
      <c r="T681" s="1083"/>
      <c r="U681" s="1083"/>
      <c r="V681" s="1083"/>
      <c r="W681" s="1083"/>
      <c r="X681" s="1083"/>
      <c r="Y681" s="1083"/>
      <c r="Z681" s="1083"/>
      <c r="AA681" s="1083"/>
      <c r="AB681" s="1083"/>
      <c r="AC681" s="1083"/>
      <c r="AD681" s="1083"/>
      <c r="AE681" s="1083"/>
    </row>
    <row r="682" spans="2:31">
      <c r="B682" s="1141" t="s">
        <v>1089</v>
      </c>
      <c r="C682" s="1611">
        <f>1/(0.4*0.25)</f>
        <v>10</v>
      </c>
      <c r="D682" s="1152" t="s">
        <v>1</v>
      </c>
      <c r="E682" s="1143">
        <v>350</v>
      </c>
      <c r="F682" s="1144">
        <f>C682*E682</f>
        <v>3500</v>
      </c>
      <c r="I682" s="1083"/>
      <c r="J682" s="1083"/>
      <c r="K682" s="1083"/>
      <c r="L682" s="1083"/>
      <c r="M682" s="1083"/>
      <c r="N682" s="1083"/>
      <c r="O682" s="1083"/>
      <c r="P682" s="1083"/>
      <c r="Q682" s="1083"/>
      <c r="R682" s="1083"/>
      <c r="S682" s="1083"/>
      <c r="T682" s="1083"/>
      <c r="U682" s="1083"/>
      <c r="V682" s="1083"/>
      <c r="W682" s="1083"/>
      <c r="X682" s="1083"/>
      <c r="Y682" s="1083"/>
      <c r="Z682" s="1083"/>
      <c r="AA682" s="1083"/>
      <c r="AB682" s="1083"/>
      <c r="AC682" s="1083"/>
      <c r="AD682" s="1083"/>
      <c r="AE682" s="1083"/>
    </row>
    <row r="683" spans="2:31">
      <c r="B683" s="1141" t="s">
        <v>1093</v>
      </c>
      <c r="C683" s="1611">
        <f>+C682</f>
        <v>10</v>
      </c>
      <c r="D683" s="1152" t="s">
        <v>1</v>
      </c>
      <c r="E683" s="1143">
        <v>110</v>
      </c>
      <c r="F683" s="1144">
        <f>C683*E683</f>
        <v>1100</v>
      </c>
      <c r="I683" s="1083"/>
      <c r="J683" s="1083"/>
      <c r="K683" s="1083"/>
      <c r="L683" s="1083"/>
      <c r="M683" s="1083"/>
      <c r="N683" s="1083"/>
      <c r="O683" s="1083"/>
      <c r="P683" s="1083"/>
      <c r="Q683" s="1083"/>
      <c r="R683" s="1083"/>
      <c r="S683" s="1083"/>
      <c r="T683" s="1083"/>
      <c r="U683" s="1083"/>
      <c r="V683" s="1083"/>
      <c r="W683" s="1083"/>
      <c r="X683" s="1083"/>
      <c r="Y683" s="1083"/>
      <c r="Z683" s="1083"/>
      <c r="AA683" s="1083"/>
      <c r="AB683" s="1083"/>
      <c r="AC683" s="1083"/>
      <c r="AD683" s="1083"/>
      <c r="AE683" s="1083"/>
    </row>
    <row r="684" spans="2:31" ht="13.5" thickBot="1">
      <c r="B684" s="1145"/>
      <c r="C684" s="1612"/>
      <c r="D684" s="1146"/>
      <c r="E684" s="1147" t="s">
        <v>1031</v>
      </c>
      <c r="F684" s="1148">
        <f>ROUND(SUM(F680:F683),2)</f>
        <v>21088.05</v>
      </c>
      <c r="I684" s="1083"/>
      <c r="J684" s="1083"/>
      <c r="K684" s="1083"/>
      <c r="L684" s="1083"/>
      <c r="M684" s="1083"/>
      <c r="N684" s="1083"/>
      <c r="O684" s="1083"/>
      <c r="P684" s="1083"/>
      <c r="Q684" s="1083"/>
      <c r="R684" s="1083"/>
      <c r="S684" s="1083"/>
      <c r="T684" s="1083"/>
      <c r="U684" s="1083"/>
      <c r="V684" s="1083"/>
      <c r="W684" s="1083"/>
      <c r="X684" s="1083"/>
      <c r="Y684" s="1083"/>
      <c r="Z684" s="1083"/>
      <c r="AA684" s="1083"/>
      <c r="AB684" s="1083"/>
      <c r="AC684" s="1083"/>
      <c r="AD684" s="1083"/>
      <c r="AE684" s="1083"/>
    </row>
    <row r="685" spans="2:31" ht="13.5" thickTop="1">
      <c r="B685" s="1130"/>
      <c r="C685" s="1609"/>
      <c r="D685" s="1131"/>
      <c r="E685" s="1132"/>
      <c r="F685" s="1133"/>
      <c r="I685" s="1083"/>
      <c r="J685" s="1083"/>
      <c r="K685" s="1083"/>
      <c r="L685" s="1083"/>
      <c r="M685" s="1083"/>
      <c r="N685" s="1083"/>
      <c r="O685" s="1083"/>
      <c r="P685" s="1083"/>
      <c r="Q685" s="1083"/>
      <c r="R685" s="1083"/>
      <c r="S685" s="1083"/>
      <c r="T685" s="1083"/>
      <c r="U685" s="1083"/>
      <c r="V685" s="1083"/>
      <c r="W685" s="1083"/>
      <c r="X685" s="1083"/>
      <c r="Y685" s="1083"/>
      <c r="Z685" s="1083"/>
      <c r="AA685" s="1083"/>
      <c r="AB685" s="1083"/>
      <c r="AC685" s="1083"/>
      <c r="AD685" s="1083"/>
      <c r="AE685" s="1083"/>
    </row>
    <row r="686" spans="2:31">
      <c r="B686" s="1916" t="s">
        <v>1098</v>
      </c>
      <c r="C686" s="1916"/>
      <c r="D686" s="1916"/>
      <c r="E686" s="1916"/>
      <c r="F686" s="1916"/>
      <c r="G686" s="1916"/>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row>
    <row r="687" spans="2:31">
      <c r="B687" s="1916" t="s">
        <v>1099</v>
      </c>
      <c r="C687" s="1916"/>
      <c r="D687" s="1916"/>
      <c r="E687" s="1916"/>
      <c r="F687" s="1916"/>
      <c r="G687" s="1916"/>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row>
    <row r="688" spans="2:31">
      <c r="B688" s="1916" t="s">
        <v>1060</v>
      </c>
      <c r="C688" s="1916">
        <v>1.05</v>
      </c>
      <c r="D688" s="1916" t="s">
        <v>2</v>
      </c>
      <c r="E688" s="1916">
        <v>6925</v>
      </c>
      <c r="F688" s="1916">
        <f>ROUND(C688*E688,2)</f>
        <v>7271.25</v>
      </c>
      <c r="G688" s="1916"/>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row>
    <row r="689" spans="2:31">
      <c r="B689" s="1916" t="s">
        <v>272</v>
      </c>
      <c r="C689" s="1916">
        <v>0.6</v>
      </c>
      <c r="D689" s="1916" t="s">
        <v>126</v>
      </c>
      <c r="E689" s="1916">
        <f>+E675</f>
        <v>2913</v>
      </c>
      <c r="F689" s="1916">
        <f>ROUND(C689*E689,2)</f>
        <v>1747.8</v>
      </c>
      <c r="G689" s="1916"/>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1083"/>
      <c r="AD689" s="1083"/>
      <c r="AE689" s="1083"/>
    </row>
    <row r="690" spans="2:31">
      <c r="B690" s="1916"/>
      <c r="C690" s="1916"/>
      <c r="D690" s="1916"/>
      <c r="E690" s="1916"/>
      <c r="F690" s="1916">
        <f>SUM(F688:F689)</f>
        <v>9019.0499999999993</v>
      </c>
      <c r="G690" s="1916"/>
      <c r="I690" s="1083"/>
      <c r="J690" s="1083"/>
      <c r="K690" s="1083"/>
      <c r="L690" s="1083"/>
      <c r="M690" s="1083"/>
      <c r="N690" s="1083"/>
      <c r="O690" s="1083"/>
      <c r="P690" s="1083"/>
      <c r="Q690" s="1083"/>
      <c r="R690" s="1083"/>
      <c r="S690" s="1083"/>
      <c r="T690" s="1083"/>
      <c r="U690" s="1083"/>
      <c r="V690" s="1083"/>
      <c r="W690" s="1083"/>
      <c r="X690" s="1083"/>
      <c r="Y690" s="1083"/>
      <c r="Z690" s="1083"/>
      <c r="AA690" s="1083"/>
      <c r="AB690" s="1083"/>
      <c r="AC690" s="1083"/>
      <c r="AD690" s="1083"/>
      <c r="AE690" s="1083"/>
    </row>
    <row r="691" spans="2:31">
      <c r="B691" s="1916"/>
      <c r="C691" s="1916"/>
      <c r="D691" s="1916"/>
      <c r="E691" s="1916"/>
      <c r="F691" s="1916"/>
      <c r="G691" s="1916"/>
      <c r="I691" s="1083"/>
      <c r="J691" s="1083"/>
      <c r="K691" s="1083"/>
      <c r="L691" s="1083"/>
      <c r="M691" s="1083"/>
      <c r="N691" s="1083"/>
      <c r="O691" s="1083"/>
      <c r="P691" s="1083"/>
      <c r="Q691" s="1083"/>
      <c r="R691" s="1083"/>
      <c r="S691" s="1083"/>
      <c r="T691" s="1083"/>
      <c r="U691" s="1083"/>
      <c r="V691" s="1083"/>
      <c r="W691" s="1083"/>
      <c r="X691" s="1083"/>
      <c r="Y691" s="1083"/>
      <c r="Z691" s="1083"/>
      <c r="AA691" s="1083"/>
      <c r="AB691" s="1083"/>
      <c r="AC691" s="1083"/>
      <c r="AD691" s="1083"/>
      <c r="AE691" s="1083"/>
    </row>
    <row r="692" spans="2:31">
      <c r="B692" s="1916" t="s">
        <v>37</v>
      </c>
      <c r="C692" s="1916">
        <v>1</v>
      </c>
      <c r="D692" s="1916" t="s">
        <v>1100</v>
      </c>
      <c r="E692" s="1916">
        <v>500</v>
      </c>
      <c r="F692" s="1916">
        <f>ROUND(C692*E692,2)</f>
        <v>500</v>
      </c>
      <c r="G692" s="1916"/>
      <c r="I692" s="1083"/>
      <c r="J692" s="1083"/>
      <c r="K692" s="1083"/>
      <c r="L692" s="1083"/>
      <c r="M692" s="1083"/>
      <c r="N692" s="1083"/>
      <c r="O692" s="1083"/>
      <c r="P692" s="1083"/>
      <c r="Q692" s="1083"/>
      <c r="R692" s="1083"/>
      <c r="S692" s="1083"/>
      <c r="T692" s="1083"/>
      <c r="U692" s="1083"/>
      <c r="V692" s="1083"/>
      <c r="W692" s="1083"/>
      <c r="X692" s="1083"/>
      <c r="Y692" s="1083"/>
      <c r="Z692" s="1083"/>
      <c r="AA692" s="1083"/>
      <c r="AB692" s="1083"/>
      <c r="AC692" s="1083"/>
      <c r="AD692" s="1083"/>
      <c r="AE692" s="1083"/>
    </row>
    <row r="693" spans="2:31">
      <c r="B693" s="1916" t="s">
        <v>1101</v>
      </c>
      <c r="C693" s="1916">
        <v>2.7</v>
      </c>
      <c r="D693" s="1916" t="s">
        <v>2</v>
      </c>
      <c r="E693" s="1916">
        <v>297.56</v>
      </c>
      <c r="F693" s="1916">
        <f t="shared" ref="F693:F712" si="5">ROUND(C693*E693,2)</f>
        <v>803.41</v>
      </c>
      <c r="G693" s="1916"/>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1083"/>
      <c r="AD693" s="1083"/>
      <c r="AE693" s="1083"/>
    </row>
    <row r="694" spans="2:31">
      <c r="B694" s="1916" t="s">
        <v>96</v>
      </c>
      <c r="C694" s="1916">
        <v>0.86</v>
      </c>
      <c r="D694" s="1916" t="s">
        <v>2</v>
      </c>
      <c r="E694" s="1916">
        <v>70.16</v>
      </c>
      <c r="F694" s="1916">
        <f t="shared" si="5"/>
        <v>60.34</v>
      </c>
      <c r="G694" s="1916"/>
      <c r="I694" s="1083"/>
      <c r="J694" s="1083"/>
      <c r="K694" s="1083"/>
      <c r="L694" s="1083"/>
      <c r="M694" s="1083"/>
      <c r="N694" s="1083"/>
      <c r="O694" s="1083"/>
      <c r="P694" s="1083"/>
      <c r="Q694" s="1083"/>
      <c r="R694" s="1083"/>
      <c r="S694" s="1083"/>
      <c r="T694" s="1083"/>
      <c r="U694" s="1083"/>
      <c r="V694" s="1083"/>
      <c r="W694" s="1083"/>
      <c r="X694" s="1083"/>
      <c r="Y694" s="1083"/>
      <c r="Z694" s="1083"/>
      <c r="AA694" s="1083"/>
      <c r="AB694" s="1083"/>
      <c r="AC694" s="1083"/>
      <c r="AD694" s="1083"/>
      <c r="AE694" s="1083"/>
    </row>
    <row r="695" spans="2:31">
      <c r="B695" s="1916" t="s">
        <v>1102</v>
      </c>
      <c r="C695" s="1916">
        <v>2.21</v>
      </c>
      <c r="D695" s="1916" t="s">
        <v>2</v>
      </c>
      <c r="E695" s="1916">
        <v>150</v>
      </c>
      <c r="F695" s="1916">
        <f t="shared" si="5"/>
        <v>331.5</v>
      </c>
      <c r="G695" s="1916"/>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1083"/>
      <c r="AD695" s="1083"/>
      <c r="AE695" s="1083"/>
    </row>
    <row r="696" spans="2:31">
      <c r="B696" s="1916" t="s">
        <v>1103</v>
      </c>
      <c r="C696" s="1916">
        <v>1.35</v>
      </c>
      <c r="D696" s="1916" t="s">
        <v>2</v>
      </c>
      <c r="E696" s="1916">
        <f>+F690</f>
        <v>9019.0499999999993</v>
      </c>
      <c r="F696" s="1916">
        <f t="shared" si="5"/>
        <v>12175.72</v>
      </c>
      <c r="G696" s="1916"/>
      <c r="I696" s="1083"/>
      <c r="J696" s="1083"/>
      <c r="K696" s="1083"/>
      <c r="L696" s="1083"/>
      <c r="M696" s="1083"/>
      <c r="N696" s="1083"/>
      <c r="O696" s="1083"/>
      <c r="P696" s="1083"/>
      <c r="Q696" s="1083"/>
      <c r="R696" s="1083"/>
      <c r="S696" s="1083"/>
      <c r="T696" s="1083"/>
      <c r="U696" s="1083"/>
      <c r="V696" s="1083"/>
      <c r="W696" s="1083"/>
      <c r="X696" s="1083"/>
      <c r="Y696" s="1083"/>
      <c r="Z696" s="1083"/>
      <c r="AA696" s="1083"/>
      <c r="AB696" s="1083"/>
      <c r="AC696" s="1083"/>
      <c r="AD696" s="1083"/>
      <c r="AE696" s="1083"/>
    </row>
    <row r="697" spans="2:31">
      <c r="B697" s="1916" t="s">
        <v>1104</v>
      </c>
      <c r="C697" s="1916">
        <v>7.2</v>
      </c>
      <c r="D697" s="1916" t="s">
        <v>11</v>
      </c>
      <c r="E697" s="1916">
        <f>+F551</f>
        <v>935.32</v>
      </c>
      <c r="F697" s="1916">
        <f t="shared" si="5"/>
        <v>6734.3</v>
      </c>
      <c r="G697" s="1916"/>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083"/>
      <c r="AE697" s="1083"/>
    </row>
    <row r="698" spans="2:31">
      <c r="B698" s="1916" t="s">
        <v>1105</v>
      </c>
      <c r="C698" s="1916">
        <v>12</v>
      </c>
      <c r="D698" s="1916" t="s">
        <v>13</v>
      </c>
      <c r="E698" s="1916">
        <v>52</v>
      </c>
      <c r="F698" s="1916">
        <f t="shared" si="5"/>
        <v>624</v>
      </c>
      <c r="G698" s="1916"/>
      <c r="I698" s="1083"/>
      <c r="J698" s="1083"/>
      <c r="K698" s="1083"/>
      <c r="L698" s="1083"/>
      <c r="M698" s="1083"/>
      <c r="N698" s="1083"/>
      <c r="O698" s="1083"/>
      <c r="P698" s="1083"/>
      <c r="Q698" s="1083"/>
      <c r="R698" s="1083"/>
      <c r="S698" s="1083"/>
      <c r="T698" s="1083"/>
      <c r="U698" s="1083"/>
      <c r="V698" s="1083"/>
      <c r="W698" s="1083"/>
      <c r="X698" s="1083"/>
      <c r="Y698" s="1083"/>
      <c r="Z698" s="1083"/>
      <c r="AA698" s="1083"/>
      <c r="AB698" s="1083"/>
      <c r="AC698" s="1083"/>
      <c r="AD698" s="1083"/>
      <c r="AE698" s="1083"/>
    </row>
    <row r="699" spans="2:31">
      <c r="B699" s="1916" t="s">
        <v>1237</v>
      </c>
      <c r="C699" s="1916">
        <v>4</v>
      </c>
      <c r="D699" s="1916" t="s">
        <v>3</v>
      </c>
      <c r="E699" s="1916">
        <f>480.43*1.18</f>
        <v>566.90740000000005</v>
      </c>
      <c r="F699" s="1916">
        <f t="shared" si="5"/>
        <v>2267.63</v>
      </c>
      <c r="G699" s="1916"/>
      <c r="I699" s="1083"/>
      <c r="J699" s="1083"/>
      <c r="K699" s="1083"/>
      <c r="L699" s="1083"/>
      <c r="M699" s="1083"/>
      <c r="N699" s="1083"/>
      <c r="O699" s="1083"/>
      <c r="P699" s="1083"/>
      <c r="Q699" s="1083"/>
      <c r="R699" s="1083"/>
      <c r="S699" s="1083"/>
      <c r="T699" s="1083"/>
      <c r="U699" s="1083"/>
      <c r="V699" s="1083"/>
      <c r="W699" s="1083"/>
      <c r="X699" s="1083"/>
      <c r="Y699" s="1083"/>
      <c r="Z699" s="1083"/>
      <c r="AA699" s="1083"/>
      <c r="AB699" s="1083"/>
      <c r="AC699" s="1083"/>
      <c r="AD699" s="1083"/>
      <c r="AE699" s="1083"/>
    </row>
    <row r="700" spans="2:31">
      <c r="B700" s="1916" t="s">
        <v>1106</v>
      </c>
      <c r="C700" s="1916">
        <v>2</v>
      </c>
      <c r="D700" s="1916" t="s">
        <v>3</v>
      </c>
      <c r="E700" s="1916">
        <f>546.71*1.18</f>
        <v>645.11779999999999</v>
      </c>
      <c r="F700" s="1916">
        <f t="shared" si="5"/>
        <v>1290.24</v>
      </c>
      <c r="G700" s="1916"/>
      <c r="I700" s="1083"/>
      <c r="J700" s="1083"/>
      <c r="K700" s="1083"/>
      <c r="L700" s="1083"/>
      <c r="M700" s="1083"/>
      <c r="N700" s="1083"/>
      <c r="O700" s="1083"/>
      <c r="P700" s="1083"/>
      <c r="Q700" s="1083"/>
      <c r="R700" s="1083"/>
      <c r="S700" s="1083"/>
      <c r="T700" s="1083"/>
      <c r="U700" s="1083"/>
      <c r="V700" s="1083"/>
      <c r="W700" s="1083"/>
      <c r="X700" s="1083"/>
      <c r="Y700" s="1083"/>
      <c r="Z700" s="1083"/>
      <c r="AA700" s="1083"/>
      <c r="AB700" s="1083"/>
      <c r="AC700" s="1083"/>
      <c r="AD700" s="1083"/>
      <c r="AE700" s="1083"/>
    </row>
    <row r="701" spans="2:31">
      <c r="B701" s="1916" t="s">
        <v>1107</v>
      </c>
      <c r="C701" s="1916">
        <v>21.6</v>
      </c>
      <c r="D701" s="1916" t="s">
        <v>11</v>
      </c>
      <c r="E701" s="1916">
        <v>191.27</v>
      </c>
      <c r="F701" s="1916">
        <f t="shared" si="5"/>
        <v>4131.43</v>
      </c>
      <c r="G701" s="1916">
        <f>6/3.28</f>
        <v>1.82926829268293</v>
      </c>
      <c r="I701" s="1083"/>
      <c r="J701" s="1083"/>
      <c r="K701" s="1083"/>
      <c r="L701" s="1083"/>
      <c r="M701" s="1083"/>
      <c r="N701" s="1083"/>
      <c r="O701" s="1083"/>
      <c r="P701" s="1083"/>
      <c r="Q701" s="1083"/>
      <c r="R701" s="1083"/>
      <c r="S701" s="1083"/>
      <c r="T701" s="1083"/>
      <c r="U701" s="1083"/>
      <c r="V701" s="1083"/>
      <c r="W701" s="1083"/>
      <c r="X701" s="1083"/>
      <c r="Y701" s="1083"/>
      <c r="Z701" s="1083"/>
      <c r="AA701" s="1083"/>
      <c r="AB701" s="1083"/>
      <c r="AC701" s="1083"/>
      <c r="AD701" s="1083"/>
      <c r="AE701" s="1083"/>
    </row>
    <row r="702" spans="2:31">
      <c r="B702" s="1916" t="s">
        <v>1108</v>
      </c>
      <c r="C702" s="1916">
        <v>2</v>
      </c>
      <c r="D702" s="1916" t="s">
        <v>3</v>
      </c>
      <c r="E702" s="1916">
        <v>47.2</v>
      </c>
      <c r="F702" s="1916">
        <f t="shared" si="5"/>
        <v>94.4</v>
      </c>
      <c r="G702" s="1916">
        <f>50/3.28</f>
        <v>15.243902439024399</v>
      </c>
      <c r="H702" s="1083">
        <f>G702*G701</f>
        <v>27.8851873884593</v>
      </c>
      <c r="I702" s="1083"/>
      <c r="J702" s="1083"/>
      <c r="K702" s="1083"/>
      <c r="L702" s="1083"/>
      <c r="M702" s="1083"/>
      <c r="N702" s="1083"/>
      <c r="O702" s="1083"/>
      <c r="P702" s="1083"/>
      <c r="Q702" s="1083"/>
      <c r="R702" s="1083"/>
      <c r="S702" s="1083"/>
      <c r="T702" s="1083"/>
      <c r="U702" s="1083"/>
      <c r="V702" s="1083"/>
      <c r="W702" s="1083"/>
      <c r="X702" s="1083"/>
      <c r="Y702" s="1083"/>
      <c r="Z702" s="1083"/>
      <c r="AA702" s="1083"/>
      <c r="AB702" s="1083"/>
      <c r="AC702" s="1083"/>
      <c r="AD702" s="1083"/>
      <c r="AE702" s="1083"/>
    </row>
    <row r="703" spans="2:31">
      <c r="B703" s="1916" t="s">
        <v>1109</v>
      </c>
      <c r="C703" s="1916">
        <v>3</v>
      </c>
      <c r="D703" s="1916" t="s">
        <v>3</v>
      </c>
      <c r="E703" s="1916">
        <v>32.42</v>
      </c>
      <c r="F703" s="1916">
        <f t="shared" si="5"/>
        <v>97.26</v>
      </c>
      <c r="G703" s="1916"/>
      <c r="I703" s="1083"/>
      <c r="J703" s="1083"/>
      <c r="K703" s="1083"/>
      <c r="L703" s="1083"/>
      <c r="M703" s="1083"/>
      <c r="N703" s="1083"/>
      <c r="O703" s="1083"/>
      <c r="P703" s="1083"/>
      <c r="Q703" s="1083"/>
      <c r="R703" s="1083"/>
      <c r="S703" s="1083"/>
      <c r="T703" s="1083"/>
      <c r="U703" s="1083"/>
      <c r="V703" s="1083"/>
      <c r="W703" s="1083"/>
      <c r="X703" s="1083"/>
      <c r="Y703" s="1083"/>
      <c r="Z703" s="1083"/>
      <c r="AA703" s="1083"/>
      <c r="AB703" s="1083"/>
      <c r="AC703" s="1083"/>
      <c r="AD703" s="1083"/>
      <c r="AE703" s="1083"/>
    </row>
    <row r="704" spans="2:31">
      <c r="B704" s="1916" t="s">
        <v>1110</v>
      </c>
      <c r="C704" s="1916">
        <v>4</v>
      </c>
      <c r="D704" s="1916" t="s">
        <v>3</v>
      </c>
      <c r="E704" s="1916">
        <v>236</v>
      </c>
      <c r="F704" s="1916">
        <f t="shared" si="5"/>
        <v>944</v>
      </c>
      <c r="G704" s="1916"/>
      <c r="I704" s="1083"/>
      <c r="J704" s="1083"/>
      <c r="K704" s="1083"/>
      <c r="L704" s="1083"/>
      <c r="M704" s="1083"/>
      <c r="N704" s="1083"/>
      <c r="O704" s="1083"/>
      <c r="P704" s="1083"/>
      <c r="Q704" s="1083"/>
      <c r="R704" s="1083"/>
      <c r="S704" s="1083"/>
      <c r="T704" s="1083"/>
      <c r="U704" s="1083"/>
      <c r="V704" s="1083"/>
      <c r="W704" s="1083"/>
      <c r="X704" s="1083"/>
      <c r="Y704" s="1083"/>
      <c r="Z704" s="1083"/>
      <c r="AA704" s="1083"/>
      <c r="AB704" s="1083"/>
      <c r="AC704" s="1083"/>
      <c r="AD704" s="1083"/>
      <c r="AE704" s="1083"/>
    </row>
    <row r="705" spans="2:31">
      <c r="B705" s="1916" t="s">
        <v>1111</v>
      </c>
      <c r="C705" s="1916">
        <v>72</v>
      </c>
      <c r="D705" s="1916" t="s">
        <v>13</v>
      </c>
      <c r="E705" s="1916">
        <v>5.2</v>
      </c>
      <c r="F705" s="1916">
        <f t="shared" si="5"/>
        <v>374.4</v>
      </c>
      <c r="G705" s="1916">
        <f>485/110</f>
        <v>4.4090909090909101</v>
      </c>
      <c r="H705" s="1083">
        <f>G705*1.18</f>
        <v>5.2027272727272704</v>
      </c>
      <c r="I705" s="1083"/>
      <c r="J705" s="1083"/>
      <c r="K705" s="1083"/>
      <c r="L705" s="1083"/>
      <c r="M705" s="1083"/>
      <c r="N705" s="1083"/>
      <c r="O705" s="1083"/>
      <c r="P705" s="1083"/>
      <c r="Q705" s="1083"/>
      <c r="R705" s="1083"/>
      <c r="S705" s="1083"/>
      <c r="T705" s="1083"/>
      <c r="U705" s="1083"/>
      <c r="V705" s="1083"/>
      <c r="W705" s="1083"/>
      <c r="X705" s="1083"/>
      <c r="Y705" s="1083"/>
      <c r="Z705" s="1083"/>
      <c r="AA705" s="1083"/>
      <c r="AB705" s="1083"/>
      <c r="AC705" s="1083"/>
      <c r="AD705" s="1083"/>
      <c r="AE705" s="1083"/>
    </row>
    <row r="706" spans="2:31">
      <c r="B706" s="1916" t="s">
        <v>1112</v>
      </c>
      <c r="C706" s="1916">
        <v>1</v>
      </c>
      <c r="D706" s="1916" t="s">
        <v>183</v>
      </c>
      <c r="E706" s="1916">
        <v>32.5</v>
      </c>
      <c r="F706" s="1916">
        <f t="shared" si="5"/>
        <v>32.5</v>
      </c>
      <c r="G706" s="1916"/>
      <c r="I706" s="1083"/>
      <c r="J706" s="1083"/>
      <c r="K706" s="1083"/>
      <c r="L706" s="1083"/>
      <c r="M706" s="1083"/>
      <c r="N706" s="1083"/>
      <c r="O706" s="1083"/>
      <c r="P706" s="1083"/>
      <c r="Q706" s="1083"/>
      <c r="R706" s="1083"/>
      <c r="S706" s="1083"/>
      <c r="T706" s="1083"/>
      <c r="U706" s="1083"/>
      <c r="V706" s="1083"/>
      <c r="W706" s="1083"/>
      <c r="X706" s="1083"/>
      <c r="Y706" s="1083"/>
      <c r="Z706" s="1083"/>
      <c r="AA706" s="1083"/>
      <c r="AB706" s="1083"/>
      <c r="AC706" s="1083"/>
      <c r="AD706" s="1083"/>
      <c r="AE706" s="1083"/>
    </row>
    <row r="707" spans="2:31">
      <c r="B707" s="1916" t="s">
        <v>1113</v>
      </c>
      <c r="C707" s="1916">
        <v>10.08</v>
      </c>
      <c r="D707" s="1916" t="s">
        <v>11</v>
      </c>
      <c r="E707" s="1916">
        <f>+F261</f>
        <v>331.48</v>
      </c>
      <c r="F707" s="1916">
        <f t="shared" si="5"/>
        <v>3341.32</v>
      </c>
      <c r="G707" s="1916"/>
      <c r="I707" s="1083"/>
      <c r="J707" s="1083"/>
      <c r="K707" s="1083"/>
      <c r="L707" s="1083"/>
      <c r="M707" s="1083"/>
      <c r="N707" s="1083"/>
      <c r="O707" s="1083"/>
      <c r="P707" s="1083"/>
      <c r="Q707" s="1083"/>
      <c r="R707" s="1083"/>
      <c r="S707" s="1083"/>
      <c r="T707" s="1083"/>
      <c r="U707" s="1083"/>
      <c r="V707" s="1083"/>
      <c r="W707" s="1083"/>
      <c r="X707" s="1083"/>
      <c r="Y707" s="1083"/>
      <c r="Z707" s="1083"/>
      <c r="AA707" s="1083"/>
      <c r="AB707" s="1083"/>
      <c r="AC707" s="1083"/>
      <c r="AD707" s="1083"/>
      <c r="AE707" s="1083"/>
    </row>
    <row r="708" spans="2:31">
      <c r="B708" s="1916" t="s">
        <v>1114</v>
      </c>
      <c r="C708" s="1916">
        <v>34.200000000000003</v>
      </c>
      <c r="D708" s="1916" t="s">
        <v>11</v>
      </c>
      <c r="E708" s="1916">
        <v>130.5</v>
      </c>
      <c r="F708" s="1916">
        <f t="shared" si="5"/>
        <v>4463.1000000000004</v>
      </c>
      <c r="G708" s="1916"/>
      <c r="I708" s="1083"/>
      <c r="J708" s="1083"/>
      <c r="K708" s="1083"/>
      <c r="L708" s="1083"/>
      <c r="M708" s="1083"/>
      <c r="N708" s="1083"/>
      <c r="O708" s="1083"/>
      <c r="P708" s="1083"/>
      <c r="Q708" s="1083"/>
      <c r="R708" s="1083"/>
      <c r="S708" s="1083"/>
      <c r="T708" s="1083"/>
      <c r="U708" s="1083"/>
      <c r="V708" s="1083"/>
      <c r="W708" s="1083"/>
      <c r="X708" s="1083"/>
      <c r="Y708" s="1083"/>
      <c r="Z708" s="1083"/>
      <c r="AA708" s="1083"/>
      <c r="AB708" s="1083"/>
      <c r="AC708" s="1083"/>
      <c r="AD708" s="1083"/>
      <c r="AE708" s="1083"/>
    </row>
    <row r="709" spans="2:31">
      <c r="B709" s="1916" t="s">
        <v>1115</v>
      </c>
      <c r="C709" s="1916">
        <v>2</v>
      </c>
      <c r="D709" s="1916" t="s">
        <v>3</v>
      </c>
      <c r="E709" s="1916">
        <v>180</v>
      </c>
      <c r="F709" s="1916">
        <f t="shared" si="5"/>
        <v>360</v>
      </c>
      <c r="G709" s="1916"/>
      <c r="I709" s="1083"/>
      <c r="J709" s="1083"/>
      <c r="K709" s="1083"/>
      <c r="L709" s="1083"/>
      <c r="M709" s="1083"/>
      <c r="N709" s="1083"/>
      <c r="O709" s="1083"/>
      <c r="P709" s="1083"/>
      <c r="Q709" s="1083"/>
      <c r="R709" s="1083"/>
      <c r="S709" s="1083"/>
      <c r="T709" s="1083"/>
      <c r="U709" s="1083"/>
      <c r="V709" s="1083"/>
      <c r="W709" s="1083"/>
      <c r="X709" s="1083"/>
      <c r="Y709" s="1083"/>
      <c r="Z709" s="1083"/>
      <c r="AA709" s="1083"/>
      <c r="AB709" s="1083"/>
      <c r="AC709" s="1083"/>
      <c r="AD709" s="1083"/>
      <c r="AE709" s="1083"/>
    </row>
    <row r="710" spans="2:31">
      <c r="B710" s="1916" t="s">
        <v>1116</v>
      </c>
      <c r="C710" s="1916">
        <v>6</v>
      </c>
      <c r="D710" s="1916" t="s">
        <v>3</v>
      </c>
      <c r="E710" s="1916">
        <v>24.54</v>
      </c>
      <c r="F710" s="1916">
        <f t="shared" si="5"/>
        <v>147.24</v>
      </c>
      <c r="G710" s="1916"/>
      <c r="I710" s="1083"/>
      <c r="J710" s="1083"/>
      <c r="K710" s="1083"/>
      <c r="L710" s="1083"/>
      <c r="M710" s="1083"/>
      <c r="N710" s="1083"/>
      <c r="O710" s="1083"/>
      <c r="P710" s="1083"/>
      <c r="Q710" s="1083"/>
      <c r="R710" s="1083"/>
      <c r="S710" s="1083"/>
      <c r="T710" s="1083"/>
      <c r="U710" s="1083"/>
      <c r="V710" s="1083"/>
      <c r="W710" s="1083"/>
      <c r="X710" s="1083"/>
      <c r="Y710" s="1083"/>
      <c r="Z710" s="1083"/>
      <c r="AA710" s="1083"/>
      <c r="AB710" s="1083"/>
      <c r="AC710" s="1083"/>
      <c r="AD710" s="1083"/>
      <c r="AE710" s="1083"/>
    </row>
    <row r="711" spans="2:31">
      <c r="B711" s="1916" t="s">
        <v>41</v>
      </c>
      <c r="C711" s="1916">
        <v>12</v>
      </c>
      <c r="D711" s="1916" t="s">
        <v>13</v>
      </c>
      <c r="E711" s="1916">
        <v>418.06</v>
      </c>
      <c r="F711" s="1916">
        <f t="shared" si="5"/>
        <v>5016.72</v>
      </c>
      <c r="G711" s="1916"/>
      <c r="I711" s="1083"/>
      <c r="J711" s="1083"/>
      <c r="K711" s="1083"/>
      <c r="L711" s="1083"/>
      <c r="M711" s="1083"/>
      <c r="N711" s="1083"/>
      <c r="O711" s="1083"/>
      <c r="P711" s="1083"/>
      <c r="Q711" s="1083"/>
      <c r="R711" s="1083"/>
      <c r="S711" s="1083"/>
      <c r="T711" s="1083"/>
      <c r="U711" s="1083"/>
      <c r="V711" s="1083"/>
      <c r="W711" s="1083"/>
      <c r="X711" s="1083"/>
      <c r="Y711" s="1083"/>
      <c r="Z711" s="1083"/>
      <c r="AA711" s="1083"/>
      <c r="AB711" s="1083"/>
      <c r="AC711" s="1083"/>
      <c r="AD711" s="1083"/>
      <c r="AE711" s="1083"/>
    </row>
    <row r="712" spans="2:31">
      <c r="B712" s="1916" t="s">
        <v>1117</v>
      </c>
      <c r="C712" s="1916">
        <v>12.6</v>
      </c>
      <c r="D712" s="1916" t="s">
        <v>11</v>
      </c>
      <c r="E712" s="1916">
        <v>144</v>
      </c>
      <c r="F712" s="1916">
        <f t="shared" si="5"/>
        <v>1814.4</v>
      </c>
      <c r="G712" s="1916"/>
      <c r="I712" s="1083"/>
      <c r="J712" s="1083"/>
      <c r="K712" s="1083"/>
      <c r="L712" s="1083"/>
      <c r="M712" s="1083"/>
      <c r="N712" s="1083"/>
      <c r="O712" s="1083"/>
      <c r="P712" s="1083"/>
      <c r="Q712" s="1083"/>
      <c r="R712" s="1083"/>
      <c r="S712" s="1083"/>
      <c r="T712" s="1083"/>
      <c r="U712" s="1083"/>
      <c r="V712" s="1083"/>
      <c r="W712" s="1083"/>
      <c r="X712" s="1083"/>
      <c r="Y712" s="1083"/>
      <c r="Z712" s="1083"/>
      <c r="AA712" s="1083"/>
      <c r="AB712" s="1083"/>
      <c r="AC712" s="1083"/>
      <c r="AD712" s="1083"/>
      <c r="AE712" s="1083"/>
    </row>
    <row r="713" spans="2:31">
      <c r="B713" s="1916" t="s">
        <v>1118</v>
      </c>
      <c r="C713" s="1916"/>
      <c r="D713" s="1916"/>
      <c r="E713" s="1916"/>
      <c r="F713" s="1916">
        <f>SUM(F692:F712)</f>
        <v>45603.91</v>
      </c>
      <c r="G713" s="1916"/>
      <c r="I713" s="1083"/>
      <c r="J713" s="1083"/>
      <c r="K713" s="1083"/>
      <c r="L713" s="1083"/>
      <c r="M713" s="1083"/>
      <c r="N713" s="1083"/>
      <c r="O713" s="1083"/>
      <c r="P713" s="1083"/>
      <c r="Q713" s="1083"/>
      <c r="R713" s="1083"/>
      <c r="S713" s="1083"/>
      <c r="T713" s="1083"/>
      <c r="U713" s="1083"/>
      <c r="V713" s="1083"/>
      <c r="W713" s="1083"/>
      <c r="X713" s="1083"/>
      <c r="Y713" s="1083"/>
      <c r="Z713" s="1083"/>
      <c r="AA713" s="1083"/>
      <c r="AB713" s="1083"/>
      <c r="AC713" s="1083"/>
      <c r="AD713" s="1083"/>
      <c r="AE713" s="1083"/>
    </row>
    <row r="714" spans="2:31">
      <c r="B714" s="1916" t="s">
        <v>1119</v>
      </c>
      <c r="C714" s="1916"/>
      <c r="D714" s="1916"/>
      <c r="E714" s="1916" t="s">
        <v>1120</v>
      </c>
      <c r="F714" s="1916">
        <f>ROUND(F713/12,2)</f>
        <v>3800.33</v>
      </c>
      <c r="G714" s="1916"/>
      <c r="I714" s="1083"/>
      <c r="J714" s="1083"/>
      <c r="K714" s="1083"/>
      <c r="L714" s="1083"/>
      <c r="M714" s="1083"/>
      <c r="N714" s="1083"/>
      <c r="O714" s="1083"/>
      <c r="P714" s="1083"/>
      <c r="Q714" s="1083"/>
      <c r="R714" s="1083"/>
      <c r="S714" s="1083"/>
      <c r="T714" s="1083"/>
      <c r="U714" s="1083"/>
      <c r="V714" s="1083"/>
      <c r="W714" s="1083"/>
      <c r="X714" s="1083"/>
      <c r="Y714" s="1083"/>
      <c r="Z714" s="1083"/>
      <c r="AA714" s="1083"/>
      <c r="AB714" s="1083"/>
      <c r="AC714" s="1083"/>
      <c r="AD714" s="1083"/>
      <c r="AE714" s="1083"/>
    </row>
    <row r="715" spans="2:31">
      <c r="B715" s="1916"/>
      <c r="C715" s="1916"/>
      <c r="D715" s="1916"/>
      <c r="E715" s="1916"/>
      <c r="F715" s="1916"/>
      <c r="G715" s="1916"/>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row>
    <row r="716" spans="2:31">
      <c r="B716" s="5190" t="s">
        <v>1121</v>
      </c>
      <c r="C716" s="5190"/>
      <c r="D716" s="5190"/>
      <c r="E716" s="5190"/>
      <c r="F716" s="5190"/>
      <c r="G716" s="1916"/>
      <c r="I716" s="1083"/>
      <c r="J716" s="1083"/>
      <c r="K716" s="1083"/>
      <c r="L716" s="1083"/>
      <c r="M716" s="1083"/>
      <c r="N716" s="1083"/>
      <c r="O716" s="1083"/>
      <c r="P716" s="1083"/>
      <c r="Q716" s="1083"/>
      <c r="R716" s="1083"/>
      <c r="S716" s="1083"/>
      <c r="T716" s="1083"/>
      <c r="U716" s="1083"/>
      <c r="V716" s="1083"/>
      <c r="W716" s="1083"/>
      <c r="X716" s="1083"/>
      <c r="Y716" s="1083"/>
      <c r="Z716" s="1083"/>
      <c r="AA716" s="1083"/>
      <c r="AB716" s="1083"/>
      <c r="AC716" s="1083"/>
      <c r="AD716" s="1083"/>
      <c r="AE716" s="1083"/>
    </row>
    <row r="717" spans="2:31">
      <c r="B717" s="1916" t="s">
        <v>285</v>
      </c>
      <c r="C717" s="1916" t="s">
        <v>286</v>
      </c>
      <c r="D717" s="1916" t="s">
        <v>340</v>
      </c>
      <c r="E717" s="1916" t="s">
        <v>288</v>
      </c>
      <c r="F717" s="1916" t="s">
        <v>289</v>
      </c>
      <c r="G717" s="1916"/>
      <c r="I717" s="1083"/>
      <c r="J717" s="1083"/>
      <c r="K717" s="1083"/>
      <c r="L717" s="1083"/>
      <c r="M717" s="1083"/>
      <c r="N717" s="1083"/>
      <c r="O717" s="1083"/>
      <c r="P717" s="1083"/>
      <c r="Q717" s="1083"/>
      <c r="R717" s="1083"/>
      <c r="S717" s="1083"/>
      <c r="T717" s="1083"/>
      <c r="U717" s="1083"/>
      <c r="V717" s="1083"/>
      <c r="W717" s="1083"/>
      <c r="X717" s="1083"/>
      <c r="Y717" s="1083"/>
      <c r="Z717" s="1083"/>
      <c r="AA717" s="1083"/>
      <c r="AB717" s="1083"/>
      <c r="AC717" s="1083"/>
      <c r="AD717" s="1083"/>
      <c r="AE717" s="1083"/>
    </row>
    <row r="718" spans="2:31">
      <c r="B718" s="1916" t="s">
        <v>1122</v>
      </c>
      <c r="C718" s="1916">
        <v>4</v>
      </c>
      <c r="D718" s="1916" t="s">
        <v>3</v>
      </c>
      <c r="E718" s="1916">
        <f>E699</f>
        <v>566.90740000000005</v>
      </c>
      <c r="F718" s="1916">
        <f t="shared" ref="F718:F735" si="6">C718*E718</f>
        <v>2267.6296000000002</v>
      </c>
      <c r="G718" s="1916"/>
      <c r="I718" s="1083"/>
      <c r="J718" s="1083"/>
      <c r="K718" s="1083"/>
      <c r="L718" s="1083"/>
      <c r="M718" s="1083"/>
      <c r="N718" s="1083"/>
      <c r="O718" s="1083"/>
      <c r="P718" s="1083"/>
      <c r="Q718" s="1083"/>
      <c r="R718" s="1083"/>
      <c r="S718" s="1083"/>
      <c r="T718" s="1083"/>
      <c r="U718" s="1083"/>
      <c r="V718" s="1083"/>
      <c r="W718" s="1083"/>
      <c r="X718" s="1083"/>
      <c r="Y718" s="1083"/>
      <c r="Z718" s="1083"/>
      <c r="AA718" s="1083"/>
      <c r="AB718" s="1083"/>
      <c r="AC718" s="1083"/>
      <c r="AD718" s="1083"/>
      <c r="AE718" s="1083"/>
    </row>
    <row r="719" spans="2:31">
      <c r="B719" s="1916" t="s">
        <v>1123</v>
      </c>
      <c r="C719" s="1916">
        <v>8</v>
      </c>
      <c r="D719" s="1916" t="s">
        <v>3</v>
      </c>
      <c r="E719" s="1916">
        <f>+E700</f>
        <v>645.11779999999999</v>
      </c>
      <c r="F719" s="1916">
        <f t="shared" si="6"/>
        <v>5160.9423999999999</v>
      </c>
      <c r="G719" s="1916"/>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1083"/>
      <c r="AD719" s="1083"/>
      <c r="AE719" s="1083"/>
    </row>
    <row r="720" spans="2:31">
      <c r="B720" s="1916" t="s">
        <v>1124</v>
      </c>
      <c r="C720" s="1916">
        <v>2</v>
      </c>
      <c r="D720" s="1916" t="s">
        <v>3</v>
      </c>
      <c r="E720" s="1916">
        <f>+E702</f>
        <v>47.2</v>
      </c>
      <c r="F720" s="1916">
        <f t="shared" si="6"/>
        <v>94.4</v>
      </c>
      <c r="G720" s="1916"/>
      <c r="I720" s="1083"/>
      <c r="J720" s="1083"/>
      <c r="K720" s="1083"/>
      <c r="L720" s="1083"/>
      <c r="M720" s="1083"/>
      <c r="N720" s="1083"/>
      <c r="O720" s="1083"/>
      <c r="P720" s="1083"/>
      <c r="Q720" s="1083"/>
      <c r="R720" s="1083"/>
      <c r="S720" s="1083"/>
      <c r="T720" s="1083"/>
      <c r="U720" s="1083"/>
      <c r="V720" s="1083"/>
      <c r="W720" s="1083"/>
      <c r="X720" s="1083"/>
      <c r="Y720" s="1083"/>
      <c r="Z720" s="1083"/>
      <c r="AA720" s="1083"/>
      <c r="AB720" s="1083"/>
      <c r="AC720" s="1083"/>
      <c r="AD720" s="1083"/>
      <c r="AE720" s="1083"/>
    </row>
    <row r="721" spans="2:31">
      <c r="B721" s="1916" t="s">
        <v>1125</v>
      </c>
      <c r="C721" s="1916">
        <v>4</v>
      </c>
      <c r="D721" s="1916" t="s">
        <v>3</v>
      </c>
      <c r="E721" s="1916">
        <f>+E703</f>
        <v>32.42</v>
      </c>
      <c r="F721" s="1916">
        <f t="shared" si="6"/>
        <v>129.68</v>
      </c>
      <c r="G721" s="1916"/>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1083"/>
      <c r="AD721" s="1083"/>
      <c r="AE721" s="1083"/>
    </row>
    <row r="722" spans="2:31">
      <c r="B722" s="1916" t="s">
        <v>977</v>
      </c>
      <c r="C722" s="1916">
        <v>8.25</v>
      </c>
      <c r="D722" s="1916" t="s">
        <v>11</v>
      </c>
      <c r="E722" s="1916">
        <f>+E701</f>
        <v>191.27</v>
      </c>
      <c r="F722" s="1916">
        <f t="shared" si="6"/>
        <v>1577.9775</v>
      </c>
      <c r="G722" s="1916"/>
      <c r="I722" s="1083"/>
      <c r="J722" s="1083"/>
      <c r="K722" s="1083"/>
      <c r="L722" s="1083"/>
      <c r="M722" s="1083"/>
      <c r="N722" s="1083"/>
      <c r="O722" s="1083"/>
      <c r="P722" s="1083"/>
      <c r="Q722" s="1083"/>
      <c r="R722" s="1083"/>
      <c r="S722" s="1083"/>
      <c r="T722" s="1083"/>
      <c r="U722" s="1083"/>
      <c r="V722" s="1083"/>
      <c r="W722" s="1083"/>
      <c r="X722" s="1083"/>
      <c r="Y722" s="1083"/>
      <c r="Z722" s="1083"/>
      <c r="AA722" s="1083"/>
      <c r="AB722" s="1083"/>
      <c r="AC722" s="1083"/>
      <c r="AD722" s="1083"/>
      <c r="AE722" s="1083"/>
    </row>
    <row r="723" spans="2:31">
      <c r="B723" s="1916" t="s">
        <v>1126</v>
      </c>
      <c r="C723" s="1916">
        <v>2</v>
      </c>
      <c r="D723" s="1916" t="s">
        <v>3</v>
      </c>
      <c r="E723" s="1916">
        <f>+E709</f>
        <v>180</v>
      </c>
      <c r="F723" s="1916">
        <f t="shared" si="6"/>
        <v>360</v>
      </c>
      <c r="G723" s="1916"/>
      <c r="I723" s="1083"/>
      <c r="J723" s="1083"/>
      <c r="K723" s="1083"/>
      <c r="L723" s="1083"/>
      <c r="M723" s="1083"/>
      <c r="N723" s="1083"/>
      <c r="O723" s="1083"/>
      <c r="P723" s="1083"/>
      <c r="Q723" s="1083"/>
      <c r="R723" s="1083"/>
      <c r="S723" s="1083"/>
      <c r="T723" s="1083"/>
      <c r="U723" s="1083"/>
      <c r="V723" s="1083"/>
      <c r="W723" s="1083"/>
      <c r="X723" s="1083"/>
      <c r="Y723" s="1083"/>
      <c r="Z723" s="1083"/>
      <c r="AA723" s="1083"/>
      <c r="AB723" s="1083"/>
      <c r="AC723" s="1083"/>
      <c r="AD723" s="1083"/>
      <c r="AE723" s="1083"/>
    </row>
    <row r="724" spans="2:31">
      <c r="B724" s="1916" t="s">
        <v>1116</v>
      </c>
      <c r="C724" s="1916">
        <v>6</v>
      </c>
      <c r="D724" s="1916" t="s">
        <v>3</v>
      </c>
      <c r="E724" s="1916">
        <f>+E710</f>
        <v>24.54</v>
      </c>
      <c r="F724" s="1916">
        <f t="shared" si="6"/>
        <v>147.24</v>
      </c>
      <c r="G724" s="1916"/>
      <c r="I724" s="1083"/>
      <c r="J724" s="1083"/>
      <c r="K724" s="1083"/>
      <c r="L724" s="1083"/>
      <c r="M724" s="1083"/>
      <c r="N724" s="1083"/>
      <c r="O724" s="1083"/>
      <c r="P724" s="1083"/>
      <c r="Q724" s="1083"/>
      <c r="R724" s="1083"/>
      <c r="S724" s="1083"/>
      <c r="T724" s="1083"/>
      <c r="U724" s="1083"/>
      <c r="V724" s="1083"/>
      <c r="W724" s="1083"/>
      <c r="X724" s="1083"/>
      <c r="Y724" s="1083"/>
      <c r="Z724" s="1083"/>
      <c r="AA724" s="1083"/>
      <c r="AB724" s="1083"/>
      <c r="AC724" s="1083"/>
      <c r="AD724" s="1083"/>
      <c r="AE724" s="1083"/>
    </row>
    <row r="725" spans="2:31">
      <c r="B725" s="1916" t="s">
        <v>1127</v>
      </c>
      <c r="C725" s="1916">
        <v>2</v>
      </c>
      <c r="D725" s="1916" t="s">
        <v>1128</v>
      </c>
      <c r="E725" s="1916">
        <f>+E706</f>
        <v>32.5</v>
      </c>
      <c r="F725" s="1916">
        <f t="shared" si="6"/>
        <v>65</v>
      </c>
      <c r="G725" s="1916"/>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083"/>
      <c r="AD725" s="1083"/>
      <c r="AE725" s="1083"/>
    </row>
    <row r="726" spans="2:31">
      <c r="B726" s="1916" t="s">
        <v>1129</v>
      </c>
      <c r="C726" s="1916">
        <v>1</v>
      </c>
      <c r="D726" s="1916" t="s">
        <v>148</v>
      </c>
      <c r="E726" s="1916">
        <v>2500</v>
      </c>
      <c r="F726" s="1916">
        <f t="shared" si="6"/>
        <v>2500</v>
      </c>
      <c r="G726" s="1916"/>
      <c r="I726" s="1083"/>
      <c r="J726" s="1083"/>
      <c r="K726" s="1083"/>
      <c r="L726" s="1083"/>
      <c r="M726" s="1083"/>
      <c r="N726" s="1083"/>
      <c r="O726" s="1083"/>
      <c r="P726" s="1083"/>
      <c r="Q726" s="1083"/>
      <c r="R726" s="1083"/>
      <c r="S726" s="1083"/>
      <c r="T726" s="1083"/>
      <c r="U726" s="1083"/>
      <c r="V726" s="1083"/>
      <c r="W726" s="1083"/>
      <c r="X726" s="1083"/>
      <c r="Y726" s="1083"/>
      <c r="Z726" s="1083"/>
      <c r="AA726" s="1083"/>
      <c r="AB726" s="1083"/>
      <c r="AC726" s="1083"/>
      <c r="AD726" s="1083"/>
      <c r="AE726" s="1083"/>
    </row>
    <row r="727" spans="2:31">
      <c r="B727" s="1916" t="s">
        <v>1130</v>
      </c>
      <c r="C727" s="1916"/>
      <c r="D727" s="1916"/>
      <c r="E727" s="1916"/>
      <c r="F727" s="1916">
        <f t="shared" si="6"/>
        <v>0</v>
      </c>
      <c r="G727" s="1916"/>
      <c r="I727" s="1083"/>
      <c r="J727" s="1083"/>
      <c r="K727" s="1083"/>
      <c r="L727" s="1083"/>
      <c r="M727" s="1083"/>
      <c r="N727" s="1083"/>
      <c r="O727" s="1083"/>
      <c r="P727" s="1083"/>
      <c r="Q727" s="1083"/>
      <c r="R727" s="1083"/>
      <c r="S727" s="1083"/>
      <c r="T727" s="1083"/>
      <c r="U727" s="1083"/>
      <c r="V727" s="1083"/>
      <c r="W727" s="1083"/>
      <c r="X727" s="1083"/>
      <c r="Y727" s="1083"/>
      <c r="Z727" s="1083"/>
      <c r="AA727" s="1083"/>
      <c r="AB727" s="1083"/>
      <c r="AC727" s="1083"/>
      <c r="AD727" s="1083"/>
      <c r="AE727" s="1083"/>
    </row>
    <row r="728" spans="2:31">
      <c r="B728" s="1916" t="s">
        <v>1131</v>
      </c>
      <c r="C728" s="1916">
        <v>1</v>
      </c>
      <c r="D728" s="1916" t="s">
        <v>148</v>
      </c>
      <c r="E728" s="1916">
        <v>1500</v>
      </c>
      <c r="F728" s="1916">
        <f t="shared" si="6"/>
        <v>1500</v>
      </c>
      <c r="G728" s="1916"/>
      <c r="I728" s="1083"/>
      <c r="J728" s="1083"/>
      <c r="K728" s="1083"/>
      <c r="L728" s="1083"/>
      <c r="M728" s="1083"/>
      <c r="N728" s="1083"/>
      <c r="O728" s="1083"/>
      <c r="P728" s="1083"/>
      <c r="Q728" s="1083"/>
      <c r="R728" s="1083"/>
      <c r="S728" s="1083"/>
      <c r="T728" s="1083"/>
      <c r="U728" s="1083"/>
      <c r="V728" s="1083"/>
      <c r="W728" s="1083"/>
      <c r="X728" s="1083"/>
      <c r="Y728" s="1083"/>
      <c r="Z728" s="1083"/>
      <c r="AA728" s="1083"/>
      <c r="AB728" s="1083"/>
      <c r="AC728" s="1083"/>
      <c r="AD728" s="1083"/>
      <c r="AE728" s="1083"/>
    </row>
    <row r="729" spans="2:31">
      <c r="B729" s="1916" t="s">
        <v>1132</v>
      </c>
      <c r="C729" s="1916">
        <v>1</v>
      </c>
      <c r="D729" s="1916" t="s">
        <v>148</v>
      </c>
      <c r="E729" s="1916">
        <v>850</v>
      </c>
      <c r="F729" s="1916">
        <f t="shared" si="6"/>
        <v>850</v>
      </c>
      <c r="G729" s="1916"/>
      <c r="I729" s="1083"/>
      <c r="J729" s="1083"/>
      <c r="K729" s="1083"/>
      <c r="L729" s="1083"/>
      <c r="M729" s="1083"/>
      <c r="N729" s="1083"/>
      <c r="O729" s="1083"/>
      <c r="P729" s="1083"/>
      <c r="Q729" s="1083"/>
      <c r="R729" s="1083"/>
      <c r="S729" s="1083"/>
      <c r="T729" s="1083"/>
      <c r="U729" s="1083"/>
      <c r="V729" s="1083"/>
      <c r="W729" s="1083"/>
      <c r="X729" s="1083"/>
      <c r="Y729" s="1083"/>
      <c r="Z729" s="1083"/>
      <c r="AA729" s="1083"/>
      <c r="AB729" s="1083"/>
      <c r="AC729" s="1083"/>
      <c r="AD729" s="1083"/>
      <c r="AE729" s="1083"/>
    </row>
    <row r="730" spans="2:31">
      <c r="B730" s="1916" t="s">
        <v>1133</v>
      </c>
      <c r="C730" s="1916">
        <v>1</v>
      </c>
      <c r="D730" s="1916" t="s">
        <v>148</v>
      </c>
      <c r="E730" s="1916">
        <v>750</v>
      </c>
      <c r="F730" s="1916">
        <f t="shared" si="6"/>
        <v>750</v>
      </c>
      <c r="G730" s="1916"/>
      <c r="I730" s="1083"/>
      <c r="J730" s="1083"/>
      <c r="K730" s="1083"/>
      <c r="L730" s="1083"/>
      <c r="M730" s="1083"/>
      <c r="N730" s="1083"/>
      <c r="O730" s="1083"/>
      <c r="P730" s="1083"/>
      <c r="Q730" s="1083"/>
      <c r="R730" s="1083"/>
      <c r="S730" s="1083"/>
      <c r="T730" s="1083"/>
      <c r="U730" s="1083"/>
      <c r="V730" s="1083"/>
      <c r="W730" s="1083"/>
      <c r="X730" s="1083"/>
      <c r="Y730" s="1083"/>
      <c r="Z730" s="1083"/>
      <c r="AA730" s="1083"/>
      <c r="AB730" s="1083"/>
      <c r="AC730" s="1083"/>
      <c r="AD730" s="1083"/>
      <c r="AE730" s="1083"/>
    </row>
    <row r="731" spans="2:31">
      <c r="B731" s="1916" t="s">
        <v>1134</v>
      </c>
      <c r="C731" s="1916">
        <v>1</v>
      </c>
      <c r="D731" s="1916" t="s">
        <v>3</v>
      </c>
      <c r="E731" s="1916">
        <v>450</v>
      </c>
      <c r="F731" s="1916">
        <f t="shared" si="6"/>
        <v>450</v>
      </c>
      <c r="G731" s="1916"/>
      <c r="I731" s="1083"/>
      <c r="J731" s="1083"/>
      <c r="K731" s="1083"/>
      <c r="L731" s="1083"/>
      <c r="M731" s="1083"/>
      <c r="N731" s="1083"/>
      <c r="O731" s="1083"/>
      <c r="P731" s="1083"/>
      <c r="Q731" s="1083"/>
      <c r="R731" s="1083"/>
      <c r="S731" s="1083"/>
      <c r="T731" s="1083"/>
      <c r="U731" s="1083"/>
      <c r="V731" s="1083"/>
      <c r="W731" s="1083"/>
      <c r="X731" s="1083"/>
      <c r="Y731" s="1083"/>
      <c r="Z731" s="1083"/>
      <c r="AA731" s="1083"/>
      <c r="AB731" s="1083"/>
      <c r="AC731" s="1083"/>
      <c r="AD731" s="1083"/>
      <c r="AE731" s="1083"/>
    </row>
    <row r="732" spans="2:31">
      <c r="B732" s="1916" t="s">
        <v>1135</v>
      </c>
      <c r="C732" s="1916">
        <v>1</v>
      </c>
      <c r="D732" s="1916" t="s">
        <v>3</v>
      </c>
      <c r="E732" s="1916">
        <v>145</v>
      </c>
      <c r="F732" s="1916">
        <f t="shared" si="6"/>
        <v>145</v>
      </c>
      <c r="G732" s="1916"/>
      <c r="I732" s="1083"/>
      <c r="J732" s="1083"/>
      <c r="K732" s="1083"/>
      <c r="L732" s="1083"/>
      <c r="M732" s="1083"/>
      <c r="N732" s="1083"/>
      <c r="O732" s="1083"/>
      <c r="P732" s="1083"/>
      <c r="Q732" s="1083"/>
      <c r="R732" s="1083"/>
      <c r="S732" s="1083"/>
      <c r="T732" s="1083"/>
      <c r="U732" s="1083"/>
      <c r="V732" s="1083"/>
      <c r="W732" s="1083"/>
      <c r="X732" s="1083"/>
      <c r="Y732" s="1083"/>
      <c r="Z732" s="1083"/>
      <c r="AA732" s="1083"/>
      <c r="AB732" s="1083"/>
      <c r="AC732" s="1083"/>
      <c r="AD732" s="1083"/>
      <c r="AE732" s="1083"/>
    </row>
    <row r="733" spans="2:31">
      <c r="B733" s="1916" t="s">
        <v>1136</v>
      </c>
      <c r="C733" s="1916">
        <v>6</v>
      </c>
      <c r="D733" s="1916" t="s">
        <v>3</v>
      </c>
      <c r="E733" s="1916">
        <v>87.65</v>
      </c>
      <c r="F733" s="1916">
        <f t="shared" si="6"/>
        <v>525.9</v>
      </c>
      <c r="G733" s="1916"/>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row>
    <row r="734" spans="2:31">
      <c r="B734" s="1916" t="s">
        <v>1137</v>
      </c>
      <c r="C734" s="1916">
        <v>12</v>
      </c>
      <c r="D734" s="1916" t="s">
        <v>13</v>
      </c>
      <c r="E734" s="1916">
        <f>+E705</f>
        <v>5.2</v>
      </c>
      <c r="F734" s="1916">
        <f t="shared" si="6"/>
        <v>62.4</v>
      </c>
      <c r="G734" s="1916"/>
      <c r="I734" s="1083"/>
      <c r="J734" s="1083"/>
      <c r="K734" s="1083"/>
      <c r="L734" s="1083"/>
      <c r="M734" s="1083"/>
      <c r="N734" s="1083"/>
      <c r="O734" s="1083"/>
      <c r="P734" s="1083"/>
      <c r="Q734" s="1083"/>
      <c r="R734" s="1083"/>
      <c r="S734" s="1083"/>
      <c r="T734" s="1083"/>
      <c r="U734" s="1083"/>
      <c r="V734" s="1083"/>
      <c r="W734" s="1083"/>
      <c r="X734" s="1083"/>
      <c r="Y734" s="1083"/>
      <c r="Z734" s="1083"/>
      <c r="AA734" s="1083"/>
      <c r="AB734" s="1083"/>
      <c r="AC734" s="1083"/>
      <c r="AD734" s="1083"/>
      <c r="AE734" s="1083"/>
    </row>
    <row r="735" spans="2:31">
      <c r="B735" s="1916" t="s">
        <v>536</v>
      </c>
      <c r="C735" s="1916">
        <v>16.34</v>
      </c>
      <c r="D735" s="1916" t="s">
        <v>11</v>
      </c>
      <c r="E735" s="1916">
        <f>+E712</f>
        <v>144</v>
      </c>
      <c r="F735" s="1916">
        <f t="shared" si="6"/>
        <v>2352.96</v>
      </c>
      <c r="G735" s="1916"/>
      <c r="I735" s="1083"/>
      <c r="J735" s="1083"/>
      <c r="K735" s="1083"/>
      <c r="L735" s="1083"/>
      <c r="M735" s="1083"/>
      <c r="N735" s="1083"/>
      <c r="O735" s="1083"/>
      <c r="P735" s="1083"/>
      <c r="Q735" s="1083"/>
      <c r="R735" s="1083"/>
      <c r="S735" s="1083"/>
      <c r="T735" s="1083"/>
      <c r="U735" s="1083"/>
      <c r="V735" s="1083"/>
      <c r="W735" s="1083"/>
      <c r="X735" s="1083"/>
      <c r="Y735" s="1083"/>
      <c r="Z735" s="1083"/>
      <c r="AA735" s="1083"/>
      <c r="AB735" s="1083"/>
      <c r="AC735" s="1083"/>
      <c r="AD735" s="1083"/>
      <c r="AE735" s="1083"/>
    </row>
    <row r="736" spans="2:31">
      <c r="B736" s="1916" t="s">
        <v>1138</v>
      </c>
      <c r="C736" s="1916"/>
      <c r="D736" s="1916"/>
      <c r="E736" s="1916" t="s">
        <v>42</v>
      </c>
      <c r="F736" s="1916">
        <v>2500</v>
      </c>
      <c r="G736" s="1916"/>
      <c r="I736" s="1083"/>
      <c r="J736" s="1083"/>
      <c r="K736" s="1083"/>
      <c r="L736" s="1083"/>
      <c r="M736" s="1083"/>
      <c r="N736" s="1083"/>
      <c r="O736" s="1083"/>
      <c r="P736" s="1083"/>
      <c r="Q736" s="1083"/>
      <c r="R736" s="1083"/>
      <c r="S736" s="1083"/>
      <c r="T736" s="1083"/>
      <c r="U736" s="1083"/>
      <c r="V736" s="1083"/>
      <c r="W736" s="1083"/>
      <c r="X736" s="1083"/>
      <c r="Y736" s="1083"/>
      <c r="Z736" s="1083"/>
      <c r="AA736" s="1083"/>
      <c r="AB736" s="1083"/>
      <c r="AC736" s="1083"/>
      <c r="AD736" s="1083"/>
      <c r="AE736" s="1083"/>
    </row>
    <row r="737" spans="2:31">
      <c r="B737" s="1916" t="s">
        <v>8</v>
      </c>
      <c r="C737" s="1916"/>
      <c r="D737" s="1916"/>
      <c r="E737" s="1916" t="s">
        <v>42</v>
      </c>
      <c r="F737" s="1916">
        <v>1500</v>
      </c>
      <c r="G737" s="1916"/>
      <c r="I737" s="1083"/>
      <c r="J737" s="1083"/>
      <c r="K737" s="1083"/>
      <c r="L737" s="1083"/>
      <c r="M737" s="1083"/>
      <c r="N737" s="1083"/>
      <c r="O737" s="1083"/>
      <c r="P737" s="1083"/>
      <c r="Q737" s="1083"/>
      <c r="R737" s="1083"/>
      <c r="S737" s="1083"/>
      <c r="T737" s="1083"/>
      <c r="U737" s="1083"/>
      <c r="V737" s="1083"/>
      <c r="W737" s="1083"/>
      <c r="X737" s="1083"/>
      <c r="Y737" s="1083"/>
      <c r="Z737" s="1083"/>
      <c r="AA737" s="1083"/>
      <c r="AB737" s="1083"/>
      <c r="AC737" s="1083"/>
      <c r="AD737" s="1083"/>
      <c r="AE737" s="1083"/>
    </row>
    <row r="738" spans="2:31">
      <c r="B738" s="1916" t="s">
        <v>1139</v>
      </c>
      <c r="C738" s="1916"/>
      <c r="D738" s="1916"/>
      <c r="E738" s="1916" t="s">
        <v>1039</v>
      </c>
      <c r="F738" s="1916">
        <f>ROUND(SUM(F718:F737),2)</f>
        <v>22939.13</v>
      </c>
      <c r="G738" s="1916"/>
      <c r="I738" s="1083"/>
      <c r="J738" s="1083"/>
      <c r="K738" s="1083"/>
      <c r="L738" s="1083"/>
      <c r="M738" s="1083"/>
      <c r="N738" s="1083"/>
      <c r="O738" s="1083"/>
      <c r="P738" s="1083"/>
      <c r="Q738" s="1083"/>
      <c r="R738" s="1083"/>
      <c r="S738" s="1083"/>
      <c r="T738" s="1083"/>
      <c r="U738" s="1083"/>
      <c r="V738" s="1083"/>
      <c r="W738" s="1083"/>
      <c r="X738" s="1083"/>
      <c r="Y738" s="1083"/>
      <c r="Z738" s="1083"/>
      <c r="AA738" s="1083"/>
      <c r="AB738" s="1083"/>
      <c r="AC738" s="1083"/>
      <c r="AD738" s="1083"/>
      <c r="AE738" s="1083"/>
    </row>
    <row r="739" spans="2:31">
      <c r="B739" s="1916"/>
      <c r="C739" s="1916"/>
      <c r="D739" s="1916"/>
      <c r="E739" s="1916"/>
      <c r="F739" s="1916"/>
      <c r="G739" s="1916"/>
      <c r="I739" s="1083"/>
      <c r="J739" s="1083"/>
      <c r="K739" s="1083"/>
      <c r="L739" s="1083"/>
      <c r="M739" s="1083"/>
      <c r="N739" s="1083"/>
      <c r="O739" s="1083"/>
      <c r="P739" s="1083"/>
      <c r="Q739" s="1083"/>
      <c r="R739" s="1083"/>
      <c r="S739" s="1083"/>
      <c r="T739" s="1083"/>
      <c r="U739" s="1083"/>
      <c r="V739" s="1083"/>
      <c r="W739" s="1083"/>
      <c r="X739" s="1083"/>
      <c r="Y739" s="1083"/>
      <c r="Z739" s="1083"/>
      <c r="AA739" s="1083"/>
      <c r="AB739" s="1083"/>
      <c r="AC739" s="1083"/>
      <c r="AD739" s="1083"/>
      <c r="AE739" s="1083"/>
    </row>
    <row r="740" spans="2:31">
      <c r="B740" s="1916" t="s">
        <v>1140</v>
      </c>
      <c r="C740" s="1916"/>
      <c r="D740" s="1916"/>
      <c r="E740" s="1916"/>
      <c r="F740" s="1916"/>
      <c r="G740" s="1916"/>
      <c r="I740" s="1083"/>
      <c r="J740" s="1083"/>
      <c r="K740" s="1083"/>
      <c r="L740" s="1083"/>
      <c r="M740" s="1083"/>
      <c r="N740" s="1083"/>
      <c r="O740" s="1083"/>
      <c r="P740" s="1083"/>
      <c r="Q740" s="1083"/>
      <c r="R740" s="1083"/>
      <c r="S740" s="1083"/>
      <c r="T740" s="1083"/>
      <c r="U740" s="1083"/>
      <c r="V740" s="1083"/>
      <c r="W740" s="1083"/>
      <c r="X740" s="1083"/>
      <c r="Y740" s="1083"/>
      <c r="Z740" s="1083"/>
      <c r="AA740" s="1083"/>
      <c r="AB740" s="1083"/>
      <c r="AC740" s="1083"/>
      <c r="AD740" s="1083"/>
      <c r="AE740" s="1083"/>
    </row>
    <row r="741" spans="2:31">
      <c r="B741" s="1916" t="s">
        <v>1141</v>
      </c>
      <c r="C741" s="1916"/>
      <c r="D741" s="1916"/>
      <c r="E741" s="1916"/>
      <c r="F741" s="1916"/>
      <c r="G741" s="1916"/>
      <c r="I741" s="1083"/>
      <c r="J741" s="1083"/>
      <c r="K741" s="1083"/>
      <c r="L741" s="1083"/>
      <c r="M741" s="1083"/>
      <c r="N741" s="1083"/>
      <c r="O741" s="1083"/>
      <c r="P741" s="1083"/>
      <c r="Q741" s="1083"/>
      <c r="R741" s="1083"/>
      <c r="S741" s="1083"/>
      <c r="T741" s="1083"/>
      <c r="U741" s="1083"/>
      <c r="V741" s="1083"/>
      <c r="W741" s="1083"/>
      <c r="X741" s="1083"/>
      <c r="Y741" s="1083"/>
      <c r="Z741" s="1083"/>
      <c r="AA741" s="1083"/>
      <c r="AB741" s="1083"/>
      <c r="AC741" s="1083"/>
      <c r="AD741" s="1083"/>
      <c r="AE741" s="1083"/>
    </row>
    <row r="742" spans="2:31">
      <c r="B742" s="1916" t="s">
        <v>1060</v>
      </c>
      <c r="C742" s="1916">
        <v>1.05</v>
      </c>
      <c r="D742" s="1916" t="s">
        <v>2</v>
      </c>
      <c r="E742" s="1916">
        <f>+E688</f>
        <v>6925</v>
      </c>
      <c r="F742" s="1916">
        <f>C742*E742</f>
        <v>7271.25</v>
      </c>
      <c r="G742" s="1916"/>
      <c r="I742" s="1083"/>
      <c r="J742" s="1083"/>
      <c r="K742" s="1083"/>
      <c r="L742" s="1083"/>
      <c r="M742" s="1083"/>
      <c r="N742" s="1083"/>
      <c r="O742" s="1083"/>
      <c r="P742" s="1083"/>
      <c r="Q742" s="1083"/>
      <c r="R742" s="1083"/>
      <c r="S742" s="1083"/>
      <c r="T742" s="1083"/>
      <c r="U742" s="1083"/>
      <c r="V742" s="1083"/>
      <c r="W742" s="1083"/>
      <c r="X742" s="1083"/>
      <c r="Y742" s="1083"/>
      <c r="Z742" s="1083"/>
      <c r="AA742" s="1083"/>
      <c r="AB742" s="1083"/>
      <c r="AC742" s="1083"/>
      <c r="AD742" s="1083"/>
      <c r="AE742" s="1083"/>
    </row>
    <row r="743" spans="2:31">
      <c r="B743" s="1916" t="s">
        <v>272</v>
      </c>
      <c r="C743" s="1916">
        <v>8.15</v>
      </c>
      <c r="D743" s="1916" t="s">
        <v>126</v>
      </c>
      <c r="E743" s="1916">
        <f>+E689</f>
        <v>2913</v>
      </c>
      <c r="F743" s="1916">
        <f>C743*E743</f>
        <v>23740.95</v>
      </c>
      <c r="G743" s="1916"/>
      <c r="I743" s="1083"/>
      <c r="J743" s="1083"/>
      <c r="K743" s="1083"/>
      <c r="L743" s="1083"/>
      <c r="M743" s="1083"/>
      <c r="N743" s="1083"/>
      <c r="O743" s="1083"/>
      <c r="P743" s="1083"/>
      <c r="Q743" s="1083"/>
      <c r="R743" s="1083"/>
      <c r="S743" s="1083"/>
      <c r="T743" s="1083"/>
      <c r="U743" s="1083"/>
      <c r="V743" s="1083"/>
      <c r="W743" s="1083"/>
      <c r="X743" s="1083"/>
      <c r="Y743" s="1083"/>
      <c r="Z743" s="1083"/>
      <c r="AA743" s="1083"/>
      <c r="AB743" s="1083"/>
      <c r="AC743" s="1083"/>
      <c r="AD743" s="1083"/>
      <c r="AE743" s="1083"/>
    </row>
    <row r="744" spans="2:31">
      <c r="B744" s="1916" t="s">
        <v>1089</v>
      </c>
      <c r="C744" s="1916">
        <f>1/(0.15*0.15)</f>
        <v>44.4444444444444</v>
      </c>
      <c r="D744" s="1916" t="s">
        <v>13</v>
      </c>
      <c r="E744" s="1916">
        <v>250</v>
      </c>
      <c r="F744" s="1916">
        <f>C744*E744</f>
        <v>11111.1111111111</v>
      </c>
      <c r="G744" s="1916"/>
      <c r="I744" s="1083"/>
      <c r="J744" s="1083"/>
      <c r="K744" s="1083"/>
      <c r="L744" s="1083"/>
      <c r="M744" s="1083"/>
      <c r="N744" s="1083"/>
      <c r="O744" s="1083"/>
      <c r="P744" s="1083"/>
      <c r="Q744" s="1083"/>
      <c r="R744" s="1083"/>
      <c r="S744" s="1083"/>
      <c r="T744" s="1083"/>
      <c r="U744" s="1083"/>
      <c r="V744" s="1083"/>
      <c r="W744" s="1083"/>
      <c r="X744" s="1083"/>
      <c r="Y744" s="1083"/>
      <c r="Z744" s="1083"/>
      <c r="AA744" s="1083"/>
      <c r="AB744" s="1083"/>
      <c r="AC744" s="1083"/>
      <c r="AD744" s="1083"/>
      <c r="AE744" s="1083"/>
    </row>
    <row r="745" spans="2:31">
      <c r="B745" s="1916"/>
      <c r="C745" s="1916"/>
      <c r="D745" s="1916"/>
      <c r="E745" s="1916"/>
      <c r="F745" s="1916">
        <f>ROUND((SUM(F742:F744)),2)</f>
        <v>42123.31</v>
      </c>
      <c r="G745" s="1916"/>
      <c r="I745" s="1083"/>
      <c r="J745" s="1083"/>
      <c r="K745" s="1083"/>
      <c r="L745" s="1083"/>
      <c r="M745" s="1083"/>
      <c r="N745" s="1083"/>
      <c r="O745" s="1083"/>
      <c r="P745" s="1083"/>
      <c r="Q745" s="1083"/>
      <c r="R745" s="1083"/>
      <c r="S745" s="1083"/>
      <c r="T745" s="1083"/>
      <c r="U745" s="1083"/>
      <c r="V745" s="1083"/>
      <c r="W745" s="1083"/>
      <c r="X745" s="1083"/>
      <c r="Y745" s="1083"/>
      <c r="Z745" s="1083"/>
      <c r="AA745" s="1083"/>
      <c r="AB745" s="1083"/>
      <c r="AC745" s="1083"/>
      <c r="AD745" s="1083"/>
      <c r="AE745" s="1083"/>
    </row>
    <row r="746" spans="2:31">
      <c r="B746" s="1916" t="s">
        <v>1142</v>
      </c>
      <c r="C746" s="1916">
        <v>1.2999999999999999E-2</v>
      </c>
      <c r="D746" s="1916" t="s">
        <v>2</v>
      </c>
      <c r="E746" s="1916"/>
      <c r="F746" s="1916"/>
      <c r="G746" s="1916"/>
      <c r="I746" s="1083"/>
      <c r="J746" s="1083"/>
      <c r="K746" s="1083"/>
      <c r="L746" s="1083"/>
      <c r="M746" s="1083"/>
      <c r="N746" s="1083"/>
      <c r="O746" s="1083"/>
      <c r="P746" s="1083"/>
      <c r="Q746" s="1083"/>
      <c r="R746" s="1083"/>
      <c r="S746" s="1083"/>
      <c r="T746" s="1083"/>
      <c r="U746" s="1083"/>
      <c r="V746" s="1083"/>
      <c r="W746" s="1083"/>
      <c r="X746" s="1083"/>
      <c r="Y746" s="1083"/>
      <c r="Z746" s="1083"/>
      <c r="AA746" s="1083"/>
      <c r="AB746" s="1083"/>
      <c r="AC746" s="1083"/>
      <c r="AD746" s="1083"/>
      <c r="AE746" s="1083"/>
    </row>
    <row r="747" spans="2:31">
      <c r="B747" s="1916" t="s">
        <v>1143</v>
      </c>
      <c r="C747" s="1916">
        <v>1</v>
      </c>
      <c r="D747" s="1916" t="s">
        <v>3</v>
      </c>
      <c r="E747" s="1916">
        <f>C746*F745</f>
        <v>547.60302999999999</v>
      </c>
      <c r="F747" s="1916">
        <f>E747*C747</f>
        <v>547.60302999999999</v>
      </c>
      <c r="G747" s="1916"/>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1083"/>
      <c r="AD747" s="1083"/>
      <c r="AE747" s="1083"/>
    </row>
    <row r="748" spans="2:31">
      <c r="B748" s="1916" t="s">
        <v>978</v>
      </c>
      <c r="C748" s="1916" t="s">
        <v>1144</v>
      </c>
      <c r="D748" s="1916"/>
      <c r="E748" s="1916"/>
      <c r="F748" s="1916">
        <f>ROUND((SUM(F747:F747)),2)</f>
        <v>547.6</v>
      </c>
      <c r="G748" s="1916"/>
      <c r="I748" s="1083"/>
      <c r="J748" s="1083"/>
      <c r="K748" s="1083"/>
      <c r="L748" s="1083"/>
      <c r="M748" s="1083"/>
      <c r="N748" s="1083"/>
      <c r="O748" s="1083"/>
      <c r="P748" s="1083"/>
      <c r="Q748" s="1083"/>
      <c r="R748" s="1083"/>
      <c r="S748" s="1083"/>
      <c r="T748" s="1083"/>
      <c r="U748" s="1083"/>
      <c r="V748" s="1083"/>
      <c r="W748" s="1083"/>
      <c r="X748" s="1083"/>
      <c r="Y748" s="1083"/>
      <c r="Z748" s="1083"/>
      <c r="AA748" s="1083"/>
      <c r="AB748" s="1083"/>
      <c r="AC748" s="1083"/>
      <c r="AD748" s="1083"/>
      <c r="AE748" s="1083"/>
    </row>
    <row r="749" spans="2:31">
      <c r="B749" s="1916"/>
      <c r="C749" s="1916"/>
      <c r="D749" s="1916"/>
      <c r="E749" s="1916"/>
      <c r="F749" s="1916"/>
      <c r="G749" s="1916"/>
      <c r="I749" s="1083"/>
      <c r="J749" s="1083"/>
      <c r="K749" s="1083"/>
      <c r="L749" s="1083"/>
      <c r="M749" s="1083"/>
      <c r="N749" s="1083"/>
      <c r="O749" s="1083"/>
      <c r="P749" s="1083"/>
      <c r="Q749" s="1083"/>
      <c r="R749" s="1083"/>
      <c r="S749" s="1083"/>
      <c r="T749" s="1083"/>
      <c r="U749" s="1083"/>
      <c r="V749" s="1083"/>
      <c r="W749" s="1083"/>
      <c r="X749" s="1083"/>
      <c r="Y749" s="1083"/>
      <c r="Z749" s="1083"/>
      <c r="AA749" s="1083"/>
      <c r="AB749" s="1083"/>
      <c r="AC749" s="1083"/>
      <c r="AD749" s="1083"/>
      <c r="AE749" s="1083"/>
    </row>
    <row r="750" spans="2:31">
      <c r="B750" s="1916" t="s">
        <v>1145</v>
      </c>
      <c r="C750" s="1916"/>
      <c r="D750" s="1916"/>
      <c r="E750" s="1916"/>
      <c r="F750" s="1916"/>
      <c r="G750" s="1916"/>
      <c r="I750" s="1083"/>
      <c r="J750" s="1083"/>
      <c r="K750" s="1083"/>
      <c r="L750" s="1083"/>
      <c r="M750" s="1083"/>
      <c r="N750" s="1083"/>
      <c r="O750" s="1083"/>
      <c r="P750" s="1083"/>
      <c r="Q750" s="1083"/>
      <c r="R750" s="1083"/>
      <c r="S750" s="1083"/>
      <c r="T750" s="1083"/>
      <c r="U750" s="1083"/>
      <c r="V750" s="1083"/>
      <c r="W750" s="1083"/>
      <c r="X750" s="1083"/>
      <c r="Y750" s="1083"/>
      <c r="Z750" s="1083"/>
      <c r="AA750" s="1083"/>
      <c r="AB750" s="1083"/>
      <c r="AC750" s="1083"/>
      <c r="AD750" s="1083"/>
      <c r="AE750" s="1083"/>
    </row>
    <row r="751" spans="2:31">
      <c r="B751" s="1916" t="s">
        <v>1146</v>
      </c>
      <c r="C751" s="1916"/>
      <c r="D751" s="1916"/>
      <c r="E751" s="1916"/>
      <c r="F751" s="1916"/>
      <c r="G751" s="1916"/>
      <c r="I751" s="1083"/>
      <c r="J751" s="1083"/>
      <c r="K751" s="1083"/>
      <c r="L751" s="1083"/>
      <c r="M751" s="1083"/>
      <c r="N751" s="1083"/>
      <c r="O751" s="1083"/>
      <c r="P751" s="1083"/>
      <c r="Q751" s="1083"/>
      <c r="R751" s="1083"/>
      <c r="S751" s="1083"/>
      <c r="T751" s="1083"/>
      <c r="U751" s="1083"/>
      <c r="V751" s="1083"/>
      <c r="W751" s="1083"/>
      <c r="X751" s="1083"/>
      <c r="Y751" s="1083"/>
      <c r="Z751" s="1083"/>
      <c r="AA751" s="1083"/>
      <c r="AB751" s="1083"/>
      <c r="AC751" s="1083"/>
      <c r="AD751" s="1083"/>
      <c r="AE751" s="1083"/>
    </row>
    <row r="752" spans="2:31">
      <c r="B752" s="1916" t="s">
        <v>1060</v>
      </c>
      <c r="C752" s="1916">
        <v>1.05</v>
      </c>
      <c r="D752" s="1916" t="s">
        <v>2</v>
      </c>
      <c r="E752" s="1916">
        <f>E742</f>
        <v>6925</v>
      </c>
      <c r="F752" s="1916">
        <f>C752*E752</f>
        <v>7271.25</v>
      </c>
      <c r="G752" s="1916"/>
      <c r="I752" s="1083"/>
      <c r="J752" s="1083"/>
      <c r="K752" s="1083"/>
      <c r="L752" s="1083"/>
      <c r="M752" s="1083"/>
      <c r="N752" s="1083"/>
      <c r="O752" s="1083"/>
      <c r="P752" s="1083"/>
      <c r="Q752" s="1083"/>
      <c r="R752" s="1083"/>
      <c r="S752" s="1083"/>
      <c r="T752" s="1083"/>
      <c r="U752" s="1083"/>
      <c r="V752" s="1083"/>
      <c r="W752" s="1083"/>
      <c r="X752" s="1083"/>
      <c r="Y752" s="1083"/>
      <c r="Z752" s="1083"/>
      <c r="AA752" s="1083"/>
      <c r="AB752" s="1083"/>
      <c r="AC752" s="1083"/>
      <c r="AD752" s="1083"/>
      <c r="AE752" s="1083"/>
    </row>
    <row r="753" spans="2:31">
      <c r="B753" s="1916" t="s">
        <v>272</v>
      </c>
      <c r="C753" s="1916">
        <v>4.79</v>
      </c>
      <c r="D753" s="1916" t="s">
        <v>126</v>
      </c>
      <c r="E753" s="1916">
        <f>E743</f>
        <v>2913</v>
      </c>
      <c r="F753" s="1916">
        <f>C753*E753</f>
        <v>13953.27</v>
      </c>
      <c r="G753" s="1916"/>
      <c r="I753" s="1083"/>
      <c r="J753" s="1083"/>
      <c r="K753" s="1083"/>
      <c r="L753" s="1083"/>
      <c r="M753" s="1083"/>
      <c r="N753" s="1083"/>
      <c r="O753" s="1083"/>
      <c r="P753" s="1083"/>
      <c r="Q753" s="1083"/>
      <c r="R753" s="1083"/>
      <c r="S753" s="1083"/>
      <c r="T753" s="1083"/>
      <c r="U753" s="1083"/>
      <c r="V753" s="1083"/>
      <c r="W753" s="1083"/>
      <c r="X753" s="1083"/>
      <c r="Y753" s="1083"/>
      <c r="Z753" s="1083"/>
      <c r="AA753" s="1083"/>
      <c r="AB753" s="1083"/>
      <c r="AC753" s="1083"/>
      <c r="AD753" s="1083"/>
      <c r="AE753" s="1083"/>
    </row>
    <row r="754" spans="2:31">
      <c r="B754" s="1916" t="s">
        <v>1089</v>
      </c>
      <c r="C754" s="1916">
        <f>1/(0.25*0.25)</f>
        <v>16</v>
      </c>
      <c r="D754" s="1916" t="s">
        <v>13</v>
      </c>
      <c r="E754" s="1916">
        <v>250</v>
      </c>
      <c r="F754" s="1916">
        <f>C754*E754</f>
        <v>4000</v>
      </c>
      <c r="G754" s="1916"/>
      <c r="I754" s="1083"/>
      <c r="J754" s="1083"/>
      <c r="K754" s="1083"/>
      <c r="L754" s="1083"/>
      <c r="M754" s="1083"/>
      <c r="N754" s="1083"/>
      <c r="O754" s="1083"/>
      <c r="P754" s="1083"/>
      <c r="Q754" s="1083"/>
      <c r="R754" s="1083"/>
      <c r="S754" s="1083"/>
      <c r="T754" s="1083"/>
      <c r="U754" s="1083"/>
      <c r="V754" s="1083"/>
      <c r="W754" s="1083"/>
      <c r="X754" s="1083"/>
      <c r="Y754" s="1083"/>
      <c r="Z754" s="1083"/>
      <c r="AA754" s="1083"/>
      <c r="AB754" s="1083"/>
      <c r="AC754" s="1083"/>
      <c r="AD754" s="1083"/>
      <c r="AE754" s="1083"/>
    </row>
    <row r="755" spans="2:31">
      <c r="B755" s="1916"/>
      <c r="C755" s="1916"/>
      <c r="D755" s="1916"/>
      <c r="E755" s="1916"/>
      <c r="F755" s="1916">
        <f>ROUND((SUM(F752:F754)),2)</f>
        <v>25224.52</v>
      </c>
      <c r="G755" s="1916"/>
      <c r="I755" s="1083"/>
      <c r="J755" s="1083"/>
      <c r="K755" s="1083"/>
      <c r="L755" s="1083"/>
      <c r="M755" s="1083"/>
      <c r="N755" s="1083"/>
      <c r="O755" s="1083"/>
      <c r="P755" s="1083"/>
      <c r="Q755" s="1083"/>
      <c r="R755" s="1083"/>
      <c r="S755" s="1083"/>
      <c r="T755" s="1083"/>
      <c r="U755" s="1083"/>
      <c r="V755" s="1083"/>
      <c r="W755" s="1083"/>
      <c r="X755" s="1083"/>
      <c r="Y755" s="1083"/>
      <c r="Z755" s="1083"/>
      <c r="AA755" s="1083"/>
      <c r="AB755" s="1083"/>
      <c r="AC755" s="1083"/>
      <c r="AD755" s="1083"/>
      <c r="AE755" s="1083"/>
    </row>
    <row r="756" spans="2:31">
      <c r="B756" s="1916" t="s">
        <v>1147</v>
      </c>
      <c r="C756" s="1916">
        <v>0.17499999999999999</v>
      </c>
      <c r="D756" s="1916" t="s">
        <v>2</v>
      </c>
      <c r="E756" s="1916"/>
      <c r="F756" s="1916"/>
      <c r="G756" s="1916"/>
      <c r="I756" s="1083"/>
      <c r="J756" s="1083"/>
      <c r="K756" s="1083"/>
      <c r="L756" s="1083"/>
      <c r="M756" s="1083"/>
      <c r="N756" s="1083"/>
      <c r="O756" s="1083"/>
      <c r="P756" s="1083"/>
      <c r="Q756" s="1083"/>
      <c r="R756" s="1083"/>
      <c r="S756" s="1083"/>
      <c r="T756" s="1083"/>
      <c r="U756" s="1083"/>
      <c r="V756" s="1083"/>
      <c r="W756" s="1083"/>
      <c r="X756" s="1083"/>
      <c r="Y756" s="1083"/>
      <c r="Z756" s="1083"/>
      <c r="AA756" s="1083"/>
      <c r="AB756" s="1083"/>
      <c r="AC756" s="1083"/>
      <c r="AD756" s="1083"/>
      <c r="AE756" s="1083"/>
    </row>
    <row r="757" spans="2:31">
      <c r="B757" s="1916" t="s">
        <v>1148</v>
      </c>
      <c r="C757" s="1916">
        <f>F755*C756</f>
        <v>4414.2910000000002</v>
      </c>
      <c r="D757" s="1916" t="s">
        <v>1149</v>
      </c>
      <c r="E757" s="1916"/>
      <c r="F757" s="1916"/>
      <c r="G757" s="1916"/>
      <c r="I757" s="1083"/>
      <c r="J757" s="1083"/>
      <c r="K757" s="1083"/>
      <c r="L757" s="1083"/>
      <c r="M757" s="1083"/>
      <c r="N757" s="1083"/>
      <c r="O757" s="1083"/>
      <c r="P757" s="1083"/>
      <c r="Q757" s="1083"/>
      <c r="R757" s="1083"/>
      <c r="S757" s="1083"/>
      <c r="T757" s="1083"/>
      <c r="U757" s="1083"/>
      <c r="V757" s="1083"/>
      <c r="W757" s="1083"/>
      <c r="X757" s="1083"/>
      <c r="Y757" s="1083"/>
      <c r="Z757" s="1083"/>
      <c r="AA757" s="1083"/>
      <c r="AB757" s="1083"/>
      <c r="AC757" s="1083"/>
      <c r="AD757" s="1083"/>
      <c r="AE757" s="1083"/>
    </row>
    <row r="758" spans="2:31">
      <c r="B758" s="1916"/>
      <c r="C758" s="1916"/>
      <c r="D758" s="1916"/>
      <c r="E758" s="1916"/>
      <c r="F758" s="1916"/>
      <c r="G758" s="1916"/>
      <c r="I758" s="1083"/>
      <c r="J758" s="1083"/>
      <c r="K758" s="1083"/>
      <c r="L758" s="1083"/>
      <c r="M758" s="1083"/>
      <c r="N758" s="1083"/>
      <c r="O758" s="1083"/>
      <c r="P758" s="1083"/>
      <c r="Q758" s="1083"/>
      <c r="R758" s="1083"/>
      <c r="S758" s="1083"/>
      <c r="T758" s="1083"/>
      <c r="U758" s="1083"/>
      <c r="V758" s="1083"/>
      <c r="W758" s="1083"/>
      <c r="X758" s="1083"/>
      <c r="Y758" s="1083"/>
      <c r="Z758" s="1083"/>
      <c r="AA758" s="1083"/>
      <c r="AB758" s="1083"/>
      <c r="AC758" s="1083"/>
      <c r="AD758" s="1083"/>
      <c r="AE758" s="1083"/>
    </row>
    <row r="759" spans="2:31">
      <c r="B759" s="1916" t="s">
        <v>1150</v>
      </c>
      <c r="C759" s="1916"/>
      <c r="D759" s="1916"/>
      <c r="E759" s="1916"/>
      <c r="F759" s="1916"/>
      <c r="G759" s="1916"/>
      <c r="I759" s="1083"/>
      <c r="J759" s="1083"/>
      <c r="K759" s="1083"/>
      <c r="L759" s="1083"/>
      <c r="M759" s="1083"/>
      <c r="N759" s="1083"/>
      <c r="O759" s="1083"/>
      <c r="P759" s="1083"/>
      <c r="Q759" s="1083"/>
      <c r="R759" s="1083"/>
      <c r="S759" s="1083"/>
      <c r="T759" s="1083"/>
      <c r="U759" s="1083"/>
      <c r="V759" s="1083"/>
      <c r="W759" s="1083"/>
      <c r="X759" s="1083"/>
      <c r="Y759" s="1083"/>
      <c r="Z759" s="1083"/>
      <c r="AA759" s="1083"/>
      <c r="AB759" s="1083"/>
      <c r="AC759" s="1083"/>
      <c r="AD759" s="1083"/>
      <c r="AE759" s="1083"/>
    </row>
    <row r="760" spans="2:31">
      <c r="B760" s="1916" t="s">
        <v>1060</v>
      </c>
      <c r="C760" s="1916">
        <v>1.05</v>
      </c>
      <c r="D760" s="1916" t="s">
        <v>2</v>
      </c>
      <c r="E760" s="1916">
        <f>E752</f>
        <v>6925</v>
      </c>
      <c r="F760" s="1916">
        <f>C760*E760</f>
        <v>7271.25</v>
      </c>
      <c r="G760" s="1916"/>
      <c r="I760" s="1083"/>
      <c r="J760" s="1083"/>
      <c r="K760" s="1083"/>
      <c r="L760" s="1083"/>
      <c r="M760" s="1083"/>
      <c r="N760" s="1083"/>
      <c r="O760" s="1083"/>
      <c r="P760" s="1083"/>
      <c r="Q760" s="1083"/>
      <c r="R760" s="1083"/>
      <c r="S760" s="1083"/>
      <c r="T760" s="1083"/>
      <c r="U760" s="1083"/>
      <c r="V760" s="1083"/>
      <c r="W760" s="1083"/>
      <c r="X760" s="1083"/>
      <c r="Y760" s="1083"/>
      <c r="Z760" s="1083"/>
      <c r="AA760" s="1083"/>
      <c r="AB760" s="1083"/>
      <c r="AC760" s="1083"/>
      <c r="AD760" s="1083"/>
      <c r="AE760" s="1083"/>
    </row>
    <row r="761" spans="2:31">
      <c r="B761" s="1916" t="s">
        <v>272</v>
      </c>
      <c r="C761" s="1916">
        <v>1.43</v>
      </c>
      <c r="D761" s="1916" t="s">
        <v>126</v>
      </c>
      <c r="E761" s="1916">
        <f>E753</f>
        <v>2913</v>
      </c>
      <c r="F761" s="1916">
        <f>C761*E761</f>
        <v>4165.59</v>
      </c>
      <c r="G761" s="1916"/>
      <c r="I761" s="1083"/>
      <c r="J761" s="1083"/>
      <c r="K761" s="1083"/>
      <c r="L761" s="1083"/>
      <c r="M761" s="1083"/>
      <c r="N761" s="1083"/>
      <c r="O761" s="1083"/>
      <c r="P761" s="1083"/>
      <c r="Q761" s="1083"/>
      <c r="R761" s="1083"/>
      <c r="S761" s="1083"/>
      <c r="T761" s="1083"/>
      <c r="U761" s="1083"/>
      <c r="V761" s="1083"/>
      <c r="W761" s="1083"/>
      <c r="X761" s="1083"/>
      <c r="Y761" s="1083"/>
      <c r="Z761" s="1083"/>
      <c r="AA761" s="1083"/>
      <c r="AB761" s="1083"/>
      <c r="AC761" s="1083"/>
      <c r="AD761" s="1083"/>
      <c r="AE761" s="1083"/>
    </row>
    <row r="762" spans="2:31">
      <c r="B762" s="1916"/>
      <c r="C762" s="1916"/>
      <c r="D762" s="1916"/>
      <c r="E762" s="1916"/>
      <c r="F762" s="1916">
        <f>ROUND((SUM(F760:F761)),2)</f>
        <v>11436.84</v>
      </c>
      <c r="G762" s="1916"/>
      <c r="I762" s="1083"/>
      <c r="J762" s="1083"/>
      <c r="K762" s="1083"/>
      <c r="L762" s="1083"/>
      <c r="M762" s="1083"/>
      <c r="N762" s="1083"/>
      <c r="O762" s="1083"/>
      <c r="P762" s="1083"/>
      <c r="Q762" s="1083"/>
      <c r="R762" s="1083"/>
      <c r="S762" s="1083"/>
      <c r="T762" s="1083"/>
      <c r="U762" s="1083"/>
      <c r="V762" s="1083"/>
      <c r="W762" s="1083"/>
      <c r="X762" s="1083"/>
      <c r="Y762" s="1083"/>
      <c r="Z762" s="1083"/>
      <c r="AA762" s="1083"/>
      <c r="AB762" s="1083"/>
      <c r="AC762" s="1083"/>
      <c r="AD762" s="1083"/>
      <c r="AE762" s="1083"/>
    </row>
    <row r="763" spans="2:31">
      <c r="B763" s="1916" t="s">
        <v>1151</v>
      </c>
      <c r="C763" s="1916">
        <v>0.14000000000000001</v>
      </c>
      <c r="D763" s="1916" t="s">
        <v>2</v>
      </c>
      <c r="E763" s="1916"/>
      <c r="F763" s="1916"/>
      <c r="G763" s="1916"/>
      <c r="I763" s="1083"/>
      <c r="J763" s="1083"/>
      <c r="K763" s="1083"/>
      <c r="L763" s="1083"/>
      <c r="M763" s="1083"/>
      <c r="N763" s="1083"/>
      <c r="O763" s="1083"/>
      <c r="P763" s="1083"/>
      <c r="Q763" s="1083"/>
      <c r="R763" s="1083"/>
      <c r="S763" s="1083"/>
      <c r="T763" s="1083"/>
      <c r="U763" s="1083"/>
      <c r="V763" s="1083"/>
      <c r="W763" s="1083"/>
      <c r="X763" s="1083"/>
      <c r="Y763" s="1083"/>
      <c r="Z763" s="1083"/>
      <c r="AA763" s="1083"/>
      <c r="AB763" s="1083"/>
      <c r="AC763" s="1083"/>
      <c r="AD763" s="1083"/>
      <c r="AE763" s="1083"/>
    </row>
    <row r="764" spans="2:31">
      <c r="B764" s="1916" t="s">
        <v>1148</v>
      </c>
      <c r="C764" s="1916">
        <f>F762*C763</f>
        <v>1601.1576</v>
      </c>
      <c r="D764" s="1916" t="s">
        <v>1149</v>
      </c>
      <c r="E764" s="1916"/>
      <c r="F764" s="1916"/>
      <c r="G764" s="1916"/>
      <c r="I764" s="1083"/>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row>
    <row r="765" spans="2:31">
      <c r="B765" s="1916" t="s">
        <v>1152</v>
      </c>
      <c r="C765" s="1916">
        <v>1</v>
      </c>
      <c r="D765" s="1916" t="s">
        <v>3</v>
      </c>
      <c r="E765" s="1916">
        <f>C764+C757</f>
        <v>6015.4485999999997</v>
      </c>
      <c r="F765" s="1916">
        <f>E765*C765</f>
        <v>6015.4485999999997</v>
      </c>
      <c r="G765" s="1916"/>
      <c r="I765" s="1083"/>
      <c r="J765" s="1083"/>
      <c r="K765" s="1083"/>
      <c r="L765" s="1083"/>
      <c r="M765" s="1083"/>
      <c r="N765" s="1083"/>
      <c r="O765" s="1083"/>
      <c r="P765" s="1083"/>
      <c r="Q765" s="1083"/>
      <c r="R765" s="1083"/>
      <c r="S765" s="1083"/>
      <c r="T765" s="1083"/>
      <c r="U765" s="1083"/>
      <c r="V765" s="1083"/>
      <c r="W765" s="1083"/>
      <c r="X765" s="1083"/>
      <c r="Y765" s="1083"/>
      <c r="Z765" s="1083"/>
      <c r="AA765" s="1083"/>
      <c r="AB765" s="1083"/>
      <c r="AC765" s="1083"/>
      <c r="AD765" s="1083"/>
      <c r="AE765" s="1083"/>
    </row>
    <row r="766" spans="2:31">
      <c r="B766" s="1916" t="s">
        <v>1153</v>
      </c>
      <c r="C766" s="1916">
        <v>2.86</v>
      </c>
      <c r="D766" s="1916" t="s">
        <v>11</v>
      </c>
      <c r="E766" s="1916">
        <f>E707</f>
        <v>331.48</v>
      </c>
      <c r="F766" s="1916">
        <f>E766*C766</f>
        <v>948.03279999999995</v>
      </c>
      <c r="G766" s="1916"/>
      <c r="I766" s="1083"/>
      <c r="J766" s="1083"/>
      <c r="K766" s="1083"/>
      <c r="L766" s="1083"/>
      <c r="M766" s="1083"/>
      <c r="N766" s="1083"/>
      <c r="O766" s="1083"/>
      <c r="P766" s="1083"/>
      <c r="Q766" s="1083"/>
      <c r="R766" s="1083"/>
      <c r="S766" s="1083"/>
      <c r="T766" s="1083"/>
      <c r="U766" s="1083"/>
      <c r="V766" s="1083"/>
      <c r="W766" s="1083"/>
      <c r="X766" s="1083"/>
      <c r="Y766" s="1083"/>
      <c r="Z766" s="1083"/>
      <c r="AA766" s="1083"/>
      <c r="AB766" s="1083"/>
      <c r="AC766" s="1083"/>
      <c r="AD766" s="1083"/>
      <c r="AE766" s="1083"/>
    </row>
    <row r="767" spans="2:31">
      <c r="B767" s="1916" t="s">
        <v>177</v>
      </c>
      <c r="C767" s="1916">
        <v>12.2</v>
      </c>
      <c r="D767" s="1916" t="s">
        <v>13</v>
      </c>
      <c r="E767" s="1916">
        <f>+F267</f>
        <v>82.22</v>
      </c>
      <c r="F767" s="1916">
        <f>E767*C767</f>
        <v>1003.0839999999999</v>
      </c>
      <c r="G767" s="1916"/>
      <c r="I767" s="1083"/>
      <c r="J767" s="1083"/>
      <c r="K767" s="1083"/>
      <c r="L767" s="1083"/>
      <c r="M767" s="1083"/>
      <c r="N767" s="1083"/>
      <c r="O767" s="1083"/>
      <c r="P767" s="1083"/>
      <c r="Q767" s="1083"/>
      <c r="R767" s="1083"/>
      <c r="S767" s="1083"/>
      <c r="T767" s="1083"/>
      <c r="U767" s="1083"/>
      <c r="V767" s="1083"/>
      <c r="W767" s="1083"/>
      <c r="X767" s="1083"/>
      <c r="Y767" s="1083"/>
      <c r="Z767" s="1083"/>
      <c r="AA767" s="1083"/>
      <c r="AB767" s="1083"/>
      <c r="AC767" s="1083"/>
      <c r="AD767" s="1083"/>
      <c r="AE767" s="1083"/>
    </row>
    <row r="768" spans="2:31">
      <c r="B768" s="1916" t="s">
        <v>536</v>
      </c>
      <c r="C768" s="1916">
        <v>1.76</v>
      </c>
      <c r="D768" s="1916" t="s">
        <v>11</v>
      </c>
      <c r="E768" s="1916">
        <f>+E735</f>
        <v>144</v>
      </c>
      <c r="F768" s="1916">
        <f>E768*C768</f>
        <v>253.44</v>
      </c>
      <c r="G768" s="1916"/>
      <c r="I768" s="1083"/>
      <c r="J768" s="1083"/>
      <c r="K768" s="1083"/>
      <c r="L768" s="1083"/>
      <c r="M768" s="1083"/>
      <c r="N768" s="1083"/>
      <c r="O768" s="1083"/>
      <c r="P768" s="1083"/>
      <c r="Q768" s="1083"/>
      <c r="R768" s="1083"/>
      <c r="S768" s="1083"/>
      <c r="T768" s="1083"/>
      <c r="U768" s="1083"/>
      <c r="V768" s="1083"/>
      <c r="W768" s="1083"/>
      <c r="X768" s="1083"/>
      <c r="Y768" s="1083"/>
      <c r="Z768" s="1083"/>
      <c r="AA768" s="1083"/>
      <c r="AB768" s="1083"/>
      <c r="AC768" s="1083"/>
      <c r="AD768" s="1083"/>
      <c r="AE768" s="1083"/>
    </row>
    <row r="769" spans="2:31">
      <c r="B769" s="1916" t="s">
        <v>1154</v>
      </c>
      <c r="C769" s="1916" t="s">
        <v>1144</v>
      </c>
      <c r="D769" s="1916"/>
      <c r="E769" s="1916"/>
      <c r="F769" s="1916">
        <f>ROUND((SUM(F765:F768)),2)</f>
        <v>8220.01</v>
      </c>
      <c r="G769" s="1916"/>
      <c r="I769" s="1083"/>
      <c r="J769" s="1083"/>
      <c r="K769" s="1083"/>
      <c r="L769" s="1083"/>
      <c r="M769" s="1083"/>
      <c r="N769" s="1083"/>
      <c r="O769" s="1083"/>
      <c r="P769" s="1083"/>
      <c r="Q769" s="1083"/>
      <c r="R769" s="1083"/>
      <c r="S769" s="1083"/>
      <c r="T769" s="1083"/>
      <c r="U769" s="1083"/>
      <c r="V769" s="1083"/>
      <c r="W769" s="1083"/>
      <c r="X769" s="1083"/>
      <c r="Y769" s="1083"/>
      <c r="Z769" s="1083"/>
      <c r="AA769" s="1083"/>
      <c r="AB769" s="1083"/>
      <c r="AC769" s="1083"/>
      <c r="AD769" s="1083"/>
      <c r="AE769" s="1083"/>
    </row>
    <row r="770" spans="2:31">
      <c r="B770" s="1916" t="s">
        <v>1145</v>
      </c>
      <c r="C770" s="1916" t="s">
        <v>1148</v>
      </c>
      <c r="D770" s="1916"/>
      <c r="E770" s="1916">
        <f>F769</f>
        <v>8220.01</v>
      </c>
      <c r="F770" s="1916"/>
      <c r="G770" s="1916"/>
      <c r="I770" s="1083"/>
      <c r="J770" s="1083"/>
      <c r="K770" s="1083"/>
      <c r="L770" s="1083"/>
      <c r="M770" s="1083"/>
      <c r="N770" s="1083"/>
      <c r="O770" s="1083"/>
      <c r="P770" s="1083"/>
      <c r="Q770" s="1083"/>
      <c r="R770" s="1083"/>
      <c r="S770" s="1083"/>
      <c r="T770" s="1083"/>
      <c r="U770" s="1083"/>
      <c r="V770" s="1083"/>
      <c r="W770" s="1083"/>
      <c r="X770" s="1083"/>
      <c r="Y770" s="1083"/>
      <c r="Z770" s="1083"/>
      <c r="AA770" s="1083"/>
      <c r="AB770" s="1083"/>
      <c r="AC770" s="1083"/>
      <c r="AD770" s="1083"/>
      <c r="AE770" s="1083"/>
    </row>
    <row r="771" spans="2:31">
      <c r="B771" s="1916"/>
      <c r="C771" s="1916"/>
      <c r="D771" s="1916"/>
      <c r="E771" s="1916"/>
      <c r="F771" s="1916"/>
      <c r="G771" s="1916"/>
      <c r="I771" s="1083"/>
      <c r="J771" s="1083"/>
      <c r="K771" s="1083"/>
      <c r="L771" s="1083"/>
      <c r="M771" s="1083"/>
      <c r="N771" s="1083"/>
      <c r="O771" s="1083"/>
      <c r="P771" s="1083"/>
      <c r="Q771" s="1083"/>
      <c r="R771" s="1083"/>
      <c r="S771" s="1083"/>
      <c r="T771" s="1083"/>
      <c r="U771" s="1083"/>
      <c r="V771" s="1083"/>
      <c r="W771" s="1083"/>
      <c r="X771" s="1083"/>
      <c r="Y771" s="1083"/>
      <c r="Z771" s="1083"/>
      <c r="AA771" s="1083"/>
      <c r="AB771" s="1083"/>
      <c r="AC771" s="1083"/>
      <c r="AD771" s="1083"/>
      <c r="AE771" s="1083"/>
    </row>
    <row r="772" spans="2:31" ht="13.5" hidden="1" thickBot="1">
      <c r="B772" s="1145"/>
      <c r="C772" s="1612"/>
      <c r="D772" s="1146"/>
      <c r="E772" s="1147"/>
      <c r="F772" s="1148"/>
      <c r="I772" s="1083"/>
      <c r="J772" s="1083"/>
      <c r="K772" s="1083"/>
      <c r="L772" s="1083"/>
      <c r="M772" s="1083"/>
      <c r="N772" s="1083"/>
      <c r="O772" s="1083"/>
      <c r="P772" s="1083"/>
      <c r="Q772" s="1083"/>
      <c r="R772" s="1083"/>
      <c r="S772" s="1083"/>
      <c r="T772" s="1083"/>
      <c r="U772" s="1083"/>
      <c r="V772" s="1083"/>
      <c r="W772" s="1083"/>
      <c r="X772" s="1083"/>
      <c r="Y772" s="1083"/>
      <c r="Z772" s="1083"/>
      <c r="AA772" s="1083"/>
      <c r="AB772" s="1083"/>
      <c r="AC772" s="1083"/>
      <c r="AD772" s="1083"/>
      <c r="AE772" s="1083"/>
    </row>
    <row r="773" spans="2:31" ht="13.5" hidden="1" thickTop="1">
      <c r="B773" s="1156"/>
      <c r="C773" s="1613"/>
      <c r="D773" s="1149"/>
      <c r="E773" s="1150"/>
      <c r="F773" s="1151"/>
      <c r="I773" s="1083"/>
      <c r="J773" s="1083"/>
      <c r="K773" s="1083"/>
      <c r="L773" s="1083"/>
      <c r="M773" s="1083"/>
      <c r="N773" s="1083"/>
      <c r="O773" s="1083"/>
      <c r="P773" s="1083"/>
      <c r="Q773" s="1083"/>
      <c r="R773" s="1083"/>
      <c r="S773" s="1083"/>
      <c r="T773" s="1083"/>
      <c r="U773" s="1083"/>
      <c r="V773" s="1083"/>
      <c r="W773" s="1083"/>
      <c r="X773" s="1083"/>
      <c r="Y773" s="1083"/>
      <c r="Z773" s="1083"/>
      <c r="AA773" s="1083"/>
      <c r="AB773" s="1083"/>
      <c r="AC773" s="1083"/>
      <c r="AD773" s="1083"/>
      <c r="AE773" s="1083"/>
    </row>
    <row r="774" spans="2:31" ht="26.25" hidden="1" thickBot="1">
      <c r="B774" s="1134" t="s">
        <v>1155</v>
      </c>
      <c r="C774" s="1614"/>
      <c r="D774" s="1135"/>
      <c r="E774" s="1135"/>
      <c r="F774" s="1135"/>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3"/>
    </row>
    <row r="775" spans="2:31" ht="13.5" hidden="1" thickTop="1">
      <c r="B775" s="1137" t="s">
        <v>271</v>
      </c>
      <c r="C775" s="1610">
        <v>1.05</v>
      </c>
      <c r="D775" s="1138" t="s">
        <v>2</v>
      </c>
      <c r="E775" s="1139">
        <v>5525.27</v>
      </c>
      <c r="F775" s="1140">
        <f>C775*E775</f>
        <v>5801.53</v>
      </c>
      <c r="I775" s="1083"/>
      <c r="J775" s="1083"/>
      <c r="K775" s="1083"/>
      <c r="L775" s="1083"/>
      <c r="M775" s="1083"/>
      <c r="N775" s="1083"/>
      <c r="O775" s="1083"/>
      <c r="P775" s="1083"/>
      <c r="Q775" s="1083"/>
      <c r="R775" s="1083"/>
      <c r="S775" s="1083"/>
      <c r="T775" s="1083"/>
      <c r="U775" s="1083"/>
      <c r="V775" s="1083"/>
      <c r="W775" s="1083"/>
      <c r="X775" s="1083"/>
      <c r="Y775" s="1083"/>
      <c r="Z775" s="1083"/>
      <c r="AA775" s="1083"/>
      <c r="AB775" s="1083"/>
      <c r="AC775" s="1083"/>
      <c r="AD775" s="1083"/>
      <c r="AE775" s="1083"/>
    </row>
    <row r="776" spans="2:31" hidden="1">
      <c r="B776" s="1141" t="s">
        <v>1092</v>
      </c>
      <c r="C776" s="1611">
        <v>6.38</v>
      </c>
      <c r="D776" s="1142" t="s">
        <v>126</v>
      </c>
      <c r="E776" s="1143">
        <f>+E628</f>
        <v>2590</v>
      </c>
      <c r="F776" s="1144">
        <f>C776*E776</f>
        <v>16524.2</v>
      </c>
      <c r="I776" s="1083"/>
      <c r="J776" s="1083"/>
      <c r="K776" s="1083"/>
      <c r="L776" s="1083"/>
      <c r="M776" s="1083"/>
      <c r="N776" s="1083"/>
      <c r="O776" s="1083"/>
      <c r="P776" s="1083"/>
      <c r="Q776" s="1083"/>
      <c r="R776" s="1083"/>
      <c r="S776" s="1083"/>
      <c r="T776" s="1083"/>
      <c r="U776" s="1083"/>
      <c r="V776" s="1083"/>
      <c r="W776" s="1083"/>
      <c r="X776" s="1083"/>
      <c r="Y776" s="1083"/>
      <c r="Z776" s="1083"/>
      <c r="AA776" s="1083"/>
      <c r="AB776" s="1083"/>
      <c r="AC776" s="1083"/>
      <c r="AD776" s="1083"/>
      <c r="AE776" s="1083"/>
    </row>
    <row r="777" spans="2:31" hidden="1">
      <c r="B777" s="1141" t="s">
        <v>1089</v>
      </c>
      <c r="C777" s="1611">
        <v>25</v>
      </c>
      <c r="D777" s="1152" t="s">
        <v>1</v>
      </c>
      <c r="E777" s="1143">
        <v>250</v>
      </c>
      <c r="F777" s="1144">
        <f>C777*E777</f>
        <v>6250</v>
      </c>
      <c r="I777" s="1083"/>
      <c r="J777" s="1083"/>
      <c r="K777" s="1083"/>
      <c r="L777" s="1083"/>
      <c r="M777" s="1083"/>
      <c r="N777" s="1083"/>
      <c r="O777" s="1083"/>
      <c r="P777" s="1083"/>
      <c r="Q777" s="1083"/>
      <c r="R777" s="1083"/>
      <c r="S777" s="1083"/>
      <c r="T777" s="1083"/>
      <c r="U777" s="1083"/>
      <c r="V777" s="1083"/>
      <c r="W777" s="1083"/>
      <c r="X777" s="1083"/>
      <c r="Y777" s="1083"/>
      <c r="Z777" s="1083"/>
      <c r="AA777" s="1083"/>
      <c r="AB777" s="1083"/>
      <c r="AC777" s="1083"/>
      <c r="AD777" s="1083"/>
      <c r="AE777" s="1083"/>
    </row>
    <row r="778" spans="2:31" hidden="1">
      <c r="B778" s="1141" t="s">
        <v>1093</v>
      </c>
      <c r="C778" s="1611">
        <v>25</v>
      </c>
      <c r="D778" s="1152" t="s">
        <v>1</v>
      </c>
      <c r="E778" s="1143">
        <v>85</v>
      </c>
      <c r="F778" s="1144">
        <f>C778*E778</f>
        <v>2125</v>
      </c>
      <c r="I778" s="1083"/>
      <c r="J778" s="1083"/>
      <c r="K778" s="1083"/>
      <c r="L778" s="1083"/>
      <c r="M778" s="1083"/>
      <c r="N778" s="1083"/>
      <c r="O778" s="1083"/>
      <c r="P778" s="1083"/>
      <c r="Q778" s="1083"/>
      <c r="R778" s="1083"/>
      <c r="S778" s="1083"/>
      <c r="T778" s="1083"/>
      <c r="U778" s="1083"/>
      <c r="V778" s="1083"/>
      <c r="W778" s="1083"/>
      <c r="X778" s="1083"/>
      <c r="Y778" s="1083"/>
      <c r="Z778" s="1083"/>
      <c r="AA778" s="1083"/>
      <c r="AB778" s="1083"/>
      <c r="AC778" s="1083"/>
      <c r="AD778" s="1083"/>
      <c r="AE778" s="1083"/>
    </row>
    <row r="779" spans="2:31" ht="13.5" hidden="1" thickBot="1">
      <c r="B779" s="1145"/>
      <c r="C779" s="1612"/>
      <c r="D779" s="1146"/>
      <c r="E779" s="1147" t="s">
        <v>1031</v>
      </c>
      <c r="F779" s="1148">
        <f>ROUND(SUM(F775:F778),2)</f>
        <v>30700.73</v>
      </c>
      <c r="I779" s="1083"/>
      <c r="J779" s="1083"/>
      <c r="K779" s="1083"/>
      <c r="L779" s="1083"/>
      <c r="M779" s="1083"/>
      <c r="N779" s="1083"/>
      <c r="O779" s="1083"/>
      <c r="P779" s="1083"/>
      <c r="Q779" s="1083"/>
      <c r="R779" s="1083"/>
      <c r="S779" s="1083"/>
      <c r="T779" s="1083"/>
      <c r="U779" s="1083"/>
      <c r="V779" s="1083"/>
      <c r="W779" s="1083"/>
      <c r="X779" s="1083"/>
      <c r="Y779" s="1083"/>
      <c r="Z779" s="1083"/>
      <c r="AA779" s="1083"/>
      <c r="AB779" s="1083"/>
      <c r="AC779" s="1083"/>
      <c r="AD779" s="1083"/>
      <c r="AE779" s="1083"/>
    </row>
    <row r="780" spans="2:31" ht="13.5" hidden="1" thickTop="1">
      <c r="B780" s="1130"/>
      <c r="C780" s="1609"/>
      <c r="D780" s="1131"/>
      <c r="E780" s="1132"/>
      <c r="F780" s="1133"/>
      <c r="I780" s="1083"/>
      <c r="J780" s="1083"/>
      <c r="K780" s="1083"/>
      <c r="L780" s="1083"/>
      <c r="M780" s="1083"/>
      <c r="N780" s="1083"/>
      <c r="O780" s="1083"/>
      <c r="P780" s="1083"/>
      <c r="Q780" s="1083"/>
      <c r="R780" s="1083"/>
      <c r="S780" s="1083"/>
      <c r="T780" s="1083"/>
      <c r="U780" s="1083"/>
      <c r="V780" s="1083"/>
      <c r="W780" s="1083"/>
      <c r="X780" s="1083"/>
      <c r="Y780" s="1083"/>
      <c r="Z780" s="1083"/>
      <c r="AA780" s="1083"/>
      <c r="AB780" s="1083"/>
      <c r="AC780" s="1083"/>
      <c r="AD780" s="1083"/>
      <c r="AE780" s="1083"/>
    </row>
    <row r="781" spans="2:31" ht="26.25" hidden="1" thickBot="1">
      <c r="B781" s="1134" t="s">
        <v>1156</v>
      </c>
      <c r="C781" s="1614"/>
      <c r="D781" s="1135"/>
      <c r="E781" s="1135"/>
      <c r="F781" s="1135"/>
      <c r="I781" s="1083"/>
      <c r="J781" s="1083"/>
      <c r="K781" s="1083"/>
      <c r="L781" s="1083"/>
      <c r="M781" s="1083"/>
      <c r="N781" s="1083"/>
      <c r="O781" s="1083"/>
      <c r="P781" s="1083"/>
      <c r="Q781" s="1083"/>
      <c r="R781" s="1083"/>
      <c r="S781" s="1083"/>
      <c r="T781" s="1083"/>
      <c r="U781" s="1083"/>
      <c r="V781" s="1083"/>
      <c r="W781" s="1083"/>
      <c r="X781" s="1083"/>
      <c r="Y781" s="1083"/>
      <c r="Z781" s="1083"/>
      <c r="AA781" s="1083"/>
      <c r="AB781" s="1083"/>
      <c r="AC781" s="1083"/>
      <c r="AD781" s="1083"/>
      <c r="AE781" s="1083"/>
    </row>
    <row r="782" spans="2:31" ht="13.5" hidden="1" thickTop="1">
      <c r="B782" s="1137" t="s">
        <v>271</v>
      </c>
      <c r="C782" s="1610">
        <v>1.05</v>
      </c>
      <c r="D782" s="1138" t="s">
        <v>2</v>
      </c>
      <c r="E782" s="1139">
        <f>+E775</f>
        <v>5525.27</v>
      </c>
      <c r="F782" s="1140">
        <f>C782*E782</f>
        <v>5801.53</v>
      </c>
      <c r="I782" s="1083"/>
      <c r="J782" s="1083"/>
      <c r="K782" s="1083"/>
      <c r="L782" s="1083"/>
      <c r="M782" s="1083"/>
      <c r="N782" s="1083"/>
      <c r="O782" s="1083"/>
      <c r="P782" s="1083"/>
      <c r="Q782" s="1083"/>
      <c r="R782" s="1083"/>
      <c r="S782" s="1083"/>
      <c r="T782" s="1083"/>
      <c r="U782" s="1083"/>
      <c r="V782" s="1083"/>
      <c r="W782" s="1083"/>
      <c r="X782" s="1083"/>
      <c r="Y782" s="1083"/>
      <c r="Z782" s="1083"/>
      <c r="AA782" s="1083"/>
      <c r="AB782" s="1083"/>
      <c r="AC782" s="1083"/>
      <c r="AD782" s="1083"/>
      <c r="AE782" s="1083"/>
    </row>
    <row r="783" spans="2:31" hidden="1">
      <c r="B783" s="1141" t="s">
        <v>272</v>
      </c>
      <c r="C783" s="1611">
        <v>1.35</v>
      </c>
      <c r="D783" s="1142" t="s">
        <v>126</v>
      </c>
      <c r="E783" s="1143">
        <f>+E635</f>
        <v>2913</v>
      </c>
      <c r="F783" s="1144">
        <f>C783*E783</f>
        <v>3932.55</v>
      </c>
      <c r="I783" s="1083"/>
      <c r="J783" s="1083"/>
      <c r="K783" s="1083"/>
      <c r="L783" s="1083"/>
      <c r="M783" s="1083"/>
      <c r="N783" s="1083"/>
      <c r="O783" s="1083"/>
      <c r="P783" s="1083"/>
      <c r="Q783" s="1083"/>
      <c r="R783" s="1083"/>
      <c r="S783" s="1083"/>
      <c r="T783" s="1083"/>
      <c r="U783" s="1083"/>
      <c r="V783" s="1083"/>
      <c r="W783" s="1083"/>
      <c r="X783" s="1083"/>
      <c r="Y783" s="1083"/>
      <c r="Z783" s="1083"/>
      <c r="AA783" s="1083"/>
      <c r="AB783" s="1083"/>
      <c r="AC783" s="1083"/>
      <c r="AD783" s="1083"/>
      <c r="AE783" s="1083"/>
    </row>
    <row r="784" spans="2:31" hidden="1">
      <c r="B784" s="1141" t="s">
        <v>1089</v>
      </c>
      <c r="C784" s="1611">
        <v>7.69</v>
      </c>
      <c r="D784" s="1152" t="s">
        <v>11</v>
      </c>
      <c r="E784" s="1143">
        <v>225</v>
      </c>
      <c r="F784" s="1144">
        <f>C784*E784</f>
        <v>1730.25</v>
      </c>
      <c r="I784" s="1083"/>
      <c r="J784" s="1083"/>
      <c r="K784" s="1083"/>
      <c r="L784" s="1083"/>
      <c r="M784" s="1083"/>
      <c r="N784" s="1083"/>
      <c r="O784" s="1083"/>
      <c r="P784" s="1083"/>
      <c r="Q784" s="1083"/>
      <c r="R784" s="1083"/>
      <c r="S784" s="1083"/>
      <c r="T784" s="1083"/>
      <c r="U784" s="1083"/>
      <c r="V784" s="1083"/>
      <c r="W784" s="1083"/>
      <c r="X784" s="1083"/>
      <c r="Y784" s="1083"/>
      <c r="Z784" s="1083"/>
      <c r="AA784" s="1083"/>
      <c r="AB784" s="1083"/>
      <c r="AC784" s="1083"/>
      <c r="AD784" s="1083"/>
      <c r="AE784" s="1083"/>
    </row>
    <row r="785" spans="2:31" ht="13.5" hidden="1" thickBot="1">
      <c r="B785" s="1145"/>
      <c r="C785" s="1612"/>
      <c r="D785" s="1146"/>
      <c r="E785" s="1147" t="s">
        <v>1031</v>
      </c>
      <c r="F785" s="1148">
        <f>ROUND(SUM(F782:F784),2)</f>
        <v>11464.33</v>
      </c>
      <c r="I785" s="1083"/>
      <c r="J785" s="1083"/>
      <c r="K785" s="1083"/>
      <c r="L785" s="1083"/>
      <c r="M785" s="1083"/>
      <c r="N785" s="1083"/>
      <c r="O785" s="1083"/>
      <c r="P785" s="1083"/>
      <c r="Q785" s="1083"/>
      <c r="R785" s="1083"/>
      <c r="S785" s="1083"/>
      <c r="T785" s="1083"/>
      <c r="U785" s="1083"/>
      <c r="V785" s="1083"/>
      <c r="W785" s="1083"/>
      <c r="X785" s="1083"/>
      <c r="Y785" s="1083"/>
      <c r="Z785" s="1083"/>
      <c r="AA785" s="1083"/>
      <c r="AB785" s="1083"/>
      <c r="AC785" s="1083"/>
      <c r="AD785" s="1083"/>
      <c r="AE785" s="1083"/>
    </row>
    <row r="786" spans="2:31">
      <c r="B786" s="1149"/>
      <c r="C786" s="1613"/>
      <c r="D786" s="1149"/>
      <c r="E786" s="1150"/>
      <c r="F786" s="1151"/>
      <c r="I786" s="1083"/>
      <c r="J786" s="1083"/>
      <c r="K786" s="1083"/>
      <c r="L786" s="1083"/>
      <c r="M786" s="1083"/>
      <c r="N786" s="1083"/>
      <c r="O786" s="1083"/>
      <c r="P786" s="1083"/>
      <c r="Q786" s="1083"/>
      <c r="R786" s="1083"/>
      <c r="S786" s="1083"/>
      <c r="T786" s="1083"/>
      <c r="U786" s="1083"/>
      <c r="V786" s="1083"/>
      <c r="W786" s="1083"/>
      <c r="X786" s="1083"/>
      <c r="Y786" s="1083"/>
      <c r="Z786" s="1083"/>
      <c r="AA786" s="1083"/>
      <c r="AB786" s="1083"/>
      <c r="AC786" s="1083"/>
      <c r="AD786" s="1083"/>
      <c r="AE786" s="1083"/>
    </row>
    <row r="787" spans="2:31" ht="20.25">
      <c r="B787" s="1914" t="s">
        <v>852</v>
      </c>
      <c r="C787" s="1613"/>
      <c r="D787" s="1149"/>
      <c r="E787" s="1150"/>
      <c r="F787" s="1151"/>
      <c r="I787" s="1083"/>
      <c r="J787" s="1083"/>
      <c r="K787" s="1083"/>
      <c r="L787" s="1083"/>
      <c r="M787" s="1083"/>
      <c r="N787" s="1083"/>
      <c r="O787" s="1083"/>
      <c r="P787" s="1083"/>
      <c r="Q787" s="1083"/>
      <c r="R787" s="1083"/>
      <c r="S787" s="1083"/>
      <c r="T787" s="1083"/>
      <c r="U787" s="1083"/>
      <c r="V787" s="1083"/>
      <c r="W787" s="1083"/>
      <c r="X787" s="1083"/>
      <c r="Y787" s="1083"/>
      <c r="Z787" s="1083"/>
      <c r="AA787" s="1083"/>
      <c r="AB787" s="1083"/>
      <c r="AC787" s="1083"/>
      <c r="AD787" s="1083"/>
      <c r="AE787" s="1083"/>
    </row>
    <row r="788" spans="2:31" ht="20.25">
      <c r="B788" s="1914"/>
      <c r="C788" s="1613"/>
      <c r="D788" s="1149"/>
      <c r="E788" s="1150"/>
      <c r="F788" s="1151"/>
      <c r="I788" s="1083"/>
      <c r="J788" s="1083"/>
      <c r="K788" s="1083"/>
      <c r="L788" s="1083"/>
      <c r="M788" s="1083"/>
      <c r="N788" s="1083"/>
      <c r="O788" s="1083"/>
      <c r="P788" s="1083"/>
      <c r="Q788" s="1083"/>
      <c r="R788" s="1083"/>
      <c r="S788" s="1083"/>
      <c r="T788" s="1083"/>
      <c r="U788" s="1083"/>
      <c r="V788" s="1083"/>
      <c r="W788" s="1083"/>
      <c r="X788" s="1083"/>
      <c r="Y788" s="1083"/>
      <c r="Z788" s="1083"/>
      <c r="AA788" s="1083"/>
      <c r="AB788" s="1083"/>
      <c r="AC788" s="1083"/>
      <c r="AD788" s="1083"/>
      <c r="AE788" s="1083"/>
    </row>
    <row r="789" spans="2:31" ht="13.5" thickBot="1">
      <c r="B789" s="1387" t="s">
        <v>1777</v>
      </c>
      <c r="C789" s="1614"/>
      <c r="D789" s="1136"/>
      <c r="E789" s="1135"/>
      <c r="F789" s="1135"/>
      <c r="I789" s="1083"/>
      <c r="J789" s="1083"/>
      <c r="K789" s="1083"/>
      <c r="L789" s="1083"/>
      <c r="M789" s="1083"/>
      <c r="N789" s="1083"/>
      <c r="O789" s="1083"/>
      <c r="P789" s="1083"/>
      <c r="Q789" s="1083"/>
      <c r="R789" s="1083"/>
      <c r="S789" s="1083"/>
      <c r="T789" s="1083"/>
      <c r="U789" s="1083"/>
      <c r="V789" s="1083"/>
      <c r="W789" s="1083"/>
      <c r="X789" s="1083"/>
      <c r="Y789" s="1083"/>
      <c r="Z789" s="1083"/>
      <c r="AA789" s="1083"/>
      <c r="AB789" s="1083"/>
      <c r="AC789" s="1083"/>
      <c r="AD789" s="1083"/>
      <c r="AE789" s="1083"/>
    </row>
    <row r="790" spans="2:31" ht="13.5" thickTop="1">
      <c r="B790" s="1137" t="s">
        <v>1840</v>
      </c>
      <c r="C790" s="1610">
        <v>1.05</v>
      </c>
      <c r="D790" s="1138" t="s">
        <v>2</v>
      </c>
      <c r="E790" s="1139">
        <f>+F43</f>
        <v>5050.66</v>
      </c>
      <c r="F790" s="1140">
        <f>C790*E790</f>
        <v>5303.19</v>
      </c>
      <c r="I790" s="1083"/>
      <c r="J790" s="1083"/>
      <c r="K790" s="1083"/>
      <c r="L790" s="1083"/>
      <c r="M790" s="1083"/>
      <c r="N790" s="1083"/>
      <c r="O790" s="1083"/>
      <c r="P790" s="1083"/>
      <c r="Q790" s="1083"/>
      <c r="R790" s="1083"/>
      <c r="S790" s="1083"/>
      <c r="T790" s="1083"/>
      <c r="U790" s="1083"/>
      <c r="V790" s="1083"/>
      <c r="W790" s="1083"/>
      <c r="X790" s="1083"/>
      <c r="Y790" s="1083"/>
      <c r="Z790" s="1083"/>
      <c r="AA790" s="1083"/>
      <c r="AB790" s="1083"/>
      <c r="AC790" s="1083"/>
      <c r="AD790" s="1083"/>
      <c r="AE790" s="1083"/>
    </row>
    <row r="791" spans="2:31">
      <c r="B791" s="1916" t="s">
        <v>1087</v>
      </c>
      <c r="C791" s="1611">
        <v>0.66</v>
      </c>
      <c r="D791" s="1142" t="s">
        <v>126</v>
      </c>
      <c r="E791" s="1143">
        <f>+F62</f>
        <v>2913</v>
      </c>
      <c r="F791" s="1144">
        <f>C791*E791</f>
        <v>1922.58</v>
      </c>
      <c r="I791" s="1083"/>
      <c r="J791" s="1083"/>
      <c r="K791" s="1083"/>
      <c r="L791" s="1083"/>
      <c r="M791" s="1083"/>
      <c r="N791" s="1083"/>
      <c r="O791" s="1083"/>
      <c r="P791" s="1083"/>
      <c r="Q791" s="1083"/>
      <c r="R791" s="1083"/>
      <c r="S791" s="1083"/>
      <c r="T791" s="1083"/>
      <c r="U791" s="1083"/>
      <c r="V791" s="1083"/>
      <c r="W791" s="1083"/>
      <c r="X791" s="1083"/>
      <c r="Y791" s="1083"/>
      <c r="Z791" s="1083"/>
      <c r="AA791" s="1083"/>
      <c r="AB791" s="1083"/>
      <c r="AC791" s="1083"/>
      <c r="AD791" s="1083"/>
      <c r="AE791" s="1083"/>
    </row>
    <row r="792" spans="2:31" ht="13.5" thickBot="1">
      <c r="B792" s="1145"/>
      <c r="C792" s="1612"/>
      <c r="D792" s="1146"/>
      <c r="E792" s="1147" t="s">
        <v>1031</v>
      </c>
      <c r="F792" s="1148">
        <f>ROUND(SUM(F790:F791),2)</f>
        <v>7225.77</v>
      </c>
      <c r="I792" s="1083"/>
      <c r="J792" s="1083"/>
      <c r="K792" s="1083"/>
      <c r="L792" s="1083"/>
      <c r="M792" s="1083"/>
      <c r="N792" s="1083"/>
      <c r="O792" s="1083"/>
      <c r="P792" s="1083"/>
      <c r="Q792" s="1083"/>
      <c r="R792" s="1083"/>
      <c r="S792" s="1083"/>
      <c r="T792" s="1083"/>
      <c r="U792" s="1083"/>
      <c r="V792" s="1083"/>
      <c r="W792" s="1083"/>
      <c r="X792" s="1083"/>
      <c r="Y792" s="1083"/>
      <c r="Z792" s="1083"/>
      <c r="AA792" s="1083"/>
      <c r="AB792" s="1083"/>
      <c r="AC792" s="1083"/>
      <c r="AD792" s="1083"/>
      <c r="AE792" s="1083"/>
    </row>
    <row r="793" spans="2:31" ht="13.5" thickTop="1">
      <c r="B793" s="1130"/>
      <c r="C793" s="1609"/>
      <c r="D793" s="1131"/>
      <c r="E793" s="1132"/>
      <c r="F793" s="1133"/>
      <c r="I793" s="1083"/>
      <c r="J793" s="1083"/>
      <c r="K793" s="1083"/>
      <c r="L793" s="1083"/>
      <c r="M793" s="1083"/>
      <c r="N793" s="1083"/>
      <c r="O793" s="1083"/>
      <c r="P793" s="1083"/>
      <c r="Q793" s="1083"/>
      <c r="R793" s="1083"/>
      <c r="S793" s="1083"/>
      <c r="T793" s="1083"/>
      <c r="U793" s="1083"/>
      <c r="V793" s="1083"/>
      <c r="W793" s="1083"/>
      <c r="X793" s="1083"/>
      <c r="Y793" s="1083"/>
      <c r="Z793" s="1083"/>
      <c r="AA793" s="1083"/>
      <c r="AB793" s="1083"/>
      <c r="AC793" s="1083"/>
      <c r="AD793" s="1083"/>
      <c r="AE793" s="1083"/>
    </row>
    <row r="794" spans="2:31" ht="13.5" thickBot="1">
      <c r="B794" s="1916" t="s">
        <v>1778</v>
      </c>
      <c r="C794" s="1614"/>
      <c r="D794" s="1135"/>
      <c r="E794" s="1135"/>
      <c r="F794" s="1135"/>
      <c r="I794" s="1083"/>
      <c r="J794" s="1083"/>
      <c r="K794" s="1083"/>
      <c r="L794" s="1083"/>
      <c r="M794" s="1083"/>
      <c r="N794" s="1083"/>
      <c r="O794" s="1083"/>
      <c r="P794" s="1083"/>
      <c r="Q794" s="1083"/>
      <c r="R794" s="1083"/>
      <c r="S794" s="1083"/>
      <c r="T794" s="1083"/>
      <c r="U794" s="1083"/>
      <c r="V794" s="1083"/>
      <c r="W794" s="1083"/>
      <c r="X794" s="1083"/>
      <c r="Y794" s="1083"/>
      <c r="Z794" s="1083"/>
      <c r="AA794" s="1083"/>
      <c r="AB794" s="1083"/>
      <c r="AC794" s="1083"/>
      <c r="AD794" s="1083"/>
      <c r="AE794" s="1083"/>
    </row>
    <row r="795" spans="2:31" s="1235" customFormat="1" ht="13.5" thickTop="1">
      <c r="B795" s="1916" t="s">
        <v>1840</v>
      </c>
      <c r="C795" s="1610">
        <v>1.05</v>
      </c>
      <c r="D795" s="1916" t="s">
        <v>2</v>
      </c>
      <c r="E795" s="3348">
        <f>+E790</f>
        <v>5050.66</v>
      </c>
      <c r="F795" s="1916">
        <f>C795*E795</f>
        <v>5303.1930000000002</v>
      </c>
    </row>
    <row r="796" spans="2:31" s="1235" customFormat="1">
      <c r="B796" s="1916" t="s">
        <v>1087</v>
      </c>
      <c r="C796" s="1611">
        <v>1.1499999999999999</v>
      </c>
      <c r="D796" s="1916" t="s">
        <v>126</v>
      </c>
      <c r="E796" s="1916">
        <f>+F62</f>
        <v>2913</v>
      </c>
      <c r="F796" s="1916">
        <f>C796*E796</f>
        <v>3349.95</v>
      </c>
    </row>
    <row r="797" spans="2:31" ht="13.5" thickBot="1">
      <c r="B797" s="1145"/>
      <c r="C797" s="1612"/>
      <c r="D797" s="1146"/>
      <c r="E797" s="1147" t="s">
        <v>1031</v>
      </c>
      <c r="F797" s="1148">
        <f>ROUND(SUM(F795:F796),2)</f>
        <v>8653.14</v>
      </c>
      <c r="I797" s="1083"/>
      <c r="J797" s="1083"/>
      <c r="K797" s="1083"/>
      <c r="L797" s="1083"/>
      <c r="M797" s="1083"/>
      <c r="N797" s="1083"/>
      <c r="O797" s="1083"/>
      <c r="P797" s="1083"/>
      <c r="Q797" s="1083"/>
      <c r="R797" s="1083"/>
      <c r="S797" s="1083"/>
      <c r="T797" s="1083"/>
      <c r="U797" s="1083"/>
      <c r="V797" s="1083"/>
      <c r="W797" s="1083"/>
      <c r="X797" s="1083"/>
      <c r="Y797" s="1083"/>
      <c r="Z797" s="1083"/>
      <c r="AA797" s="1083"/>
      <c r="AB797" s="1083"/>
      <c r="AC797" s="1083"/>
      <c r="AD797" s="1083"/>
      <c r="AE797" s="1083"/>
    </row>
    <row r="798" spans="2:31" ht="13.5" thickTop="1">
      <c r="B798" s="1087"/>
      <c r="C798" s="1603"/>
      <c r="D798" s="1087"/>
      <c r="E798" s="1100"/>
      <c r="F798" s="1105"/>
      <c r="I798" s="1083"/>
      <c r="J798" s="1083"/>
      <c r="K798" s="1083"/>
      <c r="L798" s="1083"/>
      <c r="M798" s="1083"/>
      <c r="N798" s="1083"/>
      <c r="O798" s="1083"/>
      <c r="P798" s="1083"/>
      <c r="Q798" s="1083"/>
      <c r="R798" s="1083"/>
      <c r="S798" s="1083"/>
      <c r="T798" s="1083"/>
      <c r="U798" s="1083"/>
      <c r="V798" s="1083"/>
      <c r="W798" s="1083"/>
      <c r="X798" s="1083"/>
      <c r="Y798" s="1083"/>
      <c r="Z798" s="1083"/>
      <c r="AA798" s="1083"/>
      <c r="AB798" s="1083"/>
      <c r="AC798" s="1083"/>
      <c r="AD798" s="1083"/>
      <c r="AE798" s="1083"/>
    </row>
    <row r="799" spans="2:31" ht="13.5" thickBot="1">
      <c r="B799" s="1916" t="s">
        <v>1779</v>
      </c>
      <c r="C799" s="1609"/>
      <c r="D799" s="1131"/>
      <c r="E799" s="1132"/>
      <c r="F799" s="1133"/>
      <c r="I799" s="1083"/>
      <c r="J799" s="1083"/>
      <c r="K799" s="1083"/>
      <c r="L799" s="1083"/>
      <c r="M799" s="1083"/>
      <c r="N799" s="1083"/>
      <c r="O799" s="1083"/>
      <c r="P799" s="1083"/>
      <c r="Q799" s="1083"/>
      <c r="R799" s="1083"/>
      <c r="S799" s="1083"/>
      <c r="T799" s="1083"/>
      <c r="U799" s="1083"/>
      <c r="V799" s="1083"/>
      <c r="W799" s="1083"/>
      <c r="X799" s="1083"/>
      <c r="Y799" s="1083"/>
      <c r="Z799" s="1083"/>
      <c r="AA799" s="1083"/>
      <c r="AB799" s="1083"/>
      <c r="AC799" s="1083"/>
      <c r="AD799" s="1083"/>
      <c r="AE799" s="1083"/>
    </row>
    <row r="800" spans="2:31" ht="13.5" thickTop="1">
      <c r="B800" s="1137" t="s">
        <v>1225</v>
      </c>
      <c r="C800" s="1610">
        <v>1.05</v>
      </c>
      <c r="D800" s="1138" t="s">
        <v>2</v>
      </c>
      <c r="E800" s="1139">
        <f>+E795</f>
        <v>5050.66</v>
      </c>
      <c r="F800" s="1140">
        <f>C800*E800</f>
        <v>5303.19</v>
      </c>
      <c r="I800" s="1083"/>
      <c r="J800" s="1083"/>
      <c r="K800" s="1083"/>
      <c r="L800" s="1083"/>
      <c r="M800" s="1083"/>
      <c r="N800" s="1083"/>
      <c r="O800" s="1083"/>
      <c r="P800" s="1083"/>
      <c r="Q800" s="1083"/>
      <c r="R800" s="1083"/>
      <c r="S800" s="1083"/>
      <c r="T800" s="1083"/>
      <c r="U800" s="1083"/>
      <c r="V800" s="1083"/>
      <c r="W800" s="1083"/>
      <c r="X800" s="1083"/>
      <c r="Y800" s="1083"/>
      <c r="Z800" s="1083"/>
      <c r="AA800" s="1083"/>
      <c r="AB800" s="1083"/>
      <c r="AC800" s="1083"/>
      <c r="AD800" s="1083"/>
      <c r="AE800" s="1083"/>
    </row>
    <row r="801" spans="2:31">
      <c r="B801" s="1141" t="s">
        <v>272</v>
      </c>
      <c r="C801" s="1611">
        <v>2.78</v>
      </c>
      <c r="D801" s="1142" t="s">
        <v>126</v>
      </c>
      <c r="E801" s="1143">
        <f>+F62</f>
        <v>2913</v>
      </c>
      <c r="F801" s="1144">
        <f>C801*E801</f>
        <v>8098.14</v>
      </c>
      <c r="I801" s="1083"/>
      <c r="J801" s="1083"/>
      <c r="K801" s="1083"/>
      <c r="L801" s="1083"/>
      <c r="M801" s="1083"/>
      <c r="N801" s="1083"/>
      <c r="O801" s="1083"/>
      <c r="P801" s="1083"/>
      <c r="Q801" s="1083"/>
      <c r="R801" s="1083"/>
      <c r="S801" s="1083"/>
      <c r="T801" s="1083"/>
      <c r="U801" s="1083"/>
      <c r="V801" s="1083"/>
      <c r="W801" s="1083"/>
      <c r="X801" s="1083"/>
      <c r="Y801" s="1083"/>
      <c r="Z801" s="1083"/>
      <c r="AA801" s="1083"/>
      <c r="AB801" s="1083"/>
      <c r="AC801" s="1083"/>
      <c r="AD801" s="1083"/>
      <c r="AE801" s="1083"/>
    </row>
    <row r="802" spans="2:31">
      <c r="B802" s="1141" t="s">
        <v>1089</v>
      </c>
      <c r="C802" s="1611">
        <f>1/(0.3*0.3)</f>
        <v>11.11</v>
      </c>
      <c r="D802" s="1152" t="s">
        <v>11</v>
      </c>
      <c r="E802" s="1143">
        <v>400</v>
      </c>
      <c r="F802" s="1144">
        <f>C802*E802</f>
        <v>4444</v>
      </c>
      <c r="I802" s="1083"/>
      <c r="J802" s="1083"/>
      <c r="K802" s="1083"/>
      <c r="L802" s="1083"/>
      <c r="M802" s="1083"/>
      <c r="N802" s="1083"/>
      <c r="O802" s="1083"/>
      <c r="P802" s="1083"/>
      <c r="Q802" s="1083"/>
      <c r="R802" s="1083"/>
      <c r="S802" s="1083"/>
      <c r="T802" s="1083"/>
      <c r="U802" s="1083"/>
      <c r="V802" s="1083"/>
      <c r="W802" s="1083"/>
      <c r="X802" s="1083"/>
      <c r="Y802" s="1083"/>
      <c r="Z802" s="1083"/>
      <c r="AA802" s="1083"/>
      <c r="AB802" s="1083"/>
      <c r="AC802" s="1083"/>
      <c r="AD802" s="1083"/>
      <c r="AE802" s="1083"/>
    </row>
    <row r="803" spans="2:31" ht="13.5" thickBot="1">
      <c r="B803" s="1145"/>
      <c r="C803" s="1612"/>
      <c r="D803" s="1146"/>
      <c r="E803" s="1147" t="s">
        <v>1031</v>
      </c>
      <c r="F803" s="1148">
        <f>ROUND(SUM(F800:F802),2)</f>
        <v>17845.330000000002</v>
      </c>
      <c r="I803" s="1083"/>
      <c r="J803" s="1083"/>
      <c r="K803" s="1083"/>
      <c r="L803" s="1083"/>
      <c r="M803" s="1083"/>
      <c r="N803" s="1083"/>
      <c r="O803" s="1083"/>
      <c r="P803" s="1083"/>
      <c r="Q803" s="1083"/>
      <c r="R803" s="1083"/>
      <c r="S803" s="1083"/>
      <c r="T803" s="1083"/>
      <c r="U803" s="1083"/>
      <c r="V803" s="1083"/>
      <c r="W803" s="1083"/>
      <c r="X803" s="1083"/>
      <c r="Y803" s="1083"/>
      <c r="Z803" s="1083"/>
      <c r="AA803" s="1083"/>
      <c r="AB803" s="1083"/>
      <c r="AC803" s="1083"/>
      <c r="AD803" s="1083"/>
      <c r="AE803" s="1083"/>
    </row>
    <row r="804" spans="2:31" ht="13.5" thickTop="1">
      <c r="B804" s="1130"/>
      <c r="C804" s="1609"/>
      <c r="D804" s="1131"/>
      <c r="E804" s="1132"/>
      <c r="F804" s="1133"/>
      <c r="I804" s="1083"/>
      <c r="J804" s="1083"/>
      <c r="K804" s="1083"/>
      <c r="L804" s="1083"/>
      <c r="M804" s="1083"/>
      <c r="N804" s="1083"/>
      <c r="O804" s="1083"/>
      <c r="P804" s="1083"/>
      <c r="Q804" s="1083"/>
      <c r="R804" s="1083"/>
      <c r="S804" s="1083"/>
      <c r="T804" s="1083"/>
      <c r="U804" s="1083"/>
      <c r="V804" s="1083"/>
      <c r="W804" s="1083"/>
      <c r="X804" s="1083"/>
      <c r="Y804" s="1083"/>
      <c r="Z804" s="1083"/>
      <c r="AA804" s="1083"/>
      <c r="AB804" s="1083"/>
      <c r="AC804" s="1083"/>
      <c r="AD804" s="1083"/>
      <c r="AE804" s="1083"/>
    </row>
    <row r="805" spans="2:31" ht="13.5" thickBot="1">
      <c r="B805" s="1916" t="s">
        <v>1781</v>
      </c>
      <c r="C805" s="1609"/>
      <c r="D805" s="1131"/>
      <c r="E805" s="1132"/>
      <c r="F805" s="1133"/>
      <c r="I805" s="1083"/>
      <c r="J805" s="1083"/>
      <c r="K805" s="1083"/>
      <c r="L805" s="1083"/>
      <c r="M805" s="1083"/>
      <c r="N805" s="1083"/>
      <c r="O805" s="1083"/>
      <c r="P805" s="1083"/>
      <c r="Q805" s="1083"/>
      <c r="R805" s="1083"/>
      <c r="S805" s="1083"/>
      <c r="T805" s="1083"/>
      <c r="U805" s="1083"/>
      <c r="V805" s="1083"/>
      <c r="W805" s="1083"/>
      <c r="X805" s="1083"/>
      <c r="Y805" s="1083"/>
      <c r="Z805" s="1083"/>
      <c r="AA805" s="1083"/>
      <c r="AB805" s="1083"/>
      <c r="AC805" s="1083"/>
      <c r="AD805" s="1083"/>
      <c r="AE805" s="1083"/>
    </row>
    <row r="806" spans="2:31" ht="13.5" thickTop="1">
      <c r="B806" s="1137" t="s">
        <v>1225</v>
      </c>
      <c r="C806" s="1610">
        <v>1.05</v>
      </c>
      <c r="D806" s="1138" t="s">
        <v>2</v>
      </c>
      <c r="E806" s="1139">
        <f>+F47</f>
        <v>7063.5</v>
      </c>
      <c r="F806" s="1140">
        <f>C806*E806</f>
        <v>7416.68</v>
      </c>
      <c r="I806" s="1083"/>
      <c r="J806" s="1083"/>
      <c r="K806" s="1083"/>
      <c r="L806" s="1083"/>
      <c r="M806" s="1083"/>
      <c r="N806" s="1083"/>
      <c r="O806" s="1083"/>
      <c r="P806" s="1083"/>
      <c r="Q806" s="1083"/>
      <c r="R806" s="1083"/>
      <c r="S806" s="1083"/>
      <c r="T806" s="1083"/>
      <c r="U806" s="1083"/>
      <c r="V806" s="1083"/>
      <c r="W806" s="1083"/>
      <c r="X806" s="1083"/>
      <c r="Y806" s="1083"/>
      <c r="Z806" s="1083"/>
      <c r="AA806" s="1083"/>
      <c r="AB806" s="1083"/>
      <c r="AC806" s="1083"/>
      <c r="AD806" s="1083"/>
      <c r="AE806" s="1083"/>
    </row>
    <row r="807" spans="2:31">
      <c r="B807" s="1141" t="s">
        <v>272</v>
      </c>
      <c r="C807" s="1611">
        <v>6.1</v>
      </c>
      <c r="D807" s="1142" t="s">
        <v>126</v>
      </c>
      <c r="E807" s="1143">
        <f>+F62</f>
        <v>2913</v>
      </c>
      <c r="F807" s="1144">
        <f>C807*E807</f>
        <v>17769.3</v>
      </c>
      <c r="I807" s="1083"/>
      <c r="J807" s="1083"/>
      <c r="K807" s="1083"/>
      <c r="L807" s="1083"/>
      <c r="M807" s="1083"/>
      <c r="N807" s="1083"/>
      <c r="O807" s="1083"/>
      <c r="P807" s="1083"/>
      <c r="Q807" s="1083"/>
      <c r="R807" s="1083"/>
      <c r="S807" s="1083"/>
      <c r="T807" s="1083"/>
      <c r="U807" s="1083"/>
      <c r="V807" s="1083"/>
      <c r="W807" s="1083"/>
      <c r="X807" s="1083"/>
      <c r="Y807" s="1083"/>
      <c r="Z807" s="1083"/>
      <c r="AA807" s="1083"/>
      <c r="AB807" s="1083"/>
      <c r="AC807" s="1083"/>
      <c r="AD807" s="1083"/>
      <c r="AE807" s="1083"/>
    </row>
    <row r="808" spans="2:31">
      <c r="B808" s="1141" t="s">
        <v>1089</v>
      </c>
      <c r="C808" s="1611">
        <f>1/0.1</f>
        <v>10</v>
      </c>
      <c r="D808" s="1152" t="s">
        <v>11</v>
      </c>
      <c r="E808" s="1143">
        <v>350</v>
      </c>
      <c r="F808" s="1144">
        <f>C808*E808</f>
        <v>3500</v>
      </c>
      <c r="I808" s="1083"/>
      <c r="J808" s="1083"/>
      <c r="K808" s="1083"/>
      <c r="L808" s="1083"/>
      <c r="M808" s="1083"/>
      <c r="N808" s="1083"/>
      <c r="O808" s="1083"/>
      <c r="P808" s="1083"/>
      <c r="Q808" s="1083"/>
      <c r="R808" s="1083"/>
      <c r="S808" s="1083"/>
      <c r="T808" s="1083"/>
      <c r="U808" s="1083"/>
      <c r="V808" s="1083"/>
      <c r="W808" s="1083"/>
      <c r="X808" s="1083"/>
      <c r="Y808" s="1083"/>
      <c r="Z808" s="1083"/>
      <c r="AA808" s="1083"/>
      <c r="AB808" s="1083"/>
      <c r="AC808" s="1083"/>
      <c r="AD808" s="1083"/>
      <c r="AE808" s="1083"/>
    </row>
    <row r="809" spans="2:31" ht="13.5" thickBot="1">
      <c r="B809" s="1145"/>
      <c r="C809" s="1612"/>
      <c r="D809" s="1146"/>
      <c r="E809" s="1147" t="s">
        <v>1031</v>
      </c>
      <c r="F809" s="1148">
        <f>ROUND(SUM(F806:F808),2)</f>
        <v>28685.98</v>
      </c>
      <c r="I809" s="1083"/>
      <c r="J809" s="1083"/>
      <c r="K809" s="1083"/>
      <c r="L809" s="1083"/>
      <c r="M809" s="1083"/>
      <c r="N809" s="1083"/>
      <c r="O809" s="1083"/>
      <c r="P809" s="1083"/>
      <c r="Q809" s="1083"/>
      <c r="R809" s="1083"/>
      <c r="S809" s="1083"/>
      <c r="T809" s="1083"/>
      <c r="U809" s="1083"/>
      <c r="V809" s="1083"/>
      <c r="W809" s="1083"/>
      <c r="X809" s="1083"/>
      <c r="Y809" s="1083"/>
      <c r="Z809" s="1083"/>
      <c r="AA809" s="1083"/>
      <c r="AB809" s="1083"/>
      <c r="AC809" s="1083"/>
      <c r="AD809" s="1083"/>
      <c r="AE809" s="1083"/>
    </row>
    <row r="810" spans="2:31" ht="13.5" thickTop="1">
      <c r="B810" s="1130"/>
      <c r="C810" s="1609"/>
      <c r="D810" s="1131"/>
      <c r="E810" s="1132"/>
      <c r="F810" s="1133"/>
      <c r="I810" s="1083"/>
      <c r="J810" s="1083"/>
      <c r="K810" s="1083"/>
      <c r="L810" s="1083"/>
      <c r="M810" s="1083"/>
      <c r="N810" s="1083"/>
      <c r="O810" s="1083"/>
      <c r="P810" s="1083"/>
      <c r="Q810" s="1083"/>
      <c r="R810" s="1083"/>
      <c r="S810" s="1083"/>
      <c r="T810" s="1083"/>
      <c r="U810" s="1083"/>
      <c r="V810" s="1083"/>
      <c r="W810" s="1083"/>
      <c r="X810" s="1083"/>
      <c r="Y810" s="1083"/>
      <c r="Z810" s="1083"/>
      <c r="AA810" s="1083"/>
      <c r="AB810" s="1083"/>
      <c r="AC810" s="1083"/>
      <c r="AD810" s="1083"/>
      <c r="AE810" s="1083"/>
    </row>
    <row r="811" spans="2:31" ht="13.5" thickBot="1">
      <c r="B811" s="1916" t="s">
        <v>1783</v>
      </c>
      <c r="C811" s="1609"/>
      <c r="D811" s="1131"/>
      <c r="E811" s="1132"/>
      <c r="F811" s="1133"/>
      <c r="I811" s="1083"/>
      <c r="J811" s="1083"/>
      <c r="K811" s="1083"/>
      <c r="L811" s="1083"/>
      <c r="M811" s="1083"/>
      <c r="N811" s="1083"/>
      <c r="O811" s="1083"/>
      <c r="P811" s="1083"/>
      <c r="Q811" s="1083"/>
      <c r="R811" s="1083"/>
      <c r="S811" s="1083"/>
      <c r="T811" s="1083"/>
      <c r="U811" s="1083"/>
      <c r="V811" s="1083"/>
      <c r="W811" s="1083"/>
      <c r="X811" s="1083"/>
      <c r="Y811" s="1083"/>
      <c r="Z811" s="1083"/>
      <c r="AA811" s="1083"/>
      <c r="AB811" s="1083"/>
      <c r="AC811" s="1083"/>
      <c r="AD811" s="1083"/>
      <c r="AE811" s="1083"/>
    </row>
    <row r="812" spans="2:31" ht="13.5" thickTop="1">
      <c r="B812" s="1137" t="s">
        <v>1225</v>
      </c>
      <c r="C812" s="1610">
        <v>1.05</v>
      </c>
      <c r="D812" s="1138" t="s">
        <v>2</v>
      </c>
      <c r="E812" s="1139">
        <f>+F47</f>
        <v>7063.5</v>
      </c>
      <c r="F812" s="1140">
        <f>C812*E812</f>
        <v>7416.68</v>
      </c>
      <c r="I812" s="1083"/>
      <c r="J812" s="1083"/>
      <c r="K812" s="1083"/>
      <c r="L812" s="1083"/>
      <c r="M812" s="1083"/>
      <c r="N812" s="1083"/>
      <c r="O812" s="1083"/>
      <c r="P812" s="1083"/>
      <c r="Q812" s="1083"/>
      <c r="R812" s="1083"/>
      <c r="S812" s="1083"/>
      <c r="T812" s="1083"/>
      <c r="U812" s="1083"/>
      <c r="V812" s="1083"/>
      <c r="W812" s="1083"/>
      <c r="X812" s="1083"/>
      <c r="Y812" s="1083"/>
      <c r="Z812" s="1083"/>
      <c r="AA812" s="1083"/>
      <c r="AB812" s="1083"/>
      <c r="AC812" s="1083"/>
      <c r="AD812" s="1083"/>
      <c r="AE812" s="1083"/>
    </row>
    <row r="813" spans="2:31">
      <c r="B813" s="1141" t="s">
        <v>272</v>
      </c>
      <c r="C813" s="1611">
        <v>1.24</v>
      </c>
      <c r="D813" s="1142" t="s">
        <v>126</v>
      </c>
      <c r="E813" s="1143">
        <f>+F62</f>
        <v>2913</v>
      </c>
      <c r="F813" s="1144">
        <f>C813*E813</f>
        <v>3612.12</v>
      </c>
      <c r="I813" s="1083"/>
      <c r="J813" s="1083"/>
      <c r="K813" s="1083"/>
      <c r="L813" s="1083"/>
      <c r="M813" s="1083"/>
      <c r="N813" s="1083"/>
      <c r="O813" s="1083"/>
      <c r="P813" s="1083"/>
      <c r="Q813" s="1083"/>
      <c r="R813" s="1083"/>
      <c r="S813" s="1083"/>
      <c r="T813" s="1083"/>
      <c r="U813" s="1083"/>
      <c r="V813" s="1083"/>
      <c r="W813" s="1083"/>
      <c r="X813" s="1083"/>
      <c r="Y813" s="1083"/>
      <c r="Z813" s="1083"/>
      <c r="AA813" s="1083"/>
      <c r="AB813" s="1083"/>
      <c r="AC813" s="1083"/>
      <c r="AD813" s="1083"/>
      <c r="AE813" s="1083"/>
    </row>
    <row r="814" spans="2:31">
      <c r="B814" s="1141" t="s">
        <v>1089</v>
      </c>
      <c r="C814" s="1611">
        <f>1/0.12</f>
        <v>8.33</v>
      </c>
      <c r="D814" s="1152" t="s">
        <v>11</v>
      </c>
      <c r="E814" s="1143">
        <v>350</v>
      </c>
      <c r="F814" s="1144">
        <f>C814*E814</f>
        <v>2915.5</v>
      </c>
      <c r="I814" s="1083"/>
      <c r="J814" s="1083"/>
      <c r="K814" s="1083"/>
      <c r="L814" s="1083"/>
      <c r="M814" s="1083"/>
      <c r="N814" s="1083"/>
      <c r="O814" s="1083"/>
      <c r="P814" s="1083"/>
      <c r="Q814" s="1083"/>
      <c r="R814" s="1083"/>
      <c r="S814" s="1083"/>
      <c r="T814" s="1083"/>
      <c r="U814" s="1083"/>
      <c r="V814" s="1083"/>
      <c r="W814" s="1083"/>
      <c r="X814" s="1083"/>
      <c r="Y814" s="1083"/>
      <c r="Z814" s="1083"/>
      <c r="AA814" s="1083"/>
      <c r="AB814" s="1083"/>
      <c r="AC814" s="1083"/>
      <c r="AD814" s="1083"/>
      <c r="AE814" s="1083"/>
    </row>
    <row r="815" spans="2:31" ht="13.5" thickBot="1">
      <c r="B815" s="1145"/>
      <c r="C815" s="1612"/>
      <c r="D815" s="1146"/>
      <c r="E815" s="1147" t="s">
        <v>1031</v>
      </c>
      <c r="F815" s="1148">
        <f>ROUND(SUM(F812:F814),2)</f>
        <v>13944.3</v>
      </c>
      <c r="I815" s="1083"/>
      <c r="J815" s="1083"/>
      <c r="K815" s="1083"/>
      <c r="L815" s="1083"/>
      <c r="M815" s="1083"/>
      <c r="N815" s="1083"/>
      <c r="O815" s="1083"/>
      <c r="P815" s="1083"/>
      <c r="Q815" s="1083"/>
      <c r="R815" s="1083"/>
      <c r="S815" s="1083"/>
      <c r="T815" s="1083"/>
      <c r="U815" s="1083"/>
      <c r="V815" s="1083"/>
      <c r="W815" s="1083"/>
      <c r="X815" s="1083"/>
      <c r="Y815" s="1083"/>
      <c r="Z815" s="1083"/>
      <c r="AA815" s="1083"/>
      <c r="AB815" s="1083"/>
      <c r="AC815" s="1083"/>
      <c r="AD815" s="1083"/>
      <c r="AE815" s="1083"/>
    </row>
    <row r="816" spans="2:31" ht="13.5" thickTop="1">
      <c r="B816" s="1130"/>
      <c r="C816" s="1609"/>
      <c r="D816" s="1131"/>
      <c r="E816" s="1132"/>
      <c r="F816" s="1133"/>
      <c r="I816" s="1083"/>
      <c r="J816" s="1083"/>
      <c r="K816" s="1083"/>
      <c r="L816" s="1083"/>
      <c r="M816" s="1083"/>
      <c r="N816" s="1083"/>
      <c r="O816" s="1083"/>
      <c r="P816" s="1083"/>
      <c r="Q816" s="1083"/>
      <c r="R816" s="1083"/>
      <c r="S816" s="1083"/>
      <c r="T816" s="1083"/>
      <c r="U816" s="1083"/>
      <c r="V816" s="1083"/>
      <c r="W816" s="1083"/>
      <c r="X816" s="1083"/>
      <c r="Y816" s="1083"/>
      <c r="Z816" s="1083"/>
      <c r="AA816" s="1083"/>
      <c r="AB816" s="1083"/>
      <c r="AC816" s="1083"/>
      <c r="AD816" s="1083"/>
      <c r="AE816" s="1083"/>
    </row>
    <row r="817" spans="2:31">
      <c r="B817" s="1391" t="s">
        <v>1054</v>
      </c>
      <c r="C817" s="1603"/>
      <c r="D817" s="1114"/>
      <c r="E817" s="1100"/>
      <c r="F817" s="1095"/>
      <c r="I817" s="1083"/>
      <c r="J817" s="1083"/>
      <c r="K817" s="1083"/>
      <c r="L817" s="1083"/>
      <c r="M817" s="1083"/>
      <c r="N817" s="1083"/>
      <c r="O817" s="1083"/>
      <c r="P817" s="1083"/>
      <c r="Q817" s="1083"/>
      <c r="R817" s="1083"/>
      <c r="S817" s="1083"/>
      <c r="T817" s="1083"/>
      <c r="U817" s="1083"/>
      <c r="V817" s="1083"/>
      <c r="W817" s="1083"/>
      <c r="X817" s="1083"/>
      <c r="Y817" s="1083"/>
      <c r="Z817" s="1083"/>
      <c r="AA817" s="1083"/>
      <c r="AB817" s="1083"/>
      <c r="AC817" s="1083"/>
      <c r="AD817" s="1083"/>
      <c r="AE817" s="1083"/>
    </row>
    <row r="818" spans="2:31">
      <c r="B818" s="3252" t="s">
        <v>1055</v>
      </c>
      <c r="C818" s="3255" t="s">
        <v>3</v>
      </c>
      <c r="D818" s="3264">
        <v>13</v>
      </c>
      <c r="E818" s="3245">
        <v>60</v>
      </c>
      <c r="F818" s="3245">
        <f>E818*D818</f>
        <v>780</v>
      </c>
      <c r="I818" s="1083"/>
      <c r="J818" s="1083"/>
      <c r="K818" s="1083"/>
      <c r="L818" s="1083"/>
      <c r="M818" s="1083"/>
      <c r="N818" s="1083"/>
      <c r="O818" s="1083"/>
      <c r="P818" s="1083"/>
      <c r="Q818" s="1083"/>
      <c r="R818" s="1083"/>
      <c r="S818" s="1083"/>
      <c r="T818" s="1083"/>
      <c r="U818" s="1083"/>
      <c r="V818" s="1083"/>
      <c r="W818" s="1083"/>
      <c r="X818" s="1083"/>
      <c r="Y818" s="1083"/>
      <c r="Z818" s="1083"/>
      <c r="AA818" s="1083"/>
      <c r="AB818" s="1083"/>
      <c r="AC818" s="1083"/>
      <c r="AD818" s="1083"/>
      <c r="AE818" s="1083"/>
    </row>
    <row r="819" spans="2:31">
      <c r="B819" s="3252" t="s">
        <v>1056</v>
      </c>
      <c r="C819" s="3255" t="s">
        <v>3</v>
      </c>
      <c r="D819" s="3264">
        <v>13</v>
      </c>
      <c r="E819" s="3245">
        <v>25</v>
      </c>
      <c r="F819" s="3245">
        <f>E819*D819</f>
        <v>325</v>
      </c>
      <c r="I819" s="1083"/>
      <c r="J819" s="1083"/>
      <c r="K819" s="1083"/>
      <c r="L819" s="1083"/>
      <c r="M819" s="1083"/>
      <c r="N819" s="1083"/>
      <c r="O819" s="1083"/>
      <c r="P819" s="1083"/>
      <c r="Q819" s="1083"/>
      <c r="R819" s="1083"/>
      <c r="S819" s="1083"/>
      <c r="T819" s="1083"/>
      <c r="U819" s="1083"/>
      <c r="V819" s="1083"/>
      <c r="W819" s="1083"/>
      <c r="X819" s="1083"/>
      <c r="Y819" s="1083"/>
      <c r="Z819" s="1083"/>
      <c r="AA819" s="1083"/>
      <c r="AB819" s="1083"/>
      <c r="AC819" s="1083"/>
      <c r="AD819" s="1083"/>
      <c r="AE819" s="1083"/>
    </row>
    <row r="820" spans="2:31">
      <c r="B820" s="3252" t="s">
        <v>1057</v>
      </c>
      <c r="C820" s="3255" t="s">
        <v>2</v>
      </c>
      <c r="D820" s="3328">
        <v>8.6E-3</v>
      </c>
      <c r="E820" s="3245">
        <f>F76</f>
        <v>5653.39</v>
      </c>
      <c r="F820" s="3245">
        <f>E820*D820</f>
        <v>48.62</v>
      </c>
      <c r="I820" s="1083"/>
      <c r="J820" s="1083"/>
      <c r="K820" s="1083"/>
      <c r="L820" s="1083"/>
      <c r="M820" s="1083"/>
      <c r="N820" s="1083"/>
      <c r="O820" s="1083"/>
      <c r="P820" s="1083"/>
      <c r="Q820" s="1083"/>
      <c r="R820" s="1083"/>
      <c r="S820" s="1083"/>
      <c r="T820" s="1083"/>
      <c r="U820" s="1083"/>
      <c r="V820" s="1083"/>
      <c r="W820" s="1083"/>
      <c r="X820" s="1083"/>
      <c r="Y820" s="1083"/>
      <c r="Z820" s="1083"/>
      <c r="AA820" s="1083"/>
      <c r="AB820" s="1083"/>
      <c r="AC820" s="1083"/>
      <c r="AD820" s="1083"/>
      <c r="AE820" s="1083"/>
    </row>
    <row r="821" spans="2:31">
      <c r="B821" s="3252" t="s">
        <v>1058</v>
      </c>
      <c r="C821" s="3255" t="s">
        <v>3</v>
      </c>
      <c r="D821" s="3264">
        <v>0.13</v>
      </c>
      <c r="E821" s="3245">
        <v>60</v>
      </c>
      <c r="F821" s="3245">
        <f>E821*D821</f>
        <v>7.8</v>
      </c>
      <c r="I821" s="1083"/>
      <c r="J821" s="1083"/>
      <c r="K821" s="1083"/>
      <c r="L821" s="1083"/>
      <c r="M821" s="1083"/>
      <c r="N821" s="1083"/>
      <c r="O821" s="1083"/>
      <c r="P821" s="1083"/>
      <c r="Q821" s="1083"/>
      <c r="R821" s="1083"/>
      <c r="S821" s="1083"/>
      <c r="T821" s="1083"/>
      <c r="U821" s="1083"/>
      <c r="V821" s="1083"/>
      <c r="W821" s="1083"/>
      <c r="X821" s="1083"/>
      <c r="Y821" s="1083"/>
      <c r="Z821" s="1083"/>
      <c r="AA821" s="1083"/>
      <c r="AB821" s="1083"/>
      <c r="AC821" s="1083"/>
      <c r="AD821" s="1083"/>
      <c r="AE821" s="1083"/>
    </row>
    <row r="822" spans="2:31">
      <c r="B822" s="3252"/>
      <c r="C822" s="3260"/>
      <c r="D822" s="3328"/>
      <c r="E822" s="3262" t="s">
        <v>1031</v>
      </c>
      <c r="F822" s="3263">
        <f>SUM(F818:F821)</f>
        <v>1161.42</v>
      </c>
      <c r="I822" s="1083"/>
      <c r="J822" s="1083"/>
      <c r="K822" s="1083"/>
      <c r="L822" s="1083"/>
      <c r="M822" s="1083"/>
      <c r="N822" s="1083"/>
      <c r="O822" s="1083"/>
      <c r="P822" s="1083"/>
      <c r="Q822" s="1083"/>
      <c r="R822" s="1083"/>
      <c r="S822" s="1083"/>
      <c r="T822" s="1083"/>
      <c r="U822" s="1083"/>
      <c r="V822" s="1083"/>
      <c r="W822" s="1083"/>
      <c r="X822" s="1083"/>
      <c r="Y822" s="1083"/>
      <c r="Z822" s="1083"/>
      <c r="AA822" s="1083"/>
      <c r="AB822" s="1083"/>
      <c r="AC822" s="1083"/>
      <c r="AD822" s="1083"/>
      <c r="AE822" s="1083"/>
    </row>
    <row r="823" spans="2:31">
      <c r="B823" s="1087"/>
      <c r="C823" s="1603"/>
      <c r="D823" s="1114"/>
      <c r="E823" s="1100"/>
      <c r="F823" s="1095"/>
      <c r="I823" s="1083"/>
      <c r="J823" s="1083"/>
      <c r="K823" s="1083"/>
      <c r="L823" s="1083"/>
      <c r="M823" s="1083"/>
      <c r="N823" s="1083"/>
      <c r="O823" s="1083"/>
      <c r="P823" s="1083"/>
      <c r="Q823" s="1083"/>
      <c r="R823" s="1083"/>
      <c r="S823" s="1083"/>
      <c r="T823" s="1083"/>
      <c r="U823" s="1083"/>
      <c r="V823" s="1083"/>
      <c r="W823" s="1083"/>
      <c r="X823" s="1083"/>
      <c r="Y823" s="1083"/>
      <c r="Z823" s="1083"/>
      <c r="AA823" s="1083"/>
      <c r="AB823" s="1083"/>
      <c r="AC823" s="1083"/>
      <c r="AD823" s="1083"/>
      <c r="AE823" s="1083"/>
    </row>
    <row r="824" spans="2:31">
      <c r="B824" s="1391" t="s">
        <v>1235</v>
      </c>
      <c r="C824" s="1603"/>
      <c r="D824" s="1087"/>
      <c r="E824" s="1087"/>
      <c r="F824" s="1087"/>
      <c r="I824" s="1083"/>
      <c r="J824" s="1083"/>
      <c r="K824" s="1083"/>
      <c r="L824" s="1083"/>
      <c r="M824" s="1083"/>
      <c r="N824" s="1083"/>
      <c r="O824" s="1083"/>
      <c r="P824" s="1083"/>
      <c r="Q824" s="1083"/>
      <c r="R824" s="1083"/>
      <c r="S824" s="1083"/>
      <c r="T824" s="1083"/>
      <c r="U824" s="1083"/>
      <c r="V824" s="1083"/>
      <c r="W824" s="1083"/>
      <c r="X824" s="1083"/>
      <c r="Y824" s="1083"/>
      <c r="Z824" s="1083"/>
      <c r="AA824" s="1083"/>
      <c r="AB824" s="1083"/>
      <c r="AC824" s="1083"/>
      <c r="AD824" s="1083"/>
      <c r="AE824" s="1083"/>
    </row>
    <row r="825" spans="2:31">
      <c r="B825" s="1101"/>
      <c r="C825" s="1603"/>
      <c r="D825" s="1087"/>
      <c r="E825" s="1087"/>
      <c r="F825" s="1087"/>
      <c r="I825" s="1083"/>
      <c r="J825" s="1083"/>
      <c r="K825" s="1083"/>
      <c r="L825" s="1083"/>
      <c r="M825" s="1083"/>
      <c r="N825" s="1083"/>
      <c r="O825" s="1083"/>
      <c r="P825" s="1083"/>
      <c r="Q825" s="1083"/>
      <c r="R825" s="1083"/>
      <c r="S825" s="1083"/>
      <c r="T825" s="1083"/>
      <c r="U825" s="1083"/>
      <c r="V825" s="1083"/>
      <c r="W825" s="1083"/>
      <c r="X825" s="1083"/>
      <c r="Y825" s="1083"/>
      <c r="Z825" s="1083"/>
      <c r="AA825" s="1083"/>
      <c r="AB825" s="1083"/>
      <c r="AC825" s="1083"/>
      <c r="AD825" s="1083"/>
      <c r="AE825" s="1083"/>
    </row>
    <row r="826" spans="2:31">
      <c r="B826" s="3252" t="s">
        <v>1059</v>
      </c>
      <c r="C826" s="3255" t="s">
        <v>11</v>
      </c>
      <c r="D826" s="3264">
        <v>1</v>
      </c>
      <c r="E826" s="3245">
        <v>18</v>
      </c>
      <c r="F826" s="3245">
        <f>E826*D826</f>
        <v>18</v>
      </c>
      <c r="I826" s="1083"/>
      <c r="J826" s="1083"/>
      <c r="K826" s="1083"/>
      <c r="L826" s="1083"/>
      <c r="M826" s="1083"/>
      <c r="N826" s="1083"/>
      <c r="O826" s="1083"/>
      <c r="P826" s="1083"/>
      <c r="Q826" s="1083"/>
      <c r="R826" s="1083"/>
      <c r="S826" s="1083"/>
      <c r="T826" s="1083"/>
      <c r="U826" s="1083"/>
      <c r="V826" s="1083"/>
      <c r="W826" s="1083"/>
      <c r="X826" s="1083"/>
      <c r="Y826" s="1083"/>
      <c r="Z826" s="1083"/>
      <c r="AA826" s="1083"/>
      <c r="AB826" s="1083"/>
      <c r="AC826" s="1083"/>
      <c r="AD826" s="1083"/>
      <c r="AE826" s="1083"/>
    </row>
    <row r="827" spans="2:31">
      <c r="B827" s="3252" t="s">
        <v>1060</v>
      </c>
      <c r="C827" s="3255" t="s">
        <v>2</v>
      </c>
      <c r="D827" s="3252">
        <v>0.105</v>
      </c>
      <c r="E827" s="3245">
        <f>+F43</f>
        <v>5050.66</v>
      </c>
      <c r="F827" s="3245">
        <f>E827*D827</f>
        <v>530.32000000000005</v>
      </c>
      <c r="I827" s="1083"/>
      <c r="J827" s="1083"/>
      <c r="K827" s="1083"/>
      <c r="L827" s="1083"/>
      <c r="M827" s="1083"/>
      <c r="N827" s="1083"/>
      <c r="O827" s="1083"/>
      <c r="P827" s="1083"/>
      <c r="Q827" s="1083"/>
      <c r="R827" s="1083"/>
      <c r="S827" s="1083"/>
      <c r="T827" s="1083"/>
      <c r="U827" s="1083"/>
      <c r="V827" s="1083"/>
      <c r="W827" s="1083"/>
      <c r="X827" s="1083"/>
      <c r="Y827" s="1083"/>
      <c r="Z827" s="1083"/>
      <c r="AA827" s="1083"/>
      <c r="AB827" s="1083"/>
      <c r="AC827" s="1083"/>
      <c r="AD827" s="1083"/>
      <c r="AE827" s="1083"/>
    </row>
    <row r="828" spans="2:31">
      <c r="B828" s="3252" t="s">
        <v>154</v>
      </c>
      <c r="C828" s="3255" t="s">
        <v>155</v>
      </c>
      <c r="D828" s="3252">
        <v>2.1999999999999999E-2</v>
      </c>
      <c r="E828" s="3245">
        <v>45</v>
      </c>
      <c r="F828" s="3245">
        <f>E828*D828</f>
        <v>0.99</v>
      </c>
      <c r="I828" s="1083"/>
      <c r="J828" s="1083"/>
      <c r="K828" s="1083"/>
      <c r="L828" s="1083"/>
      <c r="M828" s="1083"/>
      <c r="N828" s="1083"/>
      <c r="O828" s="1083"/>
      <c r="P828" s="1083"/>
      <c r="Q828" s="1083"/>
      <c r="R828" s="1083"/>
      <c r="S828" s="1083"/>
      <c r="T828" s="1083"/>
      <c r="U828" s="1083"/>
      <c r="V828" s="1083"/>
      <c r="W828" s="1083"/>
      <c r="X828" s="1083"/>
      <c r="Y828" s="1083"/>
      <c r="Z828" s="1083"/>
      <c r="AA828" s="1083"/>
      <c r="AB828" s="1083"/>
      <c r="AC828" s="1083"/>
      <c r="AD828" s="1083"/>
      <c r="AE828" s="1083"/>
    </row>
    <row r="829" spans="2:31">
      <c r="B829" s="3252" t="s">
        <v>1061</v>
      </c>
      <c r="C829" s="3255" t="s">
        <v>11</v>
      </c>
      <c r="D829" s="3264">
        <v>1</v>
      </c>
      <c r="E829" s="3245">
        <v>70</v>
      </c>
      <c r="F829" s="3245">
        <f>E829*D829</f>
        <v>70</v>
      </c>
      <c r="I829" s="1083"/>
      <c r="J829" s="1083"/>
      <c r="K829" s="1083"/>
      <c r="L829" s="1083"/>
      <c r="M829" s="1083"/>
      <c r="N829" s="1083"/>
      <c r="O829" s="1083"/>
      <c r="P829" s="1083"/>
      <c r="Q829" s="1083"/>
      <c r="R829" s="1083"/>
      <c r="S829" s="1083"/>
      <c r="T829" s="1083"/>
      <c r="U829" s="1083"/>
      <c r="V829" s="1083"/>
      <c r="W829" s="1083"/>
      <c r="X829" s="1083"/>
      <c r="Y829" s="1083"/>
      <c r="Z829" s="1083"/>
      <c r="AA829" s="1083"/>
      <c r="AB829" s="1083"/>
      <c r="AC829" s="1083"/>
      <c r="AD829" s="1083"/>
      <c r="AE829" s="1083"/>
    </row>
    <row r="830" spans="2:31">
      <c r="B830" s="3252" t="s">
        <v>1062</v>
      </c>
      <c r="C830" s="3255" t="s">
        <v>13</v>
      </c>
      <c r="D830" s="3264">
        <f>1/0.8</f>
        <v>1.25</v>
      </c>
      <c r="E830" s="3245">
        <f>+F267</f>
        <v>82.22</v>
      </c>
      <c r="F830" s="3245">
        <f>E830*D830</f>
        <v>102.78</v>
      </c>
      <c r="I830" s="1083"/>
      <c r="J830" s="1083"/>
      <c r="K830" s="1083"/>
      <c r="L830" s="1083"/>
      <c r="M830" s="1083"/>
      <c r="N830" s="1083"/>
      <c r="O830" s="1083"/>
      <c r="P830" s="1083"/>
      <c r="Q830" s="1083"/>
      <c r="R830" s="1083"/>
      <c r="S830" s="1083"/>
      <c r="T830" s="1083"/>
      <c r="U830" s="1083"/>
      <c r="V830" s="1083"/>
      <c r="W830" s="1083"/>
      <c r="X830" s="1083"/>
      <c r="Y830" s="1083"/>
      <c r="Z830" s="1083"/>
      <c r="AA830" s="1083"/>
      <c r="AB830" s="1083"/>
      <c r="AC830" s="1083"/>
      <c r="AD830" s="1083"/>
      <c r="AE830" s="1083"/>
    </row>
    <row r="831" spans="2:31">
      <c r="B831" s="3252"/>
      <c r="C831" s="3260"/>
      <c r="D831" s="3252"/>
      <c r="E831" s="3262" t="s">
        <v>1031</v>
      </c>
      <c r="F831" s="3273">
        <f>SUM(F826:F830)</f>
        <v>722.09</v>
      </c>
      <c r="I831" s="1083"/>
      <c r="J831" s="1083"/>
      <c r="K831" s="1083"/>
      <c r="L831" s="1083"/>
      <c r="M831" s="1083"/>
      <c r="N831" s="1083"/>
      <c r="O831" s="1083"/>
      <c r="P831" s="1083"/>
      <c r="Q831" s="1083"/>
      <c r="R831" s="1083"/>
      <c r="S831" s="1083"/>
      <c r="T831" s="1083"/>
      <c r="U831" s="1083"/>
      <c r="V831" s="1083"/>
      <c r="W831" s="1083"/>
      <c r="X831" s="1083"/>
      <c r="Y831" s="1083"/>
      <c r="Z831" s="1083"/>
      <c r="AA831" s="1083"/>
      <c r="AB831" s="1083"/>
      <c r="AC831" s="1083"/>
      <c r="AD831" s="1083"/>
      <c r="AE831" s="1083"/>
    </row>
    <row r="832" spans="2:31">
      <c r="B832" s="1149"/>
      <c r="C832" s="1613"/>
      <c r="D832" s="1149"/>
      <c r="E832" s="1150"/>
      <c r="F832" s="1104">
        <f>ROUND(F831-F830+E830*1/0.6,2)</f>
        <v>756.34</v>
      </c>
      <c r="I832" s="1083"/>
      <c r="J832" s="1083"/>
      <c r="K832" s="1083"/>
      <c r="L832" s="1083"/>
      <c r="M832" s="1083"/>
      <c r="N832" s="1083"/>
      <c r="O832" s="1083"/>
      <c r="P832" s="1083"/>
      <c r="Q832" s="1083"/>
      <c r="R832" s="1083"/>
      <c r="S832" s="1083"/>
      <c r="T832" s="1083"/>
      <c r="U832" s="1083"/>
      <c r="V832" s="1083"/>
      <c r="W832" s="1083"/>
      <c r="X832" s="1083"/>
      <c r="Y832" s="1083"/>
      <c r="Z832" s="1083"/>
      <c r="AA832" s="1083"/>
      <c r="AB832" s="1083"/>
      <c r="AC832" s="1083"/>
      <c r="AD832" s="1083"/>
      <c r="AE832" s="1083"/>
    </row>
    <row r="833" spans="2:31" ht="20.25">
      <c r="B833" s="1914" t="s">
        <v>1668</v>
      </c>
      <c r="C833" s="1613"/>
      <c r="D833" s="1149"/>
      <c r="E833" s="1150"/>
      <c r="F833" s="1151"/>
      <c r="I833" s="1083"/>
      <c r="J833" s="1083"/>
      <c r="K833" s="1083"/>
      <c r="L833" s="1083"/>
      <c r="M833" s="1083"/>
      <c r="N833" s="1083"/>
      <c r="O833" s="1083"/>
      <c r="P833" s="1083"/>
      <c r="Q833" s="1083"/>
      <c r="R833" s="1083"/>
      <c r="S833" s="1083"/>
      <c r="T833" s="1083"/>
      <c r="U833" s="1083"/>
      <c r="V833" s="1083"/>
      <c r="W833" s="1083"/>
      <c r="X833" s="1083"/>
      <c r="Y833" s="1083"/>
      <c r="Z833" s="1083"/>
      <c r="AA833" s="1083"/>
      <c r="AB833" s="1083"/>
      <c r="AC833" s="1083"/>
      <c r="AD833" s="1083"/>
      <c r="AE833" s="1083"/>
    </row>
    <row r="834" spans="2:31" ht="20.25">
      <c r="B834" s="1914"/>
      <c r="C834" s="1613"/>
      <c r="D834" s="1149"/>
      <c r="E834" s="1150"/>
      <c r="F834" s="1151"/>
      <c r="I834" s="1083"/>
      <c r="J834" s="1083"/>
      <c r="K834" s="1083"/>
      <c r="L834" s="1083"/>
      <c r="M834" s="1083"/>
      <c r="N834" s="1083"/>
      <c r="O834" s="1083"/>
      <c r="P834" s="1083"/>
      <c r="Q834" s="1083"/>
      <c r="R834" s="1083"/>
      <c r="S834" s="1083"/>
      <c r="T834" s="1083"/>
      <c r="U834" s="1083"/>
      <c r="V834" s="1083"/>
      <c r="W834" s="1083"/>
      <c r="X834" s="1083"/>
      <c r="Y834" s="1083"/>
      <c r="Z834" s="1083"/>
      <c r="AA834" s="1083"/>
      <c r="AB834" s="1083"/>
      <c r="AC834" s="1083"/>
      <c r="AD834" s="1083"/>
      <c r="AE834" s="1083"/>
    </row>
    <row r="835" spans="2:31" s="1999" customFormat="1">
      <c r="B835" s="3173" t="s">
        <v>1680</v>
      </c>
      <c r="C835" s="1916"/>
      <c r="D835" s="1916"/>
      <c r="E835" s="1916"/>
      <c r="F835" s="1916"/>
      <c r="G835" s="3137"/>
      <c r="H835" s="3137"/>
      <c r="I835" s="3137"/>
    </row>
    <row r="836" spans="2:31" s="1999" customFormat="1">
      <c r="B836" s="3349"/>
      <c r="C836" s="3349"/>
      <c r="D836" s="3350"/>
      <c r="E836" s="3350"/>
      <c r="F836" s="1916"/>
      <c r="G836" s="3137"/>
      <c r="H836" s="3137"/>
      <c r="I836" s="3137"/>
    </row>
    <row r="837" spans="2:31" s="1999" customFormat="1" ht="13.5" thickBot="1">
      <c r="B837" s="3351" t="s">
        <v>1681</v>
      </c>
      <c r="C837" s="1916"/>
      <c r="D837" s="3352"/>
      <c r="E837" s="3353"/>
      <c r="F837" s="3353"/>
      <c r="G837" s="3137"/>
      <c r="H837" s="3137"/>
      <c r="I837" s="3137"/>
    </row>
    <row r="838" spans="2:31" s="1999" customFormat="1" ht="13.5" thickTop="1">
      <c r="B838" s="3142" t="s">
        <v>1682</v>
      </c>
      <c r="C838" s="1916">
        <v>1.05</v>
      </c>
      <c r="D838" s="3138" t="s">
        <v>2</v>
      </c>
      <c r="E838" s="3139">
        <f>+$F$47</f>
        <v>7063.5</v>
      </c>
      <c r="F838" s="1916">
        <f>ROUND(C838*E838,2)</f>
        <v>7416.68</v>
      </c>
      <c r="G838" s="3137"/>
      <c r="H838" s="3137"/>
      <c r="I838" s="3137"/>
    </row>
    <row r="839" spans="2:31" s="1999" customFormat="1">
      <c r="B839" s="3354" t="s">
        <v>1683</v>
      </c>
      <c r="C839" s="3355">
        <v>0.5</v>
      </c>
      <c r="D839" s="3356" t="s">
        <v>126</v>
      </c>
      <c r="E839" s="3357">
        <f>+$F$62</f>
        <v>2913</v>
      </c>
      <c r="F839" s="1916">
        <f>ROUND(C839*E839,2)</f>
        <v>1456.5</v>
      </c>
      <c r="G839" s="3137"/>
      <c r="H839" s="3137"/>
      <c r="I839" s="3137"/>
    </row>
    <row r="840" spans="2:31" s="1999" customFormat="1" ht="13.5" thickBot="1">
      <c r="B840" s="3358"/>
      <c r="C840" s="1916"/>
      <c r="D840" s="5190" t="s">
        <v>243</v>
      </c>
      <c r="E840" s="5190"/>
      <c r="F840" s="1916">
        <f>SUM(F838:F839)</f>
        <v>8873.18</v>
      </c>
      <c r="G840" s="3137"/>
      <c r="H840" s="3137"/>
      <c r="I840" s="3137"/>
    </row>
    <row r="841" spans="2:31" s="1999" customFormat="1" ht="13.5" thickTop="1">
      <c r="B841" s="3349"/>
      <c r="C841" s="3349"/>
      <c r="D841" s="3350"/>
      <c r="E841" s="3350"/>
      <c r="F841" s="1916"/>
      <c r="G841" s="3137"/>
      <c r="H841" s="3137"/>
      <c r="I841" s="3137"/>
    </row>
    <row r="842" spans="2:31" s="1999" customFormat="1" ht="13.5" thickBot="1">
      <c r="B842" s="1916" t="s">
        <v>1684</v>
      </c>
      <c r="C842" s="1916"/>
      <c r="D842" s="3350"/>
      <c r="E842" s="3350"/>
      <c r="F842" s="1916"/>
      <c r="G842" s="3137"/>
      <c r="H842" s="3137"/>
      <c r="I842" s="3137"/>
    </row>
    <row r="843" spans="2:31" s="1999" customFormat="1" ht="13.5" thickTop="1">
      <c r="B843" s="3359" t="s">
        <v>1685</v>
      </c>
      <c r="C843" s="3360">
        <v>1.05</v>
      </c>
      <c r="D843" s="3361" t="s">
        <v>160</v>
      </c>
      <c r="E843" s="3139">
        <f>+$F$303</f>
        <v>7531.68</v>
      </c>
      <c r="F843" s="1916">
        <f>C843*E843</f>
        <v>7908.2640000000001</v>
      </c>
      <c r="G843" s="3137"/>
      <c r="H843" s="3137"/>
      <c r="I843" s="3137"/>
    </row>
    <row r="844" spans="2:31" s="1999" customFormat="1">
      <c r="B844" s="3362" t="s">
        <v>1683</v>
      </c>
      <c r="C844" s="1916">
        <v>4.47</v>
      </c>
      <c r="D844" s="3363" t="s">
        <v>242</v>
      </c>
      <c r="E844" s="3357">
        <f>+$F$62</f>
        <v>2913</v>
      </c>
      <c r="F844" s="1916">
        <f>C844*E844</f>
        <v>13021.11</v>
      </c>
      <c r="G844" s="3137"/>
      <c r="H844" s="3137"/>
      <c r="I844" s="3137"/>
    </row>
    <row r="845" spans="2:31" s="1999" customFormat="1">
      <c r="B845" s="3362" t="s">
        <v>245</v>
      </c>
      <c r="C845" s="3364">
        <f>1/(0.15*0.2)</f>
        <v>33.33</v>
      </c>
      <c r="D845" s="3363" t="s">
        <v>163</v>
      </c>
      <c r="E845" s="1916">
        <v>150</v>
      </c>
      <c r="F845" s="1916">
        <f>C845*E845</f>
        <v>4999.5</v>
      </c>
      <c r="G845" s="3137"/>
      <c r="H845" s="3137"/>
      <c r="I845" s="3137"/>
    </row>
    <row r="846" spans="2:31" s="1999" customFormat="1" ht="13.5" thickBot="1">
      <c r="B846" s="3365"/>
      <c r="C846" s="3366"/>
      <c r="D846" s="5190" t="s">
        <v>243</v>
      </c>
      <c r="E846" s="5190"/>
      <c r="F846" s="1916">
        <f>SUM(F843:F845)</f>
        <v>25928.874</v>
      </c>
      <c r="G846" s="3137"/>
      <c r="H846" s="3137"/>
      <c r="I846" s="3137"/>
    </row>
    <row r="847" spans="2:31" s="1999" customFormat="1" ht="13.5" thickTop="1">
      <c r="B847" s="3349"/>
      <c r="C847" s="3349"/>
      <c r="D847" s="3350"/>
      <c r="E847" s="3350"/>
      <c r="F847" s="1916"/>
      <c r="G847" s="3137"/>
      <c r="H847" s="3137"/>
      <c r="I847" s="3137"/>
    </row>
    <row r="848" spans="2:31" s="1999" customFormat="1" ht="13.5" thickBot="1">
      <c r="B848" s="1916" t="s">
        <v>1686</v>
      </c>
      <c r="C848" s="3350"/>
      <c r="D848" s="3350"/>
      <c r="E848" s="3350"/>
      <c r="F848" s="1916"/>
      <c r="G848" s="3137"/>
      <c r="H848" s="3137"/>
      <c r="I848" s="3137"/>
    </row>
    <row r="849" spans="2:9" s="1999" customFormat="1" ht="13.5" thickTop="1">
      <c r="B849" s="3359" t="s">
        <v>1685</v>
      </c>
      <c r="C849" s="3360">
        <v>1.05</v>
      </c>
      <c r="D849" s="3361" t="s">
        <v>160</v>
      </c>
      <c r="E849" s="3139">
        <f>+$F$303</f>
        <v>7531.68</v>
      </c>
      <c r="F849" s="1916">
        <f>C849*E849</f>
        <v>7908.2640000000001</v>
      </c>
      <c r="G849" s="3137"/>
      <c r="H849" s="3137"/>
      <c r="I849" s="3137"/>
    </row>
    <row r="850" spans="2:9" s="1999" customFormat="1">
      <c r="B850" s="3362" t="s">
        <v>1683</v>
      </c>
      <c r="C850" s="1916">
        <v>2.9</v>
      </c>
      <c r="D850" s="3363" t="s">
        <v>242</v>
      </c>
      <c r="E850" s="3357">
        <f>+$F$62</f>
        <v>2913</v>
      </c>
      <c r="F850" s="1916">
        <f>C850*E850</f>
        <v>8447.7000000000007</v>
      </c>
      <c r="G850" s="3137"/>
      <c r="H850" s="3137"/>
      <c r="I850" s="3137"/>
    </row>
    <row r="851" spans="2:9" s="1999" customFormat="1">
      <c r="B851" s="3362" t="s">
        <v>245</v>
      </c>
      <c r="C851" s="3364">
        <v>33.33</v>
      </c>
      <c r="D851" s="3363" t="s">
        <v>163</v>
      </c>
      <c r="E851" s="1916">
        <v>150</v>
      </c>
      <c r="F851" s="1916">
        <f>C851*E851</f>
        <v>4999.5</v>
      </c>
      <c r="G851" s="3137"/>
      <c r="H851" s="3137"/>
      <c r="I851" s="3137"/>
    </row>
    <row r="852" spans="2:9" s="1999" customFormat="1" ht="13.5" thickBot="1">
      <c r="B852" s="3365"/>
      <c r="C852" s="3366"/>
      <c r="D852" s="5190" t="s">
        <v>243</v>
      </c>
      <c r="E852" s="5190"/>
      <c r="F852" s="1916">
        <f>SUM(F849:F851)</f>
        <v>21355.464</v>
      </c>
      <c r="G852" s="3137"/>
      <c r="H852" s="3137"/>
      <c r="I852" s="3137"/>
    </row>
    <row r="853" spans="2:9" s="1999" customFormat="1" ht="13.5" thickTop="1">
      <c r="B853" s="3349"/>
      <c r="C853" s="3349"/>
      <c r="D853" s="3350"/>
      <c r="E853" s="3350"/>
      <c r="F853" s="1916"/>
      <c r="G853" s="3137"/>
      <c r="H853" s="3137"/>
      <c r="I853" s="3137"/>
    </row>
    <row r="854" spans="2:9" s="1999" customFormat="1" ht="13.5" thickBot="1">
      <c r="B854" s="1916" t="s">
        <v>1672</v>
      </c>
      <c r="C854" s="1916"/>
      <c r="D854" s="3350"/>
      <c r="E854" s="3350"/>
      <c r="F854" s="1916"/>
      <c r="G854" s="3137"/>
      <c r="H854" s="3137"/>
      <c r="I854" s="3137"/>
    </row>
    <row r="855" spans="2:9" s="1999" customFormat="1" ht="13.5" thickTop="1">
      <c r="B855" s="3359" t="s">
        <v>1685</v>
      </c>
      <c r="C855" s="3360">
        <v>1.05</v>
      </c>
      <c r="D855" s="3361" t="s">
        <v>160</v>
      </c>
      <c r="E855" s="3139">
        <f>+$F$303</f>
        <v>7531.68</v>
      </c>
      <c r="F855" s="1916">
        <f>C855*E855</f>
        <v>7908.2640000000001</v>
      </c>
      <c r="G855" s="3137"/>
      <c r="H855" s="3137"/>
      <c r="I855" s="3137"/>
    </row>
    <row r="856" spans="2:9" s="1999" customFormat="1">
      <c r="B856" s="3362" t="s">
        <v>1683</v>
      </c>
      <c r="C856" s="1916">
        <v>1.71</v>
      </c>
      <c r="D856" s="3363" t="s">
        <v>242</v>
      </c>
      <c r="E856" s="3357">
        <f>+$F$62</f>
        <v>2913</v>
      </c>
      <c r="F856" s="1916">
        <f>C856*E856</f>
        <v>4981.2299999999996</v>
      </c>
      <c r="G856" s="3137"/>
      <c r="H856" s="3137"/>
      <c r="I856" s="3137"/>
    </row>
    <row r="857" spans="2:9" s="1999" customFormat="1">
      <c r="B857" s="3362" t="s">
        <v>245</v>
      </c>
      <c r="C857" s="1916">
        <f>1/0.1</f>
        <v>10</v>
      </c>
      <c r="D857" s="3363" t="s">
        <v>163</v>
      </c>
      <c r="E857" s="1916">
        <v>150</v>
      </c>
      <c r="F857" s="1916">
        <f>C857*E857</f>
        <v>1500</v>
      </c>
      <c r="G857" s="3137"/>
      <c r="H857" s="3137"/>
      <c r="I857" s="3137"/>
    </row>
    <row r="858" spans="2:9" s="1999" customFormat="1" ht="13.5" thickBot="1">
      <c r="B858" s="3365"/>
      <c r="C858" s="3366"/>
      <c r="D858" s="5190" t="s">
        <v>243</v>
      </c>
      <c r="E858" s="5190"/>
      <c r="F858" s="1916">
        <f>SUM(F855:F857)</f>
        <v>14389.494000000001</v>
      </c>
      <c r="G858" s="3137"/>
      <c r="H858" s="3137"/>
      <c r="I858" s="3137"/>
    </row>
    <row r="859" spans="2:9" s="1999" customFormat="1" ht="13.5" thickTop="1">
      <c r="B859" s="3137"/>
      <c r="C859" s="3367"/>
      <c r="D859" s="3137"/>
      <c r="E859" s="3137"/>
      <c r="F859" s="3137"/>
      <c r="G859" s="3137"/>
      <c r="H859" s="3137"/>
      <c r="I859" s="3137"/>
    </row>
    <row r="860" spans="2:9" s="1999" customFormat="1" ht="13.5" thickBot="1">
      <c r="B860" s="1916" t="s">
        <v>1687</v>
      </c>
      <c r="C860" s="1916"/>
      <c r="D860" s="3350"/>
      <c r="E860" s="3350"/>
      <c r="F860" s="1916"/>
      <c r="G860" s="3137"/>
      <c r="H860" s="3137"/>
      <c r="I860" s="3137"/>
    </row>
    <row r="861" spans="2:9" s="1999" customFormat="1" ht="13.5" thickTop="1">
      <c r="B861" s="3359" t="s">
        <v>1685</v>
      </c>
      <c r="C861" s="3360">
        <v>1.05</v>
      </c>
      <c r="D861" s="3361" t="s">
        <v>160</v>
      </c>
      <c r="E861" s="3139">
        <f>+$F$303</f>
        <v>7531.68</v>
      </c>
      <c r="F861" s="1916">
        <f>C861*E861</f>
        <v>7908.2640000000001</v>
      </c>
      <c r="G861" s="3137"/>
      <c r="H861" s="3137"/>
      <c r="I861" s="3137"/>
    </row>
    <row r="862" spans="2:9" s="1999" customFormat="1">
      <c r="B862" s="3362" t="s">
        <v>1683</v>
      </c>
      <c r="C862" s="1916">
        <v>2.67</v>
      </c>
      <c r="D862" s="3363" t="s">
        <v>242</v>
      </c>
      <c r="E862" s="3357">
        <f>+$F$62</f>
        <v>2913</v>
      </c>
      <c r="F862" s="1916">
        <f>C862*E862</f>
        <v>7777.71</v>
      </c>
      <c r="G862" s="3137"/>
      <c r="H862" s="3137"/>
      <c r="I862" s="3137"/>
    </row>
    <row r="863" spans="2:9" s="1999" customFormat="1">
      <c r="B863" s="3362" t="s">
        <v>245</v>
      </c>
      <c r="C863" s="3364">
        <v>2.33</v>
      </c>
      <c r="D863" s="3363" t="s">
        <v>163</v>
      </c>
      <c r="E863" s="1916">
        <v>150</v>
      </c>
      <c r="F863" s="1916">
        <f>C863*E863</f>
        <v>349.5</v>
      </c>
      <c r="G863" s="3137"/>
      <c r="H863" s="3137"/>
      <c r="I863" s="3137"/>
    </row>
    <row r="864" spans="2:9" s="1999" customFormat="1" ht="13.5" thickBot="1">
      <c r="B864" s="3365"/>
      <c r="C864" s="3366"/>
      <c r="D864" s="5190" t="s">
        <v>243</v>
      </c>
      <c r="E864" s="5190"/>
      <c r="F864" s="1916">
        <f>SUM(F861:F863)</f>
        <v>16035.474</v>
      </c>
      <c r="G864" s="3137"/>
      <c r="H864" s="3137"/>
      <c r="I864" s="3137"/>
    </row>
    <row r="865" spans="2:9" s="1999" customFormat="1" ht="13.5" thickTop="1">
      <c r="B865" s="3137"/>
      <c r="C865" s="3367"/>
      <c r="D865" s="3137"/>
      <c r="E865" s="3137"/>
      <c r="F865" s="3137"/>
      <c r="G865" s="3137"/>
      <c r="H865" s="3137"/>
      <c r="I865" s="3137"/>
    </row>
    <row r="866" spans="2:9" s="1999" customFormat="1">
      <c r="B866" s="3368" t="s">
        <v>1688</v>
      </c>
      <c r="C866" s="3368"/>
      <c r="D866" s="3368"/>
      <c r="E866" s="3231"/>
      <c r="F866" s="3231"/>
      <c r="G866" s="3137"/>
      <c r="H866" s="3137"/>
      <c r="I866" s="3137"/>
    </row>
    <row r="867" spans="2:9" s="1999" customFormat="1">
      <c r="B867" s="3369" t="s">
        <v>1689</v>
      </c>
      <c r="C867" s="3369"/>
      <c r="D867" s="1915"/>
      <c r="E867" s="3231"/>
      <c r="F867" s="3231"/>
      <c r="G867" s="3137"/>
      <c r="H867" s="3137"/>
      <c r="I867" s="3137"/>
    </row>
    <row r="868" spans="2:9" s="1999" customFormat="1">
      <c r="B868" s="3368" t="s">
        <v>1690</v>
      </c>
      <c r="C868" s="3368">
        <v>1</v>
      </c>
      <c r="D868" s="3368" t="s">
        <v>1691</v>
      </c>
      <c r="E868" s="3370">
        <v>135.69999999999999</v>
      </c>
      <c r="F868" s="3371">
        <f t="shared" ref="F868:F874" si="7">ROUND(C868*E868,2)</f>
        <v>135.69999999999999</v>
      </c>
      <c r="G868" s="3137"/>
      <c r="H868" s="3137"/>
      <c r="I868" s="3137"/>
    </row>
    <row r="869" spans="2:9" s="1999" customFormat="1">
      <c r="B869" s="3372" t="s">
        <v>1692</v>
      </c>
      <c r="C869" s="3368">
        <v>1</v>
      </c>
      <c r="D869" s="3368" t="s">
        <v>1691</v>
      </c>
      <c r="E869" s="3370">
        <v>39.24</v>
      </c>
      <c r="F869" s="3371">
        <f t="shared" si="7"/>
        <v>39.24</v>
      </c>
      <c r="G869" s="3137"/>
      <c r="H869" s="3372">
        <v>39.24</v>
      </c>
      <c r="I869" s="3137"/>
    </row>
    <row r="870" spans="2:9" s="1999" customFormat="1">
      <c r="B870" s="3368" t="s">
        <v>1693</v>
      </c>
      <c r="C870" s="3368">
        <v>40</v>
      </c>
      <c r="D870" s="3368" t="s">
        <v>1694</v>
      </c>
      <c r="E870" s="3370">
        <v>9.44</v>
      </c>
      <c r="F870" s="3371">
        <f t="shared" si="7"/>
        <v>377.6</v>
      </c>
      <c r="G870" s="3137"/>
      <c r="H870" s="3137"/>
      <c r="I870" s="3137"/>
    </row>
    <row r="871" spans="2:9" s="1999" customFormat="1">
      <c r="B871" s="3368" t="s">
        <v>1695</v>
      </c>
      <c r="C871" s="3368">
        <v>1</v>
      </c>
      <c r="D871" s="3368" t="s">
        <v>1691</v>
      </c>
      <c r="E871" s="3370">
        <v>90.32</v>
      </c>
      <c r="F871" s="3371">
        <f t="shared" si="7"/>
        <v>90.32</v>
      </c>
      <c r="G871" s="3137"/>
      <c r="H871" s="3137"/>
      <c r="I871" s="3137"/>
    </row>
    <row r="872" spans="2:9" s="1999" customFormat="1">
      <c r="B872" s="3368" t="s">
        <v>1696</v>
      </c>
      <c r="C872" s="3368">
        <v>0.05</v>
      </c>
      <c r="D872" s="3368" t="s">
        <v>1691</v>
      </c>
      <c r="E872" s="3370">
        <v>330.4</v>
      </c>
      <c r="F872" s="3371">
        <f t="shared" si="7"/>
        <v>16.52</v>
      </c>
      <c r="G872" s="3137"/>
      <c r="H872" s="3137"/>
      <c r="I872" s="3137">
        <f>+E872*3</f>
        <v>991.2</v>
      </c>
    </row>
    <row r="873" spans="2:9" s="1999" customFormat="1">
      <c r="B873" s="3368" t="s">
        <v>1697</v>
      </c>
      <c r="C873" s="3368">
        <v>0.01</v>
      </c>
      <c r="D873" s="3368" t="s">
        <v>1691</v>
      </c>
      <c r="E873" s="3370">
        <v>225.38</v>
      </c>
      <c r="F873" s="3371">
        <f t="shared" si="7"/>
        <v>2.25</v>
      </c>
      <c r="G873" s="3137"/>
      <c r="H873" s="3137"/>
      <c r="I873" s="3137"/>
    </row>
    <row r="874" spans="2:9" s="1999" customFormat="1">
      <c r="B874" s="3368" t="s">
        <v>1698</v>
      </c>
      <c r="C874" s="3368">
        <v>1</v>
      </c>
      <c r="D874" s="3368" t="s">
        <v>1691</v>
      </c>
      <c r="E874" s="3370">
        <v>300</v>
      </c>
      <c r="F874" s="3371">
        <f t="shared" si="7"/>
        <v>300</v>
      </c>
      <c r="G874" s="3137"/>
      <c r="H874" s="3137"/>
      <c r="I874" s="3137"/>
    </row>
    <row r="875" spans="2:9" s="1999" customFormat="1">
      <c r="B875" s="3368" t="s">
        <v>1699</v>
      </c>
      <c r="C875" s="3368"/>
      <c r="D875" s="3368"/>
      <c r="E875" s="3371">
        <v>0.2</v>
      </c>
      <c r="F875" s="3371">
        <f>ROUND(E875*(SUM(F868:F874)),2)</f>
        <v>192.33</v>
      </c>
      <c r="G875" s="3137"/>
      <c r="H875" s="3137"/>
      <c r="I875" s="3137"/>
    </row>
    <row r="876" spans="2:9" s="1999" customFormat="1">
      <c r="B876" s="3231"/>
      <c r="C876" s="3231"/>
      <c r="D876" s="3231"/>
      <c r="E876" s="3231" t="s">
        <v>1039</v>
      </c>
      <c r="F876" s="3373">
        <f>ROUND((SUM(F868:F875)),2)</f>
        <v>1153.96</v>
      </c>
      <c r="G876" s="3137"/>
      <c r="H876" s="3137"/>
      <c r="I876" s="3137"/>
    </row>
    <row r="877" spans="2:9" s="1999" customFormat="1">
      <c r="B877" s="3231"/>
      <c r="C877" s="3231"/>
      <c r="D877" s="3231"/>
      <c r="E877" s="3231"/>
      <c r="F877" s="3231"/>
      <c r="G877" s="3137"/>
      <c r="H877" s="3137"/>
      <c r="I877" s="3137"/>
    </row>
    <row r="878" spans="2:9" s="1999" customFormat="1">
      <c r="B878" s="3369" t="s">
        <v>1700</v>
      </c>
      <c r="C878" s="3369"/>
      <c r="D878" s="1915"/>
      <c r="E878" s="3231"/>
      <c r="F878" s="3231"/>
      <c r="G878" s="3137"/>
      <c r="H878" s="3137"/>
      <c r="I878" s="3137"/>
    </row>
    <row r="879" spans="2:9" s="1999" customFormat="1">
      <c r="B879" s="3368" t="s">
        <v>1690</v>
      </c>
      <c r="C879" s="3368">
        <v>1</v>
      </c>
      <c r="D879" s="3368" t="s">
        <v>1691</v>
      </c>
      <c r="E879" s="3370">
        <f>+E868</f>
        <v>135.69999999999999</v>
      </c>
      <c r="F879" s="3371">
        <f t="shared" ref="F879:F886" si="8">ROUND(C879*E879,2)</f>
        <v>135.69999999999999</v>
      </c>
      <c r="G879" s="3137"/>
      <c r="H879" s="3137"/>
      <c r="I879" s="3137"/>
    </row>
    <row r="880" spans="2:9" s="1999" customFormat="1">
      <c r="B880" s="3372" t="s">
        <v>1701</v>
      </c>
      <c r="C880" s="3368">
        <v>1</v>
      </c>
      <c r="D880" s="3368" t="s">
        <v>1691</v>
      </c>
      <c r="E880" s="3370">
        <v>36.4</v>
      </c>
      <c r="F880" s="3371">
        <f t="shared" si="8"/>
        <v>36.4</v>
      </c>
      <c r="G880" s="3137"/>
      <c r="H880" s="3137"/>
      <c r="I880" s="3137"/>
    </row>
    <row r="881" spans="2:9" s="1999" customFormat="1">
      <c r="B881" s="3368" t="s">
        <v>1693</v>
      </c>
      <c r="C881" s="3368">
        <v>40</v>
      </c>
      <c r="D881" s="3368" t="s">
        <v>1694</v>
      </c>
      <c r="E881" s="3370">
        <f>+E870</f>
        <v>9.44</v>
      </c>
      <c r="F881" s="3371">
        <f t="shared" si="8"/>
        <v>377.6</v>
      </c>
      <c r="G881" s="3137"/>
      <c r="H881" s="3137"/>
      <c r="I881" s="3137"/>
    </row>
    <row r="882" spans="2:9" s="1999" customFormat="1">
      <c r="B882" s="3368" t="s">
        <v>1702</v>
      </c>
      <c r="C882" s="3368">
        <v>1</v>
      </c>
      <c r="D882" s="3368" t="s">
        <v>1691</v>
      </c>
      <c r="E882" s="3370">
        <v>116.2</v>
      </c>
      <c r="F882" s="3371">
        <f t="shared" si="8"/>
        <v>116.2</v>
      </c>
      <c r="G882" s="3137"/>
      <c r="H882" s="3137">
        <v>116.2</v>
      </c>
      <c r="I882" s="3137"/>
    </row>
    <row r="883" spans="2:9" s="1999" customFormat="1">
      <c r="B883" s="3368" t="s">
        <v>1703</v>
      </c>
      <c r="C883" s="3368">
        <v>1</v>
      </c>
      <c r="D883" s="3368" t="s">
        <v>1691</v>
      </c>
      <c r="E883" s="3370">
        <v>6.75</v>
      </c>
      <c r="F883" s="3371">
        <f t="shared" si="8"/>
        <v>6.75</v>
      </c>
      <c r="G883" s="3137"/>
      <c r="H883" s="3137"/>
      <c r="I883" s="3137"/>
    </row>
    <row r="884" spans="2:9" s="1999" customFormat="1">
      <c r="B884" s="3368" t="s">
        <v>1696</v>
      </c>
      <c r="C884" s="3368">
        <v>0.05</v>
      </c>
      <c r="D884" s="3368" t="s">
        <v>1691</v>
      </c>
      <c r="E884" s="3370">
        <f>+E872</f>
        <v>330.4</v>
      </c>
      <c r="F884" s="3371">
        <f t="shared" si="8"/>
        <v>16.52</v>
      </c>
      <c r="G884" s="3137"/>
      <c r="H884" s="3137"/>
      <c r="I884" s="3137"/>
    </row>
    <row r="885" spans="2:9" s="1999" customFormat="1">
      <c r="B885" s="3368" t="s">
        <v>1697</v>
      </c>
      <c r="C885" s="3368">
        <v>0.01</v>
      </c>
      <c r="D885" s="3368" t="s">
        <v>1691</v>
      </c>
      <c r="E885" s="3370">
        <f>+E873</f>
        <v>225.38</v>
      </c>
      <c r="F885" s="3371">
        <f t="shared" si="8"/>
        <v>2.25</v>
      </c>
      <c r="G885" s="3137"/>
      <c r="H885" s="3137"/>
      <c r="I885" s="3137"/>
    </row>
    <row r="886" spans="2:9" s="1999" customFormat="1">
      <c r="B886" s="3368" t="s">
        <v>1698</v>
      </c>
      <c r="C886" s="3368">
        <v>1</v>
      </c>
      <c r="D886" s="3368" t="s">
        <v>1691</v>
      </c>
      <c r="E886" s="3370">
        <f>+E874</f>
        <v>300</v>
      </c>
      <c r="F886" s="3371">
        <f t="shared" si="8"/>
        <v>300</v>
      </c>
      <c r="G886" s="3137"/>
      <c r="H886" s="3137"/>
      <c r="I886" s="3137"/>
    </row>
    <row r="887" spans="2:9" s="1999" customFormat="1">
      <c r="B887" s="3368" t="s">
        <v>1704</v>
      </c>
      <c r="C887" s="3368"/>
      <c r="D887" s="3368"/>
      <c r="E887" s="3371">
        <f>+E875</f>
        <v>0.2</v>
      </c>
      <c r="F887" s="3371">
        <f>ROUND(E887*(SUM(F879:F886)),2)</f>
        <v>198.28</v>
      </c>
      <c r="G887" s="3137"/>
      <c r="H887" s="3137"/>
      <c r="I887" s="3137"/>
    </row>
    <row r="888" spans="2:9" s="1999" customFormat="1">
      <c r="B888" s="3231"/>
      <c r="C888" s="3231"/>
      <c r="D888" s="3231"/>
      <c r="E888" s="3231" t="s">
        <v>1039</v>
      </c>
      <c r="F888" s="3373">
        <f>ROUND(SUM(F879:F887),2)</f>
        <v>1189.7</v>
      </c>
      <c r="G888" s="3137"/>
      <c r="H888" s="3137"/>
      <c r="I888" s="3137"/>
    </row>
    <row r="889" spans="2:9" s="1999" customFormat="1">
      <c r="B889" s="3231"/>
      <c r="C889" s="3231"/>
      <c r="D889" s="3231"/>
      <c r="E889" s="3231"/>
      <c r="F889" s="3231"/>
      <c r="G889" s="3137"/>
      <c r="H889" s="3137"/>
      <c r="I889" s="3137"/>
    </row>
    <row r="890" spans="2:9" s="1999" customFormat="1">
      <c r="B890" s="3369" t="s">
        <v>1705</v>
      </c>
      <c r="C890" s="3369"/>
      <c r="D890" s="1915"/>
      <c r="E890" s="3231"/>
      <c r="F890" s="3231"/>
      <c r="G890" s="3137"/>
      <c r="H890" s="3137"/>
      <c r="I890" s="3137"/>
    </row>
    <row r="891" spans="2:9" s="1999" customFormat="1">
      <c r="B891" s="3368" t="s">
        <v>1690</v>
      </c>
      <c r="C891" s="3368">
        <v>1</v>
      </c>
      <c r="D891" s="3368" t="s">
        <v>1691</v>
      </c>
      <c r="E891" s="3370">
        <f>+E868</f>
        <v>135.69999999999999</v>
      </c>
      <c r="F891" s="3371">
        <f t="shared" ref="F891:F898" si="9">ROUND(C891*E891,2)</f>
        <v>135.69999999999999</v>
      </c>
      <c r="G891" s="3137"/>
      <c r="H891" s="3137"/>
      <c r="I891" s="3137"/>
    </row>
    <row r="892" spans="2:9" s="1999" customFormat="1">
      <c r="B892" s="3368" t="s">
        <v>1706</v>
      </c>
      <c r="C892" s="3368">
        <v>1</v>
      </c>
      <c r="D892" s="3368" t="s">
        <v>1691</v>
      </c>
      <c r="E892" s="3370">
        <f>+E880</f>
        <v>36.4</v>
      </c>
      <c r="F892" s="3371">
        <f t="shared" si="9"/>
        <v>36.4</v>
      </c>
      <c r="G892" s="3137"/>
      <c r="H892" s="3137"/>
      <c r="I892" s="3137"/>
    </row>
    <row r="893" spans="2:9" s="1999" customFormat="1">
      <c r="B893" s="3368" t="s">
        <v>1693</v>
      </c>
      <c r="C893" s="3368">
        <v>60</v>
      </c>
      <c r="D893" s="3368" t="s">
        <v>1694</v>
      </c>
      <c r="E893" s="3370">
        <f>+E881</f>
        <v>9.44</v>
      </c>
      <c r="F893" s="3371">
        <f t="shared" si="9"/>
        <v>566.4</v>
      </c>
      <c r="G893" s="3137"/>
      <c r="H893" s="3137"/>
      <c r="I893" s="3137"/>
    </row>
    <row r="894" spans="2:9" s="1999" customFormat="1">
      <c r="B894" s="3368" t="s">
        <v>1702</v>
      </c>
      <c r="C894" s="3368">
        <v>1</v>
      </c>
      <c r="D894" s="3368" t="s">
        <v>1691</v>
      </c>
      <c r="E894" s="3370">
        <v>148.75</v>
      </c>
      <c r="F894" s="3371">
        <f t="shared" si="9"/>
        <v>148.75</v>
      </c>
      <c r="G894" s="3137"/>
      <c r="H894" s="3137"/>
      <c r="I894" s="3137"/>
    </row>
    <row r="895" spans="2:9" s="1999" customFormat="1">
      <c r="B895" s="3368" t="s">
        <v>1703</v>
      </c>
      <c r="C895" s="3368">
        <v>1</v>
      </c>
      <c r="D895" s="3368" t="s">
        <v>1691</v>
      </c>
      <c r="E895" s="3370">
        <v>6.75</v>
      </c>
      <c r="F895" s="3371">
        <f t="shared" si="9"/>
        <v>6.75</v>
      </c>
      <c r="G895" s="3137"/>
      <c r="H895" s="3137"/>
      <c r="I895" s="3137"/>
    </row>
    <row r="896" spans="2:9" s="1999" customFormat="1">
      <c r="B896" s="3368" t="s">
        <v>1696</v>
      </c>
      <c r="C896" s="3368">
        <v>0.05</v>
      </c>
      <c r="D896" s="3368" t="s">
        <v>1691</v>
      </c>
      <c r="E896" s="3370">
        <f>+E884</f>
        <v>330.4</v>
      </c>
      <c r="F896" s="3371">
        <f t="shared" si="9"/>
        <v>16.52</v>
      </c>
      <c r="G896" s="3137"/>
      <c r="H896" s="3137"/>
      <c r="I896" s="3137"/>
    </row>
    <row r="897" spans="2:9" s="1999" customFormat="1">
      <c r="B897" s="3368" t="s">
        <v>1697</v>
      </c>
      <c r="C897" s="3368">
        <v>0.01</v>
      </c>
      <c r="D897" s="3368" t="s">
        <v>1691</v>
      </c>
      <c r="E897" s="3370">
        <f>+E885</f>
        <v>225.38</v>
      </c>
      <c r="F897" s="3371">
        <f t="shared" si="9"/>
        <v>2.25</v>
      </c>
      <c r="G897" s="3137"/>
      <c r="H897" s="3137"/>
      <c r="I897" s="3137"/>
    </row>
    <row r="898" spans="2:9" s="1999" customFormat="1">
      <c r="B898" s="3368" t="s">
        <v>1698</v>
      </c>
      <c r="C898" s="3368">
        <v>1</v>
      </c>
      <c r="D898" s="3368" t="s">
        <v>1691</v>
      </c>
      <c r="E898" s="3370">
        <v>380</v>
      </c>
      <c r="F898" s="3371">
        <f t="shared" si="9"/>
        <v>380</v>
      </c>
      <c r="G898" s="3137"/>
      <c r="H898" s="3137"/>
      <c r="I898" s="3137"/>
    </row>
    <row r="899" spans="2:9" s="1999" customFormat="1">
      <c r="B899" s="3368" t="s">
        <v>1704</v>
      </c>
      <c r="C899" s="3368"/>
      <c r="D899" s="3368"/>
      <c r="E899" s="3371">
        <v>0.2</v>
      </c>
      <c r="F899" s="3371">
        <f>ROUND(E899*(SUM(F891:F898)),2)</f>
        <v>258.55</v>
      </c>
      <c r="G899" s="3137"/>
      <c r="H899" s="3137"/>
      <c r="I899" s="3137"/>
    </row>
    <row r="900" spans="2:9" s="1999" customFormat="1">
      <c r="B900" s="3231"/>
      <c r="C900" s="3231"/>
      <c r="D900" s="3231"/>
      <c r="E900" s="3231" t="s">
        <v>1039</v>
      </c>
      <c r="F900" s="3373">
        <f>ROUND(SUM(F891:F899),2)</f>
        <v>1551.32</v>
      </c>
      <c r="G900" s="3137"/>
      <c r="H900" s="3137"/>
      <c r="I900" s="3137"/>
    </row>
    <row r="901" spans="2:9" s="1999" customFormat="1">
      <c r="B901" s="3231"/>
      <c r="C901" s="3231"/>
      <c r="D901" s="3231"/>
      <c r="E901" s="3231"/>
      <c r="F901" s="3231"/>
      <c r="G901" s="3137"/>
      <c r="H901" s="3137"/>
      <c r="I901" s="3137"/>
    </row>
    <row r="902" spans="2:9" s="1999" customFormat="1">
      <c r="B902" s="3369" t="s">
        <v>1707</v>
      </c>
      <c r="C902" s="3369"/>
      <c r="D902" s="1915"/>
      <c r="E902" s="3231"/>
      <c r="F902" s="3231"/>
      <c r="G902" s="3137"/>
      <c r="H902" s="3137"/>
      <c r="I902" s="3137"/>
    </row>
    <row r="903" spans="2:9" s="1999" customFormat="1">
      <c r="B903" s="3368" t="s">
        <v>1690</v>
      </c>
      <c r="C903" s="3368">
        <v>1</v>
      </c>
      <c r="D903" s="3368" t="s">
        <v>1691</v>
      </c>
      <c r="E903" s="3370">
        <f>+E891</f>
        <v>135.69999999999999</v>
      </c>
      <c r="F903" s="3371">
        <f t="shared" ref="F903:F910" si="10">ROUND(C903*E903,2)</f>
        <v>135.69999999999999</v>
      </c>
      <c r="G903" s="3137"/>
      <c r="H903" s="3137"/>
      <c r="I903" s="3137"/>
    </row>
    <row r="904" spans="2:9" s="1999" customFormat="1">
      <c r="B904" s="3368" t="s">
        <v>1706</v>
      </c>
      <c r="C904" s="3368">
        <v>1</v>
      </c>
      <c r="D904" s="3368" t="s">
        <v>1691</v>
      </c>
      <c r="E904" s="3370">
        <f>+E892</f>
        <v>36.4</v>
      </c>
      <c r="F904" s="3371">
        <f t="shared" si="10"/>
        <v>36.4</v>
      </c>
      <c r="G904" s="3137"/>
      <c r="H904" s="3137"/>
      <c r="I904" s="3137"/>
    </row>
    <row r="905" spans="2:9" s="1999" customFormat="1">
      <c r="B905" s="3368" t="s">
        <v>1708</v>
      </c>
      <c r="C905" s="3368">
        <v>60</v>
      </c>
      <c r="D905" s="3368" t="s">
        <v>1694</v>
      </c>
      <c r="E905" s="3370">
        <f>+E893</f>
        <v>9.44</v>
      </c>
      <c r="F905" s="3371">
        <f t="shared" si="10"/>
        <v>566.4</v>
      </c>
      <c r="G905" s="3137"/>
      <c r="H905" s="3137"/>
      <c r="I905" s="3137"/>
    </row>
    <row r="906" spans="2:9" s="1999" customFormat="1">
      <c r="B906" s="3368" t="s">
        <v>1702</v>
      </c>
      <c r="C906" s="3368">
        <v>1</v>
      </c>
      <c r="D906" s="3368" t="s">
        <v>1691</v>
      </c>
      <c r="E906" s="3370">
        <v>96.58</v>
      </c>
      <c r="F906" s="3371">
        <f t="shared" si="10"/>
        <v>96.58</v>
      </c>
      <c r="G906" s="3137"/>
      <c r="H906" s="3137"/>
      <c r="I906" s="3137"/>
    </row>
    <row r="907" spans="2:9" s="1999" customFormat="1">
      <c r="B907" s="3368" t="s">
        <v>1703</v>
      </c>
      <c r="C907" s="3368">
        <v>2</v>
      </c>
      <c r="D907" s="3368" t="s">
        <v>1691</v>
      </c>
      <c r="E907" s="3370">
        <v>6.75</v>
      </c>
      <c r="F907" s="3371">
        <f t="shared" si="10"/>
        <v>13.5</v>
      </c>
      <c r="G907" s="3137"/>
      <c r="H907" s="3137"/>
      <c r="I907" s="3137"/>
    </row>
    <row r="908" spans="2:9" s="1999" customFormat="1">
      <c r="B908" s="3368" t="s">
        <v>1696</v>
      </c>
      <c r="C908" s="3368">
        <v>0.05</v>
      </c>
      <c r="D908" s="3368" t="s">
        <v>1691</v>
      </c>
      <c r="E908" s="3370">
        <f>+E896</f>
        <v>330.4</v>
      </c>
      <c r="F908" s="3371">
        <f t="shared" si="10"/>
        <v>16.52</v>
      </c>
      <c r="G908" s="3137"/>
      <c r="H908" s="3137"/>
      <c r="I908" s="3137"/>
    </row>
    <row r="909" spans="2:9" s="1999" customFormat="1">
      <c r="B909" s="3368" t="s">
        <v>1697</v>
      </c>
      <c r="C909" s="3368">
        <v>0.01</v>
      </c>
      <c r="D909" s="3368" t="s">
        <v>1691</v>
      </c>
      <c r="E909" s="3370">
        <f>+E897</f>
        <v>225.38</v>
      </c>
      <c r="F909" s="3371">
        <f t="shared" si="10"/>
        <v>2.25</v>
      </c>
      <c r="G909" s="3137"/>
      <c r="H909" s="3137"/>
      <c r="I909" s="3137"/>
    </row>
    <row r="910" spans="2:9" s="1999" customFormat="1">
      <c r="B910" s="3368" t="s">
        <v>1698</v>
      </c>
      <c r="C910" s="3368">
        <v>1</v>
      </c>
      <c r="D910" s="3368" t="s">
        <v>1691</v>
      </c>
      <c r="E910" s="3370">
        <v>300</v>
      </c>
      <c r="F910" s="3371">
        <f t="shared" si="10"/>
        <v>300</v>
      </c>
      <c r="G910" s="3137"/>
      <c r="H910" s="3137"/>
      <c r="I910" s="3137"/>
    </row>
    <row r="911" spans="2:9" s="1999" customFormat="1">
      <c r="B911" s="3368" t="s">
        <v>1704</v>
      </c>
      <c r="C911" s="3368"/>
      <c r="D911" s="3368"/>
      <c r="E911" s="3371">
        <v>0.2</v>
      </c>
      <c r="F911" s="3371">
        <f>ROUND(E911*(SUM(F903:F910)),2)</f>
        <v>233.47</v>
      </c>
      <c r="G911" s="3137"/>
      <c r="H911" s="3137"/>
      <c r="I911" s="3137"/>
    </row>
    <row r="912" spans="2:9" s="1999" customFormat="1">
      <c r="B912" s="3231"/>
      <c r="C912" s="3231"/>
      <c r="D912" s="3231"/>
      <c r="E912" s="3231" t="s">
        <v>1039</v>
      </c>
      <c r="F912" s="3374">
        <f>ROUND(SUM(F903:F911),2)</f>
        <v>1400.82</v>
      </c>
      <c r="G912" s="3137"/>
      <c r="H912" s="3137"/>
      <c r="I912" s="3137"/>
    </row>
    <row r="913" spans="2:9" s="1999" customFormat="1">
      <c r="B913" s="3231"/>
      <c r="C913" s="3231"/>
      <c r="D913" s="3231"/>
      <c r="E913" s="3231"/>
      <c r="F913" s="3231"/>
      <c r="G913" s="3137"/>
      <c r="H913" s="3137"/>
      <c r="I913" s="3137"/>
    </row>
    <row r="914" spans="2:9" s="1999" customFormat="1">
      <c r="B914" s="3369" t="s">
        <v>1709</v>
      </c>
      <c r="C914" s="3369"/>
      <c r="D914" s="1915"/>
      <c r="E914" s="3231"/>
      <c r="F914" s="3231"/>
      <c r="G914" s="3137"/>
      <c r="H914" s="3137"/>
      <c r="I914" s="3137"/>
    </row>
    <row r="915" spans="2:9" s="1999" customFormat="1">
      <c r="B915" s="3368" t="s">
        <v>1710</v>
      </c>
      <c r="C915" s="3368">
        <v>2</v>
      </c>
      <c r="D915" s="3368" t="s">
        <v>1691</v>
      </c>
      <c r="E915" s="3370">
        <v>206.5</v>
      </c>
      <c r="F915" s="3371">
        <f t="shared" ref="F915:F923" si="11">ROUND(C915*E915,2)</f>
        <v>413</v>
      </c>
      <c r="G915" s="3137"/>
      <c r="H915" s="3137"/>
      <c r="I915" s="3137"/>
    </row>
    <row r="916" spans="2:9" s="1999" customFormat="1">
      <c r="B916" s="3368" t="s">
        <v>1711</v>
      </c>
      <c r="C916" s="3368">
        <v>1</v>
      </c>
      <c r="D916" s="3368" t="s">
        <v>1691</v>
      </c>
      <c r="E916" s="3370">
        <f>+E904</f>
        <v>36.4</v>
      </c>
      <c r="F916" s="3371">
        <f t="shared" si="11"/>
        <v>36.4</v>
      </c>
      <c r="G916" s="3137"/>
      <c r="H916" s="3137"/>
      <c r="I916" s="3137"/>
    </row>
    <row r="917" spans="2:9" s="1999" customFormat="1">
      <c r="B917" s="3368" t="s">
        <v>1712</v>
      </c>
      <c r="C917" s="3368">
        <v>80</v>
      </c>
      <c r="D917" s="3368" t="s">
        <v>1694</v>
      </c>
      <c r="E917" s="3370">
        <v>15.1</v>
      </c>
      <c r="F917" s="3371">
        <f t="shared" si="11"/>
        <v>1208</v>
      </c>
      <c r="G917" s="3137"/>
      <c r="H917" s="3137"/>
      <c r="I917" s="3137"/>
    </row>
    <row r="918" spans="2:9" s="1999" customFormat="1">
      <c r="B918" s="3368" t="s">
        <v>1708</v>
      </c>
      <c r="C918" s="3368">
        <v>40</v>
      </c>
      <c r="D918" s="3368" t="s">
        <v>1694</v>
      </c>
      <c r="E918" s="3370">
        <f>+E905</f>
        <v>9.44</v>
      </c>
      <c r="F918" s="3371">
        <f t="shared" si="11"/>
        <v>377.6</v>
      </c>
      <c r="G918" s="3137"/>
      <c r="H918" s="3137"/>
      <c r="I918" s="3137"/>
    </row>
    <row r="919" spans="2:9" s="1999" customFormat="1">
      <c r="B919" s="3368" t="s">
        <v>1702</v>
      </c>
      <c r="C919" s="3368">
        <v>1</v>
      </c>
      <c r="D919" s="3368" t="s">
        <v>1691</v>
      </c>
      <c r="E919" s="3370">
        <v>160.84</v>
      </c>
      <c r="F919" s="3371">
        <f t="shared" si="11"/>
        <v>160.84</v>
      </c>
      <c r="G919" s="3137"/>
      <c r="H919" s="3137"/>
      <c r="I919" s="3137"/>
    </row>
    <row r="920" spans="2:9" s="1999" customFormat="1">
      <c r="B920" s="3368" t="s">
        <v>1713</v>
      </c>
      <c r="C920" s="3368">
        <v>2</v>
      </c>
      <c r="D920" s="3368" t="s">
        <v>1691</v>
      </c>
      <c r="E920" s="3370">
        <v>10.039999999999999</v>
      </c>
      <c r="F920" s="3371">
        <f t="shared" si="11"/>
        <v>20.079999999999998</v>
      </c>
      <c r="G920" s="3137"/>
      <c r="H920" s="3137"/>
      <c r="I920" s="3137"/>
    </row>
    <row r="921" spans="2:9" s="1999" customFormat="1">
      <c r="B921" s="3368" t="s">
        <v>1696</v>
      </c>
      <c r="C921" s="3368">
        <v>0.05</v>
      </c>
      <c r="D921" s="3368" t="s">
        <v>1691</v>
      </c>
      <c r="E921" s="3370">
        <f>+E908</f>
        <v>330.4</v>
      </c>
      <c r="F921" s="3371">
        <f t="shared" si="11"/>
        <v>16.52</v>
      </c>
      <c r="G921" s="3137"/>
      <c r="H921" s="3137"/>
      <c r="I921" s="3137"/>
    </row>
    <row r="922" spans="2:9" s="1999" customFormat="1">
      <c r="B922" s="3368" t="s">
        <v>1697</v>
      </c>
      <c r="C922" s="3368">
        <v>0.01</v>
      </c>
      <c r="D922" s="3368" t="s">
        <v>1691</v>
      </c>
      <c r="E922" s="3370">
        <f>+E909</f>
        <v>225.38</v>
      </c>
      <c r="F922" s="3371">
        <f t="shared" si="11"/>
        <v>2.25</v>
      </c>
      <c r="G922" s="3137"/>
      <c r="H922" s="3137"/>
      <c r="I922" s="3137"/>
    </row>
    <row r="923" spans="2:9" s="1999" customFormat="1">
      <c r="B923" s="3368" t="s">
        <v>1698</v>
      </c>
      <c r="C923" s="3368">
        <v>1</v>
      </c>
      <c r="D923" s="3368" t="s">
        <v>1691</v>
      </c>
      <c r="E923" s="3370">
        <v>380</v>
      </c>
      <c r="F923" s="3371">
        <f t="shared" si="11"/>
        <v>380</v>
      </c>
      <c r="G923" s="3137"/>
      <c r="H923" s="3137"/>
      <c r="I923" s="3137"/>
    </row>
    <row r="924" spans="2:9" s="1999" customFormat="1">
      <c r="B924" s="3368" t="s">
        <v>1704</v>
      </c>
      <c r="C924" s="3368"/>
      <c r="D924" s="3368"/>
      <c r="E924" s="3371">
        <v>0.2</v>
      </c>
      <c r="F924" s="3371">
        <f>ROUND(E924*(SUM(F915:F923)),2)</f>
        <v>522.94000000000005</v>
      </c>
      <c r="G924" s="3137"/>
      <c r="H924" s="3137"/>
      <c r="I924" s="3137"/>
    </row>
    <row r="925" spans="2:9" s="1999" customFormat="1">
      <c r="B925" s="3231"/>
      <c r="C925" s="3231"/>
      <c r="D925" s="3231"/>
      <c r="E925" s="3231" t="s">
        <v>1039</v>
      </c>
      <c r="F925" s="3374">
        <f>ROUND(SUM(F915:F924),2)</f>
        <v>3137.63</v>
      </c>
      <c r="G925" s="3137"/>
      <c r="H925" s="3137"/>
      <c r="I925" s="3137"/>
    </row>
    <row r="926" spans="2:9" s="1999" customFormat="1">
      <c r="B926" s="3231"/>
      <c r="C926" s="3231"/>
      <c r="D926" s="3231"/>
      <c r="E926" s="3231"/>
      <c r="F926" s="3231"/>
      <c r="G926" s="3137"/>
      <c r="H926" s="3137"/>
      <c r="I926" s="3137"/>
    </row>
    <row r="927" spans="2:9" s="1999" customFormat="1">
      <c r="B927" s="3375" t="s">
        <v>2736</v>
      </c>
      <c r="C927" s="3369"/>
      <c r="D927" s="1915"/>
      <c r="E927" s="3231"/>
      <c r="F927" s="3231"/>
      <c r="G927" s="3137"/>
      <c r="H927" s="3137"/>
      <c r="I927" s="3137"/>
    </row>
    <row r="928" spans="2:9" s="1999" customFormat="1">
      <c r="B928" s="3368" t="s">
        <v>1715</v>
      </c>
      <c r="C928" s="3368">
        <v>4</v>
      </c>
      <c r="D928" s="3368" t="s">
        <v>1691</v>
      </c>
      <c r="E928" s="3370">
        <v>299.72000000000003</v>
      </c>
      <c r="F928" s="3371">
        <f>ROUND(C928*E928,2)</f>
        <v>1198.8800000000001</v>
      </c>
      <c r="G928" s="3137"/>
      <c r="H928" s="3137"/>
      <c r="I928" s="3137"/>
    </row>
    <row r="929" spans="2:9" s="1999" customFormat="1">
      <c r="B929" s="3368" t="s">
        <v>1716</v>
      </c>
      <c r="C929" s="3368">
        <v>1</v>
      </c>
      <c r="D929" s="3368" t="s">
        <v>1691</v>
      </c>
      <c r="E929" s="3370">
        <v>825.4</v>
      </c>
      <c r="F929" s="3371">
        <f>ROUND(C929*E929,2)</f>
        <v>825.4</v>
      </c>
      <c r="G929" s="3137"/>
      <c r="H929" s="3137"/>
      <c r="I929" s="3137"/>
    </row>
    <row r="930" spans="2:9" s="1999" customFormat="1">
      <c r="B930" s="3368" t="s">
        <v>1717</v>
      </c>
      <c r="C930" s="3368">
        <v>1</v>
      </c>
      <c r="D930" s="3368" t="s">
        <v>1691</v>
      </c>
      <c r="E930" s="3370">
        <v>400</v>
      </c>
      <c r="F930" s="3371">
        <f>ROUND(C930*E930,2)</f>
        <v>400</v>
      </c>
      <c r="G930" s="3137"/>
      <c r="H930" s="3137"/>
      <c r="I930" s="3137"/>
    </row>
    <row r="931" spans="2:9" s="1999" customFormat="1">
      <c r="B931" s="3368" t="s">
        <v>1718</v>
      </c>
      <c r="C931" s="3368">
        <v>4</v>
      </c>
      <c r="D931" s="3368" t="s">
        <v>1691</v>
      </c>
      <c r="E931" s="3370">
        <v>120</v>
      </c>
      <c r="F931" s="3371">
        <f>ROUND(C931*E931,2)</f>
        <v>480</v>
      </c>
      <c r="G931" s="3137"/>
      <c r="H931" s="3137"/>
      <c r="I931" s="3137"/>
    </row>
    <row r="932" spans="2:9" s="1999" customFormat="1">
      <c r="B932" s="3368" t="s">
        <v>1704</v>
      </c>
      <c r="C932" s="3368"/>
      <c r="D932" s="3368"/>
      <c r="E932" s="3371">
        <v>0.2</v>
      </c>
      <c r="F932" s="3371">
        <f>ROUND(E932*(SUM(F928:F931)),2)</f>
        <v>580.86</v>
      </c>
      <c r="G932" s="3137"/>
      <c r="H932" s="3137"/>
      <c r="I932" s="3137"/>
    </row>
    <row r="933" spans="2:9" s="1999" customFormat="1">
      <c r="B933" s="3231"/>
      <c r="C933" s="3231"/>
      <c r="D933" s="3231"/>
      <c r="E933" s="3231" t="s">
        <v>1039</v>
      </c>
      <c r="F933" s="3374">
        <f>ROUND(SUM(F928:F932),2)</f>
        <v>3485.14</v>
      </c>
      <c r="G933" s="3137"/>
      <c r="H933" s="3137"/>
      <c r="I933" s="3137"/>
    </row>
    <row r="934" spans="2:9" s="1999" customFormat="1">
      <c r="B934" s="1916"/>
      <c r="C934" s="1916"/>
      <c r="D934" s="1916"/>
      <c r="E934" s="1916"/>
      <c r="F934" s="1916"/>
      <c r="G934" s="3137"/>
      <c r="H934" s="3137"/>
      <c r="I934" s="3137"/>
    </row>
    <row r="935" spans="2:9" s="1999" customFormat="1">
      <c r="B935" s="3369" t="s">
        <v>2448</v>
      </c>
      <c r="C935" s="3369"/>
      <c r="D935" s="1915"/>
      <c r="E935" s="3231"/>
      <c r="F935" s="3231"/>
      <c r="G935" s="3137"/>
      <c r="H935" s="3137"/>
      <c r="I935" s="3137"/>
    </row>
    <row r="936" spans="2:9" s="1999" customFormat="1">
      <c r="B936" s="3368" t="s">
        <v>1715</v>
      </c>
      <c r="C936" s="3368">
        <v>8</v>
      </c>
      <c r="D936" s="3368" t="s">
        <v>1691</v>
      </c>
      <c r="E936" s="3370">
        <v>299.72000000000003</v>
      </c>
      <c r="F936" s="3371">
        <f>ROUND(C936*E936,2)</f>
        <v>2397.7600000000002</v>
      </c>
      <c r="G936" s="3137"/>
      <c r="H936" s="3137"/>
      <c r="I936" s="3137"/>
    </row>
    <row r="937" spans="2:9" s="1999" customFormat="1" ht="15.75">
      <c r="B937" s="3368" t="s">
        <v>1716</v>
      </c>
      <c r="C937" s="3368">
        <v>1</v>
      </c>
      <c r="D937" s="3368" t="s">
        <v>1691</v>
      </c>
      <c r="E937" s="3376">
        <v>2452.56</v>
      </c>
      <c r="F937" s="3371">
        <f>ROUND(C937*E937,2)</f>
        <v>2452.56</v>
      </c>
      <c r="G937" s="3137"/>
      <c r="H937" s="3137"/>
      <c r="I937" s="3137"/>
    </row>
    <row r="938" spans="2:9" s="1999" customFormat="1">
      <c r="B938" s="3368" t="s">
        <v>1717</v>
      </c>
      <c r="C938" s="3368">
        <v>1</v>
      </c>
      <c r="D938" s="3368" t="s">
        <v>1691</v>
      </c>
      <c r="E938" s="3370">
        <v>500</v>
      </c>
      <c r="F938" s="3371">
        <f>ROUND(C938*E938,2)</f>
        <v>500</v>
      </c>
      <c r="G938" s="3137"/>
      <c r="H938" s="3137"/>
      <c r="I938" s="3137"/>
    </row>
    <row r="939" spans="2:9" s="1999" customFormat="1">
      <c r="B939" s="3368" t="s">
        <v>1718</v>
      </c>
      <c r="C939" s="3368">
        <f>C936</f>
        <v>8</v>
      </c>
      <c r="D939" s="3368" t="s">
        <v>1691</v>
      </c>
      <c r="E939" s="3370">
        <v>120</v>
      </c>
      <c r="F939" s="3371">
        <f>ROUND(C939*E939,2)</f>
        <v>960</v>
      </c>
      <c r="G939" s="3137"/>
      <c r="H939" s="3137"/>
      <c r="I939" s="3137"/>
    </row>
    <row r="940" spans="2:9" s="1999" customFormat="1">
      <c r="B940" s="3368" t="s">
        <v>1704</v>
      </c>
      <c r="C940" s="3368"/>
      <c r="D940" s="3368"/>
      <c r="E940" s="3371">
        <v>0.2</v>
      </c>
      <c r="F940" s="3371">
        <f>ROUND(E940*(SUM(F936:F939)),2)</f>
        <v>1262.06</v>
      </c>
      <c r="G940" s="3137"/>
      <c r="H940" s="3137"/>
      <c r="I940" s="3137"/>
    </row>
    <row r="941" spans="2:9" s="1999" customFormat="1">
      <c r="B941" s="3231"/>
      <c r="C941" s="3231"/>
      <c r="D941" s="3231"/>
      <c r="E941" s="3231" t="s">
        <v>1039</v>
      </c>
      <c r="F941" s="3374">
        <f>ROUND(SUM(F936:F940),2)</f>
        <v>7572.38</v>
      </c>
      <c r="G941" s="3137"/>
      <c r="H941" s="3137"/>
      <c r="I941" s="3137"/>
    </row>
    <row r="942" spans="2:9" s="1999" customFormat="1">
      <c r="B942" s="1916"/>
      <c r="C942" s="1916"/>
      <c r="D942" s="1916"/>
      <c r="E942" s="1916"/>
      <c r="F942" s="1916"/>
      <c r="G942" s="3137"/>
      <c r="H942" s="3137"/>
      <c r="I942" s="3137"/>
    </row>
    <row r="943" spans="2:9" s="1999" customFormat="1">
      <c r="B943" s="3375" t="s">
        <v>2737</v>
      </c>
      <c r="C943" s="3369"/>
      <c r="D943" s="1915"/>
      <c r="E943" s="3231"/>
      <c r="F943" s="3231"/>
      <c r="G943" s="3137"/>
      <c r="H943" s="3137"/>
      <c r="I943" s="3137"/>
    </row>
    <row r="944" spans="2:9" s="1999" customFormat="1">
      <c r="B944" s="3368" t="s">
        <v>1715</v>
      </c>
      <c r="C944" s="3368">
        <v>12</v>
      </c>
      <c r="D944" s="3368" t="s">
        <v>1691</v>
      </c>
      <c r="E944" s="3370">
        <v>299.72000000000003</v>
      </c>
      <c r="F944" s="3371">
        <f>ROUND(C944*E944,2)</f>
        <v>3596.64</v>
      </c>
      <c r="G944" s="3137"/>
      <c r="H944" s="3137"/>
      <c r="I944" s="3137"/>
    </row>
    <row r="945" spans="2:9" s="1999" customFormat="1" ht="15.75">
      <c r="B945" s="3368" t="s">
        <v>1716</v>
      </c>
      <c r="C945" s="3368">
        <v>1</v>
      </c>
      <c r="D945" s="3368" t="s">
        <v>1691</v>
      </c>
      <c r="E945" s="3376">
        <v>2630.84</v>
      </c>
      <c r="F945" s="3371">
        <f>ROUND(C945*E945,2)</f>
        <v>2630.84</v>
      </c>
      <c r="G945" s="3137"/>
      <c r="H945" s="3137"/>
      <c r="I945" s="3137"/>
    </row>
    <row r="946" spans="2:9" s="1999" customFormat="1">
      <c r="B946" s="3368" t="s">
        <v>1717</v>
      </c>
      <c r="C946" s="3368">
        <v>1</v>
      </c>
      <c r="D946" s="3368" t="s">
        <v>1691</v>
      </c>
      <c r="E946" s="3370">
        <v>600</v>
      </c>
      <c r="F946" s="3371">
        <f>ROUND(C946*E946,2)</f>
        <v>600</v>
      </c>
      <c r="G946" s="3137"/>
      <c r="H946" s="3137"/>
      <c r="I946" s="3137"/>
    </row>
    <row r="947" spans="2:9" s="1999" customFormat="1">
      <c r="B947" s="3368" t="s">
        <v>1718</v>
      </c>
      <c r="C947" s="3368">
        <f>C944</f>
        <v>12</v>
      </c>
      <c r="D947" s="3368" t="s">
        <v>1691</v>
      </c>
      <c r="E947" s="3370">
        <v>120</v>
      </c>
      <c r="F947" s="3371">
        <f>ROUND(C947*E947,2)</f>
        <v>1440</v>
      </c>
      <c r="G947" s="3137"/>
      <c r="H947" s="3137"/>
      <c r="I947" s="3137"/>
    </row>
    <row r="948" spans="2:9" s="1999" customFormat="1">
      <c r="B948" s="3368" t="s">
        <v>1704</v>
      </c>
      <c r="C948" s="3368"/>
      <c r="D948" s="3368"/>
      <c r="E948" s="3371">
        <v>0.2</v>
      </c>
      <c r="F948" s="3371">
        <f>ROUND(E948*(SUM(F944:F947)),2)</f>
        <v>1653.5</v>
      </c>
      <c r="G948" s="3137"/>
      <c r="H948" s="3137"/>
      <c r="I948" s="3137"/>
    </row>
    <row r="949" spans="2:9" s="1999" customFormat="1">
      <c r="B949" s="3231"/>
      <c r="C949" s="3231"/>
      <c r="D949" s="3231"/>
      <c r="E949" s="3231" t="s">
        <v>1039</v>
      </c>
      <c r="F949" s="3374">
        <f>ROUND(SUM(F944:F948),2)</f>
        <v>9920.98</v>
      </c>
      <c r="G949" s="3137"/>
      <c r="H949" s="3137"/>
      <c r="I949" s="3137"/>
    </row>
    <row r="950" spans="2:9" s="1999" customFormat="1">
      <c r="B950" s="1916"/>
      <c r="C950" s="1916"/>
      <c r="D950" s="1916"/>
      <c r="E950" s="1916"/>
      <c r="F950" s="1916"/>
      <c r="G950" s="3137"/>
      <c r="H950" s="3137"/>
      <c r="I950" s="3137"/>
    </row>
    <row r="951" spans="2:9" s="1999" customFormat="1">
      <c r="B951" s="3375" t="s">
        <v>2738</v>
      </c>
      <c r="C951" s="3369"/>
      <c r="D951" s="1915"/>
      <c r="E951" s="3231"/>
      <c r="F951" s="3231"/>
      <c r="G951" s="3137"/>
      <c r="H951" s="3137"/>
      <c r="I951" s="3137"/>
    </row>
    <row r="952" spans="2:9" s="1999" customFormat="1">
      <c r="B952" s="3368" t="s">
        <v>1715</v>
      </c>
      <c r="C952" s="3368">
        <v>16</v>
      </c>
      <c r="D952" s="3368" t="s">
        <v>1691</v>
      </c>
      <c r="E952" s="3370">
        <v>299.72000000000003</v>
      </c>
      <c r="F952" s="3371">
        <f>ROUND(C952*E952,2)</f>
        <v>4795.5200000000004</v>
      </c>
      <c r="G952" s="3137"/>
      <c r="H952" s="3137"/>
      <c r="I952" s="3137"/>
    </row>
    <row r="953" spans="2:9" s="1999" customFormat="1" ht="15.75">
      <c r="B953" s="3368" t="s">
        <v>1716</v>
      </c>
      <c r="C953" s="3368">
        <v>1</v>
      </c>
      <c r="D953" s="3368" t="s">
        <v>1691</v>
      </c>
      <c r="E953" s="3376">
        <v>2896.61</v>
      </c>
      <c r="F953" s="3371">
        <f>ROUND(C953*E953,2)</f>
        <v>2896.61</v>
      </c>
      <c r="G953" s="3137"/>
      <c r="H953" s="3137"/>
      <c r="I953" s="3137"/>
    </row>
    <row r="954" spans="2:9" s="1999" customFormat="1">
      <c r="B954" s="3368" t="s">
        <v>1717</v>
      </c>
      <c r="C954" s="3368">
        <v>1</v>
      </c>
      <c r="D954" s="3368" t="s">
        <v>1691</v>
      </c>
      <c r="E954" s="3370">
        <v>800</v>
      </c>
      <c r="F954" s="3371">
        <f>ROUND(C954*E954,2)</f>
        <v>800</v>
      </c>
      <c r="G954" s="3137"/>
      <c r="H954" s="3137"/>
      <c r="I954" s="3137"/>
    </row>
    <row r="955" spans="2:9" s="1999" customFormat="1">
      <c r="B955" s="3368" t="s">
        <v>1718</v>
      </c>
      <c r="C955" s="3368">
        <f>C952</f>
        <v>16</v>
      </c>
      <c r="D955" s="3368" t="s">
        <v>1691</v>
      </c>
      <c r="E955" s="3370">
        <v>120</v>
      </c>
      <c r="F955" s="3371">
        <f>ROUND(C955*E955,2)</f>
        <v>1920</v>
      </c>
      <c r="G955" s="3137"/>
      <c r="H955" s="3137"/>
      <c r="I955" s="3137"/>
    </row>
    <row r="956" spans="2:9" s="1999" customFormat="1">
      <c r="B956" s="3368" t="s">
        <v>1704</v>
      </c>
      <c r="C956" s="3368"/>
      <c r="D956" s="3368"/>
      <c r="E956" s="3371">
        <v>0.2</v>
      </c>
      <c r="F956" s="3371">
        <f>ROUND(E956*(SUM(F952:F955)),2)</f>
        <v>2082.4299999999998</v>
      </c>
      <c r="G956" s="3137"/>
      <c r="H956" s="3137"/>
      <c r="I956" s="3137"/>
    </row>
    <row r="957" spans="2:9" s="1999" customFormat="1">
      <c r="B957" s="3231"/>
      <c r="C957" s="3231"/>
      <c r="D957" s="3231"/>
      <c r="E957" s="3231" t="s">
        <v>1039</v>
      </c>
      <c r="F957" s="3374">
        <f>ROUND(SUM(F952:F956),2)</f>
        <v>12494.56</v>
      </c>
      <c r="G957" s="3137"/>
      <c r="H957" s="3137"/>
      <c r="I957" s="3137"/>
    </row>
    <row r="958" spans="2:9" s="1999" customFormat="1">
      <c r="B958" s="1916"/>
      <c r="C958" s="1916"/>
      <c r="D958" s="1916"/>
      <c r="E958" s="1916"/>
      <c r="F958" s="1916"/>
      <c r="G958" s="3137"/>
      <c r="H958" s="3137"/>
      <c r="I958" s="3137"/>
    </row>
    <row r="959" spans="2:9" s="1999" customFormat="1">
      <c r="B959" s="1916"/>
      <c r="C959" s="1916"/>
      <c r="D959" s="1916"/>
      <c r="E959" s="1916"/>
      <c r="F959" s="1916"/>
      <c r="G959" s="3137"/>
      <c r="H959" s="3137"/>
      <c r="I959" s="3137"/>
    </row>
    <row r="960" spans="2:9" s="1999" customFormat="1">
      <c r="B960" s="1916" t="s">
        <v>1719</v>
      </c>
      <c r="C960" s="1916"/>
      <c r="D960" s="1916"/>
      <c r="E960" s="1916"/>
      <c r="F960" s="1916"/>
      <c r="G960" s="3137"/>
      <c r="H960" s="3137"/>
      <c r="I960" s="3137"/>
    </row>
    <row r="961" spans="2:9" s="1999" customFormat="1">
      <c r="B961" s="1916" t="s">
        <v>1720</v>
      </c>
      <c r="C961" s="1916"/>
      <c r="D961" s="1119"/>
      <c r="E961" s="1916"/>
      <c r="F961" s="1916"/>
      <c r="G961" s="3137"/>
      <c r="H961" s="3137"/>
      <c r="I961" s="3137"/>
    </row>
    <row r="962" spans="2:9" s="1999" customFormat="1">
      <c r="B962" s="1916" t="s">
        <v>1721</v>
      </c>
      <c r="C962" s="1916">
        <v>1</v>
      </c>
      <c r="D962" s="1916" t="s">
        <v>1691</v>
      </c>
      <c r="E962" s="1916">
        <v>1900</v>
      </c>
      <c r="F962" s="1916">
        <f t="shared" ref="F962:F972" si="12">ROUND(C962*E962,2)</f>
        <v>1900</v>
      </c>
      <c r="G962" s="3137"/>
      <c r="H962" s="3137"/>
      <c r="I962" s="3137"/>
    </row>
    <row r="963" spans="2:9" s="1999" customFormat="1">
      <c r="B963" s="1916" t="s">
        <v>3518</v>
      </c>
      <c r="C963" s="1916">
        <v>1</v>
      </c>
      <c r="D963" s="1916" t="s">
        <v>1691</v>
      </c>
      <c r="E963" s="1916">
        <v>41.2</v>
      </c>
      <c r="F963" s="1916">
        <f t="shared" si="12"/>
        <v>41.2</v>
      </c>
      <c r="G963" s="3137"/>
      <c r="H963" s="3137"/>
      <c r="I963" s="3137"/>
    </row>
    <row r="964" spans="2:9" s="1999" customFormat="1">
      <c r="B964" s="1916" t="s">
        <v>1722</v>
      </c>
      <c r="C964" s="1916">
        <v>1</v>
      </c>
      <c r="D964" s="1916" t="s">
        <v>1723</v>
      </c>
      <c r="E964" s="1916">
        <v>15</v>
      </c>
      <c r="F964" s="1916">
        <f t="shared" si="12"/>
        <v>15</v>
      </c>
      <c r="G964" s="3137"/>
      <c r="H964" s="3137"/>
      <c r="I964" s="3137"/>
    </row>
    <row r="965" spans="2:9" s="1999" customFormat="1">
      <c r="B965" s="1916" t="s">
        <v>1724</v>
      </c>
      <c r="C965" s="1916">
        <v>1</v>
      </c>
      <c r="D965" s="1916" t="s">
        <v>1691</v>
      </c>
      <c r="E965" s="1916">
        <v>15.08</v>
      </c>
      <c r="F965" s="1916">
        <f t="shared" si="12"/>
        <v>15.08</v>
      </c>
      <c r="G965" s="3137"/>
      <c r="H965" s="3137"/>
      <c r="I965" s="3137"/>
    </row>
    <row r="966" spans="2:9" s="1999" customFormat="1">
      <c r="B966" s="1916" t="s">
        <v>1725</v>
      </c>
      <c r="C966" s="1916">
        <v>0.04</v>
      </c>
      <c r="D966" s="1916" t="s">
        <v>1726</v>
      </c>
      <c r="E966" s="1916">
        <v>374.68</v>
      </c>
      <c r="F966" s="1916">
        <f t="shared" si="12"/>
        <v>14.99</v>
      </c>
      <c r="G966" s="3137"/>
      <c r="H966" s="3137"/>
      <c r="I966" s="3137"/>
    </row>
    <row r="967" spans="2:9" s="1999" customFormat="1">
      <c r="B967" s="1916" t="s">
        <v>1727</v>
      </c>
      <c r="C967" s="1916">
        <v>1</v>
      </c>
      <c r="D967" s="1916" t="s">
        <v>1691</v>
      </c>
      <c r="E967" s="1916">
        <v>92.8</v>
      </c>
      <c r="F967" s="1916">
        <f t="shared" si="12"/>
        <v>92.8</v>
      </c>
      <c r="G967" s="3137"/>
      <c r="H967" s="3137"/>
      <c r="I967" s="3137"/>
    </row>
    <row r="968" spans="2:9" s="1999" customFormat="1">
      <c r="B968" s="1916" t="s">
        <v>1728</v>
      </c>
      <c r="C968" s="1916">
        <v>1</v>
      </c>
      <c r="D968" s="1916" t="s">
        <v>1691</v>
      </c>
      <c r="E968" s="1916">
        <v>33.409999999999997</v>
      </c>
      <c r="F968" s="1916">
        <f t="shared" si="12"/>
        <v>33.409999999999997</v>
      </c>
      <c r="G968" s="3137"/>
      <c r="H968" s="3137"/>
      <c r="I968" s="3137"/>
    </row>
    <row r="969" spans="2:9" s="1999" customFormat="1">
      <c r="B969" s="1916" t="s">
        <v>1729</v>
      </c>
      <c r="C969" s="1916">
        <v>1</v>
      </c>
      <c r="D969" s="1916" t="s">
        <v>1691</v>
      </c>
      <c r="E969" s="1916">
        <v>4.6399999999999997</v>
      </c>
      <c r="F969" s="1916">
        <f t="shared" si="12"/>
        <v>4.6399999999999997</v>
      </c>
      <c r="G969" s="3137"/>
      <c r="H969" s="3137"/>
      <c r="I969" s="3137"/>
    </row>
    <row r="970" spans="2:9" s="1999" customFormat="1">
      <c r="B970" s="1916" t="s">
        <v>1730</v>
      </c>
      <c r="C970" s="1916">
        <v>1</v>
      </c>
      <c r="D970" s="1916" t="s">
        <v>1691</v>
      </c>
      <c r="E970" s="1916">
        <v>32.479999999999997</v>
      </c>
      <c r="F970" s="1916">
        <f t="shared" si="12"/>
        <v>32.479999999999997</v>
      </c>
      <c r="G970" s="3137"/>
      <c r="H970" s="3137"/>
      <c r="I970" s="3137"/>
    </row>
    <row r="971" spans="2:9" s="1999" customFormat="1">
      <c r="B971" s="1916" t="s">
        <v>1731</v>
      </c>
      <c r="C971" s="1916">
        <v>0.1</v>
      </c>
      <c r="D971" s="1916" t="s">
        <v>1732</v>
      </c>
      <c r="E971" s="1916">
        <v>15</v>
      </c>
      <c r="F971" s="1916">
        <f t="shared" si="12"/>
        <v>1.5</v>
      </c>
      <c r="G971" s="3137"/>
      <c r="H971" s="3137"/>
      <c r="I971" s="3137"/>
    </row>
    <row r="972" spans="2:9" s="1999" customFormat="1">
      <c r="B972" s="1916" t="s">
        <v>1733</v>
      </c>
      <c r="C972" s="1916">
        <v>1</v>
      </c>
      <c r="D972" s="1916" t="s">
        <v>1691</v>
      </c>
      <c r="E972" s="1916">
        <v>350</v>
      </c>
      <c r="F972" s="1916">
        <f t="shared" si="12"/>
        <v>350</v>
      </c>
      <c r="G972" s="3137"/>
      <c r="H972" s="3137"/>
      <c r="I972" s="3137"/>
    </row>
    <row r="973" spans="2:9" s="1999" customFormat="1">
      <c r="B973" s="1916"/>
      <c r="C973" s="1916"/>
      <c r="D973" s="1916"/>
      <c r="E973" s="1916" t="s">
        <v>1039</v>
      </c>
      <c r="F973" s="1916">
        <f>ROUND(SUM(F962:F972),2)</f>
        <v>2501.1</v>
      </c>
      <c r="G973" s="3137"/>
      <c r="H973" s="3137"/>
      <c r="I973" s="3137"/>
    </row>
    <row r="974" spans="2:9" s="1999" customFormat="1">
      <c r="B974" s="1916"/>
      <c r="C974" s="1916"/>
      <c r="D974" s="1916"/>
      <c r="E974" s="1916"/>
      <c r="F974" s="1916"/>
      <c r="G974" s="3137"/>
      <c r="H974" s="3137"/>
      <c r="I974" s="3137"/>
    </row>
    <row r="975" spans="2:9" s="1999" customFormat="1">
      <c r="B975" s="1916" t="s">
        <v>1734</v>
      </c>
      <c r="C975" s="1916"/>
      <c r="D975" s="1119"/>
      <c r="E975" s="1916"/>
      <c r="F975" s="1916"/>
      <c r="G975" s="3137"/>
      <c r="H975" s="3137"/>
      <c r="I975" s="3137"/>
    </row>
    <row r="976" spans="2:9" s="1999" customFormat="1">
      <c r="B976" s="1916" t="s">
        <v>1735</v>
      </c>
      <c r="C976" s="1916">
        <v>1</v>
      </c>
      <c r="D976" s="1916" t="s">
        <v>1691</v>
      </c>
      <c r="E976" s="1916">
        <v>226.2</v>
      </c>
      <c r="F976" s="1916">
        <f>ROUND(C976*E976,2)</f>
        <v>226.2</v>
      </c>
      <c r="G976" s="3137"/>
      <c r="H976" s="3137"/>
      <c r="I976" s="3137"/>
    </row>
    <row r="977" spans="2:9" s="1999" customFormat="1">
      <c r="B977" s="1916" t="s">
        <v>3515</v>
      </c>
      <c r="C977" s="1916">
        <v>1</v>
      </c>
      <c r="D977" s="1916" t="s">
        <v>1691</v>
      </c>
      <c r="E977" s="1916">
        <v>88.16</v>
      </c>
      <c r="F977" s="1916">
        <f>ROUND(C977*E977,2)</f>
        <v>88.16</v>
      </c>
      <c r="G977" s="3137"/>
      <c r="H977" s="3137"/>
      <c r="I977" s="3137"/>
    </row>
    <row r="978" spans="2:9" s="1999" customFormat="1">
      <c r="B978" s="1916" t="s">
        <v>1725</v>
      </c>
      <c r="C978" s="1916">
        <v>0.03</v>
      </c>
      <c r="D978" s="1916" t="s">
        <v>1726</v>
      </c>
      <c r="E978" s="1916">
        <v>374.68</v>
      </c>
      <c r="F978" s="1916">
        <f>ROUND(C978*E978,2)</f>
        <v>11.24</v>
      </c>
      <c r="G978" s="3137"/>
      <c r="H978" s="3137"/>
      <c r="I978" s="3137"/>
    </row>
    <row r="979" spans="2:9" s="1999" customFormat="1">
      <c r="B979" s="1916" t="s">
        <v>1731</v>
      </c>
      <c r="C979" s="1916">
        <v>0.1</v>
      </c>
      <c r="D979" s="1916" t="s">
        <v>1732</v>
      </c>
      <c r="E979" s="1916">
        <v>15</v>
      </c>
      <c r="F979" s="1916">
        <f>ROUND(C979*E979,2)</f>
        <v>1.5</v>
      </c>
      <c r="G979" s="3137"/>
      <c r="H979" s="3137"/>
      <c r="I979" s="3137"/>
    </row>
    <row r="980" spans="2:9" s="1999" customFormat="1">
      <c r="B980" s="1916" t="s">
        <v>1736</v>
      </c>
      <c r="C980" s="1916">
        <v>1</v>
      </c>
      <c r="D980" s="1916" t="s">
        <v>1691</v>
      </c>
      <c r="E980" s="1916">
        <v>200</v>
      </c>
      <c r="F980" s="1916">
        <f>ROUND(C980*E980,2)</f>
        <v>200</v>
      </c>
      <c r="G980" s="3137"/>
      <c r="H980" s="3137"/>
      <c r="I980" s="3137"/>
    </row>
    <row r="981" spans="2:9" s="1999" customFormat="1">
      <c r="B981" s="1916"/>
      <c r="C981" s="1916"/>
      <c r="D981" s="1916"/>
      <c r="E981" s="1916" t="s">
        <v>1039</v>
      </c>
      <c r="F981" s="1916">
        <f>ROUND(SUM(F976:F980),2)</f>
        <v>527.1</v>
      </c>
      <c r="G981" s="3137"/>
      <c r="H981" s="3137"/>
      <c r="I981" s="3137"/>
    </row>
    <row r="982" spans="2:9" s="1999" customFormat="1">
      <c r="B982" s="1916"/>
      <c r="C982" s="1916"/>
      <c r="D982" s="1916"/>
      <c r="E982" s="1916"/>
      <c r="F982" s="1916"/>
      <c r="G982" s="3137"/>
      <c r="H982" s="3137"/>
      <c r="I982" s="3137"/>
    </row>
    <row r="983" spans="2:9" s="1999" customFormat="1">
      <c r="B983" s="1916" t="s">
        <v>1737</v>
      </c>
      <c r="C983" s="1916"/>
      <c r="D983" s="1119"/>
      <c r="E983" s="1916"/>
      <c r="F983" s="1916"/>
      <c r="G983" s="3137"/>
      <c r="H983" s="3137"/>
      <c r="I983" s="3137"/>
    </row>
    <row r="984" spans="2:9" s="1999" customFormat="1">
      <c r="B984" s="1916" t="s">
        <v>1738</v>
      </c>
      <c r="C984" s="1916">
        <v>1</v>
      </c>
      <c r="D984" s="1916" t="s">
        <v>1691</v>
      </c>
      <c r="E984" s="1916">
        <v>750</v>
      </c>
      <c r="F984" s="1916">
        <f t="shared" ref="F984:F994" si="13">ROUND(C984*E984,2)</f>
        <v>750</v>
      </c>
      <c r="G984" s="3137"/>
      <c r="H984" s="3137"/>
      <c r="I984" s="3137"/>
    </row>
    <row r="985" spans="2:9" s="1999" customFormat="1">
      <c r="B985" s="1916" t="s">
        <v>1739</v>
      </c>
      <c r="C985" s="1916">
        <v>1</v>
      </c>
      <c r="D985" s="1916" t="s">
        <v>1691</v>
      </c>
      <c r="E985" s="1916">
        <v>200</v>
      </c>
      <c r="F985" s="1916">
        <f t="shared" si="13"/>
        <v>200</v>
      </c>
      <c r="G985" s="3137"/>
      <c r="H985" s="3137"/>
      <c r="I985" s="3137"/>
    </row>
    <row r="986" spans="2:9" s="1999" customFormat="1">
      <c r="B986" s="1916" t="s">
        <v>1740</v>
      </c>
      <c r="C986" s="1916">
        <v>1</v>
      </c>
      <c r="D986" s="1916" t="s">
        <v>1691</v>
      </c>
      <c r="E986" s="1916">
        <v>76.56</v>
      </c>
      <c r="F986" s="1916">
        <f t="shared" si="13"/>
        <v>76.56</v>
      </c>
      <c r="G986" s="3137"/>
      <c r="H986" s="3137"/>
      <c r="I986" s="3137"/>
    </row>
    <row r="987" spans="2:9" s="1999" customFormat="1">
      <c r="B987" s="1916" t="s">
        <v>1741</v>
      </c>
      <c r="C987" s="1916">
        <v>1</v>
      </c>
      <c r="D987" s="1916" t="s">
        <v>1691</v>
      </c>
      <c r="E987" s="1916">
        <v>37.24</v>
      </c>
      <c r="F987" s="1916">
        <f t="shared" si="13"/>
        <v>37.24</v>
      </c>
      <c r="G987" s="3137"/>
      <c r="H987" s="3137"/>
      <c r="I987" s="3137"/>
    </row>
    <row r="988" spans="2:9" s="1999" customFormat="1">
      <c r="B988" s="1916" t="s">
        <v>1725</v>
      </c>
      <c r="C988" s="1916">
        <v>0.03</v>
      </c>
      <c r="D988" s="1916" t="s">
        <v>1726</v>
      </c>
      <c r="E988" s="1916">
        <v>374.68</v>
      </c>
      <c r="F988" s="1916">
        <f t="shared" si="13"/>
        <v>11.24</v>
      </c>
      <c r="G988" s="3137"/>
      <c r="H988" s="3137"/>
      <c r="I988" s="3137"/>
    </row>
    <row r="989" spans="2:9" s="1999" customFormat="1">
      <c r="B989" s="1916" t="s">
        <v>1727</v>
      </c>
      <c r="C989" s="1916">
        <v>2</v>
      </c>
      <c r="D989" s="1916" t="s">
        <v>1691</v>
      </c>
      <c r="E989" s="1916">
        <v>92.8</v>
      </c>
      <c r="F989" s="1916">
        <f t="shared" si="13"/>
        <v>185.6</v>
      </c>
      <c r="G989" s="3137"/>
      <c r="H989" s="3137"/>
      <c r="I989" s="3137"/>
    </row>
    <row r="990" spans="2:9" s="1999" customFormat="1">
      <c r="B990" s="1916" t="s">
        <v>1728</v>
      </c>
      <c r="C990" s="1916">
        <v>2</v>
      </c>
      <c r="D990" s="1916" t="s">
        <v>1691</v>
      </c>
      <c r="E990" s="1916">
        <v>33.409999999999997</v>
      </c>
      <c r="F990" s="1916">
        <f t="shared" si="13"/>
        <v>66.819999999999993</v>
      </c>
      <c r="G990" s="3137"/>
      <c r="H990" s="3137"/>
      <c r="I990" s="3137"/>
    </row>
    <row r="991" spans="2:9" s="1999" customFormat="1">
      <c r="B991" s="1916" t="s">
        <v>1729</v>
      </c>
      <c r="C991" s="1916">
        <v>2</v>
      </c>
      <c r="D991" s="1916" t="s">
        <v>1691</v>
      </c>
      <c r="E991" s="1916">
        <v>4.6399999999999997</v>
      </c>
      <c r="F991" s="1916">
        <f t="shared" si="13"/>
        <v>9.2799999999999994</v>
      </c>
      <c r="G991" s="3137"/>
      <c r="H991" s="3137"/>
      <c r="I991" s="3137"/>
    </row>
    <row r="992" spans="2:9" s="1999" customFormat="1">
      <c r="B992" s="1916" t="s">
        <v>1730</v>
      </c>
      <c r="C992" s="1916">
        <v>2</v>
      </c>
      <c r="D992" s="1916" t="s">
        <v>1691</v>
      </c>
      <c r="E992" s="1916">
        <v>34.799999999999997</v>
      </c>
      <c r="F992" s="1916">
        <f t="shared" si="13"/>
        <v>69.599999999999994</v>
      </c>
      <c r="G992" s="3137"/>
      <c r="H992" s="3137"/>
      <c r="I992" s="3137"/>
    </row>
    <row r="993" spans="2:9" s="1999" customFormat="1">
      <c r="B993" s="1916" t="s">
        <v>1731</v>
      </c>
      <c r="C993" s="1916">
        <v>0.1</v>
      </c>
      <c r="D993" s="1916" t="s">
        <v>1732</v>
      </c>
      <c r="E993" s="1916">
        <v>15</v>
      </c>
      <c r="F993" s="1916">
        <f t="shared" si="13"/>
        <v>1.5</v>
      </c>
      <c r="G993" s="3137"/>
      <c r="H993" s="3137"/>
      <c r="I993" s="3137"/>
    </row>
    <row r="994" spans="2:9" s="1999" customFormat="1">
      <c r="B994" s="1916" t="s">
        <v>1742</v>
      </c>
      <c r="C994" s="1916">
        <v>1</v>
      </c>
      <c r="D994" s="1916" t="s">
        <v>1691</v>
      </c>
      <c r="E994" s="1916">
        <v>300</v>
      </c>
      <c r="F994" s="1916">
        <f t="shared" si="13"/>
        <v>300</v>
      </c>
      <c r="G994" s="3137"/>
      <c r="H994" s="3137"/>
      <c r="I994" s="3137"/>
    </row>
    <row r="995" spans="2:9" s="1999" customFormat="1">
      <c r="B995" s="1916"/>
      <c r="C995" s="1916"/>
      <c r="D995" s="1916"/>
      <c r="E995" s="1916" t="s">
        <v>1039</v>
      </c>
      <c r="F995" s="1916">
        <f>ROUND(SUM(F984:F994),2)</f>
        <v>1707.84</v>
      </c>
      <c r="G995" s="3137"/>
      <c r="H995" s="3137"/>
      <c r="I995" s="3137"/>
    </row>
    <row r="996" spans="2:9" s="1999" customFormat="1">
      <c r="B996" s="1916"/>
      <c r="C996" s="1916"/>
      <c r="D996" s="1916"/>
      <c r="E996" s="1916"/>
      <c r="F996" s="1916"/>
      <c r="G996" s="3137"/>
      <c r="H996" s="3137"/>
      <c r="I996" s="3137"/>
    </row>
    <row r="997" spans="2:9" s="1999" customFormat="1">
      <c r="B997" s="1916" t="s">
        <v>1743</v>
      </c>
      <c r="C997" s="1916"/>
      <c r="D997" s="1119"/>
      <c r="E997" s="1916"/>
      <c r="F997" s="1916"/>
      <c r="G997" s="3137"/>
      <c r="H997" s="3137"/>
      <c r="I997" s="3137"/>
    </row>
    <row r="998" spans="2:9" s="1999" customFormat="1">
      <c r="B998" s="1916" t="s">
        <v>3516</v>
      </c>
      <c r="C998" s="1916">
        <v>1</v>
      </c>
      <c r="D998" s="1916" t="s">
        <v>1691</v>
      </c>
      <c r="E998" s="1916">
        <v>95.7</v>
      </c>
      <c r="F998" s="1916">
        <f>ROUND(C998*E998,2)</f>
        <v>95.7</v>
      </c>
      <c r="G998" s="3137"/>
      <c r="H998" s="3137"/>
      <c r="I998" s="3137"/>
    </row>
    <row r="999" spans="2:9" s="1999" customFormat="1">
      <c r="B999" s="1916" t="s">
        <v>1744</v>
      </c>
      <c r="C999" s="1916">
        <v>1</v>
      </c>
      <c r="D999" s="1916" t="s">
        <v>1691</v>
      </c>
      <c r="E999" s="1916">
        <v>33.06</v>
      </c>
      <c r="F999" s="1916">
        <f>ROUND(C999*E999,2)</f>
        <v>33.06</v>
      </c>
      <c r="G999" s="3137"/>
      <c r="H999" s="3137"/>
      <c r="I999" s="3137"/>
    </row>
    <row r="1000" spans="2:9" s="1999" customFormat="1">
      <c r="B1000" s="1916" t="s">
        <v>3519</v>
      </c>
      <c r="C1000" s="1916">
        <v>0.05</v>
      </c>
      <c r="D1000" s="1916" t="s">
        <v>1745</v>
      </c>
      <c r="E1000" s="1916">
        <v>374.68</v>
      </c>
      <c r="F1000" s="1916">
        <f>ROUND(C1000*E1000,2)</f>
        <v>18.73</v>
      </c>
      <c r="G1000" s="3137"/>
      <c r="H1000" s="3137"/>
      <c r="I1000" s="3137"/>
    </row>
    <row r="1001" spans="2:9" s="1999" customFormat="1">
      <c r="B1001" s="1916" t="s">
        <v>1746</v>
      </c>
      <c r="C1001" s="1916">
        <v>1</v>
      </c>
      <c r="D1001" s="1916" t="s">
        <v>1691</v>
      </c>
      <c r="E1001" s="1916">
        <v>75</v>
      </c>
      <c r="F1001" s="1916">
        <f>ROUND(C1001*E1001,2)</f>
        <v>75</v>
      </c>
      <c r="G1001" s="3137"/>
      <c r="H1001" s="3137"/>
      <c r="I1001" s="3137"/>
    </row>
    <row r="1002" spans="2:9" s="1999" customFormat="1">
      <c r="B1002" s="1916"/>
      <c r="C1002" s="1916"/>
      <c r="D1002" s="1916"/>
      <c r="E1002" s="1916" t="s">
        <v>1039</v>
      </c>
      <c r="F1002" s="1916">
        <f>ROUND(SUM(F998:F1001),2)</f>
        <v>222.49</v>
      </c>
      <c r="G1002" s="3137"/>
      <c r="H1002" s="3137"/>
      <c r="I1002" s="3137"/>
    </row>
    <row r="1003" spans="2:9" s="1999" customFormat="1">
      <c r="B1003" s="1916"/>
      <c r="C1003" s="1916"/>
      <c r="D1003" s="1916"/>
      <c r="E1003" s="1916"/>
      <c r="F1003" s="1916"/>
      <c r="G1003" s="3137"/>
      <c r="H1003" s="3137"/>
      <c r="I1003" s="3137"/>
    </row>
    <row r="1004" spans="2:9" s="1999" customFormat="1">
      <c r="B1004" s="1916" t="s">
        <v>1747</v>
      </c>
      <c r="C1004" s="1916"/>
      <c r="D1004" s="1119"/>
      <c r="E1004" s="1916"/>
      <c r="F1004" s="1916"/>
      <c r="G1004" s="3137"/>
      <c r="H1004" s="3137"/>
      <c r="I1004" s="3137"/>
    </row>
    <row r="1005" spans="2:9" s="1999" customFormat="1">
      <c r="B1005" s="1916" t="s">
        <v>1748</v>
      </c>
      <c r="C1005" s="1916">
        <v>1</v>
      </c>
      <c r="D1005" s="1916" t="s">
        <v>1691</v>
      </c>
      <c r="E1005" s="1916">
        <v>2580.0100000000002</v>
      </c>
      <c r="F1005" s="1916">
        <f t="shared" ref="F1005:F1017" si="14">ROUND(C1005*E1005,2)</f>
        <v>2580.0100000000002</v>
      </c>
      <c r="G1005" s="3137"/>
      <c r="H1005" s="3137"/>
      <c r="I1005" s="3137"/>
    </row>
    <row r="1006" spans="2:9" s="1999" customFormat="1">
      <c r="B1006" s="1916" t="s">
        <v>1749</v>
      </c>
      <c r="C1006" s="1916">
        <v>1</v>
      </c>
      <c r="D1006" s="1916" t="s">
        <v>1691</v>
      </c>
      <c r="E1006" s="1916">
        <v>600</v>
      </c>
      <c r="F1006" s="1916">
        <f t="shared" si="14"/>
        <v>600</v>
      </c>
      <c r="G1006" s="3137"/>
      <c r="H1006" s="3137"/>
      <c r="I1006" s="3137"/>
    </row>
    <row r="1007" spans="2:9" s="1999" customFormat="1">
      <c r="B1007" s="1916" t="s">
        <v>1750</v>
      </c>
      <c r="C1007" s="1916">
        <v>2</v>
      </c>
      <c r="D1007" s="1916" t="s">
        <v>1691</v>
      </c>
      <c r="E1007" s="1916">
        <v>92.29</v>
      </c>
      <c r="F1007" s="1916">
        <f t="shared" si="14"/>
        <v>184.58</v>
      </c>
      <c r="G1007" s="3137"/>
      <c r="H1007" s="3137"/>
      <c r="I1007" s="3137"/>
    </row>
    <row r="1008" spans="2:9" s="1999" customFormat="1">
      <c r="B1008" s="1916" t="s">
        <v>3517</v>
      </c>
      <c r="C1008" s="1916">
        <v>1</v>
      </c>
      <c r="D1008" s="1916" t="s">
        <v>1691</v>
      </c>
      <c r="E1008" s="1916">
        <v>76.56</v>
      </c>
      <c r="F1008" s="1916">
        <f t="shared" si="14"/>
        <v>76.56</v>
      </c>
      <c r="G1008" s="3137"/>
      <c r="H1008" s="3137"/>
      <c r="I1008" s="3137"/>
    </row>
    <row r="1009" spans="2:9" s="1999" customFormat="1">
      <c r="B1009" s="1916" t="s">
        <v>3520</v>
      </c>
      <c r="C1009" s="1916">
        <v>1</v>
      </c>
      <c r="D1009" s="1916" t="s">
        <v>1691</v>
      </c>
      <c r="E1009" s="1916">
        <v>370.04</v>
      </c>
      <c r="F1009" s="1916">
        <f t="shared" si="14"/>
        <v>370.04</v>
      </c>
      <c r="G1009" s="3137"/>
      <c r="H1009" s="3137"/>
      <c r="I1009" s="3137"/>
    </row>
    <row r="1010" spans="2:9" s="1999" customFormat="1">
      <c r="B1010" s="1916" t="s">
        <v>1751</v>
      </c>
      <c r="C1010" s="1916">
        <v>1</v>
      </c>
      <c r="D1010" s="1916" t="s">
        <v>1691</v>
      </c>
      <c r="E1010" s="1916">
        <v>300</v>
      </c>
      <c r="F1010" s="1916">
        <f t="shared" si="14"/>
        <v>300</v>
      </c>
      <c r="G1010" s="3137"/>
      <c r="H1010" s="3137"/>
      <c r="I1010" s="3137"/>
    </row>
    <row r="1011" spans="2:9" s="1999" customFormat="1">
      <c r="B1011" s="1916" t="s">
        <v>1725</v>
      </c>
      <c r="C1011" s="1916">
        <v>0.03</v>
      </c>
      <c r="D1011" s="1916" t="s">
        <v>1726</v>
      </c>
      <c r="E1011" s="1916">
        <v>374.68</v>
      </c>
      <c r="F1011" s="1916">
        <f t="shared" si="14"/>
        <v>11.24</v>
      </c>
      <c r="G1011" s="3137"/>
      <c r="H1011" s="3137"/>
      <c r="I1011" s="3137"/>
    </row>
    <row r="1012" spans="2:9" s="1999" customFormat="1">
      <c r="B1012" s="1916" t="s">
        <v>1727</v>
      </c>
      <c r="C1012" s="1916">
        <v>2</v>
      </c>
      <c r="D1012" s="1916" t="s">
        <v>1691</v>
      </c>
      <c r="E1012" s="1916">
        <v>92.8</v>
      </c>
      <c r="F1012" s="1916">
        <f t="shared" si="14"/>
        <v>185.6</v>
      </c>
      <c r="G1012" s="3137"/>
      <c r="H1012" s="3137"/>
      <c r="I1012" s="3137"/>
    </row>
    <row r="1013" spans="2:9" s="1999" customFormat="1">
      <c r="B1013" s="1916" t="s">
        <v>1728</v>
      </c>
      <c r="C1013" s="1916">
        <v>2</v>
      </c>
      <c r="D1013" s="1916" t="s">
        <v>1691</v>
      </c>
      <c r="E1013" s="1916">
        <v>33.409999999999997</v>
      </c>
      <c r="F1013" s="1916">
        <f t="shared" si="14"/>
        <v>66.819999999999993</v>
      </c>
      <c r="G1013" s="3137"/>
      <c r="H1013" s="3137"/>
      <c r="I1013" s="3137"/>
    </row>
    <row r="1014" spans="2:9" s="1999" customFormat="1">
      <c r="B1014" s="1916" t="s">
        <v>1729</v>
      </c>
      <c r="C1014" s="1916">
        <v>2</v>
      </c>
      <c r="D1014" s="1916" t="s">
        <v>1691</v>
      </c>
      <c r="E1014" s="1916">
        <v>4.6399999999999997</v>
      </c>
      <c r="F1014" s="1916">
        <f t="shared" si="14"/>
        <v>9.2799999999999994</v>
      </c>
      <c r="G1014" s="3137"/>
      <c r="H1014" s="3137"/>
      <c r="I1014" s="3137"/>
    </row>
    <row r="1015" spans="2:9" s="1999" customFormat="1">
      <c r="B1015" s="1916" t="s">
        <v>1730</v>
      </c>
      <c r="C1015" s="1916">
        <v>2</v>
      </c>
      <c r="D1015" s="1916" t="s">
        <v>1691</v>
      </c>
      <c r="E1015" s="1916">
        <v>34.799999999999997</v>
      </c>
      <c r="F1015" s="1916">
        <f t="shared" si="14"/>
        <v>69.599999999999994</v>
      </c>
      <c r="G1015" s="3137"/>
      <c r="H1015" s="3137"/>
      <c r="I1015" s="3137"/>
    </row>
    <row r="1016" spans="2:9" s="1999" customFormat="1">
      <c r="B1016" s="1916" t="s">
        <v>1731</v>
      </c>
      <c r="C1016" s="1916">
        <v>0.1</v>
      </c>
      <c r="D1016" s="1916" t="s">
        <v>1732</v>
      </c>
      <c r="E1016" s="1916">
        <v>15</v>
      </c>
      <c r="F1016" s="1916">
        <f t="shared" si="14"/>
        <v>1.5</v>
      </c>
      <c r="G1016" s="3137"/>
      <c r="H1016" s="3137"/>
      <c r="I1016" s="3137"/>
    </row>
    <row r="1017" spans="2:9" s="1999" customFormat="1">
      <c r="B1017" s="1916" t="s">
        <v>1752</v>
      </c>
      <c r="C1017" s="1916">
        <v>1</v>
      </c>
      <c r="D1017" s="1916" t="s">
        <v>1691</v>
      </c>
      <c r="E1017" s="1916">
        <v>350</v>
      </c>
      <c r="F1017" s="1916">
        <f t="shared" si="14"/>
        <v>350</v>
      </c>
      <c r="G1017" s="3137"/>
      <c r="H1017" s="3137"/>
      <c r="I1017" s="3137"/>
    </row>
    <row r="1018" spans="2:9" s="1999" customFormat="1">
      <c r="B1018" s="1916"/>
      <c r="C1018" s="1916"/>
      <c r="D1018" s="1916"/>
      <c r="E1018" s="1916" t="s">
        <v>1039</v>
      </c>
      <c r="F1018" s="1916">
        <f>ROUND(SUM(F1005:F1017),2)</f>
        <v>4805.2299999999996</v>
      </c>
      <c r="G1018" s="3137"/>
      <c r="H1018" s="3137"/>
      <c r="I1018" s="3137"/>
    </row>
    <row r="1019" spans="2:9" s="1999" customFormat="1">
      <c r="B1019" s="1916"/>
      <c r="C1019" s="1916"/>
      <c r="D1019" s="1916"/>
      <c r="E1019" s="1916"/>
      <c r="F1019" s="1916"/>
      <c r="G1019" s="3137"/>
      <c r="H1019" s="3137"/>
      <c r="I1019" s="3137"/>
    </row>
    <row r="1020" spans="2:9" s="1999" customFormat="1" ht="13.5" thickBot="1">
      <c r="B1020" s="1916" t="s">
        <v>1753</v>
      </c>
      <c r="C1020" s="1916"/>
      <c r="D1020" s="1916"/>
      <c r="E1020" s="1916"/>
      <c r="F1020" s="1916"/>
      <c r="G1020" s="3137"/>
      <c r="H1020" s="3137"/>
      <c r="I1020" s="3137"/>
    </row>
    <row r="1021" spans="2:9" s="1999" customFormat="1" ht="13.5" thickTop="1">
      <c r="B1021" s="1580" t="s">
        <v>1754</v>
      </c>
      <c r="C1021" s="1916">
        <v>1.85</v>
      </c>
      <c r="D1021" s="1916" t="s">
        <v>11</v>
      </c>
      <c r="E1021" s="1916">
        <f>E728</f>
        <v>1500</v>
      </c>
      <c r="F1021" s="1916">
        <f>C1021*E1021</f>
        <v>2775</v>
      </c>
      <c r="G1021" s="3137"/>
      <c r="H1021" s="3137"/>
      <c r="I1021" s="3137"/>
    </row>
    <row r="1022" spans="2:9" s="1999" customFormat="1">
      <c r="B1022" s="3377" t="s">
        <v>1755</v>
      </c>
      <c r="C1022" s="1916">
        <v>8.8699999999999992</v>
      </c>
      <c r="D1022" s="1916" t="s">
        <v>11</v>
      </c>
      <c r="E1022" s="1916">
        <v>250</v>
      </c>
      <c r="F1022" s="1916">
        <f>C1022*E1022</f>
        <v>2217.5</v>
      </c>
      <c r="G1022" s="3137"/>
      <c r="H1022" s="3137"/>
      <c r="I1022" s="3137"/>
    </row>
    <row r="1023" spans="2:9" s="1999" customFormat="1">
      <c r="B1023" s="3377" t="s">
        <v>1756</v>
      </c>
      <c r="C1023" s="1916">
        <v>1</v>
      </c>
      <c r="D1023" s="1916" t="s">
        <v>3</v>
      </c>
      <c r="E1023" s="1916">
        <v>200</v>
      </c>
      <c r="F1023" s="1916">
        <f>C1023*E1023</f>
        <v>200</v>
      </c>
      <c r="G1023" s="3137"/>
      <c r="H1023" s="3137"/>
      <c r="I1023" s="3137"/>
    </row>
    <row r="1024" spans="2:9" s="1999" customFormat="1" ht="13.5" thickBot="1">
      <c r="B1024" s="3378"/>
      <c r="C1024" s="1916"/>
      <c r="D1024" s="1916" t="s">
        <v>1037</v>
      </c>
      <c r="E1024" s="1916" t="s">
        <v>1038</v>
      </c>
      <c r="F1024" s="1916">
        <f>ROUND(SUM(F1021:F1023),2)</f>
        <v>5192.5</v>
      </c>
      <c r="G1024" s="3137"/>
      <c r="H1024" s="3137"/>
      <c r="I1024" s="3137"/>
    </row>
    <row r="1025" spans="2:9" s="1999" customFormat="1" ht="13.5" thickTop="1">
      <c r="B1025" s="1916"/>
      <c r="C1025" s="1916"/>
      <c r="D1025" s="1916"/>
      <c r="E1025" s="1916"/>
      <c r="F1025" s="1916"/>
      <c r="G1025" s="3137"/>
      <c r="H1025" s="3137"/>
      <c r="I1025" s="3137"/>
    </row>
    <row r="1026" spans="2:9" s="1999" customFormat="1" ht="13.5" thickBot="1">
      <c r="B1026" s="1916" t="s">
        <v>1757</v>
      </c>
      <c r="C1026" s="1916"/>
      <c r="D1026" s="1916"/>
      <c r="E1026" s="1916"/>
      <c r="F1026" s="1916"/>
      <c r="G1026" s="3137"/>
      <c r="H1026" s="3137"/>
      <c r="I1026" s="3137"/>
    </row>
    <row r="1027" spans="2:9" s="1999" customFormat="1" ht="13.5" thickTop="1">
      <c r="B1027" s="1580" t="s">
        <v>1064</v>
      </c>
      <c r="C1027" s="1916">
        <v>0.1</v>
      </c>
      <c r="D1027" s="1916" t="s">
        <v>2</v>
      </c>
      <c r="E1027" s="1916">
        <f>E694</f>
        <v>70.16</v>
      </c>
      <c r="F1027" s="1916">
        <f t="shared" ref="F1027:F1033" si="15">C1027*E1027</f>
        <v>7.016</v>
      </c>
      <c r="G1027" s="3137"/>
      <c r="H1027" s="3137"/>
      <c r="I1027" s="3137"/>
    </row>
    <row r="1028" spans="2:9" s="1999" customFormat="1">
      <c r="B1028" s="3377" t="s">
        <v>1758</v>
      </c>
      <c r="C1028" s="1916">
        <v>1.68</v>
      </c>
      <c r="D1028" s="1916" t="s">
        <v>11</v>
      </c>
      <c r="E1028" s="1916">
        <f>E728</f>
        <v>1500</v>
      </c>
      <c r="F1028" s="1916">
        <f t="shared" si="15"/>
        <v>2520</v>
      </c>
      <c r="G1028" s="3137"/>
      <c r="H1028" s="3137"/>
      <c r="I1028" s="3137"/>
    </row>
    <row r="1029" spans="2:9" s="1999" customFormat="1">
      <c r="B1029" s="3377" t="s">
        <v>1043</v>
      </c>
      <c r="C1029" s="1916">
        <v>0.18</v>
      </c>
      <c r="D1029" s="1916" t="s">
        <v>126</v>
      </c>
      <c r="E1029" s="1916">
        <f>E678</f>
        <v>0</v>
      </c>
      <c r="F1029" s="1916">
        <f t="shared" si="15"/>
        <v>0</v>
      </c>
      <c r="G1029" s="3137"/>
      <c r="H1029" s="3137"/>
      <c r="I1029" s="3137"/>
    </row>
    <row r="1030" spans="2:9" s="1999" customFormat="1">
      <c r="B1030" s="3377" t="s">
        <v>377</v>
      </c>
      <c r="C1030" s="1916">
        <v>1.65</v>
      </c>
      <c r="D1030" s="1916" t="s">
        <v>11</v>
      </c>
      <c r="E1030" s="1916" t="str">
        <f>E637</f>
        <v>R.D.$</v>
      </c>
      <c r="F1030" s="1916" t="e">
        <f t="shared" si="15"/>
        <v>#VALUE!</v>
      </c>
      <c r="G1030" s="3137"/>
      <c r="H1030" s="3137"/>
      <c r="I1030" s="3137"/>
    </row>
    <row r="1031" spans="2:9" s="1999" customFormat="1">
      <c r="B1031" s="3377" t="s">
        <v>1759</v>
      </c>
      <c r="C1031" s="1916">
        <v>1</v>
      </c>
      <c r="D1031" s="1916" t="s">
        <v>3</v>
      </c>
      <c r="E1031" s="1916">
        <v>100</v>
      </c>
      <c r="F1031" s="3379">
        <f t="shared" si="15"/>
        <v>100</v>
      </c>
      <c r="G1031" s="3137"/>
      <c r="H1031" s="3137"/>
      <c r="I1031" s="3137"/>
    </row>
    <row r="1032" spans="2:9" s="1999" customFormat="1">
      <c r="B1032" s="3377" t="s">
        <v>1760</v>
      </c>
      <c r="C1032" s="1916">
        <v>0.39</v>
      </c>
      <c r="D1032" s="1916" t="s">
        <v>2</v>
      </c>
      <c r="E1032" s="1916">
        <v>85</v>
      </c>
      <c r="F1032" s="3379">
        <f t="shared" si="15"/>
        <v>33.15</v>
      </c>
      <c r="G1032" s="3137"/>
      <c r="H1032" s="3137"/>
      <c r="I1032" s="3137"/>
    </row>
    <row r="1033" spans="2:9" s="1999" customFormat="1">
      <c r="B1033" s="3377" t="s">
        <v>1102</v>
      </c>
      <c r="C1033" s="1916">
        <v>0.47</v>
      </c>
      <c r="D1033" s="1916" t="s">
        <v>2</v>
      </c>
      <c r="E1033" s="1916">
        <v>45</v>
      </c>
      <c r="F1033" s="3379">
        <f t="shared" si="15"/>
        <v>21.15</v>
      </c>
      <c r="G1033" s="3137"/>
      <c r="H1033" s="3137"/>
      <c r="I1033" s="3137"/>
    </row>
    <row r="1034" spans="2:9" s="1999" customFormat="1" ht="13.5" thickBot="1">
      <c r="B1034" s="3378"/>
      <c r="C1034" s="1916"/>
      <c r="D1034" s="1916" t="s">
        <v>1037</v>
      </c>
      <c r="E1034" s="1916" t="s">
        <v>1038</v>
      </c>
      <c r="F1034" s="1916" t="e">
        <f>ROUND(SUM(F1027:F1033),2)</f>
        <v>#VALUE!</v>
      </c>
      <c r="G1034" s="3137"/>
      <c r="H1034" s="3137"/>
      <c r="I1034" s="3137"/>
    </row>
    <row r="1035" spans="2:9" s="1999" customFormat="1" ht="13.5" thickTop="1">
      <c r="B1035" s="1916"/>
      <c r="C1035" s="1916"/>
      <c r="D1035" s="1916"/>
      <c r="E1035" s="1916"/>
      <c r="F1035" s="1916"/>
      <c r="G1035" s="3137"/>
      <c r="H1035" s="3137"/>
      <c r="I1035" s="3137"/>
    </row>
    <row r="1036" spans="2:9" s="1999" customFormat="1" ht="13.5" thickBot="1">
      <c r="B1036" s="1916" t="s">
        <v>1761</v>
      </c>
      <c r="C1036" s="1916"/>
      <c r="D1036" s="1916"/>
      <c r="E1036" s="1916"/>
      <c r="F1036" s="1916"/>
      <c r="G1036" s="3137"/>
      <c r="H1036" s="3137"/>
      <c r="I1036" s="3137"/>
    </row>
    <row r="1037" spans="2:9" s="1999" customFormat="1" ht="13.5" thickTop="1">
      <c r="B1037" s="1580" t="s">
        <v>1762</v>
      </c>
      <c r="C1037" s="1916">
        <v>1.48</v>
      </c>
      <c r="D1037" s="1916" t="s">
        <v>2</v>
      </c>
      <c r="E1037" s="1916" t="e">
        <f>#REF!</f>
        <v>#REF!</v>
      </c>
      <c r="F1037" s="1916" t="e">
        <f t="shared" ref="F1037:F1045" si="16">C1037*E1037</f>
        <v>#REF!</v>
      </c>
      <c r="G1037" s="3137"/>
      <c r="H1037" s="3137"/>
      <c r="I1037" s="3137"/>
    </row>
    <row r="1038" spans="2:9" s="1999" customFormat="1">
      <c r="B1038" s="3377" t="s">
        <v>1763</v>
      </c>
      <c r="C1038" s="1916">
        <v>0.7</v>
      </c>
      <c r="D1038" s="1916" t="s">
        <v>11</v>
      </c>
      <c r="E1038" s="1916" t="e">
        <f>E1037</f>
        <v>#REF!</v>
      </c>
      <c r="F1038" s="1916" t="e">
        <f t="shared" si="16"/>
        <v>#REF!</v>
      </c>
      <c r="G1038" s="3137"/>
      <c r="H1038" s="3137"/>
      <c r="I1038" s="3137"/>
    </row>
    <row r="1039" spans="2:9" s="1999" customFormat="1">
      <c r="B1039" s="3377" t="s">
        <v>1764</v>
      </c>
      <c r="C1039" s="1916">
        <v>17.28</v>
      </c>
      <c r="D1039" s="1916" t="s">
        <v>11</v>
      </c>
      <c r="E1039" s="1916" t="str">
        <f>E717</f>
        <v>PRECIO</v>
      </c>
      <c r="F1039" s="1916" t="e">
        <f t="shared" si="16"/>
        <v>#VALUE!</v>
      </c>
      <c r="G1039" s="3137"/>
      <c r="H1039" s="3137"/>
      <c r="I1039" s="3137"/>
    </row>
    <row r="1040" spans="2:9" s="1999" customFormat="1">
      <c r="B1040" s="3377" t="s">
        <v>1043</v>
      </c>
      <c r="C1040" s="1916">
        <v>3.53</v>
      </c>
      <c r="D1040" s="1916" t="s">
        <v>126</v>
      </c>
      <c r="E1040" s="1916">
        <f>E678</f>
        <v>0</v>
      </c>
      <c r="F1040" s="1916">
        <f t="shared" si="16"/>
        <v>0</v>
      </c>
      <c r="G1040" s="3137"/>
      <c r="H1040" s="3137"/>
      <c r="I1040" s="3137"/>
    </row>
    <row r="1041" spans="2:9" s="1999" customFormat="1">
      <c r="B1041" s="3377" t="s">
        <v>377</v>
      </c>
      <c r="C1041" s="1916">
        <v>22.1</v>
      </c>
      <c r="D1041" s="1916" t="s">
        <v>11</v>
      </c>
      <c r="E1041" s="1916" t="str">
        <f>E1030</f>
        <v>R.D.$</v>
      </c>
      <c r="F1041" s="1916" t="e">
        <f t="shared" si="16"/>
        <v>#VALUE!</v>
      </c>
      <c r="G1041" s="3137"/>
      <c r="H1041" s="3137"/>
      <c r="I1041" s="3137"/>
    </row>
    <row r="1042" spans="2:9" s="1999" customFormat="1">
      <c r="B1042" s="3377" t="s">
        <v>1765</v>
      </c>
      <c r="C1042" s="1916">
        <v>13.32</v>
      </c>
      <c r="D1042" s="1916" t="s">
        <v>2</v>
      </c>
      <c r="E1042" s="1916">
        <v>85</v>
      </c>
      <c r="F1042" s="1916">
        <f t="shared" si="16"/>
        <v>1132.2</v>
      </c>
      <c r="G1042" s="3137"/>
      <c r="H1042" s="3137"/>
      <c r="I1042" s="3137"/>
    </row>
    <row r="1043" spans="2:9" s="1999" customFormat="1">
      <c r="B1043" s="3377" t="s">
        <v>1766</v>
      </c>
      <c r="C1043" s="1916">
        <v>15.98</v>
      </c>
      <c r="D1043" s="1916" t="s">
        <v>2</v>
      </c>
      <c r="E1043" s="1916">
        <v>45</v>
      </c>
      <c r="F1043" s="1916">
        <f t="shared" si="16"/>
        <v>719.1</v>
      </c>
      <c r="G1043" s="3137"/>
      <c r="H1043" s="3137"/>
      <c r="I1043" s="3137"/>
    </row>
    <row r="1044" spans="2:9" s="1999" customFormat="1">
      <c r="B1044" s="3377" t="s">
        <v>1767</v>
      </c>
      <c r="C1044" s="1916">
        <v>1</v>
      </c>
      <c r="D1044" s="1916" t="s">
        <v>3</v>
      </c>
      <c r="E1044" s="1916">
        <v>1600</v>
      </c>
      <c r="F1044" s="1916">
        <f t="shared" si="16"/>
        <v>1600</v>
      </c>
      <c r="G1044" s="3137"/>
      <c r="H1044" s="3137"/>
      <c r="I1044" s="3137"/>
    </row>
    <row r="1045" spans="2:9" s="1999" customFormat="1">
      <c r="B1045" s="3377" t="s">
        <v>697</v>
      </c>
      <c r="C1045" s="1916">
        <v>1</v>
      </c>
      <c r="D1045" s="1916" t="s">
        <v>3</v>
      </c>
      <c r="E1045" s="1916">
        <v>250</v>
      </c>
      <c r="F1045" s="1916">
        <f t="shared" si="16"/>
        <v>250</v>
      </c>
      <c r="G1045" s="3137"/>
      <c r="H1045" s="3137"/>
      <c r="I1045" s="3137"/>
    </row>
    <row r="1046" spans="2:9" s="1999" customFormat="1" ht="13.5" thickBot="1">
      <c r="B1046" s="3378"/>
      <c r="C1046" s="1916"/>
      <c r="D1046" s="1916" t="s">
        <v>1037</v>
      </c>
      <c r="E1046" s="1916" t="s">
        <v>1038</v>
      </c>
      <c r="F1046" s="3380" t="e">
        <f>ROUND(SUM(F1037:F1045),2)</f>
        <v>#REF!</v>
      </c>
      <c r="G1046" s="3137"/>
      <c r="H1046" s="3137"/>
      <c r="I1046" s="3137"/>
    </row>
    <row r="1047" spans="2:9" s="1999" customFormat="1" ht="13.5" thickTop="1">
      <c r="B1047" s="1916"/>
      <c r="C1047" s="1916"/>
      <c r="D1047" s="1916"/>
      <c r="E1047" s="1916"/>
      <c r="F1047" s="1916"/>
      <c r="G1047" s="3137"/>
      <c r="H1047" s="3137"/>
      <c r="I1047" s="3137"/>
    </row>
    <row r="1048" spans="2:9" s="1999" customFormat="1" ht="13.5" thickBot="1">
      <c r="B1048" s="1916" t="s">
        <v>900</v>
      </c>
      <c r="C1048" s="1916"/>
      <c r="D1048" s="1916"/>
      <c r="E1048" s="1916"/>
      <c r="F1048" s="1916"/>
      <c r="G1048" s="3137"/>
      <c r="H1048" s="3137"/>
      <c r="I1048" s="3137"/>
    </row>
    <row r="1049" spans="2:9" s="1999" customFormat="1" ht="13.5" thickTop="1">
      <c r="B1049" s="1580" t="s">
        <v>1064</v>
      </c>
      <c r="C1049" s="1916">
        <v>0.3</v>
      </c>
      <c r="D1049" s="1916" t="s">
        <v>2</v>
      </c>
      <c r="E1049" s="1916">
        <f>E694</f>
        <v>70.16</v>
      </c>
      <c r="F1049" s="1916">
        <f t="shared" ref="F1049:F1055" si="17">C1049*E1049</f>
        <v>21.047999999999998</v>
      </c>
      <c r="G1049" s="3137"/>
      <c r="H1049" s="3137"/>
      <c r="I1049" s="3137"/>
    </row>
    <row r="1050" spans="2:9" s="1999" customFormat="1">
      <c r="B1050" s="3377" t="s">
        <v>1764</v>
      </c>
      <c r="C1050" s="1916">
        <v>4</v>
      </c>
      <c r="D1050" s="1916" t="s">
        <v>11</v>
      </c>
      <c r="E1050" s="1916" t="str">
        <f>E717</f>
        <v>PRECIO</v>
      </c>
      <c r="F1050" s="1916">
        <f>+F552</f>
        <v>920.16</v>
      </c>
      <c r="G1050" s="3137"/>
      <c r="H1050" s="3137"/>
      <c r="I1050" s="3137"/>
    </row>
    <row r="1051" spans="2:9" s="1999" customFormat="1">
      <c r="B1051" s="3377" t="s">
        <v>1768</v>
      </c>
      <c r="C1051" s="1916">
        <v>0.25</v>
      </c>
      <c r="D1051" s="1916" t="s">
        <v>126</v>
      </c>
      <c r="E1051" s="1916">
        <f>+F62</f>
        <v>2913</v>
      </c>
      <c r="F1051" s="1916">
        <f>C1051*E1051</f>
        <v>728.25</v>
      </c>
      <c r="G1051" s="3137"/>
      <c r="H1051" s="3137"/>
      <c r="I1051" s="3137"/>
    </row>
    <row r="1052" spans="2:9" s="1999" customFormat="1">
      <c r="B1052" s="1916" t="s">
        <v>1769</v>
      </c>
      <c r="C1052" s="1916">
        <v>4.12</v>
      </c>
      <c r="D1052" s="1916" t="s">
        <v>11</v>
      </c>
      <c r="E1052" s="1916">
        <f>+D254</f>
        <v>295.48</v>
      </c>
      <c r="F1052" s="1916">
        <f t="shared" si="17"/>
        <v>1217.3776</v>
      </c>
      <c r="G1052" s="3137"/>
      <c r="H1052" s="3137"/>
      <c r="I1052" s="3137"/>
    </row>
    <row r="1053" spans="2:9" s="1999" customFormat="1">
      <c r="B1053" s="3377" t="s">
        <v>1760</v>
      </c>
      <c r="C1053" s="1916">
        <v>1.58</v>
      </c>
      <c r="D1053" s="1916" t="s">
        <v>2</v>
      </c>
      <c r="E1053" s="1916">
        <v>85</v>
      </c>
      <c r="F1053" s="3379">
        <f t="shared" si="17"/>
        <v>134.30000000000001</v>
      </c>
      <c r="G1053" s="3137"/>
      <c r="H1053" s="3137"/>
      <c r="I1053" s="3137"/>
    </row>
    <row r="1054" spans="2:9" s="1999" customFormat="1">
      <c r="B1054" s="3377" t="s">
        <v>1102</v>
      </c>
      <c r="C1054" s="1916">
        <v>1.9</v>
      </c>
      <c r="D1054" s="1916" t="s">
        <v>2</v>
      </c>
      <c r="E1054" s="1916">
        <v>45</v>
      </c>
      <c r="F1054" s="3379">
        <f t="shared" si="17"/>
        <v>85.5</v>
      </c>
      <c r="G1054" s="3137"/>
      <c r="H1054" s="3137"/>
      <c r="I1054" s="3137"/>
    </row>
    <row r="1055" spans="2:9" s="1999" customFormat="1">
      <c r="B1055" s="3377" t="s">
        <v>697</v>
      </c>
      <c r="C1055" s="1916">
        <v>1</v>
      </c>
      <c r="D1055" s="1916" t="s">
        <v>3</v>
      </c>
      <c r="E1055" s="1916">
        <v>2388.73</v>
      </c>
      <c r="F1055" s="3379">
        <f t="shared" si="17"/>
        <v>2388.73</v>
      </c>
      <c r="G1055" s="3137"/>
      <c r="H1055" s="3137"/>
      <c r="I1055" s="3137"/>
    </row>
    <row r="1056" spans="2:9" s="1999" customFormat="1" ht="13.5" thickBot="1">
      <c r="B1056" s="3378"/>
      <c r="C1056" s="1916"/>
      <c r="D1056" s="1916"/>
      <c r="E1056" s="1916" t="s">
        <v>1038</v>
      </c>
      <c r="F1056" s="3380">
        <f>ROUND(SUM(F1049:F1055),2)</f>
        <v>5495.37</v>
      </c>
      <c r="G1056" s="3137"/>
      <c r="H1056" s="3137"/>
      <c r="I1056" s="3137"/>
    </row>
    <row r="1057" spans="1:6" s="1916" customFormat="1" ht="13.5" thickTop="1"/>
    <row r="1058" spans="1:6" s="1916" customFormat="1">
      <c r="A1058" s="1916" t="s">
        <v>1857</v>
      </c>
    </row>
    <row r="1059" spans="1:6" s="1916" customFormat="1" ht="12.6" customHeight="1"/>
    <row r="1060" spans="1:6" s="1916" customFormat="1" ht="12.6" customHeight="1">
      <c r="B1060" s="1916" t="s">
        <v>1858</v>
      </c>
    </row>
    <row r="1061" spans="1:6" s="1916" customFormat="1" ht="12" customHeight="1">
      <c r="B1061" s="1916" t="s">
        <v>1682</v>
      </c>
      <c r="C1061" s="1916">
        <v>1.05</v>
      </c>
      <c r="D1061" s="1916" t="s">
        <v>2</v>
      </c>
      <c r="E1061" s="1916">
        <f>+F47</f>
        <v>7063.5</v>
      </c>
      <c r="F1061" s="1916">
        <f>C1061*E1061</f>
        <v>7416.6750000000002</v>
      </c>
    </row>
    <row r="1062" spans="1:6" s="1916" customFormat="1" ht="12.6" customHeight="1">
      <c r="B1062" s="1916" t="s">
        <v>1859</v>
      </c>
      <c r="C1062" s="1916">
        <v>0.79</v>
      </c>
      <c r="D1062" s="1916" t="s">
        <v>126</v>
      </c>
      <c r="E1062" s="1916">
        <f>+F62</f>
        <v>2913</v>
      </c>
      <c r="F1062" s="1916">
        <f>C1062*E1062</f>
        <v>2301.27</v>
      </c>
    </row>
    <row r="1063" spans="1:6" s="1916" customFormat="1" ht="12.6" customHeight="1">
      <c r="E1063" s="1916" t="s">
        <v>1031</v>
      </c>
      <c r="F1063" s="1916">
        <f>ROUND(SUM(F1061:F1062),2)</f>
        <v>9717.9500000000007</v>
      </c>
    </row>
    <row r="1064" spans="1:6" s="1916" customFormat="1" ht="12.6" customHeight="1"/>
    <row r="1065" spans="1:6" s="1916" customFormat="1" ht="12.6" customHeight="1">
      <c r="B1065" s="1916" t="s">
        <v>1860</v>
      </c>
    </row>
    <row r="1066" spans="1:6" s="1916" customFormat="1" ht="12.6" customHeight="1">
      <c r="B1066" s="1916" t="s">
        <v>1682</v>
      </c>
      <c r="C1066" s="1916">
        <v>1.05</v>
      </c>
      <c r="D1066" s="1916" t="s">
        <v>2</v>
      </c>
      <c r="E1066" s="1916">
        <f>+F47</f>
        <v>7063.5</v>
      </c>
      <c r="F1066" s="1916">
        <f>C1066*E1066</f>
        <v>7416.6750000000002</v>
      </c>
    </row>
    <row r="1067" spans="1:6" s="1916" customFormat="1" ht="12.6" customHeight="1">
      <c r="B1067" s="1916" t="s">
        <v>272</v>
      </c>
      <c r="C1067" s="1916">
        <v>4.58</v>
      </c>
      <c r="D1067" s="1916" t="s">
        <v>126</v>
      </c>
      <c r="E1067" s="1916">
        <f>E1062</f>
        <v>2913</v>
      </c>
      <c r="F1067" s="1916">
        <f>C1067*E1067</f>
        <v>13341.54</v>
      </c>
    </row>
    <row r="1068" spans="1:6" s="1916" customFormat="1" ht="12.6" customHeight="1">
      <c r="B1068" s="1916" t="s">
        <v>1089</v>
      </c>
      <c r="C1068" s="1916">
        <f>1/(0.2*0.2)</f>
        <v>25</v>
      </c>
      <c r="D1068" s="1916" t="s">
        <v>1</v>
      </c>
      <c r="E1068" s="1916">
        <v>325</v>
      </c>
      <c r="F1068" s="1916">
        <f>C1068*E1068</f>
        <v>8125</v>
      </c>
    </row>
    <row r="1069" spans="1:6" s="1916" customFormat="1" ht="12.6" customHeight="1">
      <c r="E1069" s="1916" t="s">
        <v>1031</v>
      </c>
      <c r="F1069" s="1916">
        <f>ROUND(SUM(F1066:F1068),2)</f>
        <v>28883.22</v>
      </c>
    </row>
    <row r="1070" spans="1:6" s="1916" customFormat="1" ht="12.6" customHeight="1"/>
    <row r="1071" spans="1:6" s="1916" customFormat="1" ht="12.6" customHeight="1">
      <c r="B1071" s="1916" t="s">
        <v>1861</v>
      </c>
    </row>
    <row r="1072" spans="1:6" s="1916" customFormat="1" ht="12.6" customHeight="1">
      <c r="B1072" s="1916" t="s">
        <v>1682</v>
      </c>
      <c r="C1072" s="1916">
        <v>1.05</v>
      </c>
      <c r="D1072" s="1916" t="s">
        <v>2</v>
      </c>
      <c r="E1072" s="1916">
        <f>E1066</f>
        <v>7063.5</v>
      </c>
      <c r="F1072" s="1916">
        <f>C1072*E1072</f>
        <v>7416.6750000000002</v>
      </c>
    </row>
    <row r="1073" spans="2:6" s="1916" customFormat="1" ht="12.6" customHeight="1">
      <c r="B1073" s="1916" t="s">
        <v>1859</v>
      </c>
      <c r="C1073" s="1916">
        <v>11.14</v>
      </c>
      <c r="D1073" s="1916" t="s">
        <v>126</v>
      </c>
      <c r="E1073" s="1916">
        <f>E1067</f>
        <v>2913</v>
      </c>
      <c r="F1073" s="1916">
        <f>C1073*E1073</f>
        <v>32450.82</v>
      </c>
    </row>
    <row r="1074" spans="2:6" s="1916" customFormat="1" ht="12.6" customHeight="1">
      <c r="B1074" s="1916" t="s">
        <v>1862</v>
      </c>
      <c r="C1074" s="1916">
        <f>1/(25*0.2)</f>
        <v>0.2</v>
      </c>
      <c r="D1074" s="1916" t="s">
        <v>1</v>
      </c>
      <c r="E1074" s="1916">
        <v>250</v>
      </c>
      <c r="F1074" s="1916">
        <f>C1074*E1074</f>
        <v>50</v>
      </c>
    </row>
    <row r="1075" spans="2:6" s="1916" customFormat="1" ht="12.6" customHeight="1">
      <c r="E1075" s="1916" t="s">
        <v>1031</v>
      </c>
      <c r="F1075" s="1916">
        <f>ROUND(SUM(F1072:F1074),2)</f>
        <v>39917.5</v>
      </c>
    </row>
    <row r="1076" spans="2:6" s="1916" customFormat="1" ht="12.6" customHeight="1"/>
    <row r="1077" spans="2:6" s="1916" customFormat="1" ht="12.6" customHeight="1">
      <c r="B1077" s="1916" t="s">
        <v>1863</v>
      </c>
    </row>
    <row r="1078" spans="2:6" s="1916" customFormat="1" ht="12.6" customHeight="1">
      <c r="B1078" s="1916" t="s">
        <v>1682</v>
      </c>
      <c r="C1078" s="1916">
        <v>1.05</v>
      </c>
      <c r="D1078" s="1916" t="s">
        <v>2</v>
      </c>
      <c r="E1078" s="1916">
        <f>E1072</f>
        <v>7063.5</v>
      </c>
      <c r="F1078" s="1916">
        <f>C1078*E1078</f>
        <v>7416.6750000000002</v>
      </c>
    </row>
    <row r="1079" spans="2:6" s="1916" customFormat="1" ht="12.6" customHeight="1">
      <c r="B1079" s="1916" t="s">
        <v>1859</v>
      </c>
      <c r="C1079" s="1916">
        <v>5</v>
      </c>
      <c r="D1079" s="1916" t="s">
        <v>126</v>
      </c>
      <c r="E1079" s="1916">
        <f>E1073</f>
        <v>2913</v>
      </c>
      <c r="F1079" s="1916">
        <f>C1079*E1079</f>
        <v>14565</v>
      </c>
    </row>
    <row r="1080" spans="2:6" s="1916" customFormat="1" ht="12.6" customHeight="1">
      <c r="B1080" s="1916" t="s">
        <v>1862</v>
      </c>
      <c r="C1080" s="1916">
        <f>1/(15*0.2)</f>
        <v>0.33333333333333298</v>
      </c>
      <c r="D1080" s="1916" t="s">
        <v>1</v>
      </c>
      <c r="E1080" s="1916">
        <v>250</v>
      </c>
      <c r="F1080" s="1916">
        <f>C1080*E1080</f>
        <v>83.333333333333201</v>
      </c>
    </row>
    <row r="1081" spans="2:6" s="1916" customFormat="1" ht="12.6" customHeight="1">
      <c r="E1081" s="1916" t="s">
        <v>1031</v>
      </c>
      <c r="F1081" s="1916">
        <f>ROUND(SUM(F1078:F1080),2)</f>
        <v>22065.01</v>
      </c>
    </row>
    <row r="1082" spans="2:6" s="1916" customFormat="1" ht="12.6" customHeight="1"/>
    <row r="1083" spans="2:6" s="1916" customFormat="1" ht="12.6" customHeight="1">
      <c r="B1083" s="1916" t="s">
        <v>1864</v>
      </c>
    </row>
    <row r="1084" spans="2:6" s="1916" customFormat="1" ht="12.6" customHeight="1">
      <c r="B1084" s="1916" t="s">
        <v>1682</v>
      </c>
      <c r="C1084" s="1916">
        <v>1.05</v>
      </c>
      <c r="D1084" s="1916" t="s">
        <v>2</v>
      </c>
      <c r="E1084" s="1916">
        <f>E1078</f>
        <v>7063.5</v>
      </c>
      <c r="F1084" s="1916">
        <f>C1084*E1084</f>
        <v>7416.6750000000002</v>
      </c>
    </row>
    <row r="1085" spans="2:6" s="1916" customFormat="1" ht="12.6" customHeight="1">
      <c r="B1085" s="1916" t="s">
        <v>1859</v>
      </c>
      <c r="C1085" s="1916">
        <v>0.63</v>
      </c>
      <c r="D1085" s="1916" t="s">
        <v>126</v>
      </c>
      <c r="E1085" s="1916">
        <f>E1079</f>
        <v>2913</v>
      </c>
      <c r="F1085" s="1916">
        <f>C1085*E1085</f>
        <v>1835.19</v>
      </c>
    </row>
    <row r="1086" spans="2:6" s="1916" customFormat="1" ht="12.6" customHeight="1">
      <c r="E1086" s="1916" t="s">
        <v>1031</v>
      </c>
      <c r="F1086" s="1916">
        <f>ROUND(SUM(F1082:F1085),2)</f>
        <v>9251.8700000000008</v>
      </c>
    </row>
    <row r="1087" spans="2:6" s="1916" customFormat="1" ht="12.6" customHeight="1"/>
    <row r="1088" spans="2:6" s="1916" customFormat="1" ht="12.6" customHeight="1">
      <c r="B1088" s="1916" t="s">
        <v>1865</v>
      </c>
    </row>
    <row r="1089" spans="1:31" s="1916" customFormat="1" ht="12.6" customHeight="1">
      <c r="B1089" s="1916" t="s">
        <v>1682</v>
      </c>
      <c r="C1089" s="1916">
        <v>1.05</v>
      </c>
      <c r="D1089" s="1916" t="s">
        <v>2</v>
      </c>
      <c r="E1089" s="1916">
        <f>E1084</f>
        <v>7063.5</v>
      </c>
      <c r="F1089" s="1916">
        <f>C1089*E1089</f>
        <v>7416.6750000000002</v>
      </c>
    </row>
    <row r="1090" spans="1:31" s="1916" customFormat="1" ht="12.6" customHeight="1">
      <c r="B1090" s="1916" t="s">
        <v>1859</v>
      </c>
      <c r="C1090" s="1916">
        <v>1.06</v>
      </c>
      <c r="D1090" s="1916" t="s">
        <v>126</v>
      </c>
      <c r="E1090" s="1916">
        <f>E1085</f>
        <v>2913</v>
      </c>
      <c r="F1090" s="1916">
        <f>C1090*E1090</f>
        <v>3087.78</v>
      </c>
    </row>
    <row r="1091" spans="1:31" s="1916" customFormat="1" ht="12.6" customHeight="1">
      <c r="B1091" s="1916" t="s">
        <v>1862</v>
      </c>
      <c r="C1091" s="1916">
        <f>1/(0.13)</f>
        <v>7.6923076923076898</v>
      </c>
      <c r="D1091" s="1916" t="s">
        <v>11</v>
      </c>
      <c r="E1091" s="1916">
        <v>185</v>
      </c>
      <c r="F1091" s="1916">
        <f>C1091*E1091</f>
        <v>1423.0769230769199</v>
      </c>
    </row>
    <row r="1092" spans="1:31" s="3381" customFormat="1">
      <c r="B1092" s="1916"/>
      <c r="C1092" s="1916"/>
      <c r="D1092" s="1916"/>
      <c r="E1092" s="1916" t="s">
        <v>1031</v>
      </c>
      <c r="F1092" s="1916">
        <f>ROUND(SUM(F1089:F1091),2)</f>
        <v>11927.53</v>
      </c>
    </row>
    <row r="1093" spans="1:31">
      <c r="B1093" s="1149"/>
      <c r="C1093" s="1613"/>
      <c r="D1093" s="1149"/>
      <c r="E1093" s="1150"/>
      <c r="F1093" s="1104">
        <f>ROUND(F1092-F1091+E1091*1/0.8,2)</f>
        <v>10735.7</v>
      </c>
      <c r="I1093" s="1083"/>
      <c r="J1093" s="1083"/>
      <c r="K1093" s="1083"/>
      <c r="L1093" s="1083"/>
      <c r="M1093" s="1083"/>
      <c r="N1093" s="1083"/>
      <c r="O1093" s="1083"/>
      <c r="P1093" s="1083"/>
      <c r="Q1093" s="1083"/>
      <c r="R1093" s="1083"/>
      <c r="S1093" s="1083"/>
      <c r="T1093" s="1083"/>
      <c r="U1093" s="1083"/>
      <c r="V1093" s="1083"/>
      <c r="W1093" s="1083"/>
      <c r="X1093" s="1083"/>
      <c r="Y1093" s="1083"/>
      <c r="Z1093" s="1083"/>
      <c r="AA1093" s="1083"/>
      <c r="AB1093" s="1083"/>
      <c r="AC1093" s="1083"/>
      <c r="AD1093" s="1083"/>
      <c r="AE1093" s="1083"/>
    </row>
    <row r="1094" spans="1:31">
      <c r="B1094" s="1130"/>
      <c r="C1094" s="1609"/>
      <c r="D1094" s="1131"/>
      <c r="E1094" s="1132"/>
      <c r="F1094" s="1133"/>
      <c r="I1094" s="1083"/>
      <c r="J1094" s="1083"/>
      <c r="K1094" s="1083"/>
      <c r="L1094" s="1083"/>
      <c r="M1094" s="1083"/>
      <c r="N1094" s="1083"/>
      <c r="O1094" s="1083"/>
      <c r="P1094" s="1083"/>
      <c r="Q1094" s="1083"/>
      <c r="R1094" s="1083"/>
      <c r="S1094" s="1083"/>
      <c r="T1094" s="1083"/>
      <c r="U1094" s="1083"/>
      <c r="V1094" s="1083"/>
      <c r="W1094" s="1083"/>
      <c r="X1094" s="1083"/>
      <c r="Y1094" s="1083"/>
      <c r="Z1094" s="1083"/>
      <c r="AA1094" s="1083"/>
      <c r="AB1094" s="1083"/>
      <c r="AC1094" s="1083"/>
      <c r="AD1094" s="1083"/>
      <c r="AE1094" s="1083"/>
    </row>
    <row r="1095" spans="1:31" ht="15.75" customHeight="1">
      <c r="A1095" s="1916" t="s">
        <v>1915</v>
      </c>
      <c r="B1095" s="1916"/>
      <c r="C1095" s="1916"/>
      <c r="D1095" s="1916"/>
      <c r="E1095" s="1916"/>
      <c r="F1095" s="1916"/>
      <c r="I1095" s="1083"/>
      <c r="J1095" s="1083"/>
      <c r="K1095" s="1083"/>
      <c r="L1095" s="1083"/>
      <c r="M1095" s="1083"/>
      <c r="N1095" s="1083"/>
      <c r="O1095" s="1083"/>
      <c r="P1095" s="1083"/>
      <c r="Q1095" s="1083"/>
      <c r="R1095" s="1083"/>
      <c r="S1095" s="1083"/>
      <c r="T1095" s="1083"/>
      <c r="U1095" s="1083"/>
      <c r="V1095" s="1083"/>
      <c r="W1095" s="1083"/>
      <c r="X1095" s="1083"/>
      <c r="Y1095" s="1083"/>
      <c r="Z1095" s="1083"/>
      <c r="AA1095" s="1083"/>
      <c r="AB1095" s="1083"/>
      <c r="AC1095" s="1083"/>
      <c r="AD1095" s="1083"/>
      <c r="AE1095" s="1083"/>
    </row>
    <row r="1096" spans="1:31">
      <c r="B1096" s="1130"/>
      <c r="C1096" s="1609"/>
      <c r="D1096" s="1131"/>
      <c r="E1096" s="1132"/>
      <c r="F1096" s="1133"/>
      <c r="I1096" s="1083"/>
      <c r="J1096" s="1083"/>
      <c r="K1096" s="1083"/>
      <c r="L1096" s="1083"/>
      <c r="M1096" s="1083"/>
      <c r="N1096" s="1083"/>
      <c r="O1096" s="1083"/>
      <c r="P1096" s="1083"/>
      <c r="Q1096" s="1083"/>
      <c r="R1096" s="1083"/>
      <c r="S1096" s="1083"/>
      <c r="T1096" s="1083"/>
      <c r="U1096" s="1083"/>
      <c r="V1096" s="1083"/>
      <c r="W1096" s="1083"/>
      <c r="X1096" s="1083"/>
      <c r="Y1096" s="1083"/>
      <c r="Z1096" s="1083"/>
      <c r="AA1096" s="1083"/>
      <c r="AB1096" s="1083"/>
      <c r="AC1096" s="1083"/>
      <c r="AD1096" s="1083"/>
      <c r="AE1096" s="1083"/>
    </row>
    <row r="1097" spans="1:31" s="1916" customFormat="1">
      <c r="B1097" s="1916" t="s">
        <v>186</v>
      </c>
    </row>
    <row r="1098" spans="1:31" s="1916" customFormat="1"/>
    <row r="1099" spans="1:31" s="1916" customFormat="1">
      <c r="B1099" s="1916" t="s">
        <v>187</v>
      </c>
    </row>
    <row r="1100" spans="1:31" s="1916" customFormat="1">
      <c r="B1100" s="1916" t="s">
        <v>122</v>
      </c>
      <c r="C1100" s="1916">
        <v>0.52</v>
      </c>
      <c r="D1100" s="1916" t="s">
        <v>2</v>
      </c>
      <c r="E1100" s="1916">
        <f>+F16</f>
        <v>1115</v>
      </c>
      <c r="F1100" s="1916">
        <f>C1100*E1100</f>
        <v>579.79999999999995</v>
      </c>
    </row>
    <row r="1101" spans="1:31" s="1916" customFormat="1">
      <c r="B1101" s="1916" t="s">
        <v>124</v>
      </c>
      <c r="C1101" s="1916">
        <v>0.85</v>
      </c>
      <c r="D1101" s="1916" t="s">
        <v>2</v>
      </c>
      <c r="E1101" s="1916">
        <f>+F21</f>
        <v>1215</v>
      </c>
      <c r="F1101" s="1916">
        <f>C1101*E1101</f>
        <v>1032.75</v>
      </c>
    </row>
    <row r="1102" spans="1:31" s="1916" customFormat="1">
      <c r="B1102" s="1916" t="s">
        <v>117</v>
      </c>
      <c r="C1102" s="1916">
        <v>60</v>
      </c>
      <c r="D1102" s="1916" t="s">
        <v>138</v>
      </c>
      <c r="E1102" s="1916">
        <f>+F4</f>
        <v>325</v>
      </c>
      <c r="F1102" s="1916">
        <f>C1102*E1102</f>
        <v>19500</v>
      </c>
    </row>
    <row r="1103" spans="1:31" s="1916" customFormat="1">
      <c r="B1103" s="1916" t="s">
        <v>188</v>
      </c>
      <c r="C1103" s="1916">
        <v>6.4</v>
      </c>
      <c r="D1103" s="1916" t="s">
        <v>144</v>
      </c>
      <c r="E1103" s="1916">
        <f>+F3</f>
        <v>2.5</v>
      </c>
      <c r="F1103" s="1916">
        <f>C1103*E1103</f>
        <v>16</v>
      </c>
    </row>
    <row r="1104" spans="1:31" s="1916" customFormat="1">
      <c r="B1104" s="1916" t="s">
        <v>189</v>
      </c>
      <c r="C1104" s="1916">
        <v>0.5</v>
      </c>
      <c r="D1104" s="1916" t="s">
        <v>148</v>
      </c>
      <c r="E1104" s="1916">
        <v>659</v>
      </c>
      <c r="F1104" s="1916">
        <f>C1104*E1104</f>
        <v>329.5</v>
      </c>
    </row>
    <row r="1105" spans="1:10" s="1916" customFormat="1">
      <c r="B1105" s="1916" t="s">
        <v>190</v>
      </c>
      <c r="F1105" s="1916">
        <f>SUM(F1100+F1102+F1103)*0.03</f>
        <v>602.87400000000002</v>
      </c>
    </row>
    <row r="1106" spans="1:10" s="1916" customFormat="1">
      <c r="E1106" s="1916" t="s">
        <v>1031</v>
      </c>
      <c r="F1106" s="1916">
        <f>SUM(F1100:F1105)</f>
        <v>22060.923999999999</v>
      </c>
    </row>
    <row r="1107" spans="1:10" s="1916" customFormat="1"/>
    <row r="1108" spans="1:10" s="1916" customFormat="1">
      <c r="B1108" s="1916" t="s">
        <v>1917</v>
      </c>
    </row>
    <row r="1109" spans="1:10" s="1916" customFormat="1">
      <c r="B1109" s="1916" t="s">
        <v>1918</v>
      </c>
      <c r="C1109" s="1916">
        <v>13</v>
      </c>
      <c r="D1109" s="1916" t="s">
        <v>3</v>
      </c>
      <c r="E1109" s="1916">
        <v>28</v>
      </c>
      <c r="F1109" s="1916">
        <f t="shared" ref="F1109:F1116" si="18">C1109*E1109</f>
        <v>364</v>
      </c>
    </row>
    <row r="1110" spans="1:10" s="1916" customFormat="1">
      <c r="B1110" s="1916" t="s">
        <v>1056</v>
      </c>
      <c r="C1110" s="1916">
        <v>13</v>
      </c>
      <c r="D1110" s="1916" t="s">
        <v>3</v>
      </c>
      <c r="E1110" s="1916">
        <v>18.850000000000001</v>
      </c>
      <c r="F1110" s="1916">
        <f t="shared" si="18"/>
        <v>245.05</v>
      </c>
    </row>
    <row r="1111" spans="1:10" s="1916" customFormat="1">
      <c r="B1111" s="1916" t="s">
        <v>1919</v>
      </c>
      <c r="C1111" s="1916">
        <v>0.04</v>
      </c>
      <c r="D1111" s="1916" t="s">
        <v>2</v>
      </c>
      <c r="E1111" s="1916">
        <f>F84</f>
        <v>5506.4</v>
      </c>
      <c r="F1111" s="1916">
        <f t="shared" si="18"/>
        <v>220.256</v>
      </c>
    </row>
    <row r="1112" spans="1:10" s="1916" customFormat="1">
      <c r="B1112" s="1916" t="s">
        <v>1920</v>
      </c>
      <c r="C1112" s="1916">
        <v>0.01</v>
      </c>
      <c r="D1112" s="1916" t="s">
        <v>2</v>
      </c>
      <c r="E1112" s="1916">
        <f>+F1106</f>
        <v>22060.923999999999</v>
      </c>
      <c r="F1112" s="1916">
        <f t="shared" si="18"/>
        <v>220.60924</v>
      </c>
    </row>
    <row r="1113" spans="1:10" s="1916" customFormat="1">
      <c r="B1113" s="1916" t="s">
        <v>1921</v>
      </c>
      <c r="C1113" s="1916">
        <v>0.03</v>
      </c>
      <c r="D1113" s="1916" t="s">
        <v>126</v>
      </c>
      <c r="E1113" s="1916">
        <f>+F62</f>
        <v>2913</v>
      </c>
      <c r="F1113" s="1916">
        <f t="shared" si="18"/>
        <v>87.39</v>
      </c>
    </row>
    <row r="1114" spans="1:10" s="1916" customFormat="1">
      <c r="B1114" s="1916" t="s">
        <v>1053</v>
      </c>
      <c r="C1114" s="1916">
        <v>0.18</v>
      </c>
      <c r="D1114" s="1916" t="s">
        <v>155</v>
      </c>
      <c r="E1114" s="1916">
        <v>35</v>
      </c>
      <c r="F1114" s="1916">
        <f t="shared" si="18"/>
        <v>6.3</v>
      </c>
    </row>
    <row r="1115" spans="1:10" s="1916" customFormat="1">
      <c r="B1115" s="1916" t="s">
        <v>198</v>
      </c>
      <c r="C1115" s="1916">
        <v>0.02</v>
      </c>
      <c r="D1115" s="1916" t="s">
        <v>148</v>
      </c>
      <c r="E1115" s="1916">
        <v>659</v>
      </c>
      <c r="F1115" s="1916">
        <f t="shared" si="18"/>
        <v>13.18</v>
      </c>
    </row>
    <row r="1116" spans="1:10" s="1916" customFormat="1">
      <c r="B1116" s="1916" t="s">
        <v>1922</v>
      </c>
      <c r="C1116" s="1916">
        <v>0.01</v>
      </c>
      <c r="D1116" s="1916" t="s">
        <v>2</v>
      </c>
      <c r="E1116" s="1916">
        <v>659</v>
      </c>
      <c r="F1116" s="1916">
        <f t="shared" si="18"/>
        <v>6.59</v>
      </c>
    </row>
    <row r="1117" spans="1:10" s="1916" customFormat="1">
      <c r="E1117" s="1916" t="s">
        <v>1031</v>
      </c>
      <c r="F1117" s="1916">
        <f>SUM(F1109:F1116)</f>
        <v>1163.3752400000001</v>
      </c>
    </row>
    <row r="1118" spans="1:10" s="1577" customFormat="1" ht="12.95" customHeight="1">
      <c r="A1118" s="3382"/>
      <c r="B1118" s="1916" t="s">
        <v>1923</v>
      </c>
      <c r="C1118" s="3383"/>
      <c r="D1118" s="3384"/>
      <c r="E1118" s="1916" t="s">
        <v>1924</v>
      </c>
      <c r="F1118" s="1916">
        <f>+F1117</f>
        <v>1163.3752400000001</v>
      </c>
      <c r="G1118" s="1578"/>
      <c r="H1118" s="1576"/>
      <c r="I1118" s="1576">
        <f>SUM(I1111:I1117)</f>
        <v>0</v>
      </c>
      <c r="J1118" s="1916"/>
    </row>
    <row r="1119" spans="1:10" s="1577" customFormat="1" ht="12.95" customHeight="1">
      <c r="A1119" s="3382"/>
      <c r="B1119" s="1916" t="s">
        <v>1925</v>
      </c>
      <c r="C1119" s="3383"/>
      <c r="D1119" s="3384"/>
      <c r="E1119" s="1916" t="s">
        <v>1926</v>
      </c>
      <c r="F1119" s="1916">
        <f>F1118-(F1115+F1114)</f>
        <v>1143.8952400000001</v>
      </c>
      <c r="G1119" s="1578"/>
      <c r="H1119" s="1576"/>
      <c r="I1119" s="1576"/>
      <c r="J1119" s="1916"/>
    </row>
    <row r="1120" spans="1:10" s="1916" customFormat="1"/>
    <row r="1121" spans="1:10" s="1916" customFormat="1"/>
    <row r="1122" spans="1:10" s="1916" customFormat="1">
      <c r="B1122" s="1916" t="s">
        <v>191</v>
      </c>
    </row>
    <row r="1123" spans="1:10" s="1916" customFormat="1">
      <c r="B1123" s="1916" t="s">
        <v>192</v>
      </c>
      <c r="C1123" s="1916">
        <v>13</v>
      </c>
      <c r="D1123" s="1916" t="s">
        <v>3</v>
      </c>
      <c r="E1123" s="1916">
        <v>25.93</v>
      </c>
      <c r="F1123" s="1916">
        <f t="shared" ref="F1123:F1130" si="19">C1123*E1123</f>
        <v>337.09</v>
      </c>
    </row>
    <row r="1124" spans="1:10" s="1916" customFormat="1">
      <c r="B1124" s="1916" t="s">
        <v>193</v>
      </c>
      <c r="C1124" s="1916">
        <v>13</v>
      </c>
      <c r="D1124" s="1916" t="s">
        <v>3</v>
      </c>
      <c r="E1124" s="1916">
        <v>15.78</v>
      </c>
      <c r="F1124" s="1916">
        <f t="shared" si="19"/>
        <v>205.14</v>
      </c>
    </row>
    <row r="1125" spans="1:10" s="1916" customFormat="1">
      <c r="B1125" s="1916" t="s">
        <v>194</v>
      </c>
      <c r="C1125" s="1916">
        <v>0.03</v>
      </c>
      <c r="D1125" s="1916" t="s">
        <v>2</v>
      </c>
      <c r="E1125" s="1916">
        <f>F713</f>
        <v>45603.91</v>
      </c>
      <c r="F1125" s="1916">
        <f t="shared" si="19"/>
        <v>1368.1172999999999</v>
      </c>
    </row>
    <row r="1126" spans="1:10" s="1916" customFormat="1">
      <c r="B1126" s="1916" t="s">
        <v>195</v>
      </c>
      <c r="C1126" s="1916">
        <v>0.01</v>
      </c>
      <c r="D1126" s="1916" t="s">
        <v>2</v>
      </c>
      <c r="E1126" s="1916">
        <f>SUM(F1106)</f>
        <v>22060.923999999999</v>
      </c>
      <c r="F1126" s="1916">
        <f t="shared" si="19"/>
        <v>220.60924</v>
      </c>
    </row>
    <row r="1127" spans="1:10" s="1916" customFormat="1">
      <c r="B1127" s="1916" t="s">
        <v>196</v>
      </c>
      <c r="C1127" s="1916">
        <v>0.03</v>
      </c>
      <c r="D1127" s="1916" t="s">
        <v>126</v>
      </c>
      <c r="E1127" s="1916">
        <f>F1089</f>
        <v>7416.6750000000002</v>
      </c>
      <c r="F1127" s="1916">
        <f t="shared" si="19"/>
        <v>222.50024999999999</v>
      </c>
    </row>
    <row r="1128" spans="1:10" s="1916" customFormat="1">
      <c r="B1128" s="1916" t="s">
        <v>197</v>
      </c>
      <c r="C1128" s="1916">
        <v>0.18</v>
      </c>
      <c r="D1128" s="1916" t="s">
        <v>155</v>
      </c>
      <c r="E1128" s="1916">
        <v>35</v>
      </c>
      <c r="F1128" s="1916">
        <f t="shared" si="19"/>
        <v>6.3</v>
      </c>
    </row>
    <row r="1129" spans="1:10" s="1916" customFormat="1">
      <c r="B1129" s="1916" t="s">
        <v>198</v>
      </c>
      <c r="C1129" s="1916">
        <v>0.02</v>
      </c>
      <c r="D1129" s="1916" t="s">
        <v>148</v>
      </c>
      <c r="E1129" s="1916">
        <v>659</v>
      </c>
      <c r="F1129" s="1916">
        <f t="shared" si="19"/>
        <v>13.18</v>
      </c>
    </row>
    <row r="1130" spans="1:10" s="1916" customFormat="1">
      <c r="B1130" s="1916" t="s">
        <v>199</v>
      </c>
      <c r="C1130" s="1916">
        <v>0.01</v>
      </c>
      <c r="D1130" s="1916" t="s">
        <v>2</v>
      </c>
      <c r="E1130" s="1916">
        <v>659</v>
      </c>
      <c r="F1130" s="1916">
        <f t="shared" si="19"/>
        <v>6.59</v>
      </c>
    </row>
    <row r="1131" spans="1:10" s="1916" customFormat="1">
      <c r="E1131" s="1916" t="s">
        <v>1031</v>
      </c>
      <c r="F1131" s="1916">
        <f>SUM(F1123:F1130)</f>
        <v>2379.5267899999999</v>
      </c>
    </row>
    <row r="1132" spans="1:10" s="1577" customFormat="1" ht="12.95" customHeight="1">
      <c r="A1132" s="3382"/>
      <c r="B1132" s="1916" t="s">
        <v>1927</v>
      </c>
      <c r="C1132" s="3383"/>
      <c r="D1132" s="3384"/>
      <c r="E1132" s="1916" t="s">
        <v>1924</v>
      </c>
      <c r="F1132" s="1916">
        <f>+F1131</f>
        <v>2379.5267899999999</v>
      </c>
      <c r="G1132" s="1578"/>
      <c r="H1132" s="1576"/>
      <c r="I1132" s="1576">
        <f>SUM(I1125:I1131)</f>
        <v>0</v>
      </c>
      <c r="J1132" s="1916"/>
    </row>
    <row r="1133" spans="1:10" s="1577" customFormat="1" ht="12.95" customHeight="1">
      <c r="A1133" s="3382"/>
      <c r="B1133" s="1916" t="s">
        <v>1928</v>
      </c>
      <c r="C1133" s="3383"/>
      <c r="D1133" s="3384"/>
      <c r="E1133" s="1916" t="s">
        <v>1926</v>
      </c>
      <c r="F1133" s="1916">
        <f>F1132-(F1129+F1128)</f>
        <v>2360.0467899999999</v>
      </c>
      <c r="G1133" s="1578"/>
      <c r="H1133" s="1576"/>
      <c r="I1133" s="1576"/>
      <c r="J1133" s="1916"/>
    </row>
    <row r="1134" spans="1:10" s="1916" customFormat="1"/>
    <row r="1135" spans="1:10" s="1916" customFormat="1"/>
    <row r="1136" spans="1:10" s="1916" customFormat="1">
      <c r="B1136" s="1916" t="s">
        <v>1929</v>
      </c>
    </row>
    <row r="1137" spans="2:6" s="1916" customFormat="1">
      <c r="B1137" s="1916" t="s">
        <v>1930</v>
      </c>
    </row>
    <row r="1138" spans="2:6" s="1916" customFormat="1">
      <c r="B1138" s="1916" t="s">
        <v>192</v>
      </c>
      <c r="C1138" s="1916">
        <v>13</v>
      </c>
      <c r="D1138" s="1916" t="s">
        <v>3</v>
      </c>
      <c r="E1138" s="1916">
        <v>25.93</v>
      </c>
      <c r="F1138" s="1916">
        <f t="shared" ref="F1138:F1146" si="20">C1138*E1138</f>
        <v>337.09</v>
      </c>
    </row>
    <row r="1139" spans="2:6" s="1916" customFormat="1">
      <c r="B1139" s="1916" t="s">
        <v>1931</v>
      </c>
      <c r="C1139" s="1916">
        <v>13</v>
      </c>
      <c r="D1139" s="1916" t="s">
        <v>3</v>
      </c>
      <c r="E1139" s="1916">
        <f>+E1124</f>
        <v>15.78</v>
      </c>
      <c r="F1139" s="1916">
        <f t="shared" si="20"/>
        <v>205.14</v>
      </c>
    </row>
    <row r="1140" spans="2:6" s="1916" customFormat="1">
      <c r="B1140" s="1916" t="s">
        <v>1932</v>
      </c>
      <c r="C1140" s="1916">
        <v>13</v>
      </c>
      <c r="D1140" s="1916" t="s">
        <v>3</v>
      </c>
      <c r="E1140" s="1916">
        <v>1.43</v>
      </c>
      <c r="F1140" s="1916">
        <f t="shared" si="20"/>
        <v>18.59</v>
      </c>
    </row>
    <row r="1141" spans="2:6" s="1916" customFormat="1">
      <c r="B1141" s="1916" t="s">
        <v>194</v>
      </c>
      <c r="C1141" s="1916">
        <v>0.03</v>
      </c>
      <c r="D1141" s="1916" t="s">
        <v>2</v>
      </c>
      <c r="E1141" s="1916">
        <f>+E1125</f>
        <v>45603.91</v>
      </c>
      <c r="F1141" s="1916">
        <f t="shared" si="20"/>
        <v>1368.1172999999999</v>
      </c>
    </row>
    <row r="1142" spans="2:6" s="1916" customFormat="1">
      <c r="B1142" s="1916" t="s">
        <v>195</v>
      </c>
      <c r="C1142" s="1916">
        <v>0.01</v>
      </c>
      <c r="D1142" s="1916" t="s">
        <v>2</v>
      </c>
      <c r="E1142" s="1916">
        <f>+F47</f>
        <v>7063.5</v>
      </c>
      <c r="F1142" s="1916">
        <f t="shared" si="20"/>
        <v>70.635000000000005</v>
      </c>
    </row>
    <row r="1143" spans="2:6" s="1916" customFormat="1">
      <c r="B1143" s="1916" t="s">
        <v>196</v>
      </c>
      <c r="C1143" s="1916">
        <v>0.03</v>
      </c>
      <c r="D1143" s="1916" t="s">
        <v>126</v>
      </c>
      <c r="E1143" s="1916">
        <f>+F62</f>
        <v>2913</v>
      </c>
      <c r="F1143" s="1916">
        <f t="shared" si="20"/>
        <v>87.39</v>
      </c>
    </row>
    <row r="1144" spans="2:6" s="1916" customFormat="1">
      <c r="B1144" s="1916" t="s">
        <v>197</v>
      </c>
      <c r="C1144" s="1916">
        <v>0.18</v>
      </c>
      <c r="D1144" s="1916" t="s">
        <v>155</v>
      </c>
      <c r="E1144" s="1916">
        <v>35</v>
      </c>
      <c r="F1144" s="1916">
        <f t="shared" si="20"/>
        <v>6.3</v>
      </c>
    </row>
    <row r="1145" spans="2:6" s="1916" customFormat="1">
      <c r="B1145" s="1916" t="s">
        <v>198</v>
      </c>
      <c r="C1145" s="1916">
        <v>0.02</v>
      </c>
      <c r="D1145" s="1916" t="s">
        <v>148</v>
      </c>
      <c r="E1145" s="1916">
        <v>659</v>
      </c>
      <c r="F1145" s="1916">
        <f t="shared" si="20"/>
        <v>13.18</v>
      </c>
    </row>
    <row r="1146" spans="2:6" s="1916" customFormat="1">
      <c r="B1146" s="1916" t="s">
        <v>199</v>
      </c>
      <c r="C1146" s="1916">
        <v>0.01</v>
      </c>
      <c r="D1146" s="1916" t="s">
        <v>2</v>
      </c>
      <c r="E1146" s="1916">
        <v>659</v>
      </c>
      <c r="F1146" s="1916">
        <f t="shared" si="20"/>
        <v>6.59</v>
      </c>
    </row>
    <row r="1147" spans="2:6" s="1916" customFormat="1">
      <c r="E1147" s="1916" t="s">
        <v>1031</v>
      </c>
      <c r="F1147" s="1916">
        <f>SUM(F1138:F1146)</f>
        <v>2113.0322999999999</v>
      </c>
    </row>
    <row r="1148" spans="2:6" s="1916" customFormat="1">
      <c r="B1148" s="1916" t="s">
        <v>1933</v>
      </c>
      <c r="F1148" s="1916">
        <f>+F1147-(F1145+F1144)</f>
        <v>2093.5522999999998</v>
      </c>
    </row>
    <row r="1149" spans="2:6" s="1916" customFormat="1">
      <c r="B1149" s="1916" t="s">
        <v>1934</v>
      </c>
      <c r="F1149" s="1916">
        <f>F1147-(F1142+F1143)+(E1142*0.02)+(E1143*0.06)</f>
        <v>2271.0572999999999</v>
      </c>
    </row>
    <row r="1150" spans="2:6" s="1916" customFormat="1">
      <c r="B1150" s="1916" t="s">
        <v>1935</v>
      </c>
      <c r="F1150" s="1916">
        <f>F1149-(F1144+F1145)</f>
        <v>2251.5772999999999</v>
      </c>
    </row>
    <row r="1151" spans="2:6" s="1916" customFormat="1">
      <c r="B1151" s="1916" t="s">
        <v>1936</v>
      </c>
      <c r="F1151" s="1916">
        <f>F1147-(F1142+F1143)+(E1142*0.05)+(E1143*0.15)</f>
        <v>2745.1323000000002</v>
      </c>
    </row>
    <row r="1152" spans="2:6" s="1916" customFormat="1">
      <c r="B1152" s="1916" t="s">
        <v>1937</v>
      </c>
      <c r="F1152" s="1916">
        <f>F1151-(F1144+F1145)</f>
        <v>2725.6523000000002</v>
      </c>
    </row>
    <row r="1153" spans="2:31" s="1916" customFormat="1"/>
    <row r="1154" spans="2:31" s="1916" customFormat="1">
      <c r="B1154" s="1916" t="s">
        <v>1938</v>
      </c>
    </row>
    <row r="1155" spans="2:31" s="1916" customFormat="1">
      <c r="B1155" s="1916" t="s">
        <v>1048</v>
      </c>
      <c r="C1155" s="1916">
        <v>13</v>
      </c>
      <c r="D1155" s="1916" t="s">
        <v>3</v>
      </c>
      <c r="E1155" s="1916">
        <v>24.46</v>
      </c>
      <c r="F1155" s="1916">
        <f t="shared" ref="F1155:F1162" si="21">C1155*E1155</f>
        <v>317.98</v>
      </c>
    </row>
    <row r="1156" spans="2:31" s="1916" customFormat="1">
      <c r="B1156" s="1916" t="s">
        <v>1049</v>
      </c>
      <c r="C1156" s="1916">
        <v>13</v>
      </c>
      <c r="D1156" s="1916" t="s">
        <v>3</v>
      </c>
      <c r="E1156" s="1916">
        <v>18</v>
      </c>
      <c r="F1156" s="1916">
        <f t="shared" si="21"/>
        <v>234</v>
      </c>
    </row>
    <row r="1157" spans="2:31" s="1916" customFormat="1">
      <c r="B1157" s="1916" t="s">
        <v>1050</v>
      </c>
      <c r="C1157" s="1916">
        <v>0.02</v>
      </c>
      <c r="D1157" s="1916" t="s">
        <v>2</v>
      </c>
      <c r="E1157" s="1916">
        <f>F713</f>
        <v>45603.91</v>
      </c>
      <c r="F1157" s="1916">
        <f t="shared" si="21"/>
        <v>912.07820000000004</v>
      </c>
    </row>
    <row r="1158" spans="2:31" s="1916" customFormat="1">
      <c r="B1158" s="1916" t="s">
        <v>1051</v>
      </c>
      <c r="C1158" s="1916">
        <v>0.01</v>
      </c>
      <c r="D1158" s="1916" t="s">
        <v>2</v>
      </c>
      <c r="E1158" s="1916">
        <f>SUM(F1106)</f>
        <v>22060.923999999999</v>
      </c>
      <c r="F1158" s="1916">
        <f t="shared" si="21"/>
        <v>220.60924</v>
      </c>
    </row>
    <row r="1159" spans="2:31" s="1916" customFormat="1">
      <c r="B1159" s="1916" t="s">
        <v>1052</v>
      </c>
      <c r="C1159" s="1916">
        <v>0.03</v>
      </c>
      <c r="D1159" s="1916" t="s">
        <v>126</v>
      </c>
      <c r="E1159" s="1916">
        <f>F1089</f>
        <v>7416.6750000000002</v>
      </c>
      <c r="F1159" s="1916">
        <f t="shared" si="21"/>
        <v>222.50024999999999</v>
      </c>
    </row>
    <row r="1160" spans="2:31" s="1916" customFormat="1">
      <c r="B1160" s="1916" t="s">
        <v>1053</v>
      </c>
      <c r="C1160" s="1916">
        <v>0.18</v>
      </c>
      <c r="D1160" s="1916" t="s">
        <v>155</v>
      </c>
      <c r="E1160" s="1916">
        <v>35</v>
      </c>
      <c r="F1160" s="1916">
        <f t="shared" si="21"/>
        <v>6.3</v>
      </c>
    </row>
    <row r="1161" spans="2:31" s="1916" customFormat="1">
      <c r="B1161" s="1916" t="s">
        <v>198</v>
      </c>
      <c r="C1161" s="1916">
        <v>0.02</v>
      </c>
      <c r="D1161" s="1916" t="s">
        <v>148</v>
      </c>
      <c r="E1161" s="1916">
        <v>659</v>
      </c>
      <c r="F1161" s="1916">
        <f t="shared" si="21"/>
        <v>13.18</v>
      </c>
    </row>
    <row r="1162" spans="2:31" s="1916" customFormat="1">
      <c r="B1162" s="1916" t="s">
        <v>199</v>
      </c>
      <c r="C1162" s="1916">
        <v>0.01</v>
      </c>
      <c r="D1162" s="1916" t="s">
        <v>2</v>
      </c>
      <c r="E1162" s="1916">
        <v>659</v>
      </c>
      <c r="F1162" s="1916">
        <f t="shared" si="21"/>
        <v>6.59</v>
      </c>
    </row>
    <row r="1163" spans="2:31" s="1916" customFormat="1">
      <c r="E1163" s="1916" t="s">
        <v>1031</v>
      </c>
      <c r="F1163" s="1916">
        <f>SUM(F1155:F1162)</f>
        <v>1933.2376899999999</v>
      </c>
    </row>
    <row r="1164" spans="2:31">
      <c r="B1164" s="1130"/>
      <c r="C1164" s="1609"/>
      <c r="D1164" s="1131"/>
      <c r="E1164" s="1132"/>
      <c r="F1164" s="1133"/>
      <c r="I1164" s="1083"/>
      <c r="J1164" s="1083"/>
      <c r="K1164" s="1083"/>
      <c r="L1164" s="1083"/>
      <c r="M1164" s="1083"/>
      <c r="N1164" s="1083"/>
      <c r="O1164" s="1083"/>
      <c r="P1164" s="1083"/>
      <c r="Q1164" s="1083"/>
      <c r="R1164" s="1083"/>
      <c r="S1164" s="1083"/>
      <c r="T1164" s="1083"/>
      <c r="U1164" s="1083"/>
      <c r="V1164" s="1083"/>
      <c r="W1164" s="1083"/>
      <c r="X1164" s="1083"/>
      <c r="Y1164" s="1083"/>
      <c r="Z1164" s="1083"/>
      <c r="AA1164" s="1083"/>
      <c r="AB1164" s="1083"/>
      <c r="AC1164" s="1083"/>
      <c r="AD1164" s="1083"/>
      <c r="AE1164" s="1083"/>
    </row>
    <row r="1165" spans="2:31">
      <c r="B1165" s="1130"/>
      <c r="C1165" s="1609"/>
      <c r="D1165" s="1131"/>
      <c r="E1165" s="1132"/>
      <c r="F1165" s="1133"/>
      <c r="I1165" s="1083"/>
      <c r="J1165" s="1083"/>
      <c r="K1165" s="1083"/>
      <c r="L1165" s="1083"/>
      <c r="M1165" s="1083"/>
      <c r="N1165" s="1083"/>
      <c r="O1165" s="1083"/>
      <c r="P1165" s="1083"/>
      <c r="Q1165" s="1083"/>
      <c r="R1165" s="1083"/>
      <c r="S1165" s="1083"/>
      <c r="T1165" s="1083"/>
      <c r="U1165" s="1083"/>
      <c r="V1165" s="1083"/>
      <c r="W1165" s="1083"/>
      <c r="X1165" s="1083"/>
      <c r="Y1165" s="1083"/>
      <c r="Z1165" s="1083"/>
      <c r="AA1165" s="1083"/>
      <c r="AB1165" s="1083"/>
      <c r="AC1165" s="1083"/>
      <c r="AD1165" s="1083"/>
      <c r="AE1165" s="1083"/>
    </row>
    <row r="1166" spans="2:31">
      <c r="B1166" s="1130"/>
      <c r="C1166" s="1609"/>
      <c r="D1166" s="1131"/>
      <c r="E1166" s="1132"/>
      <c r="F1166" s="1133"/>
      <c r="I1166" s="1083"/>
      <c r="J1166" s="1083"/>
      <c r="K1166" s="1083"/>
      <c r="L1166" s="1083"/>
      <c r="M1166" s="1083"/>
      <c r="N1166" s="1083"/>
      <c r="O1166" s="1083"/>
      <c r="P1166" s="1083"/>
      <c r="Q1166" s="1083"/>
      <c r="R1166" s="1083"/>
      <c r="S1166" s="1083"/>
      <c r="T1166" s="1083"/>
      <c r="U1166" s="1083"/>
      <c r="V1166" s="1083"/>
      <c r="W1166" s="1083"/>
      <c r="X1166" s="1083"/>
      <c r="Y1166" s="1083"/>
      <c r="Z1166" s="1083"/>
      <c r="AA1166" s="1083"/>
      <c r="AB1166" s="1083"/>
      <c r="AC1166" s="1083"/>
      <c r="AD1166" s="1083"/>
      <c r="AE1166" s="1083"/>
    </row>
    <row r="1167" spans="2:31">
      <c r="B1167" s="1130"/>
      <c r="C1167" s="1609"/>
      <c r="D1167" s="1131"/>
      <c r="E1167" s="1132"/>
      <c r="F1167" s="1133"/>
      <c r="I1167" s="1083"/>
      <c r="J1167" s="1083"/>
      <c r="K1167" s="1083"/>
      <c r="L1167" s="1083"/>
      <c r="M1167" s="1083"/>
      <c r="N1167" s="1083"/>
      <c r="O1167" s="1083"/>
      <c r="P1167" s="1083"/>
      <c r="Q1167" s="1083"/>
      <c r="R1167" s="1083"/>
      <c r="S1167" s="1083"/>
      <c r="T1167" s="1083"/>
      <c r="U1167" s="1083"/>
      <c r="V1167" s="1083"/>
      <c r="W1167" s="1083"/>
      <c r="X1167" s="1083"/>
      <c r="Y1167" s="1083"/>
      <c r="Z1167" s="1083"/>
      <c r="AA1167" s="1083"/>
      <c r="AB1167" s="1083"/>
      <c r="AC1167" s="1083"/>
      <c r="AD1167" s="1083"/>
      <c r="AE1167" s="1083"/>
    </row>
    <row r="1168" spans="2:31">
      <c r="B1168" s="1130"/>
      <c r="C1168" s="1609"/>
      <c r="D1168" s="1131"/>
      <c r="E1168" s="1132"/>
      <c r="F1168" s="1133"/>
      <c r="I1168" s="1083"/>
      <c r="J1168" s="1083"/>
      <c r="K1168" s="1083"/>
      <c r="L1168" s="1083"/>
      <c r="M1168" s="1083"/>
      <c r="N1168" s="1083"/>
      <c r="O1168" s="1083"/>
      <c r="P1168" s="1083"/>
      <c r="Q1168" s="1083"/>
      <c r="R1168" s="1083"/>
      <c r="S1168" s="1083"/>
      <c r="T1168" s="1083"/>
      <c r="U1168" s="1083"/>
      <c r="V1168" s="1083"/>
      <c r="W1168" s="1083"/>
      <c r="X1168" s="1083"/>
      <c r="Y1168" s="1083"/>
      <c r="Z1168" s="1083"/>
      <c r="AA1168" s="1083"/>
      <c r="AB1168" s="1083"/>
      <c r="AC1168" s="1083"/>
      <c r="AD1168" s="1083"/>
      <c r="AE1168" s="1083"/>
    </row>
    <row r="1169" spans="2:31">
      <c r="B1169" s="1130"/>
      <c r="C1169" s="1609"/>
      <c r="D1169" s="1131"/>
      <c r="E1169" s="1132"/>
      <c r="F1169" s="1133"/>
      <c r="I1169" s="1083"/>
      <c r="J1169" s="1083"/>
      <c r="K1169" s="1083"/>
      <c r="L1169" s="1083"/>
      <c r="M1169" s="1083"/>
      <c r="N1169" s="1083"/>
      <c r="O1169" s="1083"/>
      <c r="P1169" s="1083"/>
      <c r="Q1169" s="1083"/>
      <c r="R1169" s="1083"/>
      <c r="S1169" s="1083"/>
      <c r="T1169" s="1083"/>
      <c r="U1169" s="1083"/>
      <c r="V1169" s="1083"/>
      <c r="W1169" s="1083"/>
      <c r="X1169" s="1083"/>
      <c r="Y1169" s="1083"/>
      <c r="Z1169" s="1083"/>
      <c r="AA1169" s="1083"/>
      <c r="AB1169" s="1083"/>
      <c r="AC1169" s="1083"/>
      <c r="AD1169" s="1083"/>
      <c r="AE1169" s="1083"/>
    </row>
    <row r="1170" spans="2:31" s="1916" customFormat="1">
      <c r="B1170" s="1916" t="s">
        <v>1908</v>
      </c>
    </row>
    <row r="1171" spans="2:31" s="1916" customFormat="1"/>
    <row r="1172" spans="2:31" s="1916" customFormat="1">
      <c r="B1172" s="1916" t="s">
        <v>1909</v>
      </c>
      <c r="C1172" s="1916">
        <f>4.1*1.4*1.82</f>
        <v>10.4468</v>
      </c>
      <c r="D1172" s="1916" t="s">
        <v>2</v>
      </c>
      <c r="E1172" s="1916">
        <v>340.5</v>
      </c>
      <c r="F1172" s="1916">
        <f t="shared" ref="F1172:F1188" si="22">ROUND(C1172*E1172,2)</f>
        <v>3557.14</v>
      </c>
    </row>
    <row r="1173" spans="2:31" s="1916" customFormat="1">
      <c r="B1173" s="1916" t="s">
        <v>1910</v>
      </c>
      <c r="C1173" s="1916">
        <f>ROUND(C1172*1.35,2)</f>
        <v>14.1</v>
      </c>
      <c r="D1173" s="1916" t="s">
        <v>2</v>
      </c>
      <c r="E1173" s="1916">
        <v>165</v>
      </c>
      <c r="F1173" s="1916">
        <f t="shared" si="22"/>
        <v>2326.5</v>
      </c>
      <c r="H1173" s="1916">
        <f>0.8*0.8*0.8*1.25</f>
        <v>0.64</v>
      </c>
    </row>
    <row r="1174" spans="2:31" s="1916" customFormat="1">
      <c r="B1174" s="1916" t="s">
        <v>1911</v>
      </c>
      <c r="C1174" s="1916">
        <v>5.0199999999999996</v>
      </c>
      <c r="D1174" s="1916" t="s">
        <v>2</v>
      </c>
      <c r="E1174" s="1916">
        <f>+F808</f>
        <v>3500</v>
      </c>
      <c r="F1174" s="1916">
        <f t="shared" si="22"/>
        <v>17570</v>
      </c>
    </row>
    <row r="1175" spans="2:31" s="1916" customFormat="1">
      <c r="B1175" s="1916" t="s">
        <v>1912</v>
      </c>
      <c r="C1175" s="1916">
        <v>0.18</v>
      </c>
      <c r="D1175" s="1916" t="s">
        <v>126</v>
      </c>
      <c r="E1175" s="1916">
        <f>+F791</f>
        <v>1922.58</v>
      </c>
      <c r="F1175" s="1916">
        <f t="shared" si="22"/>
        <v>346.06</v>
      </c>
    </row>
    <row r="1176" spans="2:31" s="1916" customFormat="1"/>
    <row r="1177" spans="2:31" s="1916" customFormat="1">
      <c r="B1177" s="1916" t="s">
        <v>1916</v>
      </c>
    </row>
    <row r="1178" spans="2:31" s="1916" customFormat="1">
      <c r="B1178" s="1916" t="s">
        <v>901</v>
      </c>
      <c r="C1178" s="1916">
        <v>7.28</v>
      </c>
      <c r="D1178" s="1916" t="s">
        <v>11</v>
      </c>
      <c r="E1178" s="1916">
        <f>+F1132</f>
        <v>2379.5267899999999</v>
      </c>
      <c r="F1178" s="1916">
        <f t="shared" si="22"/>
        <v>17322.96</v>
      </c>
    </row>
    <row r="1179" spans="2:31" s="1916" customFormat="1">
      <c r="B1179" s="1916" t="s">
        <v>1944</v>
      </c>
      <c r="C1179" s="1916">
        <v>3.64</v>
      </c>
      <c r="D1179" s="1916" t="s">
        <v>11</v>
      </c>
      <c r="E1179" s="1916">
        <f>+F1132</f>
        <v>2379.5267899999999</v>
      </c>
      <c r="F1179" s="1916">
        <f t="shared" si="22"/>
        <v>8661.48</v>
      </c>
    </row>
    <row r="1180" spans="2:31" s="1916" customFormat="1">
      <c r="B1180" s="1916" t="s">
        <v>1945</v>
      </c>
      <c r="C1180" s="1916">
        <v>3.92</v>
      </c>
      <c r="D1180" s="1916" t="s">
        <v>11</v>
      </c>
      <c r="E1180" s="1916">
        <f>+F1132</f>
        <v>2379.5267899999999</v>
      </c>
      <c r="F1180" s="1916">
        <f t="shared" si="22"/>
        <v>9327.75</v>
      </c>
    </row>
    <row r="1181" spans="2:31" s="1916" customFormat="1">
      <c r="B1181" s="1916" t="s">
        <v>1947</v>
      </c>
    </row>
    <row r="1182" spans="2:31" s="1916" customFormat="1">
      <c r="B1182" s="1916" t="s">
        <v>1949</v>
      </c>
      <c r="C1182" s="1916">
        <v>4</v>
      </c>
      <c r="D1182" s="1916" t="s">
        <v>976</v>
      </c>
      <c r="E1182" s="1916">
        <v>1350.07</v>
      </c>
      <c r="F1182" s="1916">
        <f>+E1182*C1182</f>
        <v>5400.28</v>
      </c>
    </row>
    <row r="1183" spans="2:31" s="1916" customFormat="1">
      <c r="B1183" s="1916" t="s">
        <v>1948</v>
      </c>
      <c r="C1183" s="1916">
        <v>2</v>
      </c>
      <c r="D1183" s="1916" t="s">
        <v>976</v>
      </c>
      <c r="E1183" s="1916">
        <v>226.42</v>
      </c>
      <c r="F1183" s="1916">
        <f>+E1183*C1183</f>
        <v>452.84</v>
      </c>
    </row>
    <row r="1184" spans="2:31" s="1916" customFormat="1">
      <c r="B1184" s="1916" t="s">
        <v>1946</v>
      </c>
      <c r="C1184" s="1916">
        <f>0.9*1*0.7</f>
        <v>0.63</v>
      </c>
      <c r="D1184" s="1916" t="s">
        <v>2</v>
      </c>
      <c r="E1184" s="1916">
        <f>+F21</f>
        <v>1215</v>
      </c>
    </row>
    <row r="1185" spans="2:8" s="1916" customFormat="1">
      <c r="B1185" s="1916" t="s">
        <v>1913</v>
      </c>
      <c r="C1185" s="1916">
        <v>0.03</v>
      </c>
      <c r="D1185" s="1916" t="s">
        <v>2</v>
      </c>
      <c r="E1185" s="1916">
        <f>+E1174</f>
        <v>3500</v>
      </c>
      <c r="F1185" s="1916">
        <f t="shared" si="22"/>
        <v>105</v>
      </c>
    </row>
    <row r="1186" spans="2:8" s="1916" customFormat="1">
      <c r="B1186" s="1916" t="s">
        <v>1914</v>
      </c>
      <c r="C1186" s="1916">
        <v>0.01</v>
      </c>
      <c r="D1186" s="1916" t="s">
        <v>2</v>
      </c>
      <c r="E1186" s="1916">
        <f>+E1185*1.07</f>
        <v>3745</v>
      </c>
      <c r="F1186" s="1916">
        <f>ROUND(C1186*E1186,2)</f>
        <v>37.450000000000003</v>
      </c>
    </row>
    <row r="1187" spans="2:8" s="1916" customFormat="1">
      <c r="B1187" s="1916" t="s">
        <v>1951</v>
      </c>
      <c r="C1187" s="1916">
        <v>3</v>
      </c>
      <c r="D1187" s="1916" t="s">
        <v>3</v>
      </c>
      <c r="E1187" s="1916">
        <f>+F1202</f>
        <v>33145.550000000003</v>
      </c>
      <c r="F1187" s="1916">
        <f>ROUND(C1187*E1187,2)</f>
        <v>99436.65</v>
      </c>
    </row>
    <row r="1188" spans="2:8" s="1916" customFormat="1">
      <c r="B1188" s="1916" t="s">
        <v>1698</v>
      </c>
      <c r="C1188" s="1916">
        <v>1</v>
      </c>
      <c r="D1188" s="1916" t="s">
        <v>3</v>
      </c>
      <c r="E1188" s="1916">
        <v>2000</v>
      </c>
      <c r="F1188" s="1916">
        <f t="shared" si="22"/>
        <v>2000</v>
      </c>
    </row>
    <row r="1189" spans="2:8" s="1916" customFormat="1">
      <c r="E1189" s="1916" t="s">
        <v>1039</v>
      </c>
      <c r="F1189" s="1916">
        <f>SUM(F1172:F1188)</f>
        <v>166544.10999999999</v>
      </c>
    </row>
    <row r="1190" spans="2:8" s="1916" customFormat="1"/>
    <row r="1191" spans="2:8" s="1916" customFormat="1">
      <c r="B1191" s="1916" t="s">
        <v>1939</v>
      </c>
    </row>
    <row r="1192" spans="2:8" s="1916" customFormat="1">
      <c r="B1192" s="1916" t="s">
        <v>1940</v>
      </c>
      <c r="C1192" s="1916">
        <v>75</v>
      </c>
      <c r="D1192" s="1916" t="s">
        <v>800</v>
      </c>
      <c r="E1192" s="1916">
        <v>1000</v>
      </c>
      <c r="F1192" s="1916">
        <f>ROUND(C1192*E1192,2)</f>
        <v>75000</v>
      </c>
    </row>
    <row r="1193" spans="2:8" s="1916" customFormat="1">
      <c r="B1193" s="1916" t="s">
        <v>1941</v>
      </c>
      <c r="C1193" s="1916">
        <v>75</v>
      </c>
      <c r="D1193" s="1916" t="s">
        <v>800</v>
      </c>
      <c r="E1193" s="1916">
        <v>300</v>
      </c>
      <c r="F1193" s="1916">
        <f>ROUND(C1193*E1193,2)</f>
        <v>22500</v>
      </c>
    </row>
    <row r="1194" spans="2:8" s="1916" customFormat="1">
      <c r="B1194" s="1916" t="s">
        <v>1942</v>
      </c>
      <c r="C1194" s="1916">
        <v>50</v>
      </c>
      <c r="D1194" s="1916" t="s">
        <v>800</v>
      </c>
      <c r="E1194" s="1916">
        <v>35</v>
      </c>
      <c r="F1194" s="1916">
        <f>ROUND(C1194*E1194,2)</f>
        <v>1750</v>
      </c>
    </row>
    <row r="1195" spans="2:8" s="1916" customFormat="1">
      <c r="B1195" s="1916" t="s">
        <v>1943</v>
      </c>
      <c r="C1195" s="1916">
        <v>75</v>
      </c>
      <c r="D1195" s="1916" t="s">
        <v>800</v>
      </c>
      <c r="E1195" s="1916">
        <v>1000</v>
      </c>
      <c r="F1195" s="1916">
        <f>ROUND(C1195*E1195,2)</f>
        <v>75000</v>
      </c>
    </row>
    <row r="1196" spans="2:8" s="1916" customFormat="1">
      <c r="E1196" s="1916" t="s">
        <v>11</v>
      </c>
      <c r="F1196" s="1916">
        <f>ROUND(SUM(F1192:F1195),2)</f>
        <v>174250</v>
      </c>
    </row>
    <row r="1197" spans="2:8" s="1916" customFormat="1"/>
    <row r="1198" spans="2:8" s="1916" customFormat="1" ht="12.6" customHeight="1">
      <c r="B1198" s="1916" t="s">
        <v>1950</v>
      </c>
    </row>
    <row r="1199" spans="2:8" s="1916" customFormat="1" ht="12.6" customHeight="1">
      <c r="B1199" s="1916" t="s">
        <v>1682</v>
      </c>
      <c r="C1199" s="1916">
        <f>0.7*0.7*0.05</f>
        <v>2.4500000000000001E-2</v>
      </c>
      <c r="D1199" s="1916" t="s">
        <v>2</v>
      </c>
      <c r="E1199" s="1916">
        <f>+F303</f>
        <v>7531.68</v>
      </c>
      <c r="F1199" s="1916">
        <f>C1199*E1199</f>
        <v>184.52616</v>
      </c>
    </row>
    <row r="1200" spans="2:8" s="1916" customFormat="1" ht="12.6" customHeight="1">
      <c r="B1200" s="1916" t="s">
        <v>1859</v>
      </c>
      <c r="C1200" s="1916">
        <v>11.14</v>
      </c>
      <c r="D1200" s="1916" t="s">
        <v>126</v>
      </c>
      <c r="E1200" s="1916">
        <f>+F62</f>
        <v>2913</v>
      </c>
      <c r="F1200" s="1916">
        <f>C1200*E1200</f>
        <v>32450.82</v>
      </c>
      <c r="H1200" s="1916">
        <f>3*0.9*2</f>
        <v>5.4</v>
      </c>
    </row>
    <row r="1201" spans="2:31" s="1916" customFormat="1" ht="12.6" customHeight="1">
      <c r="B1201" s="1916" t="s">
        <v>1862</v>
      </c>
      <c r="C1201" s="1916">
        <f>1/(0.7*0.7)</f>
        <v>2.0408163265306101</v>
      </c>
      <c r="D1201" s="1916" t="s">
        <v>1</v>
      </c>
      <c r="E1201" s="1916">
        <v>250</v>
      </c>
      <c r="F1201" s="1916">
        <f>C1201*E1201</f>
        <v>510.20408163265301</v>
      </c>
    </row>
    <row r="1202" spans="2:31" s="1916" customFormat="1" ht="12.6" customHeight="1">
      <c r="E1202" s="1916" t="s">
        <v>1031</v>
      </c>
      <c r="F1202" s="1916">
        <f>ROUND(SUM(F1199:F1201),2)</f>
        <v>33145.550000000003</v>
      </c>
      <c r="H1202" s="1916">
        <v>8</v>
      </c>
      <c r="I1202" s="1916">
        <v>0.75</v>
      </c>
      <c r="J1202" s="1916">
        <f>+I1202*H1202</f>
        <v>6</v>
      </c>
    </row>
    <row r="1203" spans="2:31" s="1916" customFormat="1">
      <c r="J1203" s="1999">
        <f>0.526*J1202</f>
        <v>3.1560000000000001</v>
      </c>
    </row>
    <row r="1204" spans="2:31" s="1916" customFormat="1">
      <c r="B1204" s="1916" t="s">
        <v>900</v>
      </c>
    </row>
    <row r="1205" spans="2:31" s="1916" customFormat="1"/>
    <row r="1206" spans="2:31" s="1916" customFormat="1">
      <c r="B1206" s="1916" t="s">
        <v>1952</v>
      </c>
      <c r="C1206" s="1916">
        <v>0.28999999999999998</v>
      </c>
      <c r="D1206" s="1916" t="s">
        <v>2</v>
      </c>
      <c r="E1206" s="1916">
        <f>+F303</f>
        <v>7531.68</v>
      </c>
      <c r="F1206" s="1916">
        <f t="shared" ref="F1206:F1211" si="23">ROUND(C1206*E1206,2)</f>
        <v>2184.19</v>
      </c>
    </row>
    <row r="1207" spans="2:31" s="1916" customFormat="1">
      <c r="B1207" s="1916" t="s">
        <v>1953</v>
      </c>
      <c r="C1207" s="1916">
        <v>3.78</v>
      </c>
      <c r="D1207" s="1916" t="s">
        <v>11</v>
      </c>
      <c r="E1207" s="1916">
        <f>+F1094</f>
        <v>0</v>
      </c>
      <c r="F1207" s="1916">
        <f t="shared" si="23"/>
        <v>0</v>
      </c>
    </row>
    <row r="1208" spans="2:31" s="1916" customFormat="1">
      <c r="B1208" s="1916" t="s">
        <v>1954</v>
      </c>
      <c r="C1208" s="1916">
        <v>0.27</v>
      </c>
      <c r="D1208" s="1916" t="s">
        <v>126</v>
      </c>
      <c r="E1208" s="1916">
        <f>+F62</f>
        <v>2913</v>
      </c>
      <c r="F1208" s="3385">
        <f t="shared" si="23"/>
        <v>786.51</v>
      </c>
      <c r="H1208" s="1999"/>
    </row>
    <row r="1209" spans="2:31" s="1916" customFormat="1">
      <c r="B1209" s="1916" t="s">
        <v>377</v>
      </c>
      <c r="C1209" s="1916">
        <v>3.24</v>
      </c>
      <c r="D1209" s="1916" t="s">
        <v>11</v>
      </c>
      <c r="E1209" s="1916">
        <f>+C961</f>
        <v>0</v>
      </c>
      <c r="F1209" s="1916">
        <f t="shared" si="23"/>
        <v>0</v>
      </c>
    </row>
    <row r="1210" spans="2:31" s="1916" customFormat="1">
      <c r="B1210" s="1916" t="s">
        <v>1955</v>
      </c>
      <c r="C1210" s="1916">
        <v>1.58</v>
      </c>
      <c r="D1210" s="1916" t="s">
        <v>1896</v>
      </c>
      <c r="E1210" s="1916">
        <v>315.23</v>
      </c>
      <c r="F1210" s="3385">
        <f t="shared" si="23"/>
        <v>498.06</v>
      </c>
    </row>
    <row r="1211" spans="2:31" s="1916" customFormat="1">
      <c r="B1211" s="1916" t="s">
        <v>697</v>
      </c>
      <c r="C1211" s="1916">
        <v>1</v>
      </c>
      <c r="D1211" s="1916" t="s">
        <v>3</v>
      </c>
      <c r="E1211" s="1916">
        <v>450</v>
      </c>
      <c r="F1211" s="1916">
        <f t="shared" si="23"/>
        <v>450</v>
      </c>
    </row>
    <row r="1212" spans="2:31" s="1916" customFormat="1">
      <c r="E1212" s="1916" t="s">
        <v>1031</v>
      </c>
      <c r="F1212" s="1916">
        <f>SUM(F1206:F1211)</f>
        <v>3918.76</v>
      </c>
    </row>
    <row r="1213" spans="2:31" s="1916" customFormat="1">
      <c r="D1213" s="3386"/>
    </row>
    <row r="1214" spans="2:31">
      <c r="B1214" s="5190" t="s">
        <v>1159</v>
      </c>
      <c r="C1214" s="5190"/>
      <c r="D1214" s="5190"/>
      <c r="E1214" s="5190"/>
      <c r="F1214" s="5190"/>
      <c r="I1214" s="1083"/>
      <c r="J1214" s="1083"/>
      <c r="K1214" s="1083"/>
      <c r="L1214" s="1083"/>
      <c r="M1214" s="1083"/>
      <c r="N1214" s="1083"/>
      <c r="O1214" s="1083"/>
      <c r="P1214" s="1083"/>
      <c r="Q1214" s="1083"/>
      <c r="R1214" s="1083"/>
      <c r="S1214" s="1083"/>
      <c r="T1214" s="1083"/>
      <c r="U1214" s="1083"/>
      <c r="V1214" s="1083"/>
      <c r="W1214" s="1083"/>
      <c r="X1214" s="1083"/>
      <c r="Y1214" s="1083"/>
      <c r="Z1214" s="1083"/>
      <c r="AA1214" s="1083"/>
      <c r="AB1214" s="1083"/>
      <c r="AC1214" s="1083"/>
      <c r="AD1214" s="1083"/>
      <c r="AE1214" s="1083"/>
    </row>
    <row r="1215" spans="2:31" ht="20.25">
      <c r="B1215" s="1157"/>
      <c r="C1215" s="1628"/>
      <c r="D1215" s="1157"/>
      <c r="E1215" s="1157"/>
      <c r="F1215" s="1157"/>
      <c r="I1215" s="1083"/>
      <c r="J1215" s="1083"/>
      <c r="K1215" s="1083"/>
      <c r="L1215" s="1083"/>
      <c r="M1215" s="1083"/>
      <c r="N1215" s="1083"/>
      <c r="O1215" s="1083"/>
      <c r="P1215" s="1083"/>
      <c r="Q1215" s="1083"/>
      <c r="R1215" s="1083"/>
      <c r="S1215" s="1083"/>
      <c r="T1215" s="1083"/>
      <c r="U1215" s="1083"/>
      <c r="V1215" s="1083"/>
      <c r="W1215" s="1083"/>
      <c r="X1215" s="1083"/>
      <c r="Y1215" s="1083"/>
      <c r="Z1215" s="1083"/>
      <c r="AA1215" s="1083"/>
      <c r="AB1215" s="1083"/>
      <c r="AC1215" s="1083"/>
      <c r="AD1215" s="1083"/>
      <c r="AE1215" s="1083"/>
    </row>
    <row r="1216" spans="2:31">
      <c r="B1216" s="1158" t="s">
        <v>268</v>
      </c>
      <c r="C1216" s="1623">
        <v>2.2599999999999998</v>
      </c>
      <c r="D1216" s="1159" t="s">
        <v>269</v>
      </c>
      <c r="E1216" s="1160"/>
      <c r="F1216" s="1160"/>
      <c r="I1216" s="1083"/>
      <c r="J1216" s="1083"/>
      <c r="K1216" s="1083"/>
      <c r="L1216" s="1083"/>
      <c r="M1216" s="1083"/>
      <c r="N1216" s="1083"/>
      <c r="O1216" s="1083"/>
      <c r="P1216" s="1083"/>
      <c r="Q1216" s="1083"/>
      <c r="R1216" s="1083"/>
      <c r="S1216" s="1083"/>
      <c r="T1216" s="1083"/>
      <c r="U1216" s="1083"/>
      <c r="V1216" s="1083"/>
      <c r="W1216" s="1083"/>
      <c r="X1216" s="1083"/>
      <c r="Y1216" s="1083"/>
      <c r="Z1216" s="1083"/>
      <c r="AA1216" s="1083"/>
      <c r="AB1216" s="1083"/>
      <c r="AC1216" s="1083"/>
      <c r="AD1216" s="1083"/>
      <c r="AE1216" s="1083"/>
    </row>
    <row r="1217" spans="2:31" ht="13.5" thickBot="1">
      <c r="B1217" s="1161" t="s">
        <v>270</v>
      </c>
      <c r="C1217" s="1623"/>
      <c r="D1217" s="1159"/>
      <c r="E1217" s="1160"/>
      <c r="F1217" s="1160"/>
      <c r="I1217" s="1083"/>
      <c r="J1217" s="1083"/>
      <c r="K1217" s="1083"/>
      <c r="L1217" s="1083"/>
      <c r="M1217" s="1083"/>
      <c r="N1217" s="1083"/>
      <c r="O1217" s="1083"/>
      <c r="P1217" s="1083"/>
      <c r="Q1217" s="1083"/>
      <c r="R1217" s="1083"/>
      <c r="S1217" s="1083"/>
      <c r="T1217" s="1083"/>
      <c r="U1217" s="1083"/>
      <c r="V1217" s="1083"/>
      <c r="W1217" s="1083"/>
      <c r="X1217" s="1083"/>
      <c r="Y1217" s="1083"/>
      <c r="Z1217" s="1083"/>
      <c r="AA1217" s="1083"/>
      <c r="AB1217" s="1083"/>
      <c r="AC1217" s="1083"/>
      <c r="AD1217" s="1083"/>
      <c r="AE1217" s="1083"/>
    </row>
    <row r="1218" spans="2:31" ht="13.5" thickTop="1">
      <c r="B1218" s="1162" t="s">
        <v>271</v>
      </c>
      <c r="C1218" s="1629">
        <v>1.05</v>
      </c>
      <c r="D1218" s="1163" t="s">
        <v>2</v>
      </c>
      <c r="E1218" s="1164">
        <f>+E1060</f>
        <v>0</v>
      </c>
      <c r="F1218" s="1165">
        <f>C1218*E1218</f>
        <v>0</v>
      </c>
      <c r="I1218" s="1083"/>
      <c r="J1218" s="1083"/>
      <c r="K1218" s="1083"/>
      <c r="L1218" s="1083"/>
      <c r="M1218" s="1083"/>
      <c r="N1218" s="1083"/>
      <c r="O1218" s="1083"/>
      <c r="P1218" s="1083"/>
      <c r="Q1218" s="1083"/>
      <c r="R1218" s="1083"/>
      <c r="S1218" s="1083"/>
      <c r="T1218" s="1083"/>
      <c r="U1218" s="1083"/>
      <c r="V1218" s="1083"/>
      <c r="W1218" s="1083"/>
      <c r="X1218" s="1083"/>
      <c r="Y1218" s="1083"/>
      <c r="Z1218" s="1083"/>
      <c r="AA1218" s="1083"/>
      <c r="AB1218" s="1083"/>
      <c r="AC1218" s="1083"/>
      <c r="AD1218" s="1083"/>
      <c r="AE1218" s="1083"/>
    </row>
    <row r="1219" spans="2:31">
      <c r="B1219" s="3387" t="s">
        <v>272</v>
      </c>
      <c r="C1219" s="3388">
        <f>+C1216</f>
        <v>2.2599999999999998</v>
      </c>
      <c r="D1219" s="3389" t="s">
        <v>126</v>
      </c>
      <c r="E1219" s="3254" t="e">
        <f>+#REF!</f>
        <v>#REF!</v>
      </c>
      <c r="F1219" s="3390" t="e">
        <f>C1219*E1219</f>
        <v>#REF!</v>
      </c>
      <c r="I1219" s="1083"/>
      <c r="J1219" s="1083"/>
      <c r="K1219" s="1083"/>
      <c r="L1219" s="1083"/>
      <c r="M1219" s="1083"/>
      <c r="N1219" s="1083"/>
      <c r="O1219" s="1083"/>
      <c r="P1219" s="1083"/>
      <c r="Q1219" s="1083"/>
      <c r="R1219" s="1083"/>
      <c r="S1219" s="1083"/>
      <c r="T1219" s="1083"/>
      <c r="U1219" s="1083"/>
      <c r="V1219" s="1083"/>
      <c r="W1219" s="1083"/>
      <c r="X1219" s="1083"/>
      <c r="Y1219" s="1083"/>
      <c r="Z1219" s="1083"/>
      <c r="AA1219" s="1083"/>
      <c r="AB1219" s="1083"/>
      <c r="AC1219" s="1083"/>
      <c r="AD1219" s="1083"/>
      <c r="AE1219" s="1083"/>
    </row>
    <row r="1220" spans="2:31" ht="13.5" thickBot="1">
      <c r="B1220" s="3391"/>
      <c r="C1220" s="3392"/>
      <c r="D1220" s="3393"/>
      <c r="E1220" s="3394" t="s">
        <v>274</v>
      </c>
      <c r="F1220" s="3395" t="e">
        <f>SUM(F1218:F1219)</f>
        <v>#REF!</v>
      </c>
      <c r="I1220" s="1083"/>
      <c r="J1220" s="1083"/>
      <c r="K1220" s="1083"/>
      <c r="L1220" s="1083"/>
      <c r="M1220" s="1083"/>
      <c r="N1220" s="1083"/>
      <c r="O1220" s="1083"/>
      <c r="P1220" s="1083"/>
      <c r="Q1220" s="1083"/>
      <c r="R1220" s="1083"/>
      <c r="S1220" s="1083"/>
      <c r="T1220" s="1083"/>
      <c r="U1220" s="1083"/>
      <c r="V1220" s="1083"/>
      <c r="W1220" s="1083"/>
      <c r="X1220" s="1083"/>
      <c r="Y1220" s="1083"/>
      <c r="Z1220" s="1083"/>
      <c r="AA1220" s="1083"/>
      <c r="AB1220" s="1083"/>
      <c r="AC1220" s="1083"/>
      <c r="AD1220" s="1083"/>
      <c r="AE1220" s="1083"/>
    </row>
    <row r="1221" spans="2:31" ht="14.25" thickTop="1" thickBot="1">
      <c r="B1221" s="1166"/>
      <c r="C1221" s="1622"/>
      <c r="D1221" s="1166"/>
      <c r="E1221" s="1167" t="s">
        <v>275</v>
      </c>
      <c r="F1221" s="1168" t="e">
        <v>#REF!</v>
      </c>
      <c r="I1221" s="1083"/>
      <c r="J1221" s="1083"/>
      <c r="K1221" s="1083"/>
      <c r="L1221" s="1083"/>
      <c r="M1221" s="1083"/>
      <c r="N1221" s="1083"/>
      <c r="O1221" s="1083"/>
      <c r="P1221" s="1083"/>
      <c r="Q1221" s="1083"/>
      <c r="R1221" s="1083"/>
      <c r="S1221" s="1083"/>
      <c r="T1221" s="1083"/>
      <c r="U1221" s="1083"/>
      <c r="V1221" s="1083"/>
      <c r="W1221" s="1083"/>
      <c r="X1221" s="1083"/>
      <c r="Y1221" s="1083"/>
      <c r="Z1221" s="1083"/>
      <c r="AA1221" s="1083"/>
      <c r="AB1221" s="1083"/>
      <c r="AC1221" s="1083"/>
      <c r="AD1221" s="1083"/>
      <c r="AE1221" s="1083"/>
    </row>
    <row r="1222" spans="2:31" ht="14.25" thickTop="1" thickBot="1">
      <c r="B1222" s="1161" t="s">
        <v>276</v>
      </c>
      <c r="C1222" s="1623"/>
      <c r="D1222" s="1159"/>
      <c r="E1222" s="1160"/>
      <c r="F1222" s="1160"/>
      <c r="I1222" s="1083"/>
      <c r="J1222" s="1083"/>
      <c r="K1222" s="1083"/>
      <c r="L1222" s="1083"/>
      <c r="M1222" s="1083"/>
      <c r="N1222" s="1083"/>
      <c r="O1222" s="1083"/>
      <c r="P1222" s="1083"/>
      <c r="Q1222" s="1083"/>
      <c r="R1222" s="1083"/>
      <c r="S1222" s="1083"/>
      <c r="T1222" s="1083"/>
      <c r="U1222" s="1083"/>
      <c r="V1222" s="1083"/>
      <c r="W1222" s="1083"/>
      <c r="X1222" s="1083"/>
      <c r="Y1222" s="1083"/>
      <c r="Z1222" s="1083"/>
      <c r="AA1222" s="1083"/>
      <c r="AB1222" s="1083"/>
      <c r="AC1222" s="1083"/>
      <c r="AD1222" s="1083"/>
      <c r="AE1222" s="1083"/>
    </row>
    <row r="1223" spans="2:31" s="1235" customFormat="1" ht="24.75" thickTop="1">
      <c r="B1223" s="1231" t="s">
        <v>1158</v>
      </c>
      <c r="C1223" s="1232">
        <v>0.25</v>
      </c>
      <c r="D1223" s="1233" t="s">
        <v>3</v>
      </c>
      <c r="E1223" s="1169">
        <v>1770.16</v>
      </c>
      <c r="F1223" s="1234">
        <f>C1223*E1223</f>
        <v>442.54</v>
      </c>
    </row>
    <row r="1224" spans="2:31">
      <c r="B1224" s="1170" t="s">
        <v>280</v>
      </c>
      <c r="C1224" s="1624">
        <v>0.1</v>
      </c>
      <c r="D1224" s="1171" t="s">
        <v>183</v>
      </c>
      <c r="E1224" s="1172">
        <v>35</v>
      </c>
      <c r="F1224" s="3390">
        <f>C1224*E1224</f>
        <v>3.5</v>
      </c>
      <c r="I1224" s="1083"/>
      <c r="J1224" s="1083"/>
      <c r="K1224" s="1083"/>
      <c r="L1224" s="1083"/>
      <c r="M1224" s="1083"/>
      <c r="N1224" s="1083"/>
      <c r="O1224" s="1083"/>
      <c r="P1224" s="1083"/>
      <c r="Q1224" s="1083"/>
      <c r="R1224" s="1083"/>
      <c r="S1224" s="1083"/>
      <c r="T1224" s="1083"/>
      <c r="U1224" s="1083"/>
      <c r="V1224" s="1083"/>
      <c r="W1224" s="1083"/>
      <c r="X1224" s="1083"/>
      <c r="Y1224" s="1083"/>
      <c r="Z1224" s="1083"/>
      <c r="AA1224" s="1083"/>
      <c r="AB1224" s="1083"/>
      <c r="AC1224" s="1083"/>
      <c r="AD1224" s="1083"/>
      <c r="AE1224" s="1083"/>
    </row>
    <row r="1225" spans="2:31" ht="13.5" thickBot="1">
      <c r="B1225" s="3396" t="s">
        <v>63</v>
      </c>
      <c r="C1225" s="3397">
        <v>30</v>
      </c>
      <c r="D1225" s="3398" t="s">
        <v>46</v>
      </c>
      <c r="E1225" s="3399">
        <f>+SUM(F1223:F1224)</f>
        <v>446.04</v>
      </c>
      <c r="F1225" s="3400">
        <f>+(C1225/100)*E1225</f>
        <v>133.81</v>
      </c>
      <c r="I1225" s="1083"/>
      <c r="J1225" s="1083"/>
      <c r="K1225" s="1083"/>
      <c r="L1225" s="1083"/>
      <c r="M1225" s="1083"/>
      <c r="N1225" s="1083"/>
      <c r="O1225" s="1083"/>
      <c r="P1225" s="1083"/>
      <c r="Q1225" s="1083"/>
      <c r="R1225" s="1083"/>
      <c r="S1225" s="1083"/>
      <c r="T1225" s="1083"/>
      <c r="U1225" s="1083"/>
      <c r="V1225" s="1083"/>
      <c r="W1225" s="1083"/>
      <c r="X1225" s="1083"/>
      <c r="Y1225" s="1083"/>
      <c r="Z1225" s="1083"/>
      <c r="AA1225" s="1083"/>
      <c r="AB1225" s="1083"/>
      <c r="AC1225" s="1083"/>
      <c r="AD1225" s="1083"/>
      <c r="AE1225" s="1083"/>
    </row>
    <row r="1226" spans="2:31" ht="14.25" thickTop="1" thickBot="1">
      <c r="B1226" s="1173"/>
      <c r="C1226" s="1625"/>
      <c r="D1226" s="1174"/>
      <c r="E1226" s="1167" t="s">
        <v>275</v>
      </c>
      <c r="F1226" s="1168">
        <f>SUM(F1223:F1225)</f>
        <v>579.85</v>
      </c>
      <c r="I1226" s="1083"/>
      <c r="J1226" s="1083"/>
      <c r="K1226" s="1083"/>
      <c r="L1226" s="1083"/>
      <c r="M1226" s="1083"/>
      <c r="N1226" s="1083"/>
      <c r="O1226" s="1083"/>
      <c r="P1226" s="1083"/>
      <c r="Q1226" s="1083"/>
      <c r="R1226" s="1083"/>
      <c r="S1226" s="1083"/>
      <c r="T1226" s="1083"/>
      <c r="U1226" s="1083"/>
      <c r="V1226" s="1083"/>
      <c r="W1226" s="1083"/>
      <c r="X1226" s="1083"/>
      <c r="Y1226" s="1083"/>
      <c r="Z1226" s="1083"/>
      <c r="AA1226" s="1083"/>
      <c r="AB1226" s="1083"/>
      <c r="AC1226" s="1083"/>
      <c r="AD1226" s="1083"/>
      <c r="AE1226" s="1083"/>
    </row>
    <row r="1227" spans="2:31" ht="14.25" thickTop="1" thickBot="1">
      <c r="B1227" s="1166"/>
      <c r="C1227" s="1626"/>
      <c r="D1227" s="1175"/>
      <c r="E1227" s="1176"/>
      <c r="F1227" s="1177"/>
      <c r="I1227" s="1083"/>
      <c r="J1227" s="1083"/>
      <c r="K1227" s="1083"/>
      <c r="L1227" s="1083"/>
      <c r="M1227" s="1083"/>
      <c r="N1227" s="1083"/>
      <c r="O1227" s="1083"/>
      <c r="P1227" s="1083"/>
      <c r="Q1227" s="1083"/>
      <c r="R1227" s="1083"/>
      <c r="S1227" s="1083"/>
      <c r="T1227" s="1083"/>
      <c r="U1227" s="1083"/>
      <c r="V1227" s="1083"/>
      <c r="W1227" s="1083"/>
      <c r="X1227" s="1083"/>
      <c r="Y1227" s="1083"/>
      <c r="Z1227" s="1083"/>
      <c r="AA1227" s="1083"/>
      <c r="AB1227" s="1083"/>
      <c r="AC1227" s="1083"/>
      <c r="AD1227" s="1083"/>
      <c r="AE1227" s="1083"/>
    </row>
    <row r="1228" spans="2:31" ht="14.25" thickTop="1" thickBot="1">
      <c r="B1228" s="1166"/>
      <c r="C1228" s="5190" t="s">
        <v>281</v>
      </c>
      <c r="D1228" s="5190"/>
      <c r="E1228" s="5190"/>
      <c r="F1228" s="1178" t="e">
        <f>+F1221+F1226</f>
        <v>#REF!</v>
      </c>
      <c r="I1228" s="1083"/>
      <c r="J1228" s="1083"/>
      <c r="K1228" s="1083"/>
      <c r="L1228" s="1083"/>
      <c r="M1228" s="1083"/>
      <c r="N1228" s="1083"/>
      <c r="O1228" s="1083"/>
      <c r="P1228" s="1083"/>
      <c r="Q1228" s="1083"/>
      <c r="R1228" s="1083"/>
      <c r="S1228" s="1083"/>
      <c r="T1228" s="1083"/>
      <c r="U1228" s="1083"/>
      <c r="V1228" s="1083"/>
      <c r="W1228" s="1083"/>
      <c r="X1228" s="1083"/>
      <c r="Y1228" s="1083"/>
      <c r="Z1228" s="1083"/>
      <c r="AA1228" s="1083"/>
      <c r="AB1228" s="1083"/>
      <c r="AC1228" s="1083"/>
      <c r="AD1228" s="1083"/>
      <c r="AE1228" s="1083"/>
    </row>
    <row r="1229" spans="2:31" ht="13.5" thickTop="1">
      <c r="B1229" s="1179"/>
      <c r="C1229" s="1627"/>
      <c r="D1229" s="1179"/>
      <c r="E1229" s="1179"/>
      <c r="F1229" s="1179"/>
      <c r="I1229" s="1083"/>
      <c r="J1229" s="1083"/>
      <c r="K1229" s="1083"/>
      <c r="L1229" s="1083"/>
      <c r="M1229" s="1083"/>
      <c r="N1229" s="1083"/>
      <c r="O1229" s="1083"/>
      <c r="P1229" s="1083"/>
      <c r="Q1229" s="1083"/>
      <c r="R1229" s="1083"/>
      <c r="S1229" s="1083"/>
      <c r="T1229" s="1083"/>
      <c r="U1229" s="1083"/>
      <c r="V1229" s="1083"/>
      <c r="W1229" s="1083"/>
      <c r="X1229" s="1083"/>
      <c r="Y1229" s="1083"/>
      <c r="Z1229" s="1083"/>
      <c r="AA1229" s="1083"/>
      <c r="AB1229" s="1083"/>
      <c r="AC1229" s="1083"/>
      <c r="AD1229" s="1083"/>
      <c r="AE1229" s="1083"/>
    </row>
    <row r="1230" spans="2:31">
      <c r="B1230" s="5190" t="s">
        <v>1160</v>
      </c>
      <c r="C1230" s="5190"/>
      <c r="D1230" s="5190"/>
      <c r="E1230" s="5190"/>
      <c r="F1230" s="5190"/>
      <c r="I1230" s="1083"/>
      <c r="J1230" s="1083"/>
      <c r="K1230" s="1083"/>
      <c r="L1230" s="1083"/>
      <c r="M1230" s="1083"/>
      <c r="N1230" s="1083"/>
      <c r="O1230" s="1083"/>
      <c r="P1230" s="1083"/>
      <c r="Q1230" s="1083"/>
      <c r="R1230" s="1083"/>
      <c r="S1230" s="1083"/>
      <c r="T1230" s="1083"/>
      <c r="U1230" s="1083"/>
      <c r="V1230" s="1083"/>
      <c r="W1230" s="1083"/>
      <c r="X1230" s="1083"/>
      <c r="Y1230" s="1083"/>
      <c r="Z1230" s="1083"/>
      <c r="AA1230" s="1083"/>
      <c r="AB1230" s="1083"/>
      <c r="AC1230" s="1083"/>
      <c r="AD1230" s="1083"/>
      <c r="AE1230" s="1083"/>
    </row>
    <row r="1231" spans="2:31" ht="20.25">
      <c r="B1231" s="1157"/>
      <c r="C1231" s="1628"/>
      <c r="D1231" s="1157"/>
      <c r="E1231" s="1157"/>
      <c r="F1231" s="1157"/>
      <c r="I1231" s="1083"/>
      <c r="J1231" s="1083"/>
      <c r="K1231" s="1083"/>
      <c r="L1231" s="1083"/>
      <c r="M1231" s="1083"/>
      <c r="N1231" s="1083"/>
      <c r="O1231" s="1083"/>
      <c r="P1231" s="1083"/>
      <c r="Q1231" s="1083"/>
      <c r="R1231" s="1083"/>
      <c r="S1231" s="1083"/>
      <c r="T1231" s="1083"/>
      <c r="U1231" s="1083"/>
      <c r="V1231" s="1083"/>
      <c r="W1231" s="1083"/>
      <c r="X1231" s="1083"/>
      <c r="Y1231" s="1083"/>
      <c r="Z1231" s="1083"/>
      <c r="AA1231" s="1083"/>
      <c r="AB1231" s="1083"/>
      <c r="AC1231" s="1083"/>
      <c r="AD1231" s="1083"/>
      <c r="AE1231" s="1083"/>
    </row>
    <row r="1232" spans="2:31">
      <c r="B1232" s="1158" t="s">
        <v>268</v>
      </c>
      <c r="C1232" s="1623">
        <v>3.26</v>
      </c>
      <c r="D1232" s="1159" t="s">
        <v>269</v>
      </c>
      <c r="E1232" s="1160"/>
      <c r="F1232" s="1160"/>
      <c r="I1232" s="1083"/>
      <c r="J1232" s="1083"/>
      <c r="K1232" s="1083"/>
      <c r="L1232" s="1083"/>
      <c r="M1232" s="1083"/>
      <c r="N1232" s="1083"/>
      <c r="O1232" s="1083"/>
      <c r="P1232" s="1083"/>
      <c r="Q1232" s="1083"/>
      <c r="R1232" s="1083"/>
      <c r="S1232" s="1083"/>
      <c r="T1232" s="1083"/>
      <c r="U1232" s="1083"/>
      <c r="V1232" s="1083"/>
      <c r="W1232" s="1083"/>
      <c r="X1232" s="1083"/>
      <c r="Y1232" s="1083"/>
      <c r="Z1232" s="1083"/>
      <c r="AA1232" s="1083"/>
      <c r="AB1232" s="1083"/>
      <c r="AC1232" s="1083"/>
      <c r="AD1232" s="1083"/>
      <c r="AE1232" s="1083"/>
    </row>
    <row r="1233" spans="2:31" ht="13.5" thickBot="1">
      <c r="B1233" s="1161" t="s">
        <v>270</v>
      </c>
      <c r="C1233" s="1623"/>
      <c r="D1233" s="1159"/>
      <c r="E1233" s="1160"/>
      <c r="F1233" s="1160"/>
      <c r="I1233" s="1083"/>
      <c r="J1233" s="1083"/>
      <c r="K1233" s="1083"/>
      <c r="L1233" s="1083"/>
      <c r="M1233" s="1083"/>
      <c r="N1233" s="1083"/>
      <c r="O1233" s="1083"/>
      <c r="P1233" s="1083"/>
      <c r="Q1233" s="1083"/>
      <c r="R1233" s="1083"/>
      <c r="S1233" s="1083"/>
      <c r="T1233" s="1083"/>
      <c r="U1233" s="1083"/>
      <c r="V1233" s="1083"/>
      <c r="W1233" s="1083"/>
      <c r="X1233" s="1083"/>
      <c r="Y1233" s="1083"/>
      <c r="Z1233" s="1083"/>
      <c r="AA1233" s="1083"/>
      <c r="AB1233" s="1083"/>
      <c r="AC1233" s="1083"/>
      <c r="AD1233" s="1083"/>
      <c r="AE1233" s="1083"/>
    </row>
    <row r="1234" spans="2:31" ht="13.5" thickTop="1">
      <c r="B1234" s="1162" t="s">
        <v>271</v>
      </c>
      <c r="C1234" s="1629">
        <v>1.05</v>
      </c>
      <c r="D1234" s="1163" t="s">
        <v>2</v>
      </c>
      <c r="E1234" s="1164">
        <f>+E1218</f>
        <v>0</v>
      </c>
      <c r="F1234" s="1165">
        <f>C1234*E1234</f>
        <v>0</v>
      </c>
      <c r="I1234" s="1083"/>
      <c r="J1234" s="1083"/>
      <c r="K1234" s="1083"/>
      <c r="L1234" s="1083"/>
      <c r="M1234" s="1083"/>
      <c r="N1234" s="1083"/>
      <c r="O1234" s="1083"/>
      <c r="P1234" s="1083"/>
      <c r="Q1234" s="1083"/>
      <c r="R1234" s="1083"/>
      <c r="S1234" s="1083"/>
      <c r="T1234" s="1083"/>
      <c r="U1234" s="1083"/>
      <c r="V1234" s="1083"/>
      <c r="W1234" s="1083"/>
      <c r="X1234" s="1083"/>
      <c r="Y1234" s="1083"/>
      <c r="Z1234" s="1083"/>
      <c r="AA1234" s="1083"/>
      <c r="AB1234" s="1083"/>
      <c r="AC1234" s="1083"/>
      <c r="AD1234" s="1083"/>
      <c r="AE1234" s="1083"/>
    </row>
    <row r="1235" spans="2:31">
      <c r="B1235" s="3387" t="s">
        <v>272</v>
      </c>
      <c r="C1235" s="3388">
        <f>+C1232</f>
        <v>3.26</v>
      </c>
      <c r="D1235" s="3389" t="s">
        <v>126</v>
      </c>
      <c r="E1235" s="3254">
        <f>+E1200</f>
        <v>2913</v>
      </c>
      <c r="F1235" s="3390">
        <f>C1235*E1235</f>
        <v>9496.3799999999992</v>
      </c>
      <c r="I1235" s="1083"/>
      <c r="J1235" s="1083"/>
      <c r="K1235" s="1083"/>
      <c r="L1235" s="1083"/>
      <c r="M1235" s="1083"/>
      <c r="N1235" s="1083"/>
      <c r="O1235" s="1083"/>
      <c r="P1235" s="1083"/>
      <c r="Q1235" s="1083"/>
      <c r="R1235" s="1083"/>
      <c r="S1235" s="1083"/>
      <c r="T1235" s="1083"/>
      <c r="U1235" s="1083"/>
      <c r="V1235" s="1083"/>
      <c r="W1235" s="1083"/>
      <c r="X1235" s="1083"/>
      <c r="Y1235" s="1083"/>
      <c r="Z1235" s="1083"/>
      <c r="AA1235" s="1083"/>
      <c r="AB1235" s="1083"/>
      <c r="AC1235" s="1083"/>
      <c r="AD1235" s="1083"/>
      <c r="AE1235" s="1083"/>
    </row>
    <row r="1236" spans="2:31" ht="13.5" thickBot="1">
      <c r="B1236" s="3391"/>
      <c r="C1236" s="3392"/>
      <c r="D1236" s="3393"/>
      <c r="E1236" s="3394" t="s">
        <v>274</v>
      </c>
      <c r="F1236" s="3395">
        <f>SUM(F1234:F1235)</f>
        <v>9496.3799999999992</v>
      </c>
      <c r="I1236" s="1083"/>
      <c r="J1236" s="1083"/>
      <c r="K1236" s="1083"/>
      <c r="L1236" s="1083"/>
      <c r="M1236" s="1083"/>
      <c r="N1236" s="1083"/>
      <c r="O1236" s="1083"/>
      <c r="P1236" s="1083"/>
      <c r="Q1236" s="1083"/>
      <c r="R1236" s="1083"/>
      <c r="S1236" s="1083"/>
      <c r="T1236" s="1083"/>
      <c r="U1236" s="1083"/>
      <c r="V1236" s="1083"/>
      <c r="W1236" s="1083"/>
      <c r="X1236" s="1083"/>
      <c r="Y1236" s="1083"/>
      <c r="Z1236" s="1083"/>
      <c r="AA1236" s="1083"/>
      <c r="AB1236" s="1083"/>
      <c r="AC1236" s="1083"/>
      <c r="AD1236" s="1083"/>
      <c r="AE1236" s="1083"/>
    </row>
    <row r="1237" spans="2:31" ht="14.25" thickTop="1" thickBot="1">
      <c r="B1237" s="1166"/>
      <c r="C1237" s="1622"/>
      <c r="D1237" s="1166"/>
      <c r="E1237" s="1167" t="s">
        <v>275</v>
      </c>
      <c r="F1237" s="1168">
        <v>3323.73</v>
      </c>
      <c r="I1237" s="1083"/>
      <c r="J1237" s="1083"/>
      <c r="K1237" s="1083"/>
      <c r="L1237" s="1083"/>
      <c r="M1237" s="1083"/>
      <c r="N1237" s="1083"/>
      <c r="O1237" s="1083"/>
      <c r="P1237" s="1083"/>
      <c r="Q1237" s="1083"/>
      <c r="R1237" s="1083"/>
      <c r="S1237" s="1083"/>
      <c r="T1237" s="1083"/>
      <c r="U1237" s="1083"/>
      <c r="V1237" s="1083"/>
      <c r="W1237" s="1083"/>
      <c r="X1237" s="1083"/>
      <c r="Y1237" s="1083"/>
      <c r="Z1237" s="1083"/>
      <c r="AA1237" s="1083"/>
      <c r="AB1237" s="1083"/>
      <c r="AC1237" s="1083"/>
      <c r="AD1237" s="1083"/>
      <c r="AE1237" s="1083"/>
    </row>
    <row r="1238" spans="2:31" ht="14.25" thickTop="1" thickBot="1">
      <c r="B1238" s="1161" t="s">
        <v>276</v>
      </c>
      <c r="C1238" s="1623"/>
      <c r="D1238" s="1159"/>
      <c r="E1238" s="1160"/>
      <c r="F1238" s="1160"/>
      <c r="I1238" s="1083"/>
      <c r="J1238" s="1083"/>
      <c r="K1238" s="1083"/>
      <c r="L1238" s="1083"/>
      <c r="M1238" s="1083"/>
      <c r="N1238" s="1083"/>
      <c r="O1238" s="1083"/>
      <c r="P1238" s="1083"/>
      <c r="Q1238" s="1083"/>
      <c r="R1238" s="1083"/>
      <c r="S1238" s="1083"/>
      <c r="T1238" s="1083"/>
      <c r="U1238" s="1083"/>
      <c r="V1238" s="1083"/>
      <c r="W1238" s="1083"/>
      <c r="X1238" s="1083"/>
      <c r="Y1238" s="1083"/>
      <c r="Z1238" s="1083"/>
      <c r="AA1238" s="1083"/>
      <c r="AB1238" s="1083"/>
      <c r="AC1238" s="1083"/>
      <c r="AD1238" s="1083"/>
      <c r="AE1238" s="1083"/>
    </row>
    <row r="1239" spans="2:31" ht="13.5" thickTop="1">
      <c r="B1239" s="1916" t="s">
        <v>1956</v>
      </c>
      <c r="C1239" s="1232">
        <v>0.25</v>
      </c>
      <c r="D1239" s="1163" t="s">
        <v>3</v>
      </c>
      <c r="E1239" s="1169">
        <v>1770.16</v>
      </c>
      <c r="F1239" s="1165">
        <f>C1239*E1239</f>
        <v>442.54</v>
      </c>
      <c r="I1239" s="1083"/>
      <c r="J1239" s="1083"/>
      <c r="K1239" s="1083"/>
      <c r="L1239" s="1083"/>
      <c r="M1239" s="1083"/>
      <c r="N1239" s="1083"/>
      <c r="O1239" s="1083"/>
      <c r="P1239" s="1083"/>
      <c r="Q1239" s="1083"/>
      <c r="R1239" s="1083"/>
      <c r="S1239" s="1083"/>
      <c r="T1239" s="1083"/>
      <c r="U1239" s="1083"/>
      <c r="V1239" s="1083"/>
      <c r="W1239" s="1083"/>
      <c r="X1239" s="1083"/>
      <c r="Y1239" s="1083"/>
      <c r="Z1239" s="1083"/>
      <c r="AA1239" s="1083"/>
      <c r="AB1239" s="1083"/>
      <c r="AC1239" s="1083"/>
      <c r="AD1239" s="1083"/>
      <c r="AE1239" s="1083"/>
    </row>
    <row r="1240" spans="2:31">
      <c r="B1240" s="1170" t="s">
        <v>280</v>
      </c>
      <c r="C1240" s="1624">
        <v>0.1</v>
      </c>
      <c r="D1240" s="1171" t="s">
        <v>183</v>
      </c>
      <c r="E1240" s="1172">
        <v>35</v>
      </c>
      <c r="F1240" s="3390">
        <f>C1240*E1240</f>
        <v>3.5</v>
      </c>
      <c r="I1240" s="1083"/>
      <c r="J1240" s="1083"/>
      <c r="K1240" s="1083"/>
      <c r="L1240" s="1083"/>
      <c r="M1240" s="1083"/>
      <c r="N1240" s="1083"/>
      <c r="O1240" s="1083"/>
      <c r="P1240" s="1083"/>
      <c r="Q1240" s="1083"/>
      <c r="R1240" s="1083"/>
      <c r="S1240" s="1083"/>
      <c r="T1240" s="1083"/>
      <c r="U1240" s="1083"/>
      <c r="V1240" s="1083"/>
      <c r="W1240" s="1083"/>
      <c r="X1240" s="1083"/>
      <c r="Y1240" s="1083"/>
      <c r="Z1240" s="1083"/>
      <c r="AA1240" s="1083"/>
      <c r="AB1240" s="1083"/>
      <c r="AC1240" s="1083"/>
      <c r="AD1240" s="1083"/>
      <c r="AE1240" s="1083"/>
    </row>
    <row r="1241" spans="2:31" ht="13.5" thickBot="1">
      <c r="B1241" s="3396" t="s">
        <v>63</v>
      </c>
      <c r="C1241" s="3397">
        <v>30</v>
      </c>
      <c r="D1241" s="3398" t="s">
        <v>46</v>
      </c>
      <c r="E1241" s="3399">
        <f>+SUM(F1239:F1240)</f>
        <v>446.04</v>
      </c>
      <c r="F1241" s="3400">
        <f>+(C1241/100)*E1241</f>
        <v>133.81</v>
      </c>
      <c r="I1241" s="1083"/>
      <c r="J1241" s="1083"/>
      <c r="K1241" s="1083"/>
      <c r="L1241" s="1083"/>
      <c r="M1241" s="1083"/>
      <c r="N1241" s="1083"/>
      <c r="O1241" s="1083"/>
      <c r="P1241" s="1083"/>
      <c r="Q1241" s="1083"/>
      <c r="R1241" s="1083"/>
      <c r="S1241" s="1083"/>
      <c r="T1241" s="1083"/>
      <c r="U1241" s="1083"/>
      <c r="V1241" s="1083"/>
      <c r="W1241" s="1083"/>
      <c r="X1241" s="1083"/>
      <c r="Y1241" s="1083"/>
      <c r="Z1241" s="1083"/>
      <c r="AA1241" s="1083"/>
      <c r="AB1241" s="1083"/>
      <c r="AC1241" s="1083"/>
      <c r="AD1241" s="1083"/>
      <c r="AE1241" s="1083"/>
    </row>
    <row r="1242" spans="2:31" ht="14.25" thickTop="1" thickBot="1">
      <c r="B1242" s="1173"/>
      <c r="C1242" s="1625"/>
      <c r="D1242" s="1174"/>
      <c r="E1242" s="1167" t="s">
        <v>275</v>
      </c>
      <c r="F1242" s="1168">
        <f>SUM(F1239:F1241)</f>
        <v>579.85</v>
      </c>
      <c r="I1242" s="1083"/>
      <c r="J1242" s="1083"/>
      <c r="K1242" s="1083"/>
      <c r="L1242" s="1083"/>
      <c r="M1242" s="1083"/>
      <c r="N1242" s="1083"/>
      <c r="O1242" s="1083"/>
      <c r="P1242" s="1083"/>
      <c r="Q1242" s="1083"/>
      <c r="R1242" s="1083"/>
      <c r="S1242" s="1083"/>
      <c r="T1242" s="1083"/>
      <c r="U1242" s="1083"/>
      <c r="V1242" s="1083"/>
      <c r="W1242" s="1083"/>
      <c r="X1242" s="1083"/>
      <c r="Y1242" s="1083"/>
      <c r="Z1242" s="1083"/>
      <c r="AA1242" s="1083"/>
      <c r="AB1242" s="1083"/>
      <c r="AC1242" s="1083"/>
      <c r="AD1242" s="1083"/>
      <c r="AE1242" s="1083"/>
    </row>
    <row r="1243" spans="2:31" ht="14.25" thickTop="1" thickBot="1">
      <c r="B1243" s="1166"/>
      <c r="C1243" s="1626"/>
      <c r="D1243" s="1175"/>
      <c r="E1243" s="1176"/>
      <c r="F1243" s="1177"/>
      <c r="I1243" s="1083"/>
      <c r="J1243" s="1083"/>
      <c r="K1243" s="1083"/>
      <c r="L1243" s="1083"/>
      <c r="M1243" s="1083"/>
      <c r="N1243" s="1083"/>
      <c r="O1243" s="1083"/>
      <c r="P1243" s="1083"/>
      <c r="Q1243" s="1083"/>
      <c r="R1243" s="1083"/>
      <c r="S1243" s="1083"/>
      <c r="T1243" s="1083"/>
      <c r="U1243" s="1083"/>
      <c r="V1243" s="1083"/>
      <c r="W1243" s="1083"/>
      <c r="X1243" s="1083"/>
      <c r="Y1243" s="1083"/>
      <c r="Z1243" s="1083"/>
      <c r="AA1243" s="1083"/>
      <c r="AB1243" s="1083"/>
      <c r="AC1243" s="1083"/>
      <c r="AD1243" s="1083"/>
      <c r="AE1243" s="1083"/>
    </row>
    <row r="1244" spans="2:31" ht="14.25" thickTop="1" thickBot="1">
      <c r="B1244" s="1166"/>
      <c r="C1244" s="5190" t="s">
        <v>281</v>
      </c>
      <c r="D1244" s="5190"/>
      <c r="E1244" s="5190"/>
      <c r="F1244" s="1178">
        <f>+F1237+F1242</f>
        <v>3903.58</v>
      </c>
      <c r="I1244" s="1083"/>
      <c r="J1244" s="1083"/>
      <c r="K1244" s="1083"/>
      <c r="L1244" s="1083"/>
      <c r="M1244" s="1083"/>
      <c r="N1244" s="1083"/>
      <c r="O1244" s="1083"/>
      <c r="P1244" s="1083"/>
      <c r="Q1244" s="1083"/>
      <c r="R1244" s="1083"/>
      <c r="S1244" s="1083"/>
      <c r="T1244" s="1083"/>
      <c r="U1244" s="1083"/>
      <c r="V1244" s="1083"/>
      <c r="W1244" s="1083"/>
      <c r="X1244" s="1083"/>
      <c r="Y1244" s="1083"/>
      <c r="Z1244" s="1083"/>
      <c r="AA1244" s="1083"/>
      <c r="AB1244" s="1083"/>
      <c r="AC1244" s="1083"/>
      <c r="AD1244" s="1083"/>
      <c r="AE1244" s="1083"/>
    </row>
    <row r="1245" spans="2:31" ht="13.5" thickTop="1">
      <c r="B1245" s="1179"/>
      <c r="C1245" s="1627"/>
      <c r="D1245" s="1179"/>
      <c r="E1245" s="1179"/>
      <c r="F1245" s="1179"/>
      <c r="I1245" s="1083"/>
      <c r="J1245" s="1083"/>
      <c r="K1245" s="1083"/>
      <c r="L1245" s="1083"/>
      <c r="M1245" s="1083"/>
      <c r="N1245" s="1083"/>
      <c r="O1245" s="1083"/>
      <c r="P1245" s="1083"/>
      <c r="Q1245" s="1083"/>
      <c r="R1245" s="1083"/>
      <c r="S1245" s="1083"/>
      <c r="T1245" s="1083"/>
      <c r="U1245" s="1083"/>
      <c r="V1245" s="1083"/>
      <c r="W1245" s="1083"/>
      <c r="X1245" s="1083"/>
      <c r="Y1245" s="1083"/>
      <c r="Z1245" s="1083"/>
      <c r="AA1245" s="1083"/>
      <c r="AB1245" s="1083"/>
      <c r="AC1245" s="1083"/>
      <c r="AD1245" s="1083"/>
      <c r="AE1245" s="1083"/>
    </row>
    <row r="1246" spans="2:31" ht="13.5" thickBot="1">
      <c r="B1246" s="5190" t="s">
        <v>1161</v>
      </c>
      <c r="C1246" s="5190"/>
      <c r="D1246" s="5190"/>
      <c r="E1246" s="5190"/>
      <c r="F1246" s="5190"/>
      <c r="I1246" s="1083"/>
      <c r="J1246" s="1083"/>
      <c r="K1246" s="1083"/>
      <c r="L1246" s="1083"/>
      <c r="M1246" s="1083"/>
      <c r="N1246" s="1083"/>
      <c r="O1246" s="1083"/>
      <c r="P1246" s="1083"/>
      <c r="Q1246" s="1083"/>
      <c r="R1246" s="1083"/>
      <c r="S1246" s="1083"/>
      <c r="T1246" s="1083"/>
      <c r="U1246" s="1083"/>
      <c r="V1246" s="1083"/>
      <c r="W1246" s="1083"/>
      <c r="X1246" s="1083"/>
      <c r="Y1246" s="1083"/>
      <c r="Z1246" s="1083"/>
      <c r="AA1246" s="1083"/>
      <c r="AB1246" s="1083"/>
      <c r="AC1246" s="1083"/>
      <c r="AD1246" s="1083"/>
      <c r="AE1246" s="1083"/>
    </row>
    <row r="1247" spans="2:31" ht="13.5" thickTop="1">
      <c r="B1247" s="1180" t="s">
        <v>358</v>
      </c>
      <c r="C1247" s="1630">
        <v>1</v>
      </c>
      <c r="D1247" s="1916" t="s">
        <v>47</v>
      </c>
      <c r="E1247" s="1630">
        <v>425</v>
      </c>
      <c r="F1247" s="1916">
        <f>C1247*E1247</f>
        <v>425</v>
      </c>
      <c r="I1247" s="1083"/>
      <c r="J1247" s="1083"/>
      <c r="K1247" s="1083"/>
      <c r="L1247" s="1083"/>
      <c r="M1247" s="1083"/>
      <c r="N1247" s="1083"/>
      <c r="O1247" s="1083"/>
      <c r="P1247" s="1083"/>
      <c r="Q1247" s="1083"/>
      <c r="R1247" s="1083"/>
      <c r="S1247" s="1083"/>
      <c r="T1247" s="1083"/>
      <c r="U1247" s="1083"/>
      <c r="V1247" s="1083"/>
      <c r="W1247" s="1083"/>
      <c r="X1247" s="1083"/>
      <c r="Y1247" s="1083"/>
      <c r="Z1247" s="1083"/>
      <c r="AA1247" s="1083"/>
      <c r="AB1247" s="1083"/>
      <c r="AC1247" s="1083"/>
      <c r="AD1247" s="1083"/>
      <c r="AE1247" s="1083"/>
    </row>
    <row r="1248" spans="2:31">
      <c r="B1248" s="1181" t="s">
        <v>331</v>
      </c>
      <c r="C1248" s="1631">
        <v>2</v>
      </c>
      <c r="D1248" s="1916" t="s">
        <v>138</v>
      </c>
      <c r="E1248" s="1631">
        <v>196.87</v>
      </c>
      <c r="F1248" s="1916">
        <f>C1248*E1248</f>
        <v>393.74</v>
      </c>
      <c r="I1248" s="1083"/>
      <c r="J1248" s="1083"/>
      <c r="K1248" s="1083"/>
      <c r="L1248" s="1083"/>
      <c r="M1248" s="1083"/>
      <c r="N1248" s="1083"/>
      <c r="O1248" s="1083"/>
      <c r="P1248" s="1083"/>
      <c r="Q1248" s="1083"/>
      <c r="R1248" s="1083"/>
      <c r="S1248" s="1083"/>
      <c r="T1248" s="1083"/>
      <c r="U1248" s="1083"/>
      <c r="V1248" s="1083"/>
      <c r="W1248" s="1083"/>
      <c r="X1248" s="1083"/>
      <c r="Y1248" s="1083"/>
      <c r="Z1248" s="1083"/>
      <c r="AA1248" s="1083"/>
      <c r="AB1248" s="1083"/>
      <c r="AC1248" s="1083"/>
      <c r="AD1248" s="1083"/>
      <c r="AE1248" s="1083"/>
    </row>
    <row r="1249" spans="2:31">
      <c r="B1249" s="1916" t="s">
        <v>1162</v>
      </c>
      <c r="C1249" s="1631"/>
      <c r="D1249" s="1916"/>
      <c r="E1249" s="1631">
        <v>200</v>
      </c>
      <c r="F1249" s="1916">
        <f>0.15*F1248</f>
        <v>59.061</v>
      </c>
      <c r="I1249" s="1083"/>
      <c r="J1249" s="1083"/>
      <c r="K1249" s="1083"/>
      <c r="L1249" s="1083"/>
      <c r="M1249" s="1083"/>
      <c r="N1249" s="1083"/>
      <c r="O1249" s="1083"/>
      <c r="P1249" s="1083"/>
      <c r="Q1249" s="1083"/>
      <c r="R1249" s="1083"/>
      <c r="S1249" s="1083"/>
      <c r="T1249" s="1083"/>
      <c r="U1249" s="1083"/>
      <c r="V1249" s="1083"/>
      <c r="W1249" s="1083"/>
      <c r="X1249" s="1083"/>
      <c r="Y1249" s="1083"/>
      <c r="Z1249" s="1083"/>
      <c r="AA1249" s="1083"/>
      <c r="AB1249" s="1083"/>
      <c r="AC1249" s="1083"/>
      <c r="AD1249" s="1083"/>
      <c r="AE1249" s="1083"/>
    </row>
    <row r="1250" spans="2:31">
      <c r="B1250" s="1181" t="s">
        <v>1163</v>
      </c>
      <c r="C1250" s="1631">
        <v>1</v>
      </c>
      <c r="D1250" s="1916" t="s">
        <v>47</v>
      </c>
      <c r="E1250" s="1631">
        <v>100</v>
      </c>
      <c r="F1250" s="1916">
        <f>C1250*E1250</f>
        <v>100</v>
      </c>
      <c r="I1250" s="1083"/>
      <c r="J1250" s="1083"/>
      <c r="K1250" s="1083"/>
      <c r="L1250" s="1083"/>
      <c r="M1250" s="1083"/>
      <c r="N1250" s="1083"/>
      <c r="O1250" s="1083"/>
      <c r="P1250" s="1083"/>
      <c r="Q1250" s="1083"/>
      <c r="R1250" s="1083"/>
      <c r="S1250" s="1083"/>
      <c r="T1250" s="1083"/>
      <c r="U1250" s="1083"/>
      <c r="V1250" s="1083"/>
      <c r="W1250" s="1083"/>
      <c r="X1250" s="1083"/>
      <c r="Y1250" s="1083"/>
      <c r="Z1250" s="1083"/>
      <c r="AA1250" s="1083"/>
      <c r="AB1250" s="1083"/>
      <c r="AC1250" s="1083"/>
      <c r="AD1250" s="1083"/>
      <c r="AE1250" s="1083"/>
    </row>
    <row r="1251" spans="2:31">
      <c r="B1251" s="1181" t="s">
        <v>1163</v>
      </c>
      <c r="C1251" s="1631">
        <v>1</v>
      </c>
      <c r="D1251" s="1916" t="s">
        <v>47</v>
      </c>
      <c r="E1251" s="1631">
        <v>100</v>
      </c>
      <c r="F1251" s="1916">
        <f>C1251*E1251</f>
        <v>100</v>
      </c>
      <c r="I1251" s="1083"/>
      <c r="J1251" s="1083"/>
      <c r="K1251" s="1083"/>
      <c r="L1251" s="1083"/>
      <c r="M1251" s="1083"/>
      <c r="N1251" s="1083"/>
      <c r="O1251" s="1083"/>
      <c r="P1251" s="1083"/>
      <c r="Q1251" s="1083"/>
      <c r="R1251" s="1083"/>
      <c r="S1251" s="1083"/>
      <c r="T1251" s="1083"/>
      <c r="U1251" s="1083"/>
      <c r="V1251" s="1083"/>
      <c r="W1251" s="1083"/>
      <c r="X1251" s="1083"/>
      <c r="Y1251" s="1083"/>
      <c r="Z1251" s="1083"/>
      <c r="AA1251" s="1083"/>
      <c r="AB1251" s="1083"/>
      <c r="AC1251" s="1083"/>
      <c r="AD1251" s="1083"/>
      <c r="AE1251" s="1083"/>
    </row>
    <row r="1252" spans="2:31">
      <c r="B1252" s="1181" t="s">
        <v>330</v>
      </c>
      <c r="C1252" s="1631">
        <v>1</v>
      </c>
      <c r="D1252" s="1916" t="s">
        <v>47</v>
      </c>
      <c r="E1252" s="1631">
        <v>68.75</v>
      </c>
      <c r="F1252" s="1916">
        <f>C1252*E1252</f>
        <v>68.75</v>
      </c>
      <c r="I1252" s="1083"/>
      <c r="J1252" s="1083"/>
      <c r="K1252" s="1083"/>
      <c r="L1252" s="1083"/>
      <c r="M1252" s="1083"/>
      <c r="N1252" s="1083"/>
      <c r="O1252" s="1083"/>
      <c r="P1252" s="1083"/>
      <c r="Q1252" s="1083"/>
      <c r="R1252" s="1083"/>
      <c r="S1252" s="1083"/>
      <c r="T1252" s="1083"/>
      <c r="U1252" s="1083"/>
      <c r="V1252" s="1083"/>
      <c r="W1252" s="1083"/>
      <c r="X1252" s="1083"/>
      <c r="Y1252" s="1083"/>
      <c r="Z1252" s="1083"/>
      <c r="AA1252" s="1083"/>
      <c r="AB1252" s="1083"/>
      <c r="AC1252" s="1083"/>
      <c r="AD1252" s="1083"/>
      <c r="AE1252" s="1083"/>
    </row>
    <row r="1253" spans="2:31">
      <c r="B1253" s="1181" t="s">
        <v>330</v>
      </c>
      <c r="C1253" s="1631">
        <v>1</v>
      </c>
      <c r="D1253" s="1916" t="s">
        <v>47</v>
      </c>
      <c r="E1253" s="1631">
        <v>68.75</v>
      </c>
      <c r="F1253" s="1916">
        <f>C1253*E1253</f>
        <v>68.75</v>
      </c>
      <c r="I1253" s="1083"/>
      <c r="J1253" s="1083"/>
      <c r="K1253" s="1083"/>
      <c r="L1253" s="1083"/>
      <c r="M1253" s="1083"/>
      <c r="N1253" s="1083"/>
      <c r="O1253" s="1083"/>
      <c r="P1253" s="1083"/>
      <c r="Q1253" s="1083"/>
      <c r="R1253" s="1083"/>
      <c r="S1253" s="1083"/>
      <c r="T1253" s="1083"/>
      <c r="U1253" s="1083"/>
      <c r="V1253" s="1083"/>
      <c r="W1253" s="1083"/>
      <c r="X1253" s="1083"/>
      <c r="Y1253" s="1083"/>
      <c r="Z1253" s="1083"/>
      <c r="AA1253" s="1083"/>
      <c r="AB1253" s="1083"/>
      <c r="AC1253" s="1083"/>
      <c r="AD1253" s="1083"/>
      <c r="AE1253" s="1083"/>
    </row>
    <row r="1254" spans="2:31">
      <c r="B1254" s="1181" t="s">
        <v>1164</v>
      </c>
      <c r="C1254" s="1631"/>
      <c r="D1254" s="1916"/>
      <c r="E1254" s="1631"/>
      <c r="F1254" s="1916">
        <f>250/8</f>
        <v>31.25</v>
      </c>
      <c r="I1254" s="1083"/>
      <c r="J1254" s="1083"/>
      <c r="K1254" s="1083"/>
      <c r="L1254" s="1083"/>
      <c r="M1254" s="1083"/>
      <c r="N1254" s="1083"/>
      <c r="O1254" s="1083"/>
      <c r="P1254" s="1083"/>
      <c r="Q1254" s="1083"/>
      <c r="R1254" s="1083"/>
      <c r="S1254" s="1083"/>
      <c r="T1254" s="1083"/>
      <c r="U1254" s="1083"/>
      <c r="V1254" s="1083"/>
      <c r="W1254" s="1083"/>
      <c r="X1254" s="1083"/>
      <c r="Y1254" s="1083"/>
      <c r="Z1254" s="1083"/>
      <c r="AA1254" s="1083"/>
      <c r="AB1254" s="1083"/>
      <c r="AC1254" s="1083"/>
      <c r="AD1254" s="1083"/>
      <c r="AE1254" s="1083"/>
    </row>
    <row r="1255" spans="2:31" ht="13.5" thickBot="1">
      <c r="B1255" s="1916" t="s">
        <v>1165</v>
      </c>
      <c r="C1255" s="1632"/>
      <c r="D1255" s="1916"/>
      <c r="E1255" s="1916"/>
      <c r="F1255" s="1916">
        <f>200/8/1.035</f>
        <v>24.154589371980698</v>
      </c>
      <c r="I1255" s="1083"/>
      <c r="J1255" s="1083"/>
      <c r="K1255" s="1083"/>
      <c r="L1255" s="1083"/>
      <c r="M1255" s="1083"/>
      <c r="N1255" s="1083"/>
      <c r="O1255" s="1083"/>
      <c r="P1255" s="1083"/>
      <c r="Q1255" s="1083"/>
      <c r="R1255" s="1083"/>
      <c r="S1255" s="1083"/>
      <c r="T1255" s="1083"/>
      <c r="U1255" s="1083"/>
      <c r="V1255" s="1083"/>
      <c r="W1255" s="1083"/>
      <c r="X1255" s="1083"/>
      <c r="Y1255" s="1083"/>
      <c r="Z1255" s="1083"/>
      <c r="AA1255" s="1083"/>
      <c r="AB1255" s="1083"/>
      <c r="AC1255" s="1083"/>
      <c r="AD1255" s="1083"/>
      <c r="AE1255" s="1083"/>
    </row>
    <row r="1256" spans="2:31" ht="13.5" thickTop="1">
      <c r="B1256" s="1182"/>
      <c r="C1256" s="1633"/>
      <c r="D1256" s="1182"/>
      <c r="E1256" s="1183" t="s">
        <v>296</v>
      </c>
      <c r="F1256" s="1183">
        <f>SUM(F1247:F1255)</f>
        <v>1270.71</v>
      </c>
      <c r="I1256" s="1083"/>
      <c r="J1256" s="1083"/>
      <c r="K1256" s="1083"/>
      <c r="L1256" s="1083"/>
      <c r="M1256" s="1083"/>
      <c r="N1256" s="1083"/>
      <c r="O1256" s="1083"/>
      <c r="P1256" s="1083"/>
      <c r="Q1256" s="1083"/>
      <c r="R1256" s="1083"/>
      <c r="S1256" s="1083"/>
      <c r="T1256" s="1083"/>
      <c r="U1256" s="1083"/>
      <c r="V1256" s="1083"/>
      <c r="W1256" s="1083"/>
      <c r="X1256" s="1083"/>
      <c r="Y1256" s="1083"/>
      <c r="Z1256" s="1083"/>
      <c r="AA1256" s="1083"/>
      <c r="AB1256" s="1083"/>
      <c r="AC1256" s="1083"/>
      <c r="AD1256" s="1083"/>
      <c r="AE1256" s="1083"/>
    </row>
    <row r="1257" spans="2:31" ht="13.5" thickBot="1">
      <c r="B1257" s="1184" t="s">
        <v>1166</v>
      </c>
      <c r="C1257" s="1634">
        <v>0.64</v>
      </c>
      <c r="D1257" s="1185"/>
      <c r="E1257" s="1186"/>
      <c r="F1257" s="1186"/>
      <c r="I1257" s="1083"/>
      <c r="J1257" s="1083"/>
      <c r="K1257" s="1083"/>
      <c r="L1257" s="1083"/>
      <c r="M1257" s="1083"/>
      <c r="N1257" s="1083"/>
      <c r="O1257" s="1083"/>
      <c r="P1257" s="1083"/>
      <c r="Q1257" s="1083"/>
      <c r="R1257" s="1083"/>
      <c r="S1257" s="1083"/>
      <c r="T1257" s="1083"/>
      <c r="U1257" s="1083"/>
      <c r="V1257" s="1083"/>
      <c r="W1257" s="1083"/>
      <c r="X1257" s="1083"/>
      <c r="Y1257" s="1083"/>
      <c r="Z1257" s="1083"/>
      <c r="AA1257" s="1083"/>
      <c r="AB1257" s="1083"/>
      <c r="AC1257" s="1083"/>
      <c r="AD1257" s="1083"/>
      <c r="AE1257" s="1083"/>
    </row>
    <row r="1258" spans="2:31" ht="13.5" thickBot="1">
      <c r="B1258" s="1186"/>
      <c r="C1258" s="1635"/>
      <c r="D1258" s="1187"/>
      <c r="E1258" s="1188" t="s">
        <v>298</v>
      </c>
      <c r="F1258" s="1189">
        <f>ROUND(F1256/C1257,2)</f>
        <v>1985.48</v>
      </c>
      <c r="I1258" s="1083"/>
      <c r="J1258" s="1083"/>
      <c r="K1258" s="1083"/>
      <c r="L1258" s="1083"/>
      <c r="M1258" s="1083"/>
      <c r="N1258" s="1083"/>
      <c r="O1258" s="1083"/>
      <c r="P1258" s="1083"/>
      <c r="Q1258" s="1083"/>
      <c r="R1258" s="1083"/>
      <c r="S1258" s="1083"/>
      <c r="T1258" s="1083"/>
      <c r="U1258" s="1083"/>
      <c r="V1258" s="1083"/>
      <c r="W1258" s="1083"/>
      <c r="X1258" s="1083"/>
      <c r="Y1258" s="1083"/>
      <c r="Z1258" s="1083"/>
      <c r="AA1258" s="1083"/>
      <c r="AB1258" s="1083"/>
      <c r="AC1258" s="1083"/>
      <c r="AD1258" s="1083"/>
      <c r="AE1258" s="1083"/>
    </row>
    <row r="1259" spans="2:31">
      <c r="B1259" s="1179"/>
      <c r="C1259" s="1627"/>
      <c r="D1259" s="1179"/>
      <c r="E1259" s="1179"/>
      <c r="F1259" s="1179"/>
      <c r="I1259" s="1083"/>
      <c r="J1259" s="1083"/>
      <c r="K1259" s="1083"/>
      <c r="L1259" s="1083"/>
      <c r="M1259" s="1083"/>
      <c r="N1259" s="1083"/>
      <c r="O1259" s="1083"/>
      <c r="P1259" s="1083"/>
      <c r="Q1259" s="1083"/>
      <c r="R1259" s="1083"/>
      <c r="S1259" s="1083"/>
      <c r="T1259" s="1083"/>
      <c r="U1259" s="1083"/>
      <c r="V1259" s="1083"/>
      <c r="W1259" s="1083"/>
      <c r="X1259" s="1083"/>
      <c r="Y1259" s="1083"/>
      <c r="Z1259" s="1083"/>
      <c r="AA1259" s="1083"/>
      <c r="AB1259" s="1083"/>
      <c r="AC1259" s="1083"/>
      <c r="AD1259" s="1083"/>
      <c r="AE1259" s="1083"/>
    </row>
    <row r="1260" spans="2:31">
      <c r="B1260" s="1179"/>
      <c r="C1260" s="1627"/>
      <c r="D1260" s="1179"/>
      <c r="E1260" s="1190" t="s">
        <v>1167</v>
      </c>
      <c r="F1260" s="1916">
        <f>+F1256*8</f>
        <v>10165.68</v>
      </c>
      <c r="I1260" s="1083"/>
      <c r="J1260" s="1083"/>
      <c r="K1260" s="1083"/>
      <c r="L1260" s="1083"/>
      <c r="M1260" s="1083"/>
      <c r="N1260" s="1083"/>
      <c r="O1260" s="1083"/>
      <c r="P1260" s="1083"/>
      <c r="Q1260" s="1083"/>
      <c r="R1260" s="1083"/>
      <c r="S1260" s="1083"/>
      <c r="T1260" s="1083"/>
      <c r="U1260" s="1083"/>
      <c r="V1260" s="1083"/>
      <c r="W1260" s="1083"/>
      <c r="X1260" s="1083"/>
      <c r="Y1260" s="1083"/>
      <c r="Z1260" s="1083"/>
      <c r="AA1260" s="1083"/>
      <c r="AB1260" s="1083"/>
      <c r="AC1260" s="1083"/>
      <c r="AD1260" s="1083"/>
      <c r="AE1260" s="1083"/>
    </row>
    <row r="1261" spans="2:31">
      <c r="B1261" s="1179"/>
      <c r="C1261" s="1627"/>
      <c r="D1261" s="1179"/>
      <c r="E1261" s="1190"/>
      <c r="F1261" s="1191"/>
      <c r="I1261" s="1083"/>
      <c r="J1261" s="1083"/>
      <c r="K1261" s="1083"/>
      <c r="L1261" s="1083"/>
      <c r="M1261" s="1083"/>
      <c r="N1261" s="1083"/>
      <c r="O1261" s="1083"/>
      <c r="P1261" s="1083"/>
      <c r="Q1261" s="1083"/>
      <c r="R1261" s="1083"/>
      <c r="S1261" s="1083"/>
      <c r="T1261" s="1083"/>
      <c r="U1261" s="1083"/>
      <c r="V1261" s="1083"/>
      <c r="W1261" s="1083"/>
      <c r="X1261" s="1083"/>
      <c r="Y1261" s="1083"/>
      <c r="Z1261" s="1083"/>
      <c r="AA1261" s="1083"/>
      <c r="AB1261" s="1083"/>
      <c r="AC1261" s="1083"/>
      <c r="AD1261" s="1083"/>
      <c r="AE1261" s="1083"/>
    </row>
    <row r="1262" spans="2:31">
      <c r="B1262" s="5190" t="s">
        <v>1192</v>
      </c>
      <c r="C1262" s="5190"/>
      <c r="D1262" s="5190"/>
      <c r="E1262" s="5190"/>
      <c r="F1262" s="5190"/>
      <c r="I1262" s="1083"/>
      <c r="J1262" s="1083"/>
      <c r="K1262" s="1083"/>
      <c r="L1262" s="1083"/>
      <c r="M1262" s="1083"/>
      <c r="N1262" s="1083"/>
      <c r="O1262" s="1083"/>
      <c r="P1262" s="1083"/>
      <c r="Q1262" s="1083"/>
      <c r="R1262" s="1083"/>
      <c r="S1262" s="1083"/>
      <c r="T1262" s="1083"/>
      <c r="U1262" s="1083"/>
      <c r="V1262" s="1083"/>
      <c r="W1262" s="1083"/>
      <c r="X1262" s="1083"/>
      <c r="Y1262" s="1083"/>
      <c r="Z1262" s="1083"/>
      <c r="AA1262" s="1083"/>
      <c r="AB1262" s="1083"/>
      <c r="AC1262" s="1083"/>
      <c r="AD1262" s="1083"/>
      <c r="AE1262" s="1083"/>
    </row>
    <row r="1263" spans="2:31" ht="20.25">
      <c r="B1263" s="1157"/>
      <c r="C1263" s="1628"/>
      <c r="D1263" s="1157"/>
      <c r="E1263" s="1157"/>
      <c r="F1263" s="1157"/>
      <c r="I1263" s="1083"/>
      <c r="J1263" s="1083"/>
      <c r="K1263" s="1083"/>
      <c r="L1263" s="1083"/>
      <c r="M1263" s="1083"/>
      <c r="N1263" s="1083"/>
      <c r="O1263" s="1083"/>
      <c r="P1263" s="1083"/>
      <c r="Q1263" s="1083"/>
      <c r="R1263" s="1083"/>
      <c r="S1263" s="1083"/>
      <c r="T1263" s="1083"/>
      <c r="U1263" s="1083"/>
      <c r="V1263" s="1083"/>
      <c r="W1263" s="1083"/>
      <c r="X1263" s="1083"/>
      <c r="Y1263" s="1083"/>
      <c r="Z1263" s="1083"/>
      <c r="AA1263" s="1083"/>
      <c r="AB1263" s="1083"/>
      <c r="AC1263" s="1083"/>
      <c r="AD1263" s="1083"/>
      <c r="AE1263" s="1083"/>
    </row>
    <row r="1264" spans="2:31">
      <c r="B1264" s="1158" t="s">
        <v>268</v>
      </c>
      <c r="C1264" s="1623">
        <v>0.84</v>
      </c>
      <c r="D1264" s="1159" t="s">
        <v>269</v>
      </c>
      <c r="E1264" s="1160"/>
      <c r="F1264" s="1160"/>
      <c r="I1264" s="1083"/>
      <c r="J1264" s="1083"/>
      <c r="K1264" s="1083"/>
      <c r="L1264" s="1083"/>
      <c r="M1264" s="1083"/>
      <c r="N1264" s="1083"/>
      <c r="O1264" s="1083"/>
      <c r="P1264" s="1083"/>
      <c r="Q1264" s="1083"/>
      <c r="R1264" s="1083"/>
      <c r="S1264" s="1083"/>
      <c r="T1264" s="1083"/>
      <c r="U1264" s="1083"/>
      <c r="V1264" s="1083"/>
      <c r="W1264" s="1083"/>
      <c r="X1264" s="1083"/>
      <c r="Y1264" s="1083"/>
      <c r="Z1264" s="1083"/>
      <c r="AA1264" s="1083"/>
      <c r="AB1264" s="1083"/>
      <c r="AC1264" s="1083"/>
      <c r="AD1264" s="1083"/>
      <c r="AE1264" s="1083"/>
    </row>
    <row r="1265" spans="2:31" ht="13.5" thickBot="1">
      <c r="B1265" s="1161" t="s">
        <v>270</v>
      </c>
      <c r="C1265" s="1623"/>
      <c r="D1265" s="1159"/>
      <c r="E1265" s="1160"/>
      <c r="F1265" s="1160"/>
      <c r="I1265" s="1083"/>
      <c r="J1265" s="1083"/>
      <c r="K1265" s="1083"/>
      <c r="L1265" s="1083"/>
      <c r="M1265" s="1083"/>
      <c r="N1265" s="1083"/>
      <c r="O1265" s="1083"/>
      <c r="P1265" s="1083"/>
      <c r="Q1265" s="1083"/>
      <c r="R1265" s="1083"/>
      <c r="S1265" s="1083"/>
      <c r="T1265" s="1083"/>
      <c r="U1265" s="1083"/>
      <c r="V1265" s="1083"/>
      <c r="W1265" s="1083"/>
      <c r="X1265" s="1083"/>
      <c r="Y1265" s="1083"/>
      <c r="Z1265" s="1083"/>
      <c r="AA1265" s="1083"/>
      <c r="AB1265" s="1083"/>
      <c r="AC1265" s="1083"/>
      <c r="AD1265" s="1083"/>
      <c r="AE1265" s="1083"/>
    </row>
    <row r="1266" spans="2:31" ht="13.5" thickTop="1">
      <c r="B1266" s="1162" t="s">
        <v>271</v>
      </c>
      <c r="C1266" s="1629">
        <v>1.05</v>
      </c>
      <c r="D1266" s="1163" t="s">
        <v>2</v>
      </c>
      <c r="E1266" s="1164" t="e">
        <f>+#REF!</f>
        <v>#REF!</v>
      </c>
      <c r="F1266" s="1165" t="e">
        <f>C1266*E1266</f>
        <v>#REF!</v>
      </c>
      <c r="I1266" s="1083"/>
      <c r="J1266" s="1083"/>
      <c r="K1266" s="1083"/>
      <c r="L1266" s="1083"/>
      <c r="M1266" s="1083"/>
      <c r="N1266" s="1083"/>
      <c r="O1266" s="1083"/>
      <c r="P1266" s="1083"/>
      <c r="Q1266" s="1083"/>
      <c r="R1266" s="1083"/>
      <c r="S1266" s="1083"/>
      <c r="T1266" s="1083"/>
      <c r="U1266" s="1083"/>
      <c r="V1266" s="1083"/>
      <c r="W1266" s="1083"/>
      <c r="X1266" s="1083"/>
      <c r="Y1266" s="1083"/>
      <c r="Z1266" s="1083"/>
      <c r="AA1266" s="1083"/>
      <c r="AB1266" s="1083"/>
      <c r="AC1266" s="1083"/>
      <c r="AD1266" s="1083"/>
      <c r="AE1266" s="1083"/>
    </row>
    <row r="1267" spans="2:31">
      <c r="B1267" s="3387" t="s">
        <v>272</v>
      </c>
      <c r="C1267" s="3388">
        <f>+C1264</f>
        <v>0.84</v>
      </c>
      <c r="D1267" s="3389" t="s">
        <v>126</v>
      </c>
      <c r="E1267" s="3254">
        <f>+F62</f>
        <v>2913</v>
      </c>
      <c r="F1267" s="3390">
        <f>C1267*E1267</f>
        <v>2446.92</v>
      </c>
      <c r="I1267" s="1083"/>
      <c r="J1267" s="1083"/>
      <c r="K1267" s="1083"/>
      <c r="L1267" s="1083"/>
      <c r="M1267" s="1083"/>
      <c r="N1267" s="1083"/>
      <c r="O1267" s="1083"/>
      <c r="P1267" s="1083"/>
      <c r="Q1267" s="1083"/>
      <c r="R1267" s="1083"/>
      <c r="S1267" s="1083"/>
      <c r="T1267" s="1083"/>
      <c r="U1267" s="1083"/>
      <c r="V1267" s="1083"/>
      <c r="W1267" s="1083"/>
      <c r="X1267" s="1083"/>
      <c r="Y1267" s="1083"/>
      <c r="Z1267" s="1083"/>
      <c r="AA1267" s="1083"/>
      <c r="AB1267" s="1083"/>
      <c r="AC1267" s="1083"/>
      <c r="AD1267" s="1083"/>
      <c r="AE1267" s="1083"/>
    </row>
    <row r="1268" spans="2:31" ht="13.5" thickBot="1">
      <c r="B1268" s="3391"/>
      <c r="C1268" s="3392"/>
      <c r="D1268" s="3393"/>
      <c r="E1268" s="3394" t="s">
        <v>274</v>
      </c>
      <c r="F1268" s="3395" t="e">
        <f>SUM(F1266:F1267)</f>
        <v>#REF!</v>
      </c>
    </row>
    <row r="1269" spans="2:31" ht="14.25" thickTop="1" thickBot="1">
      <c r="B1269" s="1166"/>
      <c r="C1269" s="1622">
        <v>1.64</v>
      </c>
      <c r="D1269" s="1166"/>
      <c r="E1269" s="1167" t="s">
        <v>1194</v>
      </c>
      <c r="F1269" s="1168" t="e">
        <f>+C1269*F1268</f>
        <v>#REF!</v>
      </c>
    </row>
    <row r="1270" spans="2:31" ht="14.25" thickTop="1" thickBot="1">
      <c r="B1270" s="1161" t="s">
        <v>276</v>
      </c>
      <c r="C1270" s="1623"/>
      <c r="D1270" s="1159"/>
      <c r="E1270" s="1160"/>
      <c r="F1270" s="1160"/>
    </row>
    <row r="1271" spans="2:31" s="1235" customFormat="1" ht="27.75" customHeight="1" thickTop="1">
      <c r="B1271" s="1231" t="s">
        <v>1158</v>
      </c>
      <c r="C1271" s="1232">
        <v>2</v>
      </c>
      <c r="D1271" s="1233" t="s">
        <v>3</v>
      </c>
      <c r="E1271" s="1227">
        <v>750</v>
      </c>
      <c r="F1271" s="1234">
        <f>C1271*E1271</f>
        <v>1500</v>
      </c>
      <c r="I1271" s="1916"/>
      <c r="J1271" s="1916"/>
      <c r="K1271" s="1916"/>
      <c r="L1271" s="1916"/>
      <c r="M1271" s="1916"/>
      <c r="N1271" s="1916"/>
      <c r="O1271" s="1916"/>
      <c r="P1271" s="1916"/>
      <c r="Q1271" s="1916"/>
      <c r="R1271" s="1916"/>
      <c r="S1271" s="1916"/>
      <c r="T1271" s="1916"/>
      <c r="U1271" s="1916"/>
      <c r="V1271" s="1916"/>
      <c r="W1271" s="1916"/>
      <c r="X1271" s="1916"/>
      <c r="Y1271" s="1916"/>
      <c r="Z1271" s="1916"/>
      <c r="AA1271" s="1916"/>
      <c r="AB1271" s="1916"/>
      <c r="AC1271" s="1916"/>
      <c r="AD1271" s="1916"/>
      <c r="AE1271" s="1916"/>
    </row>
    <row r="1272" spans="2:31">
      <c r="B1272" s="1170" t="s">
        <v>278</v>
      </c>
      <c r="C1272" s="1636">
        <v>1.03</v>
      </c>
      <c r="D1272" s="1171" t="s">
        <v>279</v>
      </c>
      <c r="E1272" s="1229">
        <v>45</v>
      </c>
      <c r="F1272" s="1230">
        <f>+E1272*C1272</f>
        <v>46.35</v>
      </c>
    </row>
    <row r="1273" spans="2:31">
      <c r="B1273" s="1170" t="s">
        <v>280</v>
      </c>
      <c r="C1273" s="1624">
        <v>2</v>
      </c>
      <c r="D1273" s="1171" t="s">
        <v>183</v>
      </c>
      <c r="E1273" s="1228">
        <v>45</v>
      </c>
      <c r="F1273" s="1230">
        <f>+E1273*C1273</f>
        <v>90</v>
      </c>
    </row>
    <row r="1274" spans="2:31" ht="13.5" thickBot="1">
      <c r="B1274" s="3396" t="s">
        <v>63</v>
      </c>
      <c r="C1274" s="3397">
        <v>1</v>
      </c>
      <c r="D1274" s="3398" t="s">
        <v>42</v>
      </c>
      <c r="E1274" s="3401">
        <v>1200</v>
      </c>
      <c r="F1274" s="3400">
        <f>+(C1274)*E1274</f>
        <v>1200</v>
      </c>
    </row>
    <row r="1275" spans="2:31" ht="14.25" thickTop="1" thickBot="1">
      <c r="B1275" s="1173"/>
      <c r="C1275" s="1625"/>
      <c r="D1275" s="1174"/>
      <c r="E1275" s="1167" t="s">
        <v>1195</v>
      </c>
      <c r="F1275" s="1168">
        <f>SUM(F1271:F1274)</f>
        <v>2836.35</v>
      </c>
    </row>
    <row r="1276" spans="2:31" ht="14.25" thickTop="1" thickBot="1">
      <c r="B1276" s="1166"/>
      <c r="C1276" s="1626"/>
      <c r="D1276" s="1175"/>
      <c r="E1276" s="1176"/>
      <c r="F1276" s="1177"/>
    </row>
    <row r="1277" spans="2:31" ht="14.25" thickTop="1" thickBot="1">
      <c r="B1277" s="1166"/>
      <c r="C1277" s="5190" t="s">
        <v>281</v>
      </c>
      <c r="D1277" s="5190"/>
      <c r="E1277" s="5190"/>
      <c r="F1277" s="1178" t="e">
        <f>+F1269+F1275</f>
        <v>#REF!</v>
      </c>
    </row>
    <row r="1278" spans="2:31" ht="13.5" thickTop="1">
      <c r="B1278" s="1166"/>
      <c r="C1278" s="1637"/>
      <c r="D1278" s="1225"/>
      <c r="E1278" s="1225"/>
      <c r="F1278" s="1226"/>
    </row>
    <row r="1279" spans="2:31" ht="13.5" thickBot="1">
      <c r="B1279" s="349" t="s">
        <v>38</v>
      </c>
      <c r="C1279" s="1638"/>
      <c r="D1279" s="351"/>
      <c r="E1279" s="352"/>
      <c r="F1279" s="353"/>
    </row>
    <row r="1280" spans="2:31" ht="13.5" thickTop="1">
      <c r="B1280" s="354" t="s">
        <v>282</v>
      </c>
      <c r="C1280" s="1639">
        <v>0.77</v>
      </c>
      <c r="D1280" s="356" t="s">
        <v>2</v>
      </c>
      <c r="E1280" s="355">
        <v>240.23</v>
      </c>
      <c r="F1280" s="3402">
        <f>C1280*E1280</f>
        <v>184.98</v>
      </c>
    </row>
    <row r="1281" spans="2:31" ht="13.5" thickBot="1">
      <c r="B1281" s="3403"/>
      <c r="C1281" s="3404"/>
      <c r="D1281" s="3405"/>
      <c r="E1281" s="3405"/>
      <c r="F1281" s="3406">
        <f>F1280</f>
        <v>184.98</v>
      </c>
    </row>
    <row r="1282" spans="2:31" ht="13.5" thickTop="1">
      <c r="B1282" s="361"/>
      <c r="C1282" s="1640"/>
      <c r="D1282" s="361"/>
      <c r="E1282" s="361"/>
      <c r="F1282" s="361"/>
    </row>
    <row r="1283" spans="2:31" ht="13.5" thickBot="1">
      <c r="B1283" s="361"/>
      <c r="C1283" s="1640"/>
      <c r="D1283" s="361"/>
      <c r="E1283" s="361"/>
      <c r="F1283" s="361"/>
    </row>
    <row r="1284" spans="2:31" ht="14.25" thickTop="1" thickBot="1">
      <c r="B1284" s="361"/>
      <c r="C1284" s="1640"/>
      <c r="D1284" s="362"/>
      <c r="E1284" s="363" t="s">
        <v>1196</v>
      </c>
      <c r="F1284" s="364" t="e">
        <f>F1281+F1277</f>
        <v>#REF!</v>
      </c>
    </row>
    <row r="1285" spans="2:31" ht="13.5" thickTop="1">
      <c r="B1285" s="1166"/>
      <c r="C1285" s="1637"/>
      <c r="D1285" s="1225"/>
      <c r="E1285" s="1225"/>
      <c r="F1285" s="1226"/>
    </row>
    <row r="1286" spans="2:31">
      <c r="B1286" s="1166"/>
      <c r="C1286" s="1637"/>
      <c r="D1286" s="1225"/>
      <c r="E1286" s="1225"/>
      <c r="F1286" s="1226"/>
    </row>
    <row r="1287" spans="2:31" s="3407" customFormat="1" ht="42" customHeight="1">
      <c r="B1287" s="3297"/>
      <c r="C1287" s="5190" t="s">
        <v>1168</v>
      </c>
      <c r="D1287" s="5190"/>
      <c r="E1287" s="5190"/>
      <c r="F1287" s="5190"/>
      <c r="G1287" s="5190"/>
      <c r="H1287" s="1192"/>
      <c r="I1287" s="1916"/>
      <c r="J1287" s="1916"/>
      <c r="K1287" s="1916"/>
      <c r="L1287" s="1916"/>
      <c r="M1287" s="1916"/>
      <c r="N1287" s="1916"/>
      <c r="O1287" s="1916"/>
      <c r="P1287" s="1916"/>
      <c r="Q1287" s="1916"/>
      <c r="R1287" s="1916"/>
      <c r="S1287" s="1916"/>
      <c r="T1287" s="1916"/>
      <c r="U1287" s="1916"/>
      <c r="V1287" s="1916"/>
      <c r="W1287" s="1916"/>
      <c r="X1287" s="1916"/>
      <c r="Y1287" s="1916"/>
      <c r="Z1287" s="1916"/>
      <c r="AA1287" s="1916"/>
      <c r="AB1287" s="1916"/>
      <c r="AC1287" s="1916"/>
      <c r="AD1287" s="1916"/>
      <c r="AE1287" s="1916"/>
    </row>
    <row r="1288" spans="2:31" s="3407" customFormat="1" ht="20.25">
      <c r="B1288" s="3297"/>
      <c r="C1288" s="1641"/>
      <c r="D1288" s="1193"/>
      <c r="E1288" s="1193"/>
      <c r="F1288" s="1193"/>
      <c r="G1288" s="1193"/>
      <c r="H1288" s="1192"/>
      <c r="I1288" s="1916"/>
      <c r="J1288" s="1916"/>
      <c r="K1288" s="1916"/>
      <c r="L1288" s="1916"/>
      <c r="M1288" s="1916"/>
      <c r="N1288" s="1916"/>
      <c r="O1288" s="1916"/>
      <c r="P1288" s="1916"/>
      <c r="Q1288" s="1916"/>
      <c r="R1288" s="1916"/>
      <c r="S1288" s="1916"/>
      <c r="T1288" s="1916"/>
      <c r="U1288" s="1916"/>
      <c r="V1288" s="1916"/>
      <c r="W1288" s="1916"/>
      <c r="X1288" s="1916"/>
      <c r="Y1288" s="1916"/>
      <c r="Z1288" s="1916"/>
      <c r="AA1288" s="1916"/>
      <c r="AB1288" s="1916"/>
      <c r="AC1288" s="1916"/>
      <c r="AD1288" s="1916"/>
      <c r="AE1288" s="1916"/>
    </row>
    <row r="1289" spans="2:31" s="3407" customFormat="1">
      <c r="B1289" s="3297"/>
      <c r="C1289" s="1642" t="s">
        <v>268</v>
      </c>
      <c r="D1289" s="1194">
        <v>0.51</v>
      </c>
      <c r="E1289" s="1195" t="s">
        <v>269</v>
      </c>
      <c r="F1289" s="1196"/>
      <c r="G1289" s="1196"/>
      <c r="H1289" s="1192"/>
      <c r="I1289" s="1916"/>
      <c r="J1289" s="1916"/>
      <c r="K1289" s="1916"/>
      <c r="L1289" s="1916"/>
      <c r="M1289" s="1916"/>
      <c r="N1289" s="1916"/>
      <c r="O1289" s="1916"/>
      <c r="P1289" s="1916"/>
      <c r="Q1289" s="1916"/>
      <c r="R1289" s="1916"/>
      <c r="S1289" s="1916"/>
      <c r="T1289" s="1916"/>
      <c r="U1289" s="1916"/>
      <c r="V1289" s="1916"/>
      <c r="W1289" s="1916"/>
      <c r="X1289" s="1916"/>
      <c r="Y1289" s="1916"/>
      <c r="Z1289" s="1916"/>
      <c r="AA1289" s="1916"/>
      <c r="AB1289" s="1916"/>
      <c r="AC1289" s="1916"/>
      <c r="AD1289" s="1916"/>
      <c r="AE1289" s="1916"/>
    </row>
    <row r="1290" spans="2:31" s="3407" customFormat="1">
      <c r="B1290" s="3297"/>
      <c r="C1290" s="1643" t="s">
        <v>270</v>
      </c>
      <c r="D1290" s="1194"/>
      <c r="E1290" s="1195"/>
      <c r="F1290" s="1196"/>
      <c r="G1290" s="1196"/>
      <c r="H1290" s="1192"/>
      <c r="I1290" s="1916"/>
      <c r="J1290" s="1916"/>
      <c r="K1290" s="1916"/>
      <c r="L1290" s="1916"/>
      <c r="M1290" s="1916"/>
      <c r="N1290" s="1916"/>
      <c r="O1290" s="1916"/>
      <c r="P1290" s="1916"/>
      <c r="Q1290" s="1916"/>
      <c r="R1290" s="1916"/>
      <c r="S1290" s="1916"/>
      <c r="T1290" s="1916"/>
      <c r="U1290" s="1916"/>
      <c r="V1290" s="1916"/>
      <c r="W1290" s="1916"/>
      <c r="X1290" s="1916"/>
      <c r="Y1290" s="1916"/>
      <c r="Z1290" s="1916"/>
      <c r="AA1290" s="1916"/>
      <c r="AB1290" s="1916"/>
      <c r="AC1290" s="1916"/>
      <c r="AD1290" s="1916"/>
      <c r="AE1290" s="1916"/>
    </row>
    <row r="1291" spans="2:31" s="3407" customFormat="1">
      <c r="B1291" s="3297"/>
      <c r="C1291" s="3408" t="s">
        <v>271</v>
      </c>
      <c r="D1291" s="3409">
        <v>1.05</v>
      </c>
      <c r="E1291" s="3410" t="s">
        <v>2</v>
      </c>
      <c r="F1291" s="3411">
        <f>+F1226</f>
        <v>579.85</v>
      </c>
      <c r="G1291" s="3412">
        <f>D1291*F1291</f>
        <v>608.84</v>
      </c>
      <c r="H1291" s="1192"/>
      <c r="I1291" s="1916"/>
      <c r="J1291" s="1916"/>
      <c r="K1291" s="1916"/>
      <c r="L1291" s="1916"/>
      <c r="M1291" s="1916"/>
      <c r="N1291" s="1916"/>
      <c r="O1291" s="1916"/>
      <c r="P1291" s="1916"/>
      <c r="Q1291" s="1916"/>
      <c r="R1291" s="1916"/>
      <c r="S1291" s="1916"/>
      <c r="T1291" s="1916"/>
      <c r="U1291" s="1916"/>
      <c r="V1291" s="1916"/>
      <c r="W1291" s="1916"/>
      <c r="X1291" s="1916"/>
      <c r="Y1291" s="1916"/>
      <c r="Z1291" s="1916"/>
      <c r="AA1291" s="1916"/>
      <c r="AB1291" s="1916"/>
      <c r="AC1291" s="1916"/>
      <c r="AD1291" s="1916"/>
      <c r="AE1291" s="1916"/>
    </row>
    <row r="1292" spans="2:31" s="3407" customFormat="1">
      <c r="B1292" s="3297"/>
      <c r="C1292" s="3408" t="s">
        <v>272</v>
      </c>
      <c r="D1292" s="3413">
        <v>0.51</v>
      </c>
      <c r="E1292" s="3410" t="s">
        <v>126</v>
      </c>
      <c r="F1292" s="3411">
        <f>+F1227</f>
        <v>0</v>
      </c>
      <c r="G1292" s="3412">
        <f>D1292*F1292</f>
        <v>0</v>
      </c>
      <c r="H1292" s="1192"/>
      <c r="I1292" s="1916"/>
      <c r="J1292" s="1916"/>
      <c r="K1292" s="1916"/>
      <c r="L1292" s="1916"/>
      <c r="M1292" s="1916"/>
      <c r="N1292" s="1916"/>
      <c r="O1292" s="1916"/>
      <c r="P1292" s="1916"/>
      <c r="Q1292" s="1916"/>
      <c r="R1292" s="1916"/>
      <c r="S1292" s="1916"/>
      <c r="T1292" s="1916"/>
      <c r="U1292" s="1916"/>
      <c r="V1292" s="1916"/>
      <c r="W1292" s="1916"/>
      <c r="X1292" s="1916"/>
      <c r="Y1292" s="1916"/>
      <c r="Z1292" s="1916"/>
      <c r="AA1292" s="1916"/>
      <c r="AB1292" s="1916"/>
      <c r="AC1292" s="1916"/>
      <c r="AD1292" s="1916"/>
      <c r="AE1292" s="1916"/>
    </row>
    <row r="1293" spans="2:31" s="3407" customFormat="1">
      <c r="B1293" s="3297"/>
      <c r="C1293" s="3408" t="s">
        <v>273</v>
      </c>
      <c r="D1293" s="3413">
        <v>0.97</v>
      </c>
      <c r="E1293" s="3410" t="s">
        <v>118</v>
      </c>
      <c r="F1293" s="3411" t="e">
        <f>+F1228</f>
        <v>#REF!</v>
      </c>
      <c r="G1293" s="3412" t="e">
        <f>D1293*F1293</f>
        <v>#REF!</v>
      </c>
      <c r="H1293" s="1192"/>
      <c r="I1293" s="1916"/>
      <c r="J1293" s="1916"/>
      <c r="K1293" s="1916"/>
      <c r="L1293" s="1916"/>
      <c r="M1293" s="1916"/>
      <c r="N1293" s="1916"/>
      <c r="O1293" s="1916"/>
      <c r="P1293" s="1916"/>
      <c r="Q1293" s="1916"/>
      <c r="R1293" s="1916"/>
      <c r="S1293" s="1916"/>
      <c r="T1293" s="1916"/>
      <c r="U1293" s="1916"/>
      <c r="V1293" s="1916"/>
      <c r="W1293" s="1916"/>
      <c r="X1293" s="1916"/>
      <c r="Y1293" s="1916"/>
      <c r="Z1293" s="1916"/>
      <c r="AA1293" s="1916"/>
      <c r="AB1293" s="1916"/>
      <c r="AC1293" s="1916"/>
      <c r="AD1293" s="1916"/>
      <c r="AE1293" s="1916"/>
    </row>
    <row r="1294" spans="2:31" s="3407" customFormat="1">
      <c r="B1294" s="3297"/>
      <c r="C1294" s="3408"/>
      <c r="D1294" s="3409"/>
      <c r="E1294" s="3409"/>
      <c r="F1294" s="3414" t="s">
        <v>274</v>
      </c>
      <c r="G1294" s="3415" t="e">
        <f>SUM(G1291:G1293)</f>
        <v>#REF!</v>
      </c>
      <c r="H1294" s="1192"/>
      <c r="I1294" s="1916"/>
      <c r="J1294" s="1916"/>
      <c r="K1294" s="1916"/>
      <c r="L1294" s="1916"/>
      <c r="M1294" s="1916"/>
      <c r="N1294" s="1916"/>
      <c r="O1294" s="1916"/>
      <c r="P1294" s="1916"/>
      <c r="Q1294" s="1916"/>
      <c r="R1294" s="1916"/>
      <c r="S1294" s="1916"/>
      <c r="T1294" s="1916"/>
      <c r="U1294" s="1916"/>
      <c r="V1294" s="1916"/>
      <c r="W1294" s="1916"/>
      <c r="X1294" s="1916"/>
      <c r="Y1294" s="1916"/>
      <c r="Z1294" s="1916"/>
      <c r="AA1294" s="1916"/>
      <c r="AB1294" s="1916"/>
      <c r="AC1294" s="1916"/>
      <c r="AD1294" s="1916"/>
      <c r="AE1294" s="1916"/>
    </row>
    <row r="1295" spans="2:31" s="3407" customFormat="1">
      <c r="B1295" s="3297"/>
      <c r="C1295" s="3408"/>
      <c r="D1295" s="3409"/>
      <c r="E1295" s="3409"/>
      <c r="F1295" s="3414" t="s">
        <v>275</v>
      </c>
      <c r="G1295" s="3415" t="e">
        <f>(0.6*0.75+0.3*0.45)/2*1.45*G1294</f>
        <v>#REF!</v>
      </c>
      <c r="H1295" s="1192"/>
      <c r="I1295" s="1916"/>
      <c r="J1295" s="1916"/>
      <c r="K1295" s="1916"/>
      <c r="L1295" s="1916"/>
      <c r="M1295" s="1916"/>
      <c r="N1295" s="1916"/>
      <c r="O1295" s="1916"/>
      <c r="P1295" s="1916"/>
      <c r="Q1295" s="1916"/>
      <c r="R1295" s="1916"/>
      <c r="S1295" s="1916"/>
      <c r="T1295" s="1916"/>
      <c r="U1295" s="1916"/>
      <c r="V1295" s="1916"/>
      <c r="W1295" s="1916"/>
      <c r="X1295" s="1916"/>
      <c r="Y1295" s="1916"/>
      <c r="Z1295" s="1916"/>
      <c r="AA1295" s="1916"/>
      <c r="AB1295" s="1916"/>
      <c r="AC1295" s="1916"/>
      <c r="AD1295" s="1916"/>
      <c r="AE1295" s="1916"/>
    </row>
    <row r="1296" spans="2:31" s="3407" customFormat="1">
      <c r="B1296" s="3297"/>
      <c r="C1296" s="3416" t="s">
        <v>276</v>
      </c>
      <c r="D1296" s="3417"/>
      <c r="E1296" s="3418"/>
      <c r="F1296" s="3409"/>
      <c r="G1296" s="3409"/>
      <c r="H1296" s="1192"/>
      <c r="I1296" s="1916"/>
      <c r="J1296" s="1916"/>
      <c r="K1296" s="1916"/>
      <c r="L1296" s="1916"/>
      <c r="M1296" s="1916"/>
      <c r="N1296" s="1916"/>
      <c r="O1296" s="1916"/>
      <c r="P1296" s="1916"/>
      <c r="Q1296" s="1916"/>
      <c r="R1296" s="1916"/>
      <c r="S1296" s="1916"/>
      <c r="T1296" s="1916"/>
      <c r="U1296" s="1916"/>
      <c r="V1296" s="1916"/>
      <c r="W1296" s="1916"/>
      <c r="X1296" s="1916"/>
      <c r="Y1296" s="1916"/>
      <c r="Z1296" s="1916"/>
      <c r="AA1296" s="1916"/>
      <c r="AB1296" s="1916"/>
      <c r="AC1296" s="1916"/>
      <c r="AD1296" s="1916"/>
      <c r="AE1296" s="1916"/>
    </row>
    <row r="1297" spans="2:31" s="3407" customFormat="1">
      <c r="B1297" s="3297"/>
      <c r="C1297" s="3408" t="s">
        <v>1158</v>
      </c>
      <c r="D1297" s="3419">
        <v>1</v>
      </c>
      <c r="E1297" s="3410" t="s">
        <v>3</v>
      </c>
      <c r="F1297" s="3412">
        <v>1850</v>
      </c>
      <c r="G1297" s="3412">
        <f>D1297*F1297</f>
        <v>1850</v>
      </c>
      <c r="H1297" s="1192"/>
      <c r="I1297" s="1916"/>
      <c r="J1297" s="1916"/>
      <c r="K1297" s="1916"/>
      <c r="L1297" s="1916"/>
      <c r="M1297" s="1916"/>
      <c r="N1297" s="1916"/>
      <c r="O1297" s="1916"/>
      <c r="P1297" s="1916"/>
      <c r="Q1297" s="1916"/>
      <c r="R1297" s="1916"/>
      <c r="S1297" s="1916"/>
      <c r="T1297" s="1916"/>
      <c r="U1297" s="1916"/>
      <c r="V1297" s="1916"/>
      <c r="W1297" s="1916"/>
      <c r="X1297" s="1916"/>
      <c r="Y1297" s="1916"/>
      <c r="Z1297" s="1916"/>
      <c r="AA1297" s="1916"/>
      <c r="AB1297" s="1916"/>
      <c r="AC1297" s="1916"/>
      <c r="AD1297" s="1916"/>
      <c r="AE1297" s="1916"/>
    </row>
    <row r="1298" spans="2:31" s="3407" customFormat="1">
      <c r="B1298" s="3297"/>
      <c r="C1298" s="3408" t="s">
        <v>278</v>
      </c>
      <c r="D1298" s="3419">
        <v>3.46</v>
      </c>
      <c r="E1298" s="3410" t="s">
        <v>279</v>
      </c>
      <c r="F1298" s="3420">
        <v>45</v>
      </c>
      <c r="G1298" s="3412">
        <f>D1298*F1298</f>
        <v>155.69999999999999</v>
      </c>
      <c r="H1298" s="1192"/>
      <c r="I1298" s="1916"/>
      <c r="J1298" s="1916"/>
      <c r="K1298" s="1916"/>
      <c r="L1298" s="1916"/>
      <c r="M1298" s="1916"/>
      <c r="N1298" s="1916"/>
      <c r="O1298" s="1916"/>
      <c r="P1298" s="1916"/>
      <c r="Q1298" s="1916"/>
      <c r="R1298" s="1916"/>
      <c r="S1298" s="1916"/>
      <c r="T1298" s="1916"/>
      <c r="U1298" s="1916"/>
      <c r="V1298" s="1916"/>
      <c r="W1298" s="1916"/>
      <c r="X1298" s="1916"/>
      <c r="Y1298" s="1916"/>
      <c r="Z1298" s="1916"/>
      <c r="AA1298" s="1916"/>
      <c r="AB1298" s="1916"/>
      <c r="AC1298" s="1916"/>
      <c r="AD1298" s="1916"/>
      <c r="AE1298" s="1916"/>
    </row>
    <row r="1299" spans="2:31" s="3407" customFormat="1">
      <c r="B1299" s="3297"/>
      <c r="C1299" s="3408" t="s">
        <v>280</v>
      </c>
      <c r="D1299" s="3409">
        <v>0.1</v>
      </c>
      <c r="E1299" s="3410" t="s">
        <v>183</v>
      </c>
      <c r="F1299" s="3411">
        <v>15.78</v>
      </c>
      <c r="G1299" s="3412">
        <f>D1299*F1299</f>
        <v>1.58</v>
      </c>
      <c r="H1299" s="1192"/>
      <c r="I1299" s="1916"/>
      <c r="J1299" s="1916"/>
      <c r="K1299" s="1916"/>
      <c r="L1299" s="1916"/>
      <c r="M1299" s="1916"/>
      <c r="N1299" s="1916"/>
      <c r="O1299" s="1916"/>
      <c r="P1299" s="1916"/>
      <c r="Q1299" s="1916"/>
      <c r="R1299" s="1916"/>
      <c r="S1299" s="1916"/>
      <c r="T1299" s="1916"/>
      <c r="U1299" s="1916"/>
      <c r="V1299" s="1916"/>
      <c r="W1299" s="1916"/>
      <c r="X1299" s="1916"/>
      <c r="Y1299" s="1916"/>
      <c r="Z1299" s="1916"/>
      <c r="AA1299" s="1916"/>
      <c r="AB1299" s="1916"/>
      <c r="AC1299" s="1916"/>
      <c r="AD1299" s="1916"/>
      <c r="AE1299" s="1916"/>
    </row>
    <row r="1300" spans="2:31" s="3407" customFormat="1">
      <c r="B1300" s="3297"/>
      <c r="C1300" s="3408" t="s">
        <v>63</v>
      </c>
      <c r="D1300" s="3421">
        <v>30</v>
      </c>
      <c r="E1300" s="3422" t="s">
        <v>46</v>
      </c>
      <c r="F1300" s="3412">
        <f>+SUM(G1297:G1299)</f>
        <v>2007.28</v>
      </c>
      <c r="G1300" s="3412">
        <f>+(D1300/100)*F1300</f>
        <v>602.17999999999995</v>
      </c>
      <c r="H1300" s="1192"/>
      <c r="I1300" s="1916"/>
      <c r="J1300" s="1916"/>
      <c r="K1300" s="1916"/>
      <c r="L1300" s="1916"/>
      <c r="M1300" s="1916"/>
      <c r="N1300" s="1916"/>
      <c r="O1300" s="1916"/>
      <c r="P1300" s="1916"/>
      <c r="Q1300" s="1916"/>
      <c r="R1300" s="1916"/>
      <c r="S1300" s="1916"/>
      <c r="T1300" s="1916"/>
      <c r="U1300" s="1916"/>
      <c r="V1300" s="1916"/>
      <c r="W1300" s="1916"/>
      <c r="X1300" s="1916"/>
      <c r="Y1300" s="1916"/>
      <c r="Z1300" s="1916"/>
      <c r="AA1300" s="1916"/>
      <c r="AB1300" s="1916"/>
      <c r="AC1300" s="1916"/>
      <c r="AD1300" s="1916"/>
      <c r="AE1300" s="1916"/>
    </row>
    <row r="1301" spans="2:31" s="3407" customFormat="1">
      <c r="B1301" s="3297"/>
      <c r="C1301" s="3408"/>
      <c r="D1301" s="3409"/>
      <c r="E1301" s="3409"/>
      <c r="F1301" s="3414" t="s">
        <v>275</v>
      </c>
      <c r="G1301" s="3415">
        <f>SUM(G1297:G1300)</f>
        <v>2609.46</v>
      </c>
      <c r="H1301" s="1192"/>
      <c r="I1301" s="1916"/>
      <c r="J1301" s="1916"/>
      <c r="K1301" s="1916"/>
      <c r="L1301" s="1916"/>
      <c r="M1301" s="1916"/>
      <c r="N1301" s="1916"/>
      <c r="O1301" s="1916"/>
      <c r="P1301" s="1916"/>
      <c r="Q1301" s="1916"/>
      <c r="R1301" s="1916"/>
      <c r="S1301" s="1916"/>
      <c r="T1301" s="1916"/>
      <c r="U1301" s="1916"/>
      <c r="V1301" s="1916"/>
      <c r="W1301" s="1916"/>
      <c r="X1301" s="1916"/>
      <c r="Y1301" s="1916"/>
      <c r="Z1301" s="1916"/>
      <c r="AA1301" s="1916"/>
      <c r="AB1301" s="1916"/>
      <c r="AC1301" s="1916"/>
      <c r="AD1301" s="1916"/>
      <c r="AE1301" s="1916"/>
    </row>
    <row r="1302" spans="2:31" s="3407" customFormat="1">
      <c r="B1302" s="3297"/>
      <c r="C1302" s="3408"/>
      <c r="D1302" s="3423"/>
      <c r="E1302" s="3423"/>
      <c r="F1302" s="3423"/>
      <c r="G1302" s="3415"/>
      <c r="H1302" s="1192"/>
      <c r="I1302" s="1916"/>
      <c r="J1302" s="1916"/>
      <c r="K1302" s="1916"/>
      <c r="L1302" s="1916"/>
      <c r="M1302" s="1916"/>
      <c r="N1302" s="1916"/>
      <c r="O1302" s="1916"/>
      <c r="P1302" s="1916"/>
      <c r="Q1302" s="1916"/>
      <c r="R1302" s="1916"/>
      <c r="S1302" s="1916"/>
      <c r="T1302" s="1916"/>
      <c r="U1302" s="1916"/>
      <c r="V1302" s="1916"/>
      <c r="W1302" s="1916"/>
      <c r="X1302" s="1916"/>
      <c r="Y1302" s="1916"/>
      <c r="Z1302" s="1916"/>
      <c r="AA1302" s="1916"/>
      <c r="AB1302" s="1916"/>
      <c r="AC1302" s="1916"/>
      <c r="AD1302" s="1916"/>
      <c r="AE1302" s="1916"/>
    </row>
    <row r="1303" spans="2:31" s="3407" customFormat="1">
      <c r="B1303" s="3297"/>
      <c r="C1303" s="3416" t="s">
        <v>1169</v>
      </c>
      <c r="D1303" s="3417"/>
      <c r="E1303" s="3418"/>
      <c r="F1303" s="3409"/>
      <c r="G1303" s="3409"/>
      <c r="H1303" s="1192"/>
      <c r="I1303" s="1916"/>
      <c r="J1303" s="1916"/>
      <c r="K1303" s="1916"/>
      <c r="L1303" s="1916"/>
      <c r="M1303" s="1916"/>
      <c r="N1303" s="1916"/>
      <c r="O1303" s="1916"/>
      <c r="P1303" s="1916"/>
      <c r="Q1303" s="1916"/>
      <c r="R1303" s="1916"/>
      <c r="S1303" s="1916"/>
      <c r="T1303" s="1916"/>
      <c r="U1303" s="1916"/>
      <c r="V1303" s="1916"/>
      <c r="W1303" s="1916"/>
      <c r="X1303" s="1916"/>
      <c r="Y1303" s="1916"/>
      <c r="Z1303" s="1916"/>
      <c r="AA1303" s="1916"/>
      <c r="AB1303" s="1916"/>
      <c r="AC1303" s="1916"/>
      <c r="AD1303" s="1916"/>
      <c r="AE1303" s="1916"/>
    </row>
    <row r="1304" spans="2:31" s="3407" customFormat="1">
      <c r="B1304" s="3297"/>
      <c r="C1304" s="3408" t="s">
        <v>1170</v>
      </c>
      <c r="D1304" s="3419">
        <v>0.42</v>
      </c>
      <c r="E1304" s="3410" t="s">
        <v>2</v>
      </c>
      <c r="F1304" s="3412">
        <f>+F1239</f>
        <v>442.54</v>
      </c>
      <c r="G1304" s="3412">
        <f>D1304*F1304</f>
        <v>185.87</v>
      </c>
      <c r="H1304" s="1192"/>
      <c r="I1304" s="1916"/>
      <c r="J1304" s="1916"/>
      <c r="K1304" s="1916"/>
      <c r="L1304" s="1916"/>
      <c r="M1304" s="1916"/>
      <c r="N1304" s="1916"/>
      <c r="O1304" s="1916"/>
      <c r="P1304" s="1916"/>
      <c r="Q1304" s="1916"/>
      <c r="R1304" s="1916"/>
      <c r="S1304" s="1916"/>
      <c r="T1304" s="1916"/>
      <c r="U1304" s="1916"/>
      <c r="V1304" s="1916"/>
      <c r="W1304" s="1916"/>
      <c r="X1304" s="1916"/>
      <c r="Y1304" s="1916"/>
      <c r="Z1304" s="1916"/>
      <c r="AA1304" s="1916"/>
      <c r="AB1304" s="1916"/>
      <c r="AC1304" s="1916"/>
      <c r="AD1304" s="1916"/>
      <c r="AE1304" s="1916"/>
    </row>
    <row r="1305" spans="2:31" s="3407" customFormat="1">
      <c r="B1305" s="3297"/>
      <c r="C1305" s="3408" t="s">
        <v>1171</v>
      </c>
      <c r="D1305" s="3419">
        <f>D1304*1.2</f>
        <v>0.504</v>
      </c>
      <c r="E1305" s="3410" t="s">
        <v>2</v>
      </c>
      <c r="F1305" s="3420">
        <v>90</v>
      </c>
      <c r="G1305" s="3412">
        <f>D1305*F1305</f>
        <v>45.36</v>
      </c>
      <c r="H1305" s="1192"/>
      <c r="I1305" s="1916"/>
      <c r="J1305" s="1916"/>
      <c r="K1305" s="1916"/>
      <c r="L1305" s="1916"/>
      <c r="M1305" s="1916"/>
      <c r="N1305" s="1916"/>
      <c r="O1305" s="1916"/>
      <c r="P1305" s="1916"/>
      <c r="Q1305" s="1916"/>
      <c r="R1305" s="1916"/>
      <c r="S1305" s="1916"/>
      <c r="T1305" s="1916"/>
      <c r="U1305" s="1916"/>
      <c r="V1305" s="1916"/>
      <c r="W1305" s="1916"/>
      <c r="X1305" s="1916"/>
      <c r="Y1305" s="1916"/>
      <c r="Z1305" s="1916"/>
      <c r="AA1305" s="1916"/>
      <c r="AB1305" s="1916"/>
      <c r="AC1305" s="1916"/>
      <c r="AD1305" s="1916"/>
      <c r="AE1305" s="1916"/>
    </row>
    <row r="1306" spans="2:31" s="3407" customFormat="1">
      <c r="B1306" s="3297"/>
      <c r="C1306" s="3408"/>
      <c r="D1306" s="3409"/>
      <c r="E1306" s="3409"/>
      <c r="F1306" s="3414" t="s">
        <v>275</v>
      </c>
      <c r="G1306" s="3415">
        <f>SUM(G1304:G1305)</f>
        <v>231.23</v>
      </c>
      <c r="H1306" s="1192"/>
      <c r="I1306" s="1916"/>
      <c r="J1306" s="1916"/>
      <c r="K1306" s="1916"/>
      <c r="L1306" s="1916"/>
      <c r="M1306" s="1916"/>
      <c r="N1306" s="1916"/>
      <c r="O1306" s="1916"/>
      <c r="P1306" s="1916"/>
      <c r="Q1306" s="1916"/>
      <c r="R1306" s="1916"/>
      <c r="S1306" s="1916"/>
      <c r="T1306" s="1916"/>
      <c r="U1306" s="1916"/>
      <c r="V1306" s="1916"/>
      <c r="W1306" s="1916"/>
      <c r="X1306" s="1916"/>
      <c r="Y1306" s="1916"/>
      <c r="Z1306" s="1916"/>
      <c r="AA1306" s="1916"/>
      <c r="AB1306" s="1916"/>
      <c r="AC1306" s="1916"/>
      <c r="AD1306" s="1916"/>
      <c r="AE1306" s="1916"/>
    </row>
    <row r="1307" spans="2:31" s="3407" customFormat="1">
      <c r="B1307" s="3297"/>
      <c r="C1307" s="3408"/>
      <c r="D1307" s="3409"/>
      <c r="E1307" s="3409"/>
      <c r="F1307" s="3414"/>
      <c r="G1307" s="3415"/>
      <c r="H1307" s="1192"/>
      <c r="I1307" s="1916"/>
      <c r="J1307" s="1916"/>
      <c r="K1307" s="1916"/>
      <c r="L1307" s="1916"/>
      <c r="M1307" s="1916"/>
      <c r="N1307" s="1916"/>
      <c r="O1307" s="1916"/>
      <c r="P1307" s="1916"/>
      <c r="Q1307" s="1916"/>
      <c r="R1307" s="1916"/>
      <c r="S1307" s="1916"/>
      <c r="T1307" s="1916"/>
      <c r="U1307" s="1916"/>
      <c r="V1307" s="1916"/>
      <c r="W1307" s="1916"/>
      <c r="X1307" s="1916"/>
      <c r="Y1307" s="1916"/>
      <c r="Z1307" s="1916"/>
      <c r="AA1307" s="1916"/>
      <c r="AB1307" s="1916"/>
      <c r="AC1307" s="1916"/>
      <c r="AD1307" s="1916"/>
      <c r="AE1307" s="1916"/>
    </row>
    <row r="1308" spans="2:31" s="3407" customFormat="1">
      <c r="B1308" s="3297"/>
      <c r="C1308" s="3416" t="s">
        <v>1172</v>
      </c>
      <c r="D1308" s="3417"/>
      <c r="E1308" s="3418"/>
      <c r="F1308" s="3409"/>
      <c r="G1308" s="3409"/>
      <c r="H1308" s="1192"/>
      <c r="I1308" s="1916"/>
      <c r="J1308" s="1916"/>
      <c r="K1308" s="1916"/>
      <c r="L1308" s="1916"/>
      <c r="M1308" s="1916"/>
      <c r="N1308" s="1916"/>
      <c r="O1308" s="1916"/>
      <c r="P1308" s="1916"/>
      <c r="Q1308" s="1916"/>
      <c r="R1308" s="1916"/>
      <c r="S1308" s="1916"/>
      <c r="T1308" s="1916"/>
      <c r="U1308" s="1916"/>
      <c r="V1308" s="1916"/>
      <c r="W1308" s="1916"/>
      <c r="X1308" s="1916"/>
      <c r="Y1308" s="1916"/>
      <c r="Z1308" s="1916"/>
      <c r="AA1308" s="1916"/>
      <c r="AB1308" s="1916"/>
      <c r="AC1308" s="1916"/>
      <c r="AD1308" s="1916"/>
      <c r="AE1308" s="1916"/>
    </row>
    <row r="1309" spans="2:31" s="3407" customFormat="1">
      <c r="B1309" s="3297"/>
      <c r="C1309" s="3416"/>
      <c r="D1309" s="3417"/>
      <c r="E1309" s="3418"/>
      <c r="F1309" s="3409"/>
      <c r="G1309" s="3409"/>
      <c r="H1309" s="1192"/>
      <c r="I1309" s="1916"/>
      <c r="J1309" s="1916"/>
      <c r="K1309" s="1916"/>
      <c r="L1309" s="1916"/>
      <c r="M1309" s="1916"/>
      <c r="N1309" s="1916"/>
      <c r="O1309" s="1916"/>
      <c r="P1309" s="1916"/>
      <c r="Q1309" s="1916"/>
      <c r="R1309" s="1916"/>
      <c r="S1309" s="1916"/>
      <c r="T1309" s="1916"/>
      <c r="U1309" s="1916"/>
      <c r="V1309" s="1916"/>
      <c r="W1309" s="1916"/>
      <c r="X1309" s="1916"/>
      <c r="Y1309" s="1916"/>
      <c r="Z1309" s="1916"/>
      <c r="AA1309" s="1916"/>
      <c r="AB1309" s="1916"/>
      <c r="AC1309" s="1916"/>
      <c r="AD1309" s="1916"/>
      <c r="AE1309" s="1916"/>
    </row>
    <row r="1310" spans="2:31" s="3407" customFormat="1" ht="38.25">
      <c r="B1310" s="3297"/>
      <c r="C1310" s="3424" t="s">
        <v>1173</v>
      </c>
      <c r="D1310" s="3425"/>
      <c r="E1310" s="3426"/>
      <c r="F1310" s="3427"/>
      <c r="G1310" s="3428"/>
      <c r="H1310" s="1192"/>
      <c r="I1310" s="1916"/>
      <c r="J1310" s="1916"/>
      <c r="K1310" s="1916"/>
      <c r="L1310" s="1916"/>
      <c r="M1310" s="1916"/>
      <c r="N1310" s="1916"/>
      <c r="O1310" s="1916"/>
      <c r="P1310" s="1916"/>
      <c r="Q1310" s="1916"/>
      <c r="R1310" s="1916"/>
      <c r="S1310" s="1916"/>
      <c r="T1310" s="1916"/>
      <c r="U1310" s="1916"/>
      <c r="V1310" s="1916"/>
      <c r="W1310" s="1916"/>
      <c r="X1310" s="1916"/>
      <c r="Y1310" s="1916"/>
      <c r="Z1310" s="1916"/>
      <c r="AA1310" s="1916"/>
      <c r="AB1310" s="1916"/>
      <c r="AC1310" s="1916"/>
      <c r="AD1310" s="1916"/>
      <c r="AE1310" s="1916"/>
    </row>
    <row r="1311" spans="2:31" s="3407" customFormat="1">
      <c r="B1311" s="3297"/>
      <c r="C1311" s="3429" t="s">
        <v>151</v>
      </c>
      <c r="D1311" s="3425">
        <f>0.42*0.45</f>
        <v>0.19</v>
      </c>
      <c r="E1311" s="3426" t="s">
        <v>2</v>
      </c>
      <c r="F1311" s="3427">
        <f>935.52</f>
        <v>935.52</v>
      </c>
      <c r="G1311" s="3428">
        <f>ROUND(F1311*D1311,2)</f>
        <v>177.75</v>
      </c>
      <c r="H1311" s="1192"/>
      <c r="I1311" s="1916"/>
      <c r="J1311" s="1916"/>
      <c r="K1311" s="1916"/>
      <c r="L1311" s="1916"/>
      <c r="M1311" s="1916"/>
      <c r="N1311" s="1916"/>
      <c r="O1311" s="1916"/>
      <c r="P1311" s="1916"/>
      <c r="Q1311" s="1916"/>
      <c r="R1311" s="1916"/>
      <c r="S1311" s="1916"/>
      <c r="T1311" s="1916"/>
      <c r="U1311" s="1916"/>
      <c r="V1311" s="1916"/>
      <c r="W1311" s="1916"/>
      <c r="X1311" s="1916"/>
      <c r="Y1311" s="1916"/>
      <c r="Z1311" s="1916"/>
      <c r="AA1311" s="1916"/>
      <c r="AB1311" s="1916"/>
      <c r="AC1311" s="1916"/>
      <c r="AD1311" s="1916"/>
      <c r="AE1311" s="1916"/>
    </row>
    <row r="1312" spans="2:31" s="3407" customFormat="1">
      <c r="B1312" s="3297"/>
      <c r="C1312" s="3429" t="s">
        <v>124</v>
      </c>
      <c r="D1312" s="3425">
        <f>0.42*0.9</f>
        <v>0.38</v>
      </c>
      <c r="E1312" s="3426" t="s">
        <v>2</v>
      </c>
      <c r="F1312" s="3427">
        <f>+F1311</f>
        <v>935.52</v>
      </c>
      <c r="G1312" s="3428">
        <f>ROUND(F1312*D1312,2)</f>
        <v>355.5</v>
      </c>
      <c r="H1312" s="1192"/>
      <c r="I1312" s="1916"/>
      <c r="J1312" s="1916"/>
      <c r="K1312" s="1916"/>
      <c r="L1312" s="1916"/>
      <c r="M1312" s="1916"/>
      <c r="N1312" s="1916"/>
      <c r="O1312" s="1916"/>
      <c r="P1312" s="1916"/>
      <c r="Q1312" s="1916"/>
      <c r="R1312" s="1916"/>
      <c r="S1312" s="1916"/>
      <c r="T1312" s="1916"/>
      <c r="U1312" s="1916"/>
      <c r="V1312" s="1916"/>
      <c r="W1312" s="1916"/>
      <c r="X1312" s="1916"/>
      <c r="Y1312" s="1916"/>
      <c r="Z1312" s="1916"/>
      <c r="AA1312" s="1916"/>
      <c r="AB1312" s="1916"/>
      <c r="AC1312" s="1916"/>
      <c r="AD1312" s="1916"/>
      <c r="AE1312" s="1916"/>
    </row>
    <row r="1313" spans="1:31" s="3407" customFormat="1">
      <c r="B1313" s="3297"/>
      <c r="C1313" s="3429" t="s">
        <v>142</v>
      </c>
      <c r="D1313" s="3425">
        <f>0.42*13</f>
        <v>5.46</v>
      </c>
      <c r="E1313" s="3426" t="s">
        <v>1026</v>
      </c>
      <c r="F1313" s="3427">
        <f>49.77</f>
        <v>49.77</v>
      </c>
      <c r="G1313" s="3428">
        <f>ROUND(F1313*D1313,2)</f>
        <v>271.74</v>
      </c>
      <c r="H1313" s="1192"/>
      <c r="I1313" s="1916"/>
      <c r="J1313" s="1916"/>
      <c r="K1313" s="1916"/>
      <c r="L1313" s="1916"/>
      <c r="M1313" s="1916"/>
      <c r="N1313" s="1916"/>
      <c r="O1313" s="1916"/>
      <c r="P1313" s="1916"/>
      <c r="Q1313" s="1916"/>
      <c r="R1313" s="1916"/>
      <c r="S1313" s="1916"/>
      <c r="T1313" s="1916"/>
      <c r="U1313" s="1916"/>
      <c r="V1313" s="1916"/>
      <c r="W1313" s="1916"/>
      <c r="X1313" s="1916"/>
      <c r="Y1313" s="1916"/>
      <c r="Z1313" s="1916"/>
      <c r="AA1313" s="1916"/>
      <c r="AB1313" s="1916"/>
      <c r="AC1313" s="1916"/>
      <c r="AD1313" s="1916"/>
      <c r="AE1313" s="1916"/>
    </row>
    <row r="1314" spans="1:31" s="3407" customFormat="1">
      <c r="B1314" s="3297"/>
      <c r="C1314" s="3429" t="s">
        <v>1174</v>
      </c>
      <c r="D1314" s="3425">
        <f>0.42*0.51</f>
        <v>0.21</v>
      </c>
      <c r="E1314" s="3426" t="s">
        <v>126</v>
      </c>
      <c r="F1314" s="3427">
        <f>111.8</f>
        <v>111.8</v>
      </c>
      <c r="G1314" s="3428">
        <f>ROUND(F1314*D1314,2)</f>
        <v>23.48</v>
      </c>
      <c r="H1314" s="1192"/>
      <c r="I1314" s="1916"/>
      <c r="J1314" s="1916"/>
      <c r="K1314" s="1916"/>
      <c r="L1314" s="1916"/>
      <c r="M1314" s="1916"/>
      <c r="N1314" s="1916"/>
      <c r="O1314" s="1916"/>
      <c r="P1314" s="1916"/>
      <c r="Q1314" s="1916"/>
      <c r="R1314" s="1916"/>
      <c r="S1314" s="1916"/>
      <c r="T1314" s="1916"/>
      <c r="U1314" s="1916"/>
      <c r="V1314" s="1916"/>
      <c r="W1314" s="1916"/>
      <c r="X1314" s="1916"/>
      <c r="Y1314" s="1916"/>
      <c r="Z1314" s="1916"/>
      <c r="AA1314" s="1916"/>
      <c r="AB1314" s="1916"/>
      <c r="AC1314" s="1916"/>
      <c r="AD1314" s="1916"/>
      <c r="AE1314" s="1916"/>
    </row>
    <row r="1315" spans="1:31" s="3407" customFormat="1">
      <c r="B1315" s="3297"/>
      <c r="C1315" s="3408"/>
      <c r="D1315" s="3409"/>
      <c r="E1315" s="3409"/>
      <c r="F1315" s="3414"/>
      <c r="G1315" s="3415"/>
      <c r="H1315" s="1192"/>
      <c r="I1315" s="1916"/>
      <c r="J1315" s="1916"/>
      <c r="K1315" s="1916"/>
      <c r="L1315" s="1916"/>
      <c r="M1315" s="1916"/>
      <c r="N1315" s="1916"/>
      <c r="O1315" s="1916"/>
      <c r="P1315" s="1916"/>
      <c r="Q1315" s="1916"/>
      <c r="R1315" s="1916"/>
      <c r="S1315" s="1916"/>
      <c r="T1315" s="1916"/>
      <c r="U1315" s="1916"/>
      <c r="V1315" s="1916"/>
      <c r="W1315" s="1916"/>
      <c r="X1315" s="1916"/>
      <c r="Y1315" s="1916"/>
      <c r="Z1315" s="1916"/>
      <c r="AA1315" s="1916"/>
      <c r="AB1315" s="1916"/>
      <c r="AC1315" s="1916"/>
      <c r="AD1315" s="1916"/>
      <c r="AE1315" s="1916"/>
    </row>
    <row r="1316" spans="1:31" s="3407" customFormat="1">
      <c r="B1316" s="3297"/>
      <c r="C1316" s="3408"/>
      <c r="D1316" s="3409"/>
      <c r="E1316" s="3409"/>
      <c r="F1316" s="3414"/>
      <c r="G1316" s="3415"/>
      <c r="H1316" s="1192"/>
      <c r="I1316" s="1916"/>
      <c r="J1316" s="1916"/>
      <c r="K1316" s="1916"/>
      <c r="L1316" s="1916"/>
      <c r="M1316" s="1916"/>
      <c r="N1316" s="1916"/>
      <c r="O1316" s="1916"/>
      <c r="P1316" s="1916"/>
      <c r="Q1316" s="1916"/>
      <c r="R1316" s="1916"/>
      <c r="S1316" s="1916"/>
      <c r="T1316" s="1916"/>
      <c r="U1316" s="1916"/>
      <c r="V1316" s="1916"/>
      <c r="W1316" s="1916"/>
      <c r="X1316" s="1916"/>
      <c r="Y1316" s="1916"/>
      <c r="Z1316" s="1916"/>
      <c r="AA1316" s="1916"/>
      <c r="AB1316" s="1916"/>
      <c r="AC1316" s="1916"/>
      <c r="AD1316" s="1916"/>
      <c r="AE1316" s="1916"/>
    </row>
    <row r="1317" spans="1:31" s="3407" customFormat="1" ht="38.25">
      <c r="B1317" s="3297"/>
      <c r="C1317" s="3424" t="s">
        <v>1175</v>
      </c>
      <c r="D1317" s="3425"/>
      <c r="E1317" s="3426"/>
      <c r="F1317" s="3427"/>
      <c r="G1317" s="3428"/>
      <c r="H1317" s="1192"/>
      <c r="I1317" s="1916"/>
      <c r="J1317" s="1916"/>
      <c r="K1317" s="1916"/>
      <c r="L1317" s="1916"/>
      <c r="M1317" s="1916"/>
      <c r="N1317" s="1916"/>
      <c r="O1317" s="1916"/>
      <c r="P1317" s="1916"/>
      <c r="Q1317" s="1916"/>
      <c r="R1317" s="1916"/>
      <c r="S1317" s="1916"/>
      <c r="T1317" s="1916"/>
      <c r="U1317" s="1916"/>
      <c r="V1317" s="1916"/>
      <c r="W1317" s="1916"/>
      <c r="X1317" s="1916"/>
      <c r="Y1317" s="1916"/>
      <c r="Z1317" s="1916"/>
      <c r="AA1317" s="1916"/>
      <c r="AB1317" s="1916"/>
      <c r="AC1317" s="1916"/>
      <c r="AD1317" s="1916"/>
      <c r="AE1317" s="1916"/>
    </row>
    <row r="1318" spans="1:31" s="3407" customFormat="1">
      <c r="B1318" s="3297"/>
      <c r="C1318" s="3429" t="s">
        <v>151</v>
      </c>
      <c r="D1318" s="3425">
        <f>+D1311</f>
        <v>0.19</v>
      </c>
      <c r="E1318" s="3426" t="s">
        <v>2</v>
      </c>
      <c r="F1318" s="3427">
        <v>2069.1999999999998</v>
      </c>
      <c r="G1318" s="3428">
        <f>ROUND(F1318*D1318,2)</f>
        <v>393.15</v>
      </c>
      <c r="H1318" s="1192"/>
      <c r="I1318" s="1916"/>
      <c r="J1318" s="1916"/>
      <c r="K1318" s="1916"/>
      <c r="L1318" s="1916"/>
      <c r="M1318" s="1916"/>
      <c r="N1318" s="1916"/>
      <c r="O1318" s="1916"/>
      <c r="P1318" s="1916"/>
      <c r="Q1318" s="1916"/>
      <c r="R1318" s="1916"/>
      <c r="S1318" s="1916"/>
      <c r="T1318" s="1916"/>
      <c r="U1318" s="1916"/>
      <c r="V1318" s="1916"/>
      <c r="W1318" s="1916"/>
      <c r="X1318" s="1916"/>
      <c r="Y1318" s="1916"/>
      <c r="Z1318" s="1916"/>
      <c r="AA1318" s="1916"/>
      <c r="AB1318" s="1916"/>
      <c r="AC1318" s="1916"/>
      <c r="AD1318" s="1916"/>
      <c r="AE1318" s="1916"/>
    </row>
    <row r="1319" spans="1:31" s="3407" customFormat="1">
      <c r="B1319" s="3297"/>
      <c r="C1319" s="3429" t="s">
        <v>124</v>
      </c>
      <c r="D1319" s="3425">
        <f>+D1312</f>
        <v>0.38</v>
      </c>
      <c r="E1319" s="3426" t="s">
        <v>2</v>
      </c>
      <c r="F1319" s="3427">
        <f>+F1318</f>
        <v>2069.1999999999998</v>
      </c>
      <c r="G1319" s="3428">
        <f>ROUND(F1319*D1319,2)</f>
        <v>786.3</v>
      </c>
      <c r="H1319" s="1192"/>
      <c r="I1319" s="1916"/>
      <c r="J1319" s="1916"/>
      <c r="K1319" s="1916"/>
      <c r="L1319" s="1916"/>
      <c r="M1319" s="1916"/>
      <c r="N1319" s="1916"/>
      <c r="O1319" s="1916"/>
      <c r="P1319" s="1916"/>
      <c r="Q1319" s="1916"/>
      <c r="R1319" s="1916"/>
      <c r="S1319" s="1916"/>
      <c r="T1319" s="1916"/>
      <c r="U1319" s="1916"/>
      <c r="V1319" s="1916"/>
      <c r="W1319" s="1916"/>
      <c r="X1319" s="1916"/>
      <c r="Y1319" s="1916"/>
      <c r="Z1319" s="1916"/>
      <c r="AA1319" s="1916"/>
      <c r="AB1319" s="1916"/>
      <c r="AC1319" s="1916"/>
      <c r="AD1319" s="1916"/>
      <c r="AE1319" s="1916"/>
    </row>
    <row r="1320" spans="1:31" s="3407" customFormat="1">
      <c r="B1320" s="3297"/>
      <c r="C1320" s="3429" t="s">
        <v>142</v>
      </c>
      <c r="D1320" s="3425">
        <f>+D1313</f>
        <v>5.46</v>
      </c>
      <c r="E1320" s="3426" t="s">
        <v>2</v>
      </c>
      <c r="F1320" s="3427">
        <v>62.08</v>
      </c>
      <c r="G1320" s="3428">
        <f>ROUND(F1320*D1320,2)</f>
        <v>338.96</v>
      </c>
      <c r="H1320" s="1192"/>
      <c r="I1320" s="1916"/>
      <c r="J1320" s="1916"/>
      <c r="K1320" s="1916"/>
      <c r="L1320" s="1916"/>
      <c r="M1320" s="1916"/>
      <c r="N1320" s="1916"/>
      <c r="O1320" s="1916"/>
      <c r="P1320" s="1916"/>
      <c r="Q1320" s="1916"/>
      <c r="R1320" s="1916"/>
      <c r="S1320" s="1916"/>
      <c r="T1320" s="1916"/>
      <c r="U1320" s="1916"/>
      <c r="V1320" s="1916"/>
      <c r="W1320" s="1916"/>
      <c r="X1320" s="1916"/>
      <c r="Y1320" s="1916"/>
      <c r="Z1320" s="1916"/>
      <c r="AA1320" s="1916"/>
      <c r="AB1320" s="1916"/>
      <c r="AC1320" s="1916"/>
      <c r="AD1320" s="1916"/>
      <c r="AE1320" s="1916"/>
    </row>
    <row r="1321" spans="1:31" s="3407" customFormat="1">
      <c r="B1321" s="3297"/>
      <c r="C1321" s="3429" t="s">
        <v>1174</v>
      </c>
      <c r="D1321" s="3425">
        <f>+D1314</f>
        <v>0.21</v>
      </c>
      <c r="E1321" s="3426" t="s">
        <v>2</v>
      </c>
      <c r="F1321" s="3427">
        <v>135.69</v>
      </c>
      <c r="G1321" s="3428">
        <f>ROUND(F1321*D1321,2)</f>
        <v>28.49</v>
      </c>
      <c r="H1321" s="1192"/>
      <c r="I1321" s="1916"/>
      <c r="J1321" s="1916"/>
      <c r="K1321" s="1916"/>
      <c r="L1321" s="1916"/>
      <c r="M1321" s="1916"/>
      <c r="N1321" s="1916"/>
      <c r="O1321" s="1916"/>
      <c r="P1321" s="1916"/>
      <c r="Q1321" s="1916"/>
      <c r="R1321" s="1916"/>
      <c r="S1321" s="1916"/>
      <c r="T1321" s="1916"/>
      <c r="U1321" s="1916"/>
      <c r="V1321" s="1916"/>
      <c r="W1321" s="1916"/>
      <c r="X1321" s="1916"/>
      <c r="Y1321" s="1916"/>
      <c r="Z1321" s="1916"/>
      <c r="AA1321" s="1916"/>
      <c r="AB1321" s="1916"/>
      <c r="AC1321" s="1916"/>
      <c r="AD1321" s="1916"/>
      <c r="AE1321" s="1916"/>
    </row>
    <row r="1322" spans="1:31" s="3407" customFormat="1">
      <c r="B1322" s="3297"/>
      <c r="C1322" s="3408"/>
      <c r="D1322" s="3409"/>
      <c r="E1322" s="3409"/>
      <c r="F1322" s="3414"/>
      <c r="G1322" s="3415">
        <f>SUM(G1311:G1321)</f>
        <v>2375.37</v>
      </c>
      <c r="H1322" s="1192"/>
      <c r="I1322" s="1916"/>
      <c r="J1322" s="1916"/>
      <c r="K1322" s="1916"/>
      <c r="L1322" s="1916"/>
      <c r="M1322" s="1916"/>
      <c r="N1322" s="1916"/>
      <c r="O1322" s="1916"/>
      <c r="P1322" s="1916"/>
      <c r="Q1322" s="1916"/>
      <c r="R1322" s="1916"/>
      <c r="S1322" s="1916"/>
      <c r="T1322" s="1916"/>
      <c r="U1322" s="1916"/>
      <c r="V1322" s="1916"/>
      <c r="W1322" s="1916"/>
      <c r="X1322" s="1916"/>
      <c r="Y1322" s="1916"/>
      <c r="Z1322" s="1916"/>
      <c r="AA1322" s="1916"/>
      <c r="AB1322" s="1916"/>
      <c r="AC1322" s="1916"/>
      <c r="AD1322" s="1916"/>
      <c r="AE1322" s="1916"/>
    </row>
    <row r="1323" spans="1:31" s="3407" customFormat="1">
      <c r="B1323" s="3297"/>
      <c r="C1323" s="3408"/>
      <c r="D1323" s="3423"/>
      <c r="E1323" s="3423"/>
      <c r="F1323" s="3423"/>
      <c r="G1323" s="3415"/>
      <c r="H1323" s="1192"/>
      <c r="I1323" s="1916"/>
      <c r="J1323" s="1916"/>
      <c r="K1323" s="1916"/>
      <c r="L1323" s="1916"/>
      <c r="M1323" s="1916"/>
      <c r="N1323" s="1916"/>
      <c r="O1323" s="1916"/>
      <c r="P1323" s="1916"/>
      <c r="Q1323" s="1916"/>
      <c r="R1323" s="1916"/>
      <c r="S1323" s="1916"/>
      <c r="T1323" s="1916"/>
      <c r="U1323" s="1916"/>
      <c r="V1323" s="1916"/>
      <c r="W1323" s="1916"/>
      <c r="X1323" s="1916"/>
      <c r="Y1323" s="1916"/>
      <c r="Z1323" s="1916"/>
      <c r="AA1323" s="1916"/>
      <c r="AB1323" s="1916"/>
      <c r="AC1323" s="1916"/>
      <c r="AD1323" s="1916"/>
      <c r="AE1323" s="1916"/>
    </row>
    <row r="1324" spans="1:31" s="3407" customFormat="1">
      <c r="B1324" s="3297"/>
      <c r="C1324" s="3408"/>
      <c r="D1324" s="5190" t="s">
        <v>281</v>
      </c>
      <c r="E1324" s="5190"/>
      <c r="F1324" s="5190"/>
      <c r="G1324" s="3415" t="e">
        <f>G1322+G1306+G1301+G1295</f>
        <v>#REF!</v>
      </c>
      <c r="H1324" s="1192"/>
      <c r="I1324" s="1916"/>
      <c r="J1324" s="1916"/>
      <c r="K1324" s="1916"/>
      <c r="L1324" s="1916"/>
      <c r="M1324" s="1916"/>
      <c r="N1324" s="1916"/>
      <c r="O1324" s="1916"/>
      <c r="P1324" s="1916"/>
      <c r="Q1324" s="1916"/>
      <c r="R1324" s="1916"/>
      <c r="S1324" s="1916"/>
      <c r="T1324" s="1916"/>
      <c r="U1324" s="1916"/>
      <c r="V1324" s="1916"/>
      <c r="W1324" s="1916"/>
      <c r="X1324" s="1916"/>
      <c r="Y1324" s="1916"/>
      <c r="Z1324" s="1916"/>
      <c r="AA1324" s="1916"/>
      <c r="AB1324" s="1916"/>
      <c r="AC1324" s="1916"/>
      <c r="AD1324" s="1916"/>
      <c r="AE1324" s="1916"/>
    </row>
    <row r="1325" spans="1:31" s="3407" customFormat="1">
      <c r="C1325" s="1644"/>
      <c r="D1325" s="1197"/>
      <c r="E1325" s="1198"/>
      <c r="F1325" s="1199"/>
      <c r="G1325" s="1199"/>
      <c r="H1325" s="1192"/>
      <c r="I1325" s="1916"/>
      <c r="J1325" s="1916"/>
      <c r="K1325" s="1916"/>
      <c r="L1325" s="1916"/>
      <c r="M1325" s="1916"/>
      <c r="N1325" s="1916"/>
      <c r="O1325" s="1916"/>
      <c r="P1325" s="1916"/>
      <c r="Q1325" s="1916"/>
      <c r="R1325" s="1916"/>
      <c r="S1325" s="1916"/>
      <c r="T1325" s="1916"/>
      <c r="U1325" s="1916"/>
      <c r="V1325" s="1916"/>
      <c r="W1325" s="1916"/>
      <c r="X1325" s="1916"/>
      <c r="Y1325" s="1916"/>
      <c r="Z1325" s="1916"/>
      <c r="AA1325" s="1916"/>
      <c r="AB1325" s="1916"/>
      <c r="AC1325" s="1916"/>
      <c r="AD1325" s="1916"/>
      <c r="AE1325" s="1916"/>
    </row>
    <row r="1327" spans="1:31" s="3140" customFormat="1">
      <c r="A1327" s="1916"/>
      <c r="B1327" s="1916" t="s">
        <v>2090</v>
      </c>
      <c r="C1327" s="1916"/>
      <c r="D1327" s="1916"/>
      <c r="E1327" s="1916"/>
      <c r="F1327" s="1916"/>
    </row>
    <row r="1328" spans="1:31" s="3140" customFormat="1">
      <c r="A1328" s="1916"/>
      <c r="B1328" s="1916" t="s">
        <v>1140</v>
      </c>
      <c r="C1328" s="1916"/>
      <c r="D1328" s="1916"/>
      <c r="E1328" s="1916"/>
      <c r="F1328" s="1916"/>
    </row>
    <row r="1329" spans="1:6" s="3140" customFormat="1" ht="13.5" thickBot="1">
      <c r="A1329" s="1916"/>
      <c r="B1329" s="1916" t="s">
        <v>1141</v>
      </c>
      <c r="C1329" s="1916"/>
      <c r="D1329" s="1916"/>
      <c r="E1329" s="1916"/>
      <c r="F1329" s="1916"/>
    </row>
    <row r="1330" spans="1:6" s="3140" customFormat="1" ht="13.5" thickTop="1">
      <c r="A1330" s="1916"/>
      <c r="B1330" s="1916" t="s">
        <v>1060</v>
      </c>
      <c r="C1330" s="1916">
        <v>1.05</v>
      </c>
      <c r="D1330" s="1916" t="s">
        <v>2</v>
      </c>
      <c r="E1330" s="1916">
        <f>+F47</f>
        <v>7063.5</v>
      </c>
      <c r="F1330" s="3430">
        <f>ROUND(C1330*E1330,2)</f>
        <v>7416.68</v>
      </c>
    </row>
    <row r="1331" spans="1:6" s="3140" customFormat="1">
      <c r="A1331" s="1916"/>
      <c r="B1331" s="1916" t="s">
        <v>272</v>
      </c>
      <c r="C1331" s="1916">
        <v>8.15</v>
      </c>
      <c r="D1331" s="1916" t="s">
        <v>126</v>
      </c>
      <c r="E1331" s="1916">
        <f>+F62</f>
        <v>2913</v>
      </c>
      <c r="F1331" s="3431">
        <f>ROUND(C1331*E1331,2)</f>
        <v>23740.95</v>
      </c>
    </row>
    <row r="1332" spans="1:6" s="3140" customFormat="1">
      <c r="A1332" s="1916"/>
      <c r="B1332" s="1916" t="s">
        <v>1089</v>
      </c>
      <c r="C1332" s="1916">
        <f>1/(0.15*0.15)</f>
        <v>44.4444444444444</v>
      </c>
      <c r="D1332" s="1916" t="s">
        <v>1</v>
      </c>
      <c r="E1332" s="1916">
        <v>250</v>
      </c>
      <c r="F1332" s="3431">
        <f>ROUND(C1332*E1332,2)</f>
        <v>11111.11</v>
      </c>
    </row>
    <row r="1333" spans="1:6" s="3140" customFormat="1">
      <c r="A1333" s="1916"/>
      <c r="B1333" s="1916"/>
      <c r="C1333" s="1916"/>
      <c r="D1333" s="1916"/>
      <c r="E1333" s="1916"/>
      <c r="F1333" s="1916">
        <f>SUM(F1330:F1332)</f>
        <v>42268.74</v>
      </c>
    </row>
    <row r="1334" spans="1:6" s="3140" customFormat="1">
      <c r="A1334" s="1916"/>
      <c r="B1334" s="1916" t="s">
        <v>1142</v>
      </c>
      <c r="C1334" s="1916">
        <f>0.15*0.15*1</f>
        <v>2.2499999999999999E-2</v>
      </c>
      <c r="D1334" s="1916" t="s">
        <v>2</v>
      </c>
      <c r="E1334" s="1916"/>
      <c r="F1334" s="1916"/>
    </row>
    <row r="1335" spans="1:6" s="3140" customFormat="1">
      <c r="A1335" s="1916"/>
      <c r="B1335" s="1916" t="s">
        <v>2106</v>
      </c>
      <c r="C1335" s="1916">
        <v>1</v>
      </c>
      <c r="D1335" s="1916" t="s">
        <v>3</v>
      </c>
      <c r="E1335" s="1916">
        <f>C1334*F1333</f>
        <v>951.04665</v>
      </c>
      <c r="F1335" s="1916">
        <f>ROUND(C1335*E1335,2)</f>
        <v>951.05</v>
      </c>
    </row>
    <row r="1336" spans="1:6" s="3140" customFormat="1">
      <c r="A1336" s="1916"/>
      <c r="B1336" s="1916" t="s">
        <v>1153</v>
      </c>
      <c r="C1336" s="1916">
        <v>0</v>
      </c>
      <c r="D1336" s="1916" t="s">
        <v>11</v>
      </c>
      <c r="E1336" s="1916">
        <v>225</v>
      </c>
      <c r="F1336" s="1916">
        <f>ROUND(C1336*E1336,2)</f>
        <v>0</v>
      </c>
    </row>
    <row r="1337" spans="1:6" s="3140" customFormat="1">
      <c r="A1337" s="1916"/>
      <c r="B1337" s="1916" t="s">
        <v>177</v>
      </c>
      <c r="C1337" s="1916">
        <v>0</v>
      </c>
      <c r="D1337" s="1916" t="s">
        <v>1</v>
      </c>
      <c r="E1337" s="1916">
        <f>+F786</f>
        <v>0</v>
      </c>
      <c r="F1337" s="1916">
        <f>ROUND(C1337*E1337,2)</f>
        <v>0</v>
      </c>
    </row>
    <row r="1338" spans="1:6" s="3140" customFormat="1">
      <c r="A1338" s="1916"/>
      <c r="B1338" s="1916" t="s">
        <v>978</v>
      </c>
      <c r="C1338" s="1916" t="s">
        <v>1144</v>
      </c>
      <c r="D1338" s="1916"/>
      <c r="E1338" s="1916" t="s">
        <v>2091</v>
      </c>
      <c r="F1338" s="1916">
        <f>SUM(F1335:F1337)</f>
        <v>951.05</v>
      </c>
    </row>
    <row r="1339" spans="1:6" s="3140" customFormat="1">
      <c r="A1339" s="1916"/>
      <c r="B1339" s="1916"/>
      <c r="C1339" s="1916"/>
      <c r="D1339" s="1916"/>
      <c r="E1339" s="1916"/>
      <c r="F1339" s="1916"/>
    </row>
    <row r="1340" spans="1:6" s="3140" customFormat="1">
      <c r="A1340" s="1916"/>
      <c r="B1340" s="1916" t="s">
        <v>1145</v>
      </c>
      <c r="C1340" s="1916"/>
      <c r="D1340" s="1916"/>
      <c r="E1340" s="1916"/>
      <c r="F1340" s="1916"/>
    </row>
    <row r="1341" spans="1:6" s="3140" customFormat="1" ht="13.5" thickBot="1">
      <c r="A1341" s="1916"/>
      <c r="B1341" s="1916" t="s">
        <v>2092</v>
      </c>
      <c r="C1341" s="1916"/>
      <c r="D1341" s="1916"/>
      <c r="E1341" s="1916"/>
      <c r="F1341" s="1916"/>
    </row>
    <row r="1342" spans="1:6" s="3140" customFormat="1" ht="13.5" thickTop="1">
      <c r="A1342" s="1916"/>
      <c r="B1342" s="1916" t="s">
        <v>2093</v>
      </c>
      <c r="C1342" s="1916">
        <v>1.05</v>
      </c>
      <c r="D1342" s="1916" t="s">
        <v>2</v>
      </c>
      <c r="E1342" s="1916">
        <f>+F47</f>
        <v>7063.5</v>
      </c>
      <c r="F1342" s="3430">
        <f>ROUND(C1342*E1342,2)</f>
        <v>7416.68</v>
      </c>
    </row>
    <row r="1343" spans="1:6" s="3140" customFormat="1">
      <c r="A1343" s="1916"/>
      <c r="B1343" s="1916" t="s">
        <v>272</v>
      </c>
      <c r="C1343" s="1916">
        <v>3.98</v>
      </c>
      <c r="D1343" s="1916" t="s">
        <v>126</v>
      </c>
      <c r="E1343" s="1916">
        <f>+F62</f>
        <v>2913</v>
      </c>
      <c r="F1343" s="3431">
        <f>ROUND(C1343*E1343,2)</f>
        <v>11593.74</v>
      </c>
    </row>
    <row r="1344" spans="1:6" s="3140" customFormat="1">
      <c r="A1344" s="1916"/>
      <c r="B1344" s="1916" t="s">
        <v>1089</v>
      </c>
      <c r="C1344" s="1916">
        <v>16</v>
      </c>
      <c r="D1344" s="1916" t="s">
        <v>1</v>
      </c>
      <c r="E1344" s="1916">
        <v>250</v>
      </c>
      <c r="F1344" s="3431">
        <f>ROUND(C1344*E1344,2)</f>
        <v>4000</v>
      </c>
    </row>
    <row r="1345" spans="1:6" s="3140" customFormat="1">
      <c r="A1345" s="1916"/>
      <c r="B1345" s="1916"/>
      <c r="C1345" s="1916"/>
      <c r="D1345" s="1916"/>
      <c r="E1345" s="1916"/>
      <c r="F1345" s="1916">
        <f>SUM(F1342:F1344)</f>
        <v>23010.42</v>
      </c>
    </row>
    <row r="1346" spans="1:6" s="3140" customFormat="1">
      <c r="A1346" s="1916"/>
      <c r="B1346" s="1916" t="s">
        <v>1147</v>
      </c>
      <c r="C1346" s="1916">
        <f>0.25*0.25*3.85</f>
        <v>0.24062500000000001</v>
      </c>
      <c r="D1346" s="1916" t="s">
        <v>2</v>
      </c>
      <c r="E1346" s="1916"/>
      <c r="F1346" s="1916"/>
    </row>
    <row r="1347" spans="1:6" s="3140" customFormat="1">
      <c r="A1347" s="1916"/>
      <c r="B1347" s="1916" t="s">
        <v>1148</v>
      </c>
      <c r="C1347" s="1916">
        <f>F1345*C1346</f>
        <v>5536.8823124999999</v>
      </c>
      <c r="D1347" s="1916" t="s">
        <v>1149</v>
      </c>
      <c r="E1347" s="1916"/>
      <c r="F1347" s="1916"/>
    </row>
    <row r="1348" spans="1:6" s="3140" customFormat="1" ht="13.5" thickBot="1">
      <c r="A1348" s="1916"/>
      <c r="B1348" s="1916" t="s">
        <v>1150</v>
      </c>
      <c r="C1348" s="1916"/>
      <c r="D1348" s="1916"/>
      <c r="E1348" s="1916"/>
      <c r="F1348" s="1916"/>
    </row>
    <row r="1349" spans="1:6" s="3140" customFormat="1" ht="13.5" thickTop="1">
      <c r="A1349" s="1916"/>
      <c r="B1349" s="1916" t="s">
        <v>2093</v>
      </c>
      <c r="C1349" s="1916">
        <v>1.05</v>
      </c>
      <c r="D1349" s="1916" t="s">
        <v>2</v>
      </c>
      <c r="E1349" s="1916">
        <f>+F47</f>
        <v>7063.5</v>
      </c>
      <c r="F1349" s="3430">
        <f>ROUND(C1349*E1349,2)</f>
        <v>7416.68</v>
      </c>
    </row>
    <row r="1350" spans="1:6" s="3140" customFormat="1">
      <c r="A1350" s="1916"/>
      <c r="B1350" s="1916" t="s">
        <v>272</v>
      </c>
      <c r="C1350" s="1916">
        <v>1.43</v>
      </c>
      <c r="D1350" s="1916" t="s">
        <v>126</v>
      </c>
      <c r="E1350" s="1916">
        <f>+F62</f>
        <v>2913</v>
      </c>
      <c r="F1350" s="3431">
        <f>ROUND(C1350*E1350,2)</f>
        <v>4165.59</v>
      </c>
    </row>
    <row r="1351" spans="1:6" s="3140" customFormat="1">
      <c r="A1351" s="1916"/>
      <c r="B1351" s="1916"/>
      <c r="C1351" s="1916"/>
      <c r="D1351" s="1916"/>
      <c r="E1351" s="1916"/>
      <c r="F1351" s="1916">
        <f>SUM(F1349:F1350)</f>
        <v>11582.27</v>
      </c>
    </row>
    <row r="1352" spans="1:6" s="3140" customFormat="1">
      <c r="A1352" s="1916"/>
      <c r="B1352" s="1916" t="s">
        <v>1151</v>
      </c>
      <c r="C1352" s="1916">
        <f>0.75*0.75*0.25</f>
        <v>0.140625</v>
      </c>
      <c r="D1352" s="1916" t="s">
        <v>2</v>
      </c>
      <c r="E1352" s="1916"/>
      <c r="F1352" s="1916"/>
    </row>
    <row r="1353" spans="1:6" s="3140" customFormat="1">
      <c r="A1353" s="1916"/>
      <c r="B1353" s="1916" t="s">
        <v>1148</v>
      </c>
      <c r="C1353" s="1916">
        <f>F1351*C1352</f>
        <v>1628.7567187499999</v>
      </c>
      <c r="D1353" s="1916" t="s">
        <v>1149</v>
      </c>
      <c r="E1353" s="1916"/>
      <c r="F1353" s="1916"/>
    </row>
    <row r="1354" spans="1:6" s="3140" customFormat="1">
      <c r="A1354" s="1916"/>
      <c r="B1354" s="1916" t="s">
        <v>1152</v>
      </c>
      <c r="C1354" s="1916">
        <v>1</v>
      </c>
      <c r="D1354" s="1916" t="s">
        <v>3</v>
      </c>
      <c r="E1354" s="1916">
        <f>C1353+C1347</f>
        <v>7165.6390312499998</v>
      </c>
      <c r="F1354" s="1916">
        <f>ROUND(C1354*E1354,2)</f>
        <v>7165.64</v>
      </c>
    </row>
    <row r="1355" spans="1:6" s="3140" customFormat="1">
      <c r="A1355" s="1916"/>
      <c r="B1355" s="1916" t="s">
        <v>1153</v>
      </c>
      <c r="C1355" s="1916">
        <v>2.86</v>
      </c>
      <c r="D1355" s="1916" t="s">
        <v>11</v>
      </c>
      <c r="E1355" s="1916">
        <f>+E1336</f>
        <v>225</v>
      </c>
      <c r="F1355" s="1916">
        <f>ROUND(C1355*E1355,2)</f>
        <v>643.5</v>
      </c>
    </row>
    <row r="1356" spans="1:6" s="3140" customFormat="1">
      <c r="A1356" s="1916"/>
      <c r="B1356" s="1916" t="s">
        <v>177</v>
      </c>
      <c r="C1356" s="1916">
        <v>12.2</v>
      </c>
      <c r="D1356" s="1916" t="s">
        <v>1</v>
      </c>
      <c r="E1356" s="1916">
        <v>70.16</v>
      </c>
      <c r="F1356" s="1916">
        <f>ROUND(C1356*E1356,2)</f>
        <v>855.95</v>
      </c>
    </row>
    <row r="1357" spans="1:6" s="3140" customFormat="1">
      <c r="A1357" s="1916"/>
      <c r="B1357" s="1916" t="s">
        <v>536</v>
      </c>
      <c r="C1357" s="1916">
        <f>+C1355</f>
        <v>2.86</v>
      </c>
      <c r="D1357" s="1916" t="s">
        <v>11</v>
      </c>
      <c r="E1357" s="1916">
        <v>126.86</v>
      </c>
      <c r="F1357" s="1916">
        <f>ROUND(C1357*E1357,2)</f>
        <v>362.82</v>
      </c>
    </row>
    <row r="1358" spans="1:6" s="3140" customFormat="1">
      <c r="A1358" s="1916"/>
      <c r="B1358" s="1916" t="s">
        <v>1154</v>
      </c>
      <c r="C1358" s="5190" t="s">
        <v>1144</v>
      </c>
      <c r="D1358" s="5190"/>
      <c r="E1358" s="5190"/>
      <c r="F1358" s="1916">
        <f>SUM(F1354:F1357)</f>
        <v>9027.91</v>
      </c>
    </row>
    <row r="1359" spans="1:6" s="3140" customFormat="1">
      <c r="A1359" s="1916"/>
      <c r="B1359" s="1916"/>
      <c r="C1359" s="1916"/>
      <c r="D1359" s="1916"/>
      <c r="E1359" s="1916"/>
      <c r="F1359" s="1916">
        <f>+F1358*1.05</f>
        <v>9479.3055000000004</v>
      </c>
    </row>
    <row r="1360" spans="1:6" s="3140" customFormat="1" ht="13.5" thickBot="1">
      <c r="A1360" s="1916"/>
      <c r="B1360" s="1916" t="s">
        <v>2094</v>
      </c>
      <c r="C1360" s="1916"/>
      <c r="D1360" s="1916"/>
      <c r="E1360" s="1916"/>
      <c r="F1360" s="1916"/>
    </row>
    <row r="1361" spans="1:6" s="3140" customFormat="1" ht="13.5" thickTop="1">
      <c r="A1361" s="1916"/>
      <c r="B1361" s="1916" t="s">
        <v>2093</v>
      </c>
      <c r="C1361" s="1916">
        <v>1.05</v>
      </c>
      <c r="D1361" s="1916" t="s">
        <v>2</v>
      </c>
      <c r="E1361" s="1916">
        <f>+F47</f>
        <v>7063.5</v>
      </c>
      <c r="F1361" s="3430">
        <f>ROUND(C1361*E1361,2)</f>
        <v>7416.68</v>
      </c>
    </row>
    <row r="1362" spans="1:6" s="3140" customFormat="1">
      <c r="A1362" s="1916"/>
      <c r="B1362" s="1916" t="s">
        <v>272</v>
      </c>
      <c r="C1362" s="1916">
        <v>2.98</v>
      </c>
      <c r="D1362" s="1916" t="s">
        <v>126</v>
      </c>
      <c r="E1362" s="1916">
        <f>+F62</f>
        <v>2913</v>
      </c>
      <c r="F1362" s="3431">
        <f>ROUND(C1362*E1362,2)</f>
        <v>8680.74</v>
      </c>
    </row>
    <row r="1363" spans="1:6" s="3140" customFormat="1">
      <c r="A1363" s="1916"/>
      <c r="B1363" s="1916" t="s">
        <v>1089</v>
      </c>
      <c r="C1363" s="1916">
        <v>25</v>
      </c>
      <c r="D1363" s="1916" t="s">
        <v>1</v>
      </c>
      <c r="E1363" s="1916">
        <v>250</v>
      </c>
      <c r="F1363" s="3431">
        <f>ROUND(C1363*E1363,2)</f>
        <v>6250</v>
      </c>
    </row>
    <row r="1364" spans="1:6" s="3140" customFormat="1">
      <c r="A1364" s="1916"/>
      <c r="B1364" s="1916"/>
      <c r="C1364" s="1916"/>
      <c r="D1364" s="1916"/>
      <c r="E1364" s="1916"/>
      <c r="F1364" s="1916">
        <f>SUM(F1361:F1363)</f>
        <v>22347.42</v>
      </c>
    </row>
    <row r="1365" spans="1:6" s="3140" customFormat="1">
      <c r="A1365" s="1916"/>
      <c r="B1365" s="1916"/>
      <c r="C1365" s="1916"/>
      <c r="D1365" s="1916"/>
      <c r="E1365" s="1916"/>
      <c r="F1365" s="1916"/>
    </row>
    <row r="1366" spans="1:6" s="3140" customFormat="1" ht="12.95" customHeight="1">
      <c r="A1366" s="1579"/>
      <c r="B1366" s="1916"/>
      <c r="C1366" s="1916"/>
      <c r="D1366" s="1916"/>
      <c r="E1366" s="1916"/>
      <c r="F1366" s="1916"/>
    </row>
    <row r="1367" spans="1:6" s="3140" customFormat="1" ht="12.95" customHeight="1">
      <c r="A1367" s="1916"/>
      <c r="B1367" s="1916"/>
      <c r="C1367" s="1916"/>
      <c r="D1367" s="1916"/>
      <c r="E1367" s="1916"/>
      <c r="F1367" s="1916"/>
    </row>
    <row r="1368" spans="1:6" s="3140" customFormat="1" ht="12.95" customHeight="1">
      <c r="A1368" s="1916"/>
      <c r="B1368" s="1916" t="s">
        <v>2095</v>
      </c>
      <c r="C1368" s="1916"/>
      <c r="D1368" s="1916"/>
      <c r="E1368" s="1916"/>
      <c r="F1368" s="1916"/>
    </row>
    <row r="1369" spans="1:6" s="3140" customFormat="1" ht="12.95" customHeight="1">
      <c r="A1369" s="1916"/>
      <c r="B1369" s="1916" t="s">
        <v>2096</v>
      </c>
      <c r="C1369" s="1916">
        <v>18</v>
      </c>
      <c r="D1369" s="1916" t="s">
        <v>1</v>
      </c>
      <c r="E1369" s="1916">
        <v>307.38</v>
      </c>
      <c r="F1369" s="1916">
        <f>ROUND(C1369*E1369,2)</f>
        <v>5532.84</v>
      </c>
    </row>
    <row r="1370" spans="1:6" s="3140" customFormat="1" ht="12.95" customHeight="1">
      <c r="A1370" s="1916"/>
      <c r="B1370" s="1916" t="s">
        <v>2097</v>
      </c>
      <c r="C1370" s="1916">
        <v>2</v>
      </c>
      <c r="D1370" s="1916" t="s">
        <v>3</v>
      </c>
      <c r="E1370" s="1916">
        <v>75</v>
      </c>
      <c r="F1370" s="1916">
        <f t="shared" ref="F1370:F1376" si="24">ROUND(C1370*E1370,2)</f>
        <v>150</v>
      </c>
    </row>
    <row r="1371" spans="1:6" s="3140" customFormat="1" ht="12.95" customHeight="1">
      <c r="A1371" s="1916"/>
      <c r="B1371" s="1916" t="s">
        <v>2098</v>
      </c>
      <c r="C1371" s="1916">
        <v>5</v>
      </c>
      <c r="D1371" s="1916" t="s">
        <v>3</v>
      </c>
      <c r="E1371" s="1916">
        <v>118.81</v>
      </c>
      <c r="F1371" s="1916">
        <f t="shared" si="24"/>
        <v>594.04999999999995</v>
      </c>
    </row>
    <row r="1372" spans="1:6" s="3140" customFormat="1" ht="12.95" customHeight="1">
      <c r="A1372" s="1916"/>
      <c r="B1372" s="1916" t="s">
        <v>2099</v>
      </c>
      <c r="C1372" s="1916">
        <v>7</v>
      </c>
      <c r="D1372" s="1916" t="s">
        <v>3</v>
      </c>
      <c r="E1372" s="1916">
        <v>110</v>
      </c>
      <c r="F1372" s="1916">
        <f t="shared" si="24"/>
        <v>770</v>
      </c>
    </row>
    <row r="1373" spans="1:6" s="3140" customFormat="1" ht="12.95" customHeight="1">
      <c r="A1373" s="1916"/>
      <c r="B1373" s="1916" t="s">
        <v>2100</v>
      </c>
      <c r="C1373" s="1916">
        <v>7</v>
      </c>
      <c r="D1373" s="1916" t="s">
        <v>3</v>
      </c>
      <c r="E1373" s="1916">
        <v>300</v>
      </c>
      <c r="F1373" s="1916">
        <f t="shared" si="24"/>
        <v>2100</v>
      </c>
    </row>
    <row r="1374" spans="1:6" s="3140" customFormat="1" ht="12.95" customHeight="1">
      <c r="A1374" s="1916"/>
      <c r="B1374" s="1916" t="s">
        <v>2101</v>
      </c>
      <c r="C1374" s="1916">
        <v>2.15</v>
      </c>
      <c r="D1374" s="1916" t="s">
        <v>11</v>
      </c>
      <c r="E1374" s="1916">
        <v>110.95</v>
      </c>
      <c r="F1374" s="1916">
        <f t="shared" si="24"/>
        <v>238.54</v>
      </c>
    </row>
    <row r="1375" spans="1:6" s="3140" customFormat="1">
      <c r="A1375" s="1916"/>
      <c r="B1375" s="1916" t="s">
        <v>2102</v>
      </c>
      <c r="C1375" s="1916">
        <v>2.15</v>
      </c>
      <c r="D1375" s="1916" t="s">
        <v>11</v>
      </c>
      <c r="E1375" s="1916">
        <v>130.5</v>
      </c>
      <c r="F1375" s="1916">
        <f t="shared" si="24"/>
        <v>280.58</v>
      </c>
    </row>
    <row r="1376" spans="1:6" s="3140" customFormat="1" ht="12.95" customHeight="1">
      <c r="A1376" s="1916"/>
      <c r="B1376" s="1916" t="s">
        <v>2103</v>
      </c>
      <c r="C1376" s="1916">
        <v>1</v>
      </c>
      <c r="D1376" s="1916" t="s">
        <v>3</v>
      </c>
      <c r="E1376" s="1916">
        <v>5320</v>
      </c>
      <c r="F1376" s="1916">
        <f t="shared" si="24"/>
        <v>5320</v>
      </c>
    </row>
    <row r="1377" spans="1:31" s="3140" customFormat="1" ht="12.95" customHeight="1">
      <c r="A1377" s="1916"/>
      <c r="B1377" s="1916"/>
      <c r="C1377" s="1916"/>
      <c r="D1377" s="1916"/>
      <c r="E1377" s="1916" t="s">
        <v>2104</v>
      </c>
      <c r="F1377" s="1916">
        <f>SUM(F1369:F1376)</f>
        <v>14986.01</v>
      </c>
    </row>
    <row r="1378" spans="1:31" s="3140" customFormat="1" ht="12.95" customHeight="1">
      <c r="A1378" s="1916"/>
      <c r="B1378" s="1916"/>
      <c r="C1378" s="1916"/>
      <c r="D1378" s="1916"/>
      <c r="E1378" s="1916" t="s">
        <v>2105</v>
      </c>
      <c r="F1378" s="1916">
        <f>F1377/6</f>
        <v>2497.6683333333299</v>
      </c>
    </row>
    <row r="1380" spans="1:31">
      <c r="B1380" s="1083" t="s">
        <v>2107</v>
      </c>
    </row>
    <row r="1382" spans="1:31">
      <c r="B1382" s="1161" t="s">
        <v>270</v>
      </c>
      <c r="C1382" s="1623"/>
      <c r="D1382" s="1159"/>
      <c r="E1382" s="1160"/>
      <c r="F1382" s="1160"/>
      <c r="I1382" s="1083"/>
      <c r="J1382" s="1083"/>
      <c r="K1382" s="1083"/>
      <c r="L1382" s="1083"/>
      <c r="M1382" s="1083"/>
      <c r="N1382" s="1083"/>
      <c r="O1382" s="1083"/>
      <c r="P1382" s="1083"/>
      <c r="Q1382" s="1083"/>
      <c r="R1382" s="1083"/>
      <c r="S1382" s="1083"/>
      <c r="T1382" s="1083"/>
      <c r="U1382" s="1083"/>
      <c r="V1382" s="1083"/>
      <c r="W1382" s="1083"/>
      <c r="X1382" s="1083"/>
      <c r="Y1382" s="1083"/>
      <c r="Z1382" s="1083"/>
      <c r="AA1382" s="1083"/>
      <c r="AB1382" s="1083"/>
      <c r="AC1382" s="1083"/>
      <c r="AD1382" s="1083"/>
      <c r="AE1382" s="1083"/>
    </row>
    <row r="1383" spans="1:31" ht="13.5" thickBot="1">
      <c r="B1383" s="1161"/>
      <c r="C1383" s="1623"/>
      <c r="D1383" s="1159"/>
      <c r="E1383" s="1160"/>
      <c r="F1383" s="1160"/>
      <c r="I1383" s="1083"/>
      <c r="J1383" s="1083"/>
      <c r="K1383" s="1083"/>
      <c r="L1383" s="1083"/>
      <c r="M1383" s="1083"/>
      <c r="N1383" s="1083"/>
      <c r="O1383" s="1083"/>
      <c r="P1383" s="1083"/>
      <c r="Q1383" s="1083"/>
      <c r="R1383" s="1083"/>
      <c r="S1383" s="1083"/>
      <c r="T1383" s="1083"/>
      <c r="U1383" s="1083"/>
      <c r="V1383" s="1083"/>
      <c r="W1383" s="1083"/>
      <c r="X1383" s="1083"/>
      <c r="Y1383" s="1083"/>
      <c r="Z1383" s="1083"/>
      <c r="AA1383" s="1083"/>
      <c r="AB1383" s="1083"/>
      <c r="AC1383" s="1083"/>
      <c r="AD1383" s="1083"/>
      <c r="AE1383" s="1083"/>
    </row>
    <row r="1384" spans="1:31" ht="13.5" thickTop="1">
      <c r="B1384" s="1162" t="s">
        <v>271</v>
      </c>
      <c r="C1384" s="1629">
        <v>1.05</v>
      </c>
      <c r="D1384" s="1163" t="s">
        <v>2</v>
      </c>
      <c r="E1384" s="1164">
        <f>+F303</f>
        <v>7531.68</v>
      </c>
      <c r="F1384" s="1165">
        <f>C1384*E1384</f>
        <v>7908.26</v>
      </c>
      <c r="I1384" s="1083"/>
      <c r="J1384" s="1083"/>
      <c r="K1384" s="1083"/>
      <c r="L1384" s="1083"/>
      <c r="M1384" s="1083"/>
      <c r="N1384" s="1083"/>
      <c r="O1384" s="1083"/>
      <c r="P1384" s="1083"/>
      <c r="Q1384" s="1083"/>
      <c r="R1384" s="1083"/>
      <c r="S1384" s="1083"/>
      <c r="T1384" s="1083"/>
      <c r="U1384" s="1083"/>
      <c r="V1384" s="1083"/>
      <c r="W1384" s="1083"/>
      <c r="X1384" s="1083"/>
      <c r="Y1384" s="1083"/>
      <c r="Z1384" s="1083"/>
      <c r="AA1384" s="1083"/>
      <c r="AB1384" s="1083"/>
      <c r="AC1384" s="1083"/>
      <c r="AD1384" s="1083"/>
      <c r="AE1384" s="1083"/>
    </row>
    <row r="1385" spans="1:31">
      <c r="B1385" s="3387" t="s">
        <v>272</v>
      </c>
      <c r="C1385" s="3388">
        <v>4.2</v>
      </c>
      <c r="D1385" s="3389" t="s">
        <v>126</v>
      </c>
      <c r="E1385" s="3254">
        <f>+F62</f>
        <v>2913</v>
      </c>
      <c r="F1385" s="3390">
        <f>C1385*E1385</f>
        <v>12234.6</v>
      </c>
      <c r="I1385" s="1083"/>
      <c r="J1385" s="1083"/>
      <c r="K1385" s="1083"/>
      <c r="L1385" s="1083"/>
      <c r="M1385" s="1083"/>
      <c r="N1385" s="1083"/>
      <c r="O1385" s="1083"/>
      <c r="P1385" s="1083"/>
      <c r="Q1385" s="1083"/>
      <c r="R1385" s="1083"/>
      <c r="S1385" s="1083"/>
      <c r="T1385" s="1083"/>
      <c r="U1385" s="1083"/>
      <c r="V1385" s="1083"/>
      <c r="W1385" s="1083"/>
      <c r="X1385" s="1083"/>
      <c r="Y1385" s="1083"/>
      <c r="Z1385" s="1083"/>
      <c r="AA1385" s="1083"/>
      <c r="AB1385" s="1083"/>
      <c r="AC1385" s="1083"/>
      <c r="AD1385" s="1083"/>
      <c r="AE1385" s="1083"/>
    </row>
    <row r="1386" spans="1:31">
      <c r="B1386" s="1916" t="s">
        <v>1089</v>
      </c>
      <c r="C1386" s="1916">
        <f>1/(0.25*0.25)</f>
        <v>16</v>
      </c>
      <c r="D1386" s="1916" t="s">
        <v>1</v>
      </c>
      <c r="E1386" s="1916">
        <v>250</v>
      </c>
      <c r="F1386" s="3431">
        <f>ROUND(C1386*E1386,2)</f>
        <v>4000</v>
      </c>
      <c r="I1386" s="1083"/>
      <c r="J1386" s="1083"/>
      <c r="K1386" s="1083"/>
      <c r="L1386" s="1083"/>
      <c r="M1386" s="1083"/>
      <c r="N1386" s="1083"/>
      <c r="O1386" s="1083"/>
      <c r="P1386" s="1083"/>
      <c r="Q1386" s="1083"/>
      <c r="R1386" s="1083"/>
      <c r="S1386" s="1083"/>
      <c r="T1386" s="1083"/>
      <c r="U1386" s="1083"/>
      <c r="V1386" s="1083"/>
      <c r="W1386" s="1083"/>
      <c r="X1386" s="1083"/>
      <c r="Y1386" s="1083"/>
      <c r="Z1386" s="1083"/>
      <c r="AA1386" s="1083"/>
      <c r="AB1386" s="1083"/>
      <c r="AC1386" s="1083"/>
      <c r="AD1386" s="1083"/>
      <c r="AE1386" s="1083"/>
    </row>
    <row r="1387" spans="1:31" ht="13.5" thickBot="1">
      <c r="B1387" s="3391"/>
      <c r="C1387" s="3392"/>
      <c r="D1387" s="3393"/>
      <c r="E1387" s="3394" t="s">
        <v>274</v>
      </c>
      <c r="F1387" s="3395">
        <f>SUM(F1384:F1385)</f>
        <v>20142.86</v>
      </c>
    </row>
    <row r="1388" spans="1:31" ht="14.25" thickTop="1" thickBot="1">
      <c r="B1388" s="1166"/>
      <c r="C1388" s="1622">
        <v>1.64</v>
      </c>
      <c r="D1388" s="1166"/>
      <c r="E1388" s="1167" t="s">
        <v>1194</v>
      </c>
      <c r="F1388" s="1168">
        <f>+C1388*F1387</f>
        <v>33034.29</v>
      </c>
    </row>
    <row r="1389" spans="1:31" ht="14.25" thickTop="1" thickBot="1"/>
    <row r="1390" spans="1:31" ht="13.5" thickTop="1">
      <c r="B1390" s="1162" t="s">
        <v>271</v>
      </c>
      <c r="C1390" s="1629">
        <v>1.05</v>
      </c>
      <c r="D1390" s="1163" t="s">
        <v>2</v>
      </c>
      <c r="E1390" s="1164">
        <f>+F303</f>
        <v>7531.68</v>
      </c>
      <c r="F1390" s="1165">
        <f>C1390*E1390</f>
        <v>7908.26</v>
      </c>
      <c r="I1390" s="1083"/>
      <c r="J1390" s="1083"/>
      <c r="K1390" s="1083"/>
      <c r="L1390" s="1083"/>
      <c r="M1390" s="1083"/>
      <c r="N1390" s="1083"/>
      <c r="O1390" s="1083"/>
      <c r="P1390" s="1083"/>
      <c r="Q1390" s="1083"/>
      <c r="R1390" s="1083"/>
      <c r="S1390" s="1083"/>
      <c r="T1390" s="1083"/>
      <c r="U1390" s="1083"/>
      <c r="V1390" s="1083"/>
      <c r="W1390" s="1083"/>
      <c r="X1390" s="1083"/>
      <c r="Y1390" s="1083"/>
      <c r="Z1390" s="1083"/>
      <c r="AA1390" s="1083"/>
      <c r="AB1390" s="1083"/>
      <c r="AC1390" s="1083"/>
      <c r="AD1390" s="1083"/>
      <c r="AE1390" s="1083"/>
    </row>
    <row r="1391" spans="1:31">
      <c r="B1391" s="3387" t="s">
        <v>272</v>
      </c>
      <c r="C1391" s="3388">
        <v>3.98</v>
      </c>
      <c r="D1391" s="3389" t="s">
        <v>126</v>
      </c>
      <c r="E1391" s="3254">
        <f>+F62</f>
        <v>2913</v>
      </c>
      <c r="F1391" s="3390">
        <f>C1391*E1391</f>
        <v>11593.74</v>
      </c>
      <c r="I1391" s="1083"/>
      <c r="J1391" s="1083"/>
      <c r="K1391" s="1083"/>
      <c r="L1391" s="1083"/>
      <c r="M1391" s="1083"/>
      <c r="N1391" s="1083"/>
      <c r="O1391" s="1083"/>
      <c r="P1391" s="1083"/>
      <c r="Q1391" s="1083"/>
      <c r="R1391" s="1083"/>
      <c r="S1391" s="1083"/>
      <c r="T1391" s="1083"/>
      <c r="U1391" s="1083"/>
      <c r="V1391" s="1083"/>
      <c r="W1391" s="1083"/>
      <c r="X1391" s="1083"/>
      <c r="Y1391" s="1083"/>
      <c r="Z1391" s="1083"/>
      <c r="AA1391" s="1083"/>
      <c r="AB1391" s="1083"/>
      <c r="AC1391" s="1083"/>
      <c r="AD1391" s="1083"/>
      <c r="AE1391" s="1083"/>
    </row>
    <row r="1392" spans="1:31">
      <c r="B1392" s="1916" t="s">
        <v>1089</v>
      </c>
      <c r="C1392" s="1916">
        <f>1/(0.25*0.25)</f>
        <v>16</v>
      </c>
      <c r="D1392" s="1916" t="s">
        <v>1</v>
      </c>
      <c r="E1392" s="1916">
        <v>250</v>
      </c>
      <c r="F1392" s="3431">
        <f>ROUND(C1392*E1392,2)</f>
        <v>4000</v>
      </c>
      <c r="I1392" s="1083"/>
      <c r="J1392" s="1083"/>
      <c r="K1392" s="1083"/>
      <c r="L1392" s="1083"/>
      <c r="M1392" s="1083"/>
      <c r="N1392" s="1083"/>
      <c r="O1392" s="1083"/>
      <c r="P1392" s="1083"/>
      <c r="Q1392" s="1083"/>
      <c r="R1392" s="1083"/>
      <c r="S1392" s="1083"/>
      <c r="T1392" s="1083"/>
      <c r="U1392" s="1083"/>
      <c r="V1392" s="1083"/>
      <c r="W1392" s="1083"/>
      <c r="X1392" s="1083"/>
      <c r="Y1392" s="1083"/>
      <c r="Z1392" s="1083"/>
      <c r="AA1392" s="1083"/>
      <c r="AB1392" s="1083"/>
      <c r="AC1392" s="1083"/>
      <c r="AD1392" s="1083"/>
      <c r="AE1392" s="1083"/>
    </row>
    <row r="1393" spans="2:31" ht="13.5" thickBot="1">
      <c r="B1393" s="3391"/>
      <c r="C1393" s="3392"/>
      <c r="D1393" s="3393"/>
      <c r="E1393" s="3394" t="s">
        <v>274</v>
      </c>
      <c r="F1393" s="3395">
        <f>SUM(F1390:F1391)</f>
        <v>19502</v>
      </c>
    </row>
    <row r="1394" spans="2:31" ht="14.25" thickTop="1" thickBot="1">
      <c r="B1394" s="1166"/>
      <c r="C1394" s="1622">
        <v>0.2</v>
      </c>
      <c r="D1394" s="1166"/>
      <c r="E1394" s="1167" t="s">
        <v>1194</v>
      </c>
      <c r="F1394" s="1168">
        <f>+C1394*F1393</f>
        <v>3900.4</v>
      </c>
    </row>
    <row r="1395" spans="2:31" ht="14.25" thickTop="1" thickBot="1"/>
    <row r="1396" spans="2:31" ht="13.5" thickTop="1">
      <c r="B1396" s="1162" t="s">
        <v>271</v>
      </c>
      <c r="C1396" s="1629">
        <v>1.05</v>
      </c>
      <c r="D1396" s="1163" t="s">
        <v>2</v>
      </c>
      <c r="E1396" s="1164">
        <f>+F303</f>
        <v>7531.68</v>
      </c>
      <c r="F1396" s="1165">
        <f>C1396*E1396</f>
        <v>7908.26</v>
      </c>
      <c r="I1396" s="1083"/>
      <c r="J1396" s="1083"/>
      <c r="K1396" s="1083"/>
      <c r="L1396" s="1083"/>
      <c r="M1396" s="1083"/>
      <c r="N1396" s="1083"/>
      <c r="O1396" s="1083"/>
      <c r="P1396" s="1083"/>
      <c r="Q1396" s="1083"/>
      <c r="R1396" s="1083"/>
      <c r="S1396" s="1083"/>
      <c r="T1396" s="1083"/>
      <c r="U1396" s="1083"/>
      <c r="V1396" s="1083"/>
      <c r="W1396" s="1083"/>
      <c r="X1396" s="1083"/>
      <c r="Y1396" s="1083"/>
      <c r="Z1396" s="1083"/>
      <c r="AA1396" s="1083"/>
      <c r="AB1396" s="1083"/>
      <c r="AC1396" s="1083"/>
      <c r="AD1396" s="1083"/>
      <c r="AE1396" s="1083"/>
    </row>
    <row r="1397" spans="2:31">
      <c r="B1397" s="3387" t="s">
        <v>272</v>
      </c>
      <c r="C1397" s="3388">
        <v>0.7</v>
      </c>
      <c r="D1397" s="3389" t="s">
        <v>126</v>
      </c>
      <c r="E1397" s="3254">
        <f>+F62</f>
        <v>2913</v>
      </c>
      <c r="F1397" s="3390">
        <f>C1397*E1397</f>
        <v>2039.1</v>
      </c>
      <c r="I1397" s="1083"/>
      <c r="J1397" s="1083"/>
      <c r="K1397" s="1083"/>
      <c r="L1397" s="1083"/>
      <c r="M1397" s="1083"/>
      <c r="N1397" s="1083"/>
      <c r="O1397" s="1083"/>
      <c r="P1397" s="1083"/>
      <c r="Q1397" s="1083"/>
      <c r="R1397" s="1083"/>
      <c r="S1397" s="1083"/>
      <c r="T1397" s="1083"/>
      <c r="U1397" s="1083"/>
      <c r="V1397" s="1083"/>
      <c r="W1397" s="1083"/>
      <c r="X1397" s="1083"/>
      <c r="Y1397" s="1083"/>
      <c r="Z1397" s="1083"/>
      <c r="AA1397" s="1083"/>
      <c r="AB1397" s="1083"/>
      <c r="AC1397" s="1083"/>
      <c r="AD1397" s="1083"/>
      <c r="AE1397" s="1083"/>
    </row>
    <row r="1398" spans="2:31" ht="13.5" thickBot="1">
      <c r="B1398" s="3391"/>
      <c r="C1398" s="3392"/>
      <c r="D1398" s="3393"/>
      <c r="E1398" s="3394" t="s">
        <v>274</v>
      </c>
      <c r="F1398" s="3395">
        <f>SUM(F1396:F1397)</f>
        <v>9947.36</v>
      </c>
    </row>
    <row r="1399" spans="2:31" ht="13.5" thickTop="1"/>
  </sheetData>
  <customSheetViews>
    <customSheetView guid="{43BC9397-3E8C-478C-B548-E4A845A7F82B}" hiddenRows="1">
      <rowBreaks count="1" manualBreakCount="1">
        <brk id="788" max="6" man="1"/>
      </rowBreaks>
      <pageMargins left="0.7" right="0.7" top="0.75" bottom="0.75" header="0.3" footer="0.3"/>
      <pageSetup orientation="portrait" r:id="rId1"/>
    </customSheetView>
  </customSheetViews>
  <mergeCells count="17">
    <mergeCell ref="B1262:F1262"/>
    <mergeCell ref="C1277:E1277"/>
    <mergeCell ref="C1287:G1287"/>
    <mergeCell ref="D1324:F1324"/>
    <mergeCell ref="C1358:E1358"/>
    <mergeCell ref="B1246:F1246"/>
    <mergeCell ref="B2:F2"/>
    <mergeCell ref="B716:F716"/>
    <mergeCell ref="D840:E840"/>
    <mergeCell ref="D846:E846"/>
    <mergeCell ref="D852:E852"/>
    <mergeCell ref="D858:E858"/>
    <mergeCell ref="D864:E864"/>
    <mergeCell ref="B1214:F1214"/>
    <mergeCell ref="C1228:E1228"/>
    <mergeCell ref="B1230:F1230"/>
    <mergeCell ref="C1244:E1244"/>
  </mergeCells>
  <pageMargins left="0.7" right="0.7" top="0.75" bottom="0.75" header="0.3" footer="0.3"/>
  <pageSetup orientation="portrait" r:id="rId2"/>
  <rowBreaks count="1" manualBreakCount="1">
    <brk id="788" max="6"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3:H153"/>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8" style="1916" customWidth="1"/>
    <col min="9" max="16384" width="11.42578125" style="1916"/>
  </cols>
  <sheetData>
    <row r="3" spans="1:8" ht="25.5">
      <c r="A3" s="3211">
        <v>1</v>
      </c>
      <c r="B3" s="1919" t="s">
        <v>1582</v>
      </c>
      <c r="C3" s="1920"/>
      <c r="D3" s="1920"/>
      <c r="E3" s="1920"/>
      <c r="F3" s="1920"/>
      <c r="G3" s="1920"/>
      <c r="H3" s="1921"/>
    </row>
    <row r="4" spans="1:8">
      <c r="A4" s="1920"/>
      <c r="B4" s="1920"/>
      <c r="C4" s="1920"/>
      <c r="D4" s="1920"/>
      <c r="E4" s="1920"/>
      <c r="F4" s="1920"/>
      <c r="G4" s="1920"/>
      <c r="H4" s="1920"/>
    </row>
    <row r="5" spans="1:8" ht="26.25" thickBot="1">
      <c r="A5" s="3212">
        <v>1.3</v>
      </c>
      <c r="B5" s="3213" t="s">
        <v>2449</v>
      </c>
      <c r="C5" s="3214"/>
      <c r="D5" s="3214"/>
      <c r="E5" s="3214"/>
      <c r="F5" s="3214"/>
      <c r="G5" s="3214"/>
      <c r="H5" s="3214"/>
    </row>
    <row r="6" spans="1:8" ht="13.5" thickTop="1">
      <c r="A6" s="1925">
        <v>1</v>
      </c>
      <c r="B6" s="3215" t="s">
        <v>2450</v>
      </c>
      <c r="C6" s="1955">
        <v>1</v>
      </c>
      <c r="D6" s="1955">
        <v>1</v>
      </c>
      <c r="E6" s="1956" t="s">
        <v>1</v>
      </c>
      <c r="F6" s="1957">
        <f>PRODUCT(C6:D6)</f>
        <v>1</v>
      </c>
      <c r="G6" s="1955">
        <v>212.61</v>
      </c>
      <c r="H6" s="1958">
        <f>ROUND(F6*G6,2)</f>
        <v>212.61</v>
      </c>
    </row>
    <row r="7" spans="1:8" ht="13.5" thickBot="1">
      <c r="A7" s="1931">
        <v>2</v>
      </c>
      <c r="B7" s="1932" t="s">
        <v>621</v>
      </c>
      <c r="C7" s="1933">
        <v>5</v>
      </c>
      <c r="D7" s="3216">
        <v>0.01</v>
      </c>
      <c r="E7" s="3217" t="s">
        <v>46</v>
      </c>
      <c r="F7" s="3218">
        <f>PRODUCT(C7:D7)</f>
        <v>0.05</v>
      </c>
      <c r="G7" s="1933">
        <f>SUM(H6:H6)</f>
        <v>212.61</v>
      </c>
      <c r="H7" s="3219">
        <f>ROUND(F7*G7,2)</f>
        <v>10.63</v>
      </c>
    </row>
    <row r="8" spans="1:8" ht="13.5" thickTop="1">
      <c r="A8" s="1925">
        <v>3</v>
      </c>
      <c r="B8" s="3220" t="s">
        <v>2451</v>
      </c>
      <c r="C8" s="3221">
        <v>30</v>
      </c>
      <c r="D8" s="3216">
        <v>0.01</v>
      </c>
      <c r="E8" s="3217" t="s">
        <v>46</v>
      </c>
      <c r="F8" s="3218">
        <f>PRODUCT(C8:D8)</f>
        <v>0.3</v>
      </c>
      <c r="G8" s="3221">
        <f>SUM(H6:H7)</f>
        <v>223.24</v>
      </c>
      <c r="H8" s="3219">
        <f>ROUND(F8*G8,2)</f>
        <v>66.97</v>
      </c>
    </row>
    <row r="9" spans="1:8" ht="13.5" thickBot="1">
      <c r="A9" s="3222"/>
      <c r="B9" s="3223"/>
      <c r="C9" s="3223"/>
      <c r="D9" s="3223"/>
      <c r="E9" s="3223"/>
      <c r="F9" s="3223"/>
      <c r="G9" s="3224" t="s">
        <v>2452</v>
      </c>
      <c r="H9" s="3225">
        <f>SUM(H6:H8)</f>
        <v>290.20999999999998</v>
      </c>
    </row>
    <row r="10" spans="1:8" ht="13.5" thickTop="1">
      <c r="A10" s="1944"/>
      <c r="B10" s="1944"/>
      <c r="C10" s="1944"/>
      <c r="D10" s="1944"/>
      <c r="E10" s="1944"/>
      <c r="F10" s="1944"/>
      <c r="G10" s="1945"/>
      <c r="H10" s="1962"/>
    </row>
    <row r="11" spans="1:8">
      <c r="A11" s="3141">
        <v>3</v>
      </c>
      <c r="B11" s="1948" t="s">
        <v>2717</v>
      </c>
      <c r="C11" s="3226"/>
      <c r="D11" s="1944"/>
      <c r="E11" s="1944"/>
      <c r="F11" s="1944"/>
      <c r="G11" s="1945"/>
      <c r="H11" s="1962"/>
    </row>
    <row r="12" spans="1:8">
      <c r="A12" s="1944"/>
      <c r="B12" s="1944"/>
      <c r="C12" s="1944"/>
      <c r="D12" s="1944"/>
      <c r="E12" s="1944"/>
      <c r="F12" s="1944"/>
      <c r="G12" s="1945"/>
      <c r="H12" s="1962"/>
    </row>
    <row r="13" spans="1:8" ht="39" thickBot="1">
      <c r="A13" s="3212">
        <v>3.1</v>
      </c>
      <c r="B13" s="3227" t="s">
        <v>2453</v>
      </c>
      <c r="C13" s="3214"/>
      <c r="D13" s="3214"/>
      <c r="E13" s="3214"/>
      <c r="F13" s="3214"/>
      <c r="G13" s="3214"/>
      <c r="H13" s="3214"/>
    </row>
    <row r="14" spans="1:8" ht="14.25" thickTop="1" thickBot="1">
      <c r="A14" s="1925">
        <v>1</v>
      </c>
      <c r="B14" s="3215" t="s">
        <v>2454</v>
      </c>
      <c r="C14" s="1955">
        <v>1</v>
      </c>
      <c r="D14" s="1955">
        <v>2</v>
      </c>
      <c r="E14" s="1956" t="s">
        <v>1</v>
      </c>
      <c r="F14" s="1957">
        <f>PRODUCT(C14:D14)</f>
        <v>2</v>
      </c>
      <c r="G14" s="1955">
        <v>207.07</v>
      </c>
      <c r="H14" s="1958">
        <f t="shared" ref="H14:H20" si="0">ROUND(F14*G14,2)</f>
        <v>414.14</v>
      </c>
    </row>
    <row r="15" spans="1:8" ht="14.25" thickTop="1" thickBot="1">
      <c r="A15" s="1931">
        <v>2</v>
      </c>
      <c r="B15" s="3215" t="s">
        <v>2455</v>
      </c>
      <c r="C15" s="1955">
        <v>1</v>
      </c>
      <c r="D15" s="1955">
        <v>1</v>
      </c>
      <c r="E15" s="1956" t="s">
        <v>1</v>
      </c>
      <c r="F15" s="1957">
        <f>PRODUCT(C15:D15)</f>
        <v>1</v>
      </c>
      <c r="G15" s="3228">
        <v>172.46</v>
      </c>
      <c r="H15" s="1958">
        <f t="shared" si="0"/>
        <v>172.46</v>
      </c>
    </row>
    <row r="16" spans="1:8" ht="14.25" thickTop="1" thickBot="1">
      <c r="A16" s="1931">
        <v>3</v>
      </c>
      <c r="B16" s="1932" t="s">
        <v>2456</v>
      </c>
      <c r="C16" s="1933">
        <v>1</v>
      </c>
      <c r="D16" s="1933">
        <v>1</v>
      </c>
      <c r="E16" s="1959" t="s">
        <v>1</v>
      </c>
      <c r="F16" s="3218">
        <f>PRODUCT(C16:D16)</f>
        <v>1</v>
      </c>
      <c r="G16" s="1955">
        <v>235.75</v>
      </c>
      <c r="H16" s="3219">
        <f t="shared" si="0"/>
        <v>235.75</v>
      </c>
    </row>
    <row r="17" spans="1:8" ht="13.5" thickTop="1">
      <c r="A17" s="1925">
        <v>4</v>
      </c>
      <c r="B17" s="1932" t="s">
        <v>2457</v>
      </c>
      <c r="C17" s="1933">
        <v>1</v>
      </c>
      <c r="D17" s="1933">
        <v>0.5</v>
      </c>
      <c r="E17" s="1959" t="s">
        <v>1</v>
      </c>
      <c r="F17" s="3218">
        <v>1</v>
      </c>
      <c r="G17" s="1933">
        <v>579.77</v>
      </c>
      <c r="H17" s="3219">
        <f t="shared" si="0"/>
        <v>579.77</v>
      </c>
    </row>
    <row r="18" spans="1:8">
      <c r="A18" s="1931">
        <v>5</v>
      </c>
      <c r="B18" s="1932" t="s">
        <v>2458</v>
      </c>
      <c r="C18" s="1933">
        <v>1</v>
      </c>
      <c r="D18" s="1933">
        <v>0.5</v>
      </c>
      <c r="E18" s="1959" t="s">
        <v>1</v>
      </c>
      <c r="F18" s="3218">
        <v>1</v>
      </c>
      <c r="G18" s="1933">
        <v>132.41</v>
      </c>
      <c r="H18" s="3219">
        <f t="shared" si="0"/>
        <v>132.41</v>
      </c>
    </row>
    <row r="19" spans="1:8" ht="13.5" thickBot="1">
      <c r="A19" s="1931">
        <v>6</v>
      </c>
      <c r="B19" s="1932" t="s">
        <v>621</v>
      </c>
      <c r="C19" s="1933">
        <v>5</v>
      </c>
      <c r="D19" s="3216">
        <v>0.01</v>
      </c>
      <c r="E19" s="3217" t="s">
        <v>46</v>
      </c>
      <c r="F19" s="3218">
        <f>PRODUCT(C19:D19)</f>
        <v>0.05</v>
      </c>
      <c r="G19" s="1933">
        <f>SUM(H14:H18)</f>
        <v>1534.53</v>
      </c>
      <c r="H19" s="3219">
        <f t="shared" si="0"/>
        <v>76.73</v>
      </c>
    </row>
    <row r="20" spans="1:8" ht="13.5" thickTop="1">
      <c r="A20" s="1925">
        <v>7</v>
      </c>
      <c r="B20" s="3220" t="s">
        <v>2451</v>
      </c>
      <c r="C20" s="3221">
        <v>30</v>
      </c>
      <c r="D20" s="3216">
        <v>0.01</v>
      </c>
      <c r="E20" s="3217" t="s">
        <v>46</v>
      </c>
      <c r="F20" s="3218">
        <f>PRODUCT(C20:D20)</f>
        <v>0.3</v>
      </c>
      <c r="G20" s="3221">
        <f>SUM(H14:H19)</f>
        <v>1611.26</v>
      </c>
      <c r="H20" s="3219">
        <f t="shared" si="0"/>
        <v>483.38</v>
      </c>
    </row>
    <row r="21" spans="1:8" ht="13.5" thickBot="1">
      <c r="A21" s="3222"/>
      <c r="B21" s="3223"/>
      <c r="C21" s="3223"/>
      <c r="D21" s="3223"/>
      <c r="E21" s="3223"/>
      <c r="F21" s="3223"/>
      <c r="G21" s="3224" t="s">
        <v>2452</v>
      </c>
      <c r="H21" s="3229">
        <f>SUM(H14:H20)</f>
        <v>2094.64</v>
      </c>
    </row>
    <row r="22" spans="1:8" ht="13.5" thickTop="1">
      <c r="A22" s="1920"/>
      <c r="B22" s="1920"/>
      <c r="C22" s="1920"/>
      <c r="D22" s="1920"/>
      <c r="E22" s="1920"/>
      <c r="F22" s="1920"/>
      <c r="G22" s="1920"/>
      <c r="H22" s="1920"/>
    </row>
    <row r="23" spans="1:8" ht="39" thickBot="1">
      <c r="A23" s="3212">
        <v>3.2</v>
      </c>
      <c r="B23" s="3227" t="s">
        <v>2459</v>
      </c>
      <c r="C23" s="3214"/>
      <c r="D23" s="3214"/>
      <c r="E23" s="3214"/>
      <c r="F23" s="3214"/>
      <c r="G23" s="3214"/>
      <c r="H23" s="3214"/>
    </row>
    <row r="24" spans="1:8" ht="14.25" thickTop="1" thickBot="1">
      <c r="A24" s="1925">
        <v>1</v>
      </c>
      <c r="B24" s="3215" t="s">
        <v>2454</v>
      </c>
      <c r="C24" s="1955">
        <v>1</v>
      </c>
      <c r="D24" s="1955">
        <v>2</v>
      </c>
      <c r="E24" s="1956" t="s">
        <v>1</v>
      </c>
      <c r="F24" s="1957">
        <f>PRODUCT(C24:D24)</f>
        <v>2</v>
      </c>
      <c r="G24" s="1955">
        <v>207.07</v>
      </c>
      <c r="H24" s="1958">
        <f t="shared" ref="H24:H29" si="1">ROUND(F24*G24,2)</f>
        <v>414.14</v>
      </c>
    </row>
    <row r="25" spans="1:8" ht="14.25" thickTop="1" thickBot="1">
      <c r="A25" s="1931">
        <v>2</v>
      </c>
      <c r="B25" s="3215" t="s">
        <v>2455</v>
      </c>
      <c r="C25" s="1955">
        <v>1</v>
      </c>
      <c r="D25" s="1955">
        <v>1</v>
      </c>
      <c r="E25" s="1956" t="s">
        <v>1</v>
      </c>
      <c r="F25" s="1957">
        <f>PRODUCT(C25:D25)</f>
        <v>1</v>
      </c>
      <c r="G25" s="3228">
        <v>172.46</v>
      </c>
      <c r="H25" s="1958">
        <f t="shared" si="1"/>
        <v>172.46</v>
      </c>
    </row>
    <row r="26" spans="1:8" ht="14.25" thickTop="1" thickBot="1">
      <c r="A26" s="1931">
        <v>3</v>
      </c>
      <c r="B26" s="1932" t="s">
        <v>2456</v>
      </c>
      <c r="C26" s="1933">
        <v>1</v>
      </c>
      <c r="D26" s="1933">
        <v>1</v>
      </c>
      <c r="E26" s="1959" t="s">
        <v>1</v>
      </c>
      <c r="F26" s="3218">
        <f>PRODUCT(C26:D26)</f>
        <v>1</v>
      </c>
      <c r="G26" s="1955">
        <v>235.75</v>
      </c>
      <c r="H26" s="3219">
        <f t="shared" si="1"/>
        <v>235.75</v>
      </c>
    </row>
    <row r="27" spans="1:8" ht="13.5" thickTop="1">
      <c r="A27" s="1925">
        <v>4</v>
      </c>
      <c r="B27" s="1932" t="s">
        <v>2458</v>
      </c>
      <c r="C27" s="1933">
        <v>1</v>
      </c>
      <c r="D27" s="1933">
        <v>1</v>
      </c>
      <c r="E27" s="1959" t="s">
        <v>1</v>
      </c>
      <c r="F27" s="3218">
        <v>1</v>
      </c>
      <c r="G27" s="1933">
        <v>132.41</v>
      </c>
      <c r="H27" s="3219">
        <f t="shared" si="1"/>
        <v>132.41</v>
      </c>
    </row>
    <row r="28" spans="1:8">
      <c r="A28" s="1931">
        <v>5</v>
      </c>
      <c r="B28" s="1932" t="s">
        <v>621</v>
      </c>
      <c r="C28" s="1933">
        <v>5</v>
      </c>
      <c r="D28" s="3216">
        <v>0.01</v>
      </c>
      <c r="E28" s="3217" t="s">
        <v>46</v>
      </c>
      <c r="F28" s="3218">
        <f>PRODUCT(C28:D28)</f>
        <v>0.05</v>
      </c>
      <c r="G28" s="1933">
        <f>SUM(H24:H27)</f>
        <v>954.76</v>
      </c>
      <c r="H28" s="3219">
        <f t="shared" si="1"/>
        <v>47.74</v>
      </c>
    </row>
    <row r="29" spans="1:8">
      <c r="A29" s="1931">
        <v>6</v>
      </c>
      <c r="B29" s="3220" t="s">
        <v>2451</v>
      </c>
      <c r="C29" s="3221">
        <v>30</v>
      </c>
      <c r="D29" s="3216">
        <v>0.01</v>
      </c>
      <c r="E29" s="3217" t="s">
        <v>46</v>
      </c>
      <c r="F29" s="3218">
        <f>PRODUCT(C29:D29)</f>
        <v>0.3</v>
      </c>
      <c r="G29" s="3221">
        <f>SUM(H24:H28)</f>
        <v>1002.5</v>
      </c>
      <c r="H29" s="3219">
        <f t="shared" si="1"/>
        <v>300.75</v>
      </c>
    </row>
    <row r="30" spans="1:8" ht="13.5" thickBot="1">
      <c r="A30" s="3222"/>
      <c r="B30" s="3223"/>
      <c r="C30" s="3223"/>
      <c r="D30" s="3223"/>
      <c r="E30" s="3223"/>
      <c r="F30" s="3223"/>
      <c r="G30" s="3224" t="s">
        <v>2452</v>
      </c>
      <c r="H30" s="3229">
        <f>SUM(H24:H29)</f>
        <v>1303.25</v>
      </c>
    </row>
    <row r="31" spans="1:8" ht="13.5" thickTop="1">
      <c r="A31" s="1920"/>
      <c r="B31" s="1920"/>
      <c r="C31" s="1920"/>
      <c r="D31" s="1920"/>
      <c r="E31" s="1920"/>
      <c r="F31" s="1920"/>
      <c r="G31" s="1920"/>
      <c r="H31" s="1920"/>
    </row>
    <row r="32" spans="1:8" ht="39" thickBot="1">
      <c r="A32" s="3212">
        <v>3.3</v>
      </c>
      <c r="B32" s="3227" t="s">
        <v>2460</v>
      </c>
      <c r="C32" s="3214"/>
      <c r="D32" s="3214"/>
      <c r="E32" s="3214"/>
      <c r="F32" s="3214"/>
      <c r="G32" s="3214"/>
      <c r="H32" s="3214"/>
    </row>
    <row r="33" spans="1:8" ht="14.25" thickTop="1" thickBot="1">
      <c r="A33" s="1925">
        <v>1</v>
      </c>
      <c r="B33" s="3215" t="s">
        <v>2454</v>
      </c>
      <c r="C33" s="1955">
        <v>1</v>
      </c>
      <c r="D33" s="1955">
        <v>2</v>
      </c>
      <c r="E33" s="1956" t="s">
        <v>1</v>
      </c>
      <c r="F33" s="1957">
        <f>PRODUCT(C33:D33)</f>
        <v>2</v>
      </c>
      <c r="G33" s="1955">
        <v>207.07</v>
      </c>
      <c r="H33" s="1958">
        <f t="shared" ref="H33:H38" si="2">ROUND(F33*G33,2)</f>
        <v>414.14</v>
      </c>
    </row>
    <row r="34" spans="1:8" ht="14.25" thickTop="1" thickBot="1">
      <c r="A34" s="1931">
        <v>2</v>
      </c>
      <c r="B34" s="3215" t="s">
        <v>2455</v>
      </c>
      <c r="C34" s="1955">
        <v>1</v>
      </c>
      <c r="D34" s="1955">
        <v>1</v>
      </c>
      <c r="E34" s="1956" t="s">
        <v>1</v>
      </c>
      <c r="F34" s="1957">
        <f>PRODUCT(C34:D34)</f>
        <v>1</v>
      </c>
      <c r="G34" s="3228">
        <v>172.46</v>
      </c>
      <c r="H34" s="1958">
        <f t="shared" si="2"/>
        <v>172.46</v>
      </c>
    </row>
    <row r="35" spans="1:8" ht="14.25" thickTop="1" thickBot="1">
      <c r="A35" s="1931">
        <v>3</v>
      </c>
      <c r="B35" s="1932" t="s">
        <v>2456</v>
      </c>
      <c r="C35" s="1933">
        <v>1</v>
      </c>
      <c r="D35" s="1933">
        <v>1</v>
      </c>
      <c r="E35" s="1959" t="s">
        <v>1</v>
      </c>
      <c r="F35" s="3218">
        <f>PRODUCT(C35:D35)</f>
        <v>1</v>
      </c>
      <c r="G35" s="1955">
        <v>235.75</v>
      </c>
      <c r="H35" s="3219">
        <f t="shared" si="2"/>
        <v>235.75</v>
      </c>
    </row>
    <row r="36" spans="1:8" ht="13.5" thickTop="1">
      <c r="A36" s="1925">
        <v>4</v>
      </c>
      <c r="B36" s="1932" t="s">
        <v>2458</v>
      </c>
      <c r="C36" s="1933">
        <v>1</v>
      </c>
      <c r="D36" s="1933">
        <v>1</v>
      </c>
      <c r="E36" s="1959" t="s">
        <v>1</v>
      </c>
      <c r="F36" s="3218">
        <v>1</v>
      </c>
      <c r="G36" s="1933">
        <v>132.41</v>
      </c>
      <c r="H36" s="3219">
        <f t="shared" si="2"/>
        <v>132.41</v>
      </c>
    </row>
    <row r="37" spans="1:8">
      <c r="A37" s="1931">
        <v>5</v>
      </c>
      <c r="B37" s="1932" t="s">
        <v>621</v>
      </c>
      <c r="C37" s="1933">
        <v>5</v>
      </c>
      <c r="D37" s="3216">
        <v>0.01</v>
      </c>
      <c r="E37" s="3217" t="s">
        <v>46</v>
      </c>
      <c r="F37" s="3218">
        <f>PRODUCT(C37:D37)</f>
        <v>0.05</v>
      </c>
      <c r="G37" s="1933">
        <f>SUM(H33:H36)</f>
        <v>954.76</v>
      </c>
      <c r="H37" s="3219">
        <f t="shared" si="2"/>
        <v>47.74</v>
      </c>
    </row>
    <row r="38" spans="1:8">
      <c r="A38" s="1931">
        <v>6</v>
      </c>
      <c r="B38" s="3220" t="s">
        <v>2451</v>
      </c>
      <c r="C38" s="3221">
        <v>30</v>
      </c>
      <c r="D38" s="3216">
        <v>0.01</v>
      </c>
      <c r="E38" s="3217" t="s">
        <v>46</v>
      </c>
      <c r="F38" s="3218">
        <f>PRODUCT(C38:D38)</f>
        <v>0.3</v>
      </c>
      <c r="G38" s="3221">
        <f>SUM(H33:H37)</f>
        <v>1002.5</v>
      </c>
      <c r="H38" s="3219">
        <f t="shared" si="2"/>
        <v>300.75</v>
      </c>
    </row>
    <row r="39" spans="1:8" ht="13.5" thickBot="1">
      <c r="A39" s="3222"/>
      <c r="B39" s="3223"/>
      <c r="C39" s="3223"/>
      <c r="D39" s="3223"/>
      <c r="E39" s="3223"/>
      <c r="F39" s="3223"/>
      <c r="G39" s="3224" t="s">
        <v>2452</v>
      </c>
      <c r="H39" s="3229">
        <f>SUM(H33:H38)</f>
        <v>1303.25</v>
      </c>
    </row>
    <row r="40" spans="1:8" ht="13.5" thickTop="1">
      <c r="A40" s="1920"/>
      <c r="B40" s="1920"/>
      <c r="C40" s="1920"/>
      <c r="D40" s="1920"/>
      <c r="E40" s="1920"/>
      <c r="F40" s="1920"/>
      <c r="G40" s="1920"/>
      <c r="H40" s="1920"/>
    </row>
    <row r="41" spans="1:8" ht="51.75" thickBot="1">
      <c r="A41" s="3212">
        <v>3.4</v>
      </c>
      <c r="B41" s="3227" t="s">
        <v>2718</v>
      </c>
      <c r="C41" s="3214"/>
      <c r="D41" s="3214"/>
      <c r="E41" s="3214"/>
      <c r="F41" s="3214"/>
      <c r="G41" s="3214"/>
      <c r="H41" s="3214"/>
    </row>
    <row r="42" spans="1:8" ht="14.25" thickTop="1" thickBot="1">
      <c r="A42" s="1925">
        <v>1</v>
      </c>
      <c r="B42" s="1932" t="s">
        <v>2462</v>
      </c>
      <c r="C42" s="1933">
        <v>1</v>
      </c>
      <c r="D42" s="1933">
        <v>2</v>
      </c>
      <c r="E42" s="1959" t="s">
        <v>1</v>
      </c>
      <c r="F42" s="3218">
        <f>PRODUCT(C42:D42)</f>
        <v>2</v>
      </c>
      <c r="G42" s="3228">
        <v>98.49</v>
      </c>
      <c r="H42" s="3219">
        <f>ROUND(F42*G42,2)</f>
        <v>196.98</v>
      </c>
    </row>
    <row r="43" spans="1:8" ht="13.5" thickTop="1">
      <c r="A43" s="1931">
        <v>2</v>
      </c>
      <c r="B43" s="1932" t="s">
        <v>2463</v>
      </c>
      <c r="C43" s="1933">
        <v>1</v>
      </c>
      <c r="D43" s="1933">
        <v>2</v>
      </c>
      <c r="E43" s="1959" t="s">
        <v>1</v>
      </c>
      <c r="F43" s="3218">
        <f>PRODUCT(C43:D43)</f>
        <v>2</v>
      </c>
      <c r="G43" s="1955">
        <v>72.87</v>
      </c>
      <c r="H43" s="3219">
        <f>ROUND(F43*G43,2)</f>
        <v>145.74</v>
      </c>
    </row>
    <row r="44" spans="1:8">
      <c r="A44" s="1931">
        <v>3</v>
      </c>
      <c r="B44" s="1932" t="s">
        <v>2719</v>
      </c>
      <c r="C44" s="1933">
        <v>1</v>
      </c>
      <c r="D44" s="1933">
        <v>1</v>
      </c>
      <c r="E44" s="1959" t="s">
        <v>1</v>
      </c>
      <c r="F44" s="3218">
        <f>PRODUCT(C44:D44)</f>
        <v>1</v>
      </c>
      <c r="G44" s="1933">
        <v>81.069999999999993</v>
      </c>
      <c r="H44" s="3219">
        <f>ROUND(F44*G44,2)</f>
        <v>81.069999999999993</v>
      </c>
    </row>
    <row r="45" spans="1:8">
      <c r="A45" s="1931">
        <v>4</v>
      </c>
      <c r="B45" s="1932" t="s">
        <v>621</v>
      </c>
      <c r="C45" s="1933">
        <v>5</v>
      </c>
      <c r="D45" s="3216">
        <v>0.01</v>
      </c>
      <c r="E45" s="3217" t="s">
        <v>46</v>
      </c>
      <c r="F45" s="3218">
        <f>PRODUCT(C45:D45)</f>
        <v>0.05</v>
      </c>
      <c r="G45" s="1933">
        <f>SUM(H42:H44)</f>
        <v>423.79</v>
      </c>
      <c r="H45" s="3219">
        <f>ROUND(F45*G45,2)</f>
        <v>21.19</v>
      </c>
    </row>
    <row r="46" spans="1:8">
      <c r="A46" s="3230">
        <v>5</v>
      </c>
      <c r="B46" s="3220" t="s">
        <v>2451</v>
      </c>
      <c r="C46" s="3221">
        <v>30</v>
      </c>
      <c r="D46" s="3216">
        <v>0.01</v>
      </c>
      <c r="E46" s="3217" t="s">
        <v>46</v>
      </c>
      <c r="F46" s="3218">
        <f>PRODUCT(C46:D46)</f>
        <v>0.3</v>
      </c>
      <c r="G46" s="3221">
        <f>SUM(H42:H45)</f>
        <v>444.98</v>
      </c>
      <c r="H46" s="3219">
        <f>ROUND(F46*G46,2)</f>
        <v>133.49</v>
      </c>
    </row>
    <row r="47" spans="1:8" ht="13.5" thickBot="1">
      <c r="A47" s="3222"/>
      <c r="B47" s="3223"/>
      <c r="C47" s="3223"/>
      <c r="D47" s="3223"/>
      <c r="E47" s="3223"/>
      <c r="F47" s="3223"/>
      <c r="G47" s="3224" t="s">
        <v>2452</v>
      </c>
      <c r="H47" s="3229">
        <f>SUM(H42:H46)</f>
        <v>578.47</v>
      </c>
    </row>
    <row r="48" spans="1:8" ht="13.5" thickTop="1">
      <c r="A48" s="1944"/>
      <c r="B48" s="1944"/>
      <c r="C48" s="1944"/>
      <c r="D48" s="1944"/>
      <c r="E48" s="1944"/>
      <c r="F48" s="1944"/>
      <c r="G48" s="1945"/>
      <c r="H48" s="1962"/>
    </row>
    <row r="49" spans="1:8" ht="51.75" thickBot="1">
      <c r="A49" s="3212">
        <v>3.5</v>
      </c>
      <c r="B49" s="3227" t="s">
        <v>2720</v>
      </c>
      <c r="C49" s="1920"/>
      <c r="D49" s="1920"/>
      <c r="E49" s="1920"/>
      <c r="F49" s="1920"/>
      <c r="G49" s="1920"/>
      <c r="H49" s="1920"/>
    </row>
    <row r="50" spans="1:8" ht="14.25" thickTop="1" thickBot="1">
      <c r="A50" s="1925">
        <v>1</v>
      </c>
      <c r="B50" s="1932" t="s">
        <v>2463</v>
      </c>
      <c r="C50" s="1933">
        <v>1</v>
      </c>
      <c r="D50" s="1933">
        <v>2</v>
      </c>
      <c r="E50" s="1959" t="s">
        <v>1</v>
      </c>
      <c r="F50" s="3218">
        <f>PRODUCT(C50:D50)</f>
        <v>2</v>
      </c>
      <c r="G50" s="1955">
        <v>72.87</v>
      </c>
      <c r="H50" s="3219">
        <f>ROUND(F50*G50,2)</f>
        <v>145.74</v>
      </c>
    </row>
    <row r="51" spans="1:8" ht="13.5" thickTop="1">
      <c r="A51" s="1931">
        <v>2</v>
      </c>
      <c r="B51" s="1932" t="s">
        <v>2466</v>
      </c>
      <c r="C51" s="1933">
        <v>1</v>
      </c>
      <c r="D51" s="1933">
        <v>1</v>
      </c>
      <c r="E51" s="1959" t="s">
        <v>1</v>
      </c>
      <c r="F51" s="3218">
        <f>PRODUCT(C51:D51)</f>
        <v>1</v>
      </c>
      <c r="G51" s="1955">
        <v>48.8</v>
      </c>
      <c r="H51" s="3219">
        <f>ROUND(F51*G51,2)</f>
        <v>48.8</v>
      </c>
    </row>
    <row r="52" spans="1:8">
      <c r="A52" s="1931">
        <v>3</v>
      </c>
      <c r="B52" s="1932" t="s">
        <v>2464</v>
      </c>
      <c r="C52" s="1933">
        <v>1</v>
      </c>
      <c r="D52" s="1933">
        <v>1</v>
      </c>
      <c r="E52" s="1959" t="s">
        <v>1</v>
      </c>
      <c r="F52" s="3218">
        <f>PRODUCT(C52:D52)</f>
        <v>1</v>
      </c>
      <c r="G52" s="1933">
        <v>49.91</v>
      </c>
      <c r="H52" s="3219">
        <f>ROUND(F52*G52,2)</f>
        <v>49.91</v>
      </c>
    </row>
    <row r="53" spans="1:8">
      <c r="A53" s="1931">
        <v>4</v>
      </c>
      <c r="B53" s="1932" t="s">
        <v>621</v>
      </c>
      <c r="C53" s="1933">
        <v>5</v>
      </c>
      <c r="D53" s="3216">
        <v>0.01</v>
      </c>
      <c r="E53" s="3217" t="s">
        <v>46</v>
      </c>
      <c r="F53" s="3218">
        <f>PRODUCT(C53:D53)</f>
        <v>0.05</v>
      </c>
      <c r="G53" s="1933">
        <f>SUM(H50:H52)</f>
        <v>244.45</v>
      </c>
      <c r="H53" s="3219">
        <f>ROUND(F53*G53,2)</f>
        <v>12.22</v>
      </c>
    </row>
    <row r="54" spans="1:8">
      <c r="A54" s="3230">
        <v>5</v>
      </c>
      <c r="B54" s="3220" t="s">
        <v>2451</v>
      </c>
      <c r="C54" s="3221">
        <v>30</v>
      </c>
      <c r="D54" s="3216">
        <v>0.01</v>
      </c>
      <c r="E54" s="3217" t="s">
        <v>46</v>
      </c>
      <c r="F54" s="3218">
        <f>PRODUCT(C54:D54)</f>
        <v>0.3</v>
      </c>
      <c r="G54" s="3221">
        <f>SUM(H50:H53)</f>
        <v>256.67</v>
      </c>
      <c r="H54" s="3219">
        <f>ROUND(F54*G54,2)</f>
        <v>77</v>
      </c>
    </row>
    <row r="55" spans="1:8" ht="13.5" thickBot="1">
      <c r="A55" s="3222"/>
      <c r="B55" s="3223"/>
      <c r="C55" s="3223"/>
      <c r="D55" s="3223"/>
      <c r="E55" s="3223"/>
      <c r="F55" s="3223"/>
      <c r="G55" s="3224" t="s">
        <v>2452</v>
      </c>
      <c r="H55" s="3229">
        <f>SUM(H50:H54)</f>
        <v>333.67</v>
      </c>
    </row>
    <row r="56" spans="1:8" ht="13.5" thickTop="1">
      <c r="A56" s="1944"/>
      <c r="B56" s="1944"/>
      <c r="C56" s="1944"/>
      <c r="D56" s="1944"/>
      <c r="E56" s="1944"/>
      <c r="F56" s="1944"/>
      <c r="G56" s="1945"/>
      <c r="H56" s="1962"/>
    </row>
    <row r="57" spans="1:8" ht="51.75" thickBot="1">
      <c r="A57" s="3212">
        <v>3.6</v>
      </c>
      <c r="B57" s="3227" t="s">
        <v>2721</v>
      </c>
      <c r="C57" s="3214"/>
      <c r="D57" s="3214"/>
      <c r="E57" s="3214"/>
      <c r="F57" s="3214"/>
      <c r="G57" s="3214"/>
      <c r="H57" s="3214"/>
    </row>
    <row r="58" spans="1:8" ht="13.5" thickTop="1">
      <c r="A58" s="1925">
        <v>1</v>
      </c>
      <c r="B58" s="1932" t="s">
        <v>2722</v>
      </c>
      <c r="C58" s="1933">
        <v>1</v>
      </c>
      <c r="D58" s="1933">
        <v>1</v>
      </c>
      <c r="E58" s="1959" t="s">
        <v>1</v>
      </c>
      <c r="F58" s="3218">
        <f>PRODUCT(C58:D58)</f>
        <v>1</v>
      </c>
      <c r="G58" s="3228">
        <v>79.459999999999994</v>
      </c>
      <c r="H58" s="3219">
        <f>ROUND(F58*G58,2)</f>
        <v>79.459999999999994</v>
      </c>
    </row>
    <row r="59" spans="1:8">
      <c r="A59" s="1931">
        <v>2</v>
      </c>
      <c r="B59" s="1932" t="s">
        <v>2464</v>
      </c>
      <c r="C59" s="1933">
        <v>1</v>
      </c>
      <c r="D59" s="1933">
        <v>1</v>
      </c>
      <c r="E59" s="1959" t="s">
        <v>1</v>
      </c>
      <c r="F59" s="3218">
        <f>PRODUCT(C59:D59)</f>
        <v>1</v>
      </c>
      <c r="G59" s="1933">
        <v>49.91</v>
      </c>
      <c r="H59" s="3219">
        <f>ROUND(F59*G59,2)</f>
        <v>49.91</v>
      </c>
    </row>
    <row r="60" spans="1:8">
      <c r="A60" s="1931">
        <v>3</v>
      </c>
      <c r="B60" s="1932" t="s">
        <v>621</v>
      </c>
      <c r="C60" s="1933">
        <v>5</v>
      </c>
      <c r="D60" s="3216">
        <v>0.01</v>
      </c>
      <c r="E60" s="3217" t="s">
        <v>46</v>
      </c>
      <c r="F60" s="3218">
        <f>PRODUCT(C60:D60)</f>
        <v>0.05</v>
      </c>
      <c r="G60" s="1933">
        <f>SUM(H58:H58)</f>
        <v>79.459999999999994</v>
      </c>
      <c r="H60" s="3219">
        <f>ROUND(F60*G60,2)</f>
        <v>3.97</v>
      </c>
    </row>
    <row r="61" spans="1:8">
      <c r="A61" s="3230">
        <v>4</v>
      </c>
      <c r="B61" s="3220" t="s">
        <v>2451</v>
      </c>
      <c r="C61" s="3221">
        <v>30</v>
      </c>
      <c r="D61" s="3216">
        <v>0.01</v>
      </c>
      <c r="E61" s="3217" t="s">
        <v>46</v>
      </c>
      <c r="F61" s="3218">
        <f>PRODUCT(C61:D61)</f>
        <v>0.3</v>
      </c>
      <c r="G61" s="3221">
        <f>SUM(H58:H60)</f>
        <v>133.34</v>
      </c>
      <c r="H61" s="3219">
        <f>ROUND(F61*G61,2)</f>
        <v>40</v>
      </c>
    </row>
    <row r="62" spans="1:8" ht="13.5" thickBot="1">
      <c r="A62" s="3222"/>
      <c r="B62" s="3223"/>
      <c r="C62" s="3223"/>
      <c r="D62" s="3223"/>
      <c r="E62" s="3223"/>
      <c r="F62" s="3223"/>
      <c r="G62" s="3224" t="s">
        <v>2452</v>
      </c>
      <c r="H62" s="3229">
        <f>SUM(H58:H61)</f>
        <v>173.34</v>
      </c>
    </row>
    <row r="63" spans="1:8" ht="13.5" thickTop="1">
      <c r="A63" s="1944"/>
      <c r="B63" s="1944"/>
      <c r="C63" s="1944"/>
      <c r="D63" s="1944"/>
      <c r="E63" s="1944"/>
      <c r="F63" s="1944"/>
      <c r="G63" s="1945"/>
      <c r="H63" s="1962"/>
    </row>
    <row r="64" spans="1:8" ht="51.75" thickBot="1">
      <c r="A64" s="3212">
        <v>3.7</v>
      </c>
      <c r="B64" s="3227" t="s">
        <v>2723</v>
      </c>
      <c r="C64" s="1920"/>
      <c r="D64" s="1920"/>
      <c r="E64" s="1920"/>
      <c r="F64" s="1920"/>
      <c r="G64" s="1920"/>
      <c r="H64" s="1920"/>
    </row>
    <row r="65" spans="1:8" ht="14.25" thickTop="1" thickBot="1">
      <c r="A65" s="1925">
        <v>1</v>
      </c>
      <c r="B65" s="1932" t="s">
        <v>2463</v>
      </c>
      <c r="C65" s="1933">
        <v>1</v>
      </c>
      <c r="D65" s="1933">
        <v>2</v>
      </c>
      <c r="E65" s="1959" t="s">
        <v>1</v>
      </c>
      <c r="F65" s="3218">
        <f>PRODUCT(C65:D65)</f>
        <v>2</v>
      </c>
      <c r="G65" s="1955">
        <v>72.87</v>
      </c>
      <c r="H65" s="3219">
        <f>ROUND(F65*G65,2)</f>
        <v>145.74</v>
      </c>
    </row>
    <row r="66" spans="1:8" ht="13.5" thickTop="1">
      <c r="A66" s="1931">
        <v>2</v>
      </c>
      <c r="B66" s="1932" t="s">
        <v>2466</v>
      </c>
      <c r="C66" s="1933">
        <v>1</v>
      </c>
      <c r="D66" s="1933">
        <v>2</v>
      </c>
      <c r="E66" s="1959" t="s">
        <v>1</v>
      </c>
      <c r="F66" s="3218">
        <f>PRODUCT(C66:D66)</f>
        <v>2</v>
      </c>
      <c r="G66" s="1955">
        <v>48.8</v>
      </c>
      <c r="H66" s="3219">
        <f>ROUND(F66*G66,2)</f>
        <v>97.6</v>
      </c>
    </row>
    <row r="67" spans="1:8">
      <c r="A67" s="1931">
        <v>3</v>
      </c>
      <c r="B67" s="1932" t="s">
        <v>2724</v>
      </c>
      <c r="C67" s="1933">
        <v>1</v>
      </c>
      <c r="D67" s="1933">
        <v>1</v>
      </c>
      <c r="E67" s="1959" t="s">
        <v>1</v>
      </c>
      <c r="F67" s="3218">
        <f>PRODUCT(C67:D67)</f>
        <v>1</v>
      </c>
      <c r="G67" s="1933">
        <v>35.65</v>
      </c>
      <c r="H67" s="3219">
        <f>ROUND(F67*G67,2)</f>
        <v>35.65</v>
      </c>
    </row>
    <row r="68" spans="1:8">
      <c r="A68" s="1931">
        <v>4</v>
      </c>
      <c r="B68" s="1932" t="s">
        <v>621</v>
      </c>
      <c r="C68" s="1933">
        <v>5</v>
      </c>
      <c r="D68" s="3216">
        <v>0.01</v>
      </c>
      <c r="E68" s="3217" t="s">
        <v>46</v>
      </c>
      <c r="F68" s="3218">
        <f>PRODUCT(C68:D68)</f>
        <v>0.05</v>
      </c>
      <c r="G68" s="1933">
        <f>SUM(H65:H67)</f>
        <v>278.99</v>
      </c>
      <c r="H68" s="3219">
        <f>ROUND(F68*G68,2)</f>
        <v>13.95</v>
      </c>
    </row>
    <row r="69" spans="1:8">
      <c r="A69" s="3230">
        <v>5</v>
      </c>
      <c r="B69" s="3220" t="s">
        <v>2451</v>
      </c>
      <c r="C69" s="3221">
        <v>30</v>
      </c>
      <c r="D69" s="3216">
        <v>0.01</v>
      </c>
      <c r="E69" s="3217" t="s">
        <v>46</v>
      </c>
      <c r="F69" s="3218">
        <f>PRODUCT(C69:D69)</f>
        <v>0.3</v>
      </c>
      <c r="G69" s="3221">
        <f>SUM(H65:H68)</f>
        <v>292.94</v>
      </c>
      <c r="H69" s="3219">
        <f>ROUND(F69*G69,2)</f>
        <v>87.88</v>
      </c>
    </row>
    <row r="70" spans="1:8" ht="13.5" thickBot="1">
      <c r="A70" s="3222"/>
      <c r="B70" s="3223"/>
      <c r="C70" s="3223"/>
      <c r="D70" s="3223"/>
      <c r="E70" s="3223"/>
      <c r="F70" s="3223"/>
      <c r="G70" s="3224" t="s">
        <v>2452</v>
      </c>
      <c r="H70" s="3229">
        <f>SUM(H65:H69)</f>
        <v>380.82</v>
      </c>
    </row>
    <row r="71" spans="1:8" ht="13.5" thickTop="1">
      <c r="A71" s="1944"/>
      <c r="B71" s="1944"/>
      <c r="C71" s="1944"/>
      <c r="D71" s="1944"/>
      <c r="E71" s="1944"/>
      <c r="F71" s="1944"/>
      <c r="G71" s="1945"/>
      <c r="H71" s="1962"/>
    </row>
    <row r="72" spans="1:8" ht="51.75" thickBot="1">
      <c r="A72" s="3212">
        <v>3.8</v>
      </c>
      <c r="B72" s="3227" t="s">
        <v>2725</v>
      </c>
      <c r="C72" s="1920"/>
      <c r="D72" s="1920"/>
      <c r="E72" s="1920"/>
      <c r="F72" s="1920"/>
      <c r="G72" s="1920"/>
      <c r="H72" s="1920"/>
    </row>
    <row r="73" spans="1:8" ht="14.25" thickTop="1" thickBot="1">
      <c r="A73" s="1925">
        <v>1</v>
      </c>
      <c r="B73" s="1932" t="s">
        <v>2463</v>
      </c>
      <c r="C73" s="1933">
        <v>1</v>
      </c>
      <c r="D73" s="1933">
        <v>2</v>
      </c>
      <c r="E73" s="1959" t="s">
        <v>1</v>
      </c>
      <c r="F73" s="3218">
        <f>PRODUCT(C73:D73)</f>
        <v>2</v>
      </c>
      <c r="G73" s="1955">
        <v>72.87</v>
      </c>
      <c r="H73" s="3219">
        <f>ROUND(F73*G73,2)</f>
        <v>145.74</v>
      </c>
    </row>
    <row r="74" spans="1:8" ht="13.5" thickTop="1">
      <c r="A74" s="1931">
        <v>2</v>
      </c>
      <c r="B74" s="1932" t="s">
        <v>2466</v>
      </c>
      <c r="C74" s="1933">
        <v>1</v>
      </c>
      <c r="D74" s="1933">
        <v>2</v>
      </c>
      <c r="E74" s="1959" t="s">
        <v>1</v>
      </c>
      <c r="F74" s="3218">
        <f>PRODUCT(C74:D74)</f>
        <v>2</v>
      </c>
      <c r="G74" s="1955">
        <v>48.8</v>
      </c>
      <c r="H74" s="3219">
        <f>ROUND(F74*G74,2)</f>
        <v>97.6</v>
      </c>
    </row>
    <row r="75" spans="1:8">
      <c r="A75" s="1931">
        <v>3</v>
      </c>
      <c r="B75" s="1932" t="s">
        <v>2464</v>
      </c>
      <c r="C75" s="1933">
        <v>1</v>
      </c>
      <c r="D75" s="1933">
        <v>1</v>
      </c>
      <c r="E75" s="1959" t="s">
        <v>1</v>
      </c>
      <c r="F75" s="3218">
        <f>PRODUCT(C75:D75)</f>
        <v>1</v>
      </c>
      <c r="G75" s="1933">
        <v>49.91</v>
      </c>
      <c r="H75" s="3219">
        <f>ROUND(F75*G75,2)</f>
        <v>49.91</v>
      </c>
    </row>
    <row r="76" spans="1:8">
      <c r="A76" s="1931">
        <v>4</v>
      </c>
      <c r="B76" s="1932" t="s">
        <v>621</v>
      </c>
      <c r="C76" s="1933">
        <v>5</v>
      </c>
      <c r="D76" s="3216">
        <v>0.01</v>
      </c>
      <c r="E76" s="3217" t="s">
        <v>46</v>
      </c>
      <c r="F76" s="3218">
        <f>PRODUCT(C76:D76)</f>
        <v>0.05</v>
      </c>
      <c r="G76" s="1933">
        <f>SUM(H73:H75)</f>
        <v>293.25</v>
      </c>
      <c r="H76" s="3219">
        <f>ROUND(F76*G76,2)</f>
        <v>14.66</v>
      </c>
    </row>
    <row r="77" spans="1:8">
      <c r="A77" s="3230">
        <v>5</v>
      </c>
      <c r="B77" s="3220" t="s">
        <v>2451</v>
      </c>
      <c r="C77" s="3221">
        <v>30</v>
      </c>
      <c r="D77" s="3216">
        <v>0.01</v>
      </c>
      <c r="E77" s="3217" t="s">
        <v>46</v>
      </c>
      <c r="F77" s="3218">
        <f>PRODUCT(C77:D77)</f>
        <v>0.3</v>
      </c>
      <c r="G77" s="3221">
        <f>SUM(H73:H76)</f>
        <v>307.91000000000003</v>
      </c>
      <c r="H77" s="3219">
        <f>ROUND(F77*G77,2)</f>
        <v>92.37</v>
      </c>
    </row>
    <row r="78" spans="1:8" ht="13.5" thickBot="1">
      <c r="A78" s="3222"/>
      <c r="B78" s="3223"/>
      <c r="C78" s="3223"/>
      <c r="D78" s="3223"/>
      <c r="E78" s="3223"/>
      <c r="F78" s="3223"/>
      <c r="G78" s="3224" t="s">
        <v>2452</v>
      </c>
      <c r="H78" s="3229">
        <f>SUM(H73:H77)</f>
        <v>400.28</v>
      </c>
    </row>
    <row r="79" spans="1:8" ht="13.5" thickTop="1">
      <c r="A79" s="1944"/>
      <c r="B79" s="1944"/>
      <c r="C79" s="1944"/>
      <c r="D79" s="1944"/>
      <c r="E79" s="1944"/>
      <c r="F79" s="1944"/>
      <c r="G79" s="1945"/>
      <c r="H79" s="1962"/>
    </row>
    <row r="80" spans="1:8" ht="51.75" thickBot="1">
      <c r="A80" s="3212">
        <v>3.9</v>
      </c>
      <c r="B80" s="3227" t="s">
        <v>2726</v>
      </c>
      <c r="C80" s="1920"/>
      <c r="D80" s="1920"/>
      <c r="E80" s="1920"/>
      <c r="F80" s="1920"/>
      <c r="G80" s="1920"/>
      <c r="H80" s="1920"/>
    </row>
    <row r="81" spans="1:8" ht="14.25" thickTop="1" thickBot="1">
      <c r="A81" s="1925">
        <v>1</v>
      </c>
      <c r="B81" s="1932" t="s">
        <v>2455</v>
      </c>
      <c r="C81" s="1933">
        <v>1</v>
      </c>
      <c r="D81" s="1933">
        <v>2</v>
      </c>
      <c r="E81" s="1959" t="s">
        <v>1</v>
      </c>
      <c r="F81" s="3218">
        <f>PRODUCT(C81:D81)</f>
        <v>2</v>
      </c>
      <c r="G81" s="3228">
        <v>172.46</v>
      </c>
      <c r="H81" s="3219">
        <f>ROUND(F81*G81,2)</f>
        <v>344.92</v>
      </c>
    </row>
    <row r="82" spans="1:8" ht="13.5" thickTop="1">
      <c r="A82" s="1931">
        <v>2</v>
      </c>
      <c r="B82" s="1932" t="s">
        <v>2462</v>
      </c>
      <c r="C82" s="1933">
        <v>1</v>
      </c>
      <c r="D82" s="1933">
        <v>2</v>
      </c>
      <c r="E82" s="1959" t="s">
        <v>1</v>
      </c>
      <c r="F82" s="3218">
        <f>PRODUCT(C82:D82)</f>
        <v>2</v>
      </c>
      <c r="G82" s="3228">
        <v>98.49</v>
      </c>
      <c r="H82" s="3219">
        <f>ROUND(F82*G82,2)</f>
        <v>196.98</v>
      </c>
    </row>
    <row r="83" spans="1:8">
      <c r="A83" s="1931">
        <v>3</v>
      </c>
      <c r="B83" s="1932" t="s">
        <v>2719</v>
      </c>
      <c r="C83" s="1933">
        <v>1</v>
      </c>
      <c r="D83" s="1933">
        <v>1</v>
      </c>
      <c r="E83" s="1959" t="s">
        <v>1</v>
      </c>
      <c r="F83" s="3218">
        <f>PRODUCT(C83:D83)</f>
        <v>1</v>
      </c>
      <c r="G83" s="1933">
        <v>81.069999999999993</v>
      </c>
      <c r="H83" s="3219">
        <f>ROUND(F83*G83,2)</f>
        <v>81.069999999999993</v>
      </c>
    </row>
    <row r="84" spans="1:8">
      <c r="A84" s="1931">
        <v>4</v>
      </c>
      <c r="B84" s="1932" t="s">
        <v>621</v>
      </c>
      <c r="C84" s="1933">
        <v>5</v>
      </c>
      <c r="D84" s="3216">
        <v>0.01</v>
      </c>
      <c r="E84" s="3217" t="s">
        <v>46</v>
      </c>
      <c r="F84" s="3218">
        <f>PRODUCT(C84:D84)</f>
        <v>0.05</v>
      </c>
      <c r="G84" s="1933">
        <f>SUM(H81:H83)</f>
        <v>622.97</v>
      </c>
      <c r="H84" s="3219">
        <f>ROUND(F84*G84,2)</f>
        <v>31.15</v>
      </c>
    </row>
    <row r="85" spans="1:8">
      <c r="A85" s="3230">
        <v>5</v>
      </c>
      <c r="B85" s="3220" t="s">
        <v>2451</v>
      </c>
      <c r="C85" s="3221">
        <v>30</v>
      </c>
      <c r="D85" s="3216">
        <v>0.01</v>
      </c>
      <c r="E85" s="3217" t="s">
        <v>46</v>
      </c>
      <c r="F85" s="3218">
        <f>PRODUCT(C85:D85)</f>
        <v>0.3</v>
      </c>
      <c r="G85" s="3221">
        <f>SUM(H81:H84)</f>
        <v>654.12</v>
      </c>
      <c r="H85" s="3219">
        <f>ROUND(F85*G85,2)</f>
        <v>196.24</v>
      </c>
    </row>
    <row r="86" spans="1:8" ht="13.5" thickBot="1">
      <c r="A86" s="3222"/>
      <c r="B86" s="3223"/>
      <c r="C86" s="3223"/>
      <c r="D86" s="3223"/>
      <c r="E86" s="3223"/>
      <c r="F86" s="3223"/>
      <c r="G86" s="3224" t="s">
        <v>2452</v>
      </c>
      <c r="H86" s="3229">
        <f>SUM(H81:H85)</f>
        <v>850.36</v>
      </c>
    </row>
    <row r="87" spans="1:8" ht="13.5" thickTop="1">
      <c r="A87" s="1944"/>
      <c r="B87" s="1944"/>
      <c r="C87" s="1944"/>
      <c r="D87" s="1944"/>
      <c r="E87" s="1944"/>
      <c r="F87" s="1944"/>
      <c r="G87" s="1945"/>
      <c r="H87" s="1962"/>
    </row>
    <row r="88" spans="1:8">
      <c r="A88" s="1944"/>
      <c r="B88" s="1944"/>
      <c r="C88" s="1944"/>
      <c r="D88" s="1944"/>
      <c r="E88" s="1944"/>
      <c r="F88" s="1944"/>
      <c r="G88" s="1945"/>
      <c r="H88" s="1962"/>
    </row>
    <row r="89" spans="1:8" ht="25.5">
      <c r="A89" s="3211">
        <v>4</v>
      </c>
      <c r="B89" s="1919" t="s">
        <v>1639</v>
      </c>
      <c r="C89" s="1944"/>
      <c r="D89" s="1944"/>
      <c r="E89" s="1944"/>
      <c r="F89" s="1944"/>
      <c r="G89" s="1945"/>
      <c r="H89" s="1962"/>
    </row>
    <row r="90" spans="1:8">
      <c r="A90" s="3231"/>
    </row>
    <row r="91" spans="1:8" ht="39" thickBot="1">
      <c r="A91" s="3212">
        <v>4.8</v>
      </c>
      <c r="B91" s="3232" t="s">
        <v>2481</v>
      </c>
      <c r="C91" s="3214"/>
      <c r="D91" s="3214"/>
      <c r="E91" s="3214"/>
      <c r="F91" s="3214"/>
      <c r="G91" s="3214"/>
      <c r="H91" s="3214"/>
    </row>
    <row r="92" spans="1:8" ht="14.25" thickTop="1" thickBot="1">
      <c r="A92" s="1925">
        <v>1</v>
      </c>
      <c r="B92" s="3215" t="s">
        <v>2454</v>
      </c>
      <c r="C92" s="1955">
        <v>1</v>
      </c>
      <c r="D92" s="1955">
        <v>2</v>
      </c>
      <c r="E92" s="1956" t="s">
        <v>1</v>
      </c>
      <c r="F92" s="1957">
        <f>PRODUCT(C92:D92)</f>
        <v>2</v>
      </c>
      <c r="G92" s="1955">
        <v>207.07</v>
      </c>
      <c r="H92" s="1958">
        <f>ROUND(F92*G92,2)</f>
        <v>414.14</v>
      </c>
    </row>
    <row r="93" spans="1:8" ht="14.25" thickTop="1" thickBot="1">
      <c r="A93" s="1931">
        <v>2</v>
      </c>
      <c r="B93" s="3215" t="s">
        <v>2455</v>
      </c>
      <c r="C93" s="1955">
        <v>1</v>
      </c>
      <c r="D93" s="1955">
        <v>1</v>
      </c>
      <c r="E93" s="1956" t="s">
        <v>1</v>
      </c>
      <c r="F93" s="1957">
        <f>PRODUCT(C93:D93)</f>
        <v>1</v>
      </c>
      <c r="G93" s="3228">
        <v>172.46</v>
      </c>
      <c r="H93" s="1958">
        <f>ROUND(F93*G93,2)</f>
        <v>172.46</v>
      </c>
    </row>
    <row r="94" spans="1:8" ht="13.5" thickTop="1">
      <c r="A94" s="1925">
        <v>3</v>
      </c>
      <c r="B94" s="1932" t="s">
        <v>2482</v>
      </c>
      <c r="C94" s="1933">
        <v>1</v>
      </c>
      <c r="D94" s="1933">
        <v>1</v>
      </c>
      <c r="E94" s="1959" t="s">
        <v>1</v>
      </c>
      <c r="F94" s="3218">
        <v>1</v>
      </c>
      <c r="G94" s="1933">
        <v>215.19</v>
      </c>
      <c r="H94" s="3219">
        <f>ROUND(F94*G94,2)</f>
        <v>215.19</v>
      </c>
    </row>
    <row r="95" spans="1:8">
      <c r="A95" s="1931">
        <v>4</v>
      </c>
      <c r="B95" s="1932" t="s">
        <v>621</v>
      </c>
      <c r="C95" s="1933">
        <v>5</v>
      </c>
      <c r="D95" s="3216">
        <v>0.01</v>
      </c>
      <c r="E95" s="3217" t="s">
        <v>46</v>
      </c>
      <c r="F95" s="3218">
        <f>PRODUCT(C95:D95)</f>
        <v>0.05</v>
      </c>
      <c r="G95" s="1933">
        <f>SUM(H92:H94)</f>
        <v>801.79</v>
      </c>
      <c r="H95" s="3219">
        <f>ROUND(F95*G95,2)</f>
        <v>40.090000000000003</v>
      </c>
    </row>
    <row r="96" spans="1:8">
      <c r="A96" s="1931">
        <v>5</v>
      </c>
      <c r="B96" s="3220" t="s">
        <v>2451</v>
      </c>
      <c r="C96" s="3221">
        <v>30</v>
      </c>
      <c r="D96" s="3216">
        <v>0.01</v>
      </c>
      <c r="E96" s="3217" t="s">
        <v>46</v>
      </c>
      <c r="F96" s="3218">
        <f>PRODUCT(C96:D96)</f>
        <v>0.3</v>
      </c>
      <c r="G96" s="3221">
        <f>SUM(H92:H95)</f>
        <v>841.88</v>
      </c>
      <c r="H96" s="3219">
        <f>ROUND(F96*G96,2)</f>
        <v>252.56</v>
      </c>
    </row>
    <row r="97" spans="1:8" ht="13.5" thickBot="1">
      <c r="A97" s="3222"/>
      <c r="B97" s="3223"/>
      <c r="C97" s="3223"/>
      <c r="D97" s="3223"/>
      <c r="E97" s="3223"/>
      <c r="F97" s="3223"/>
      <c r="G97" s="3224" t="s">
        <v>2452</v>
      </c>
      <c r="H97" s="3233">
        <f>SUM(H92:H96)</f>
        <v>1094.44</v>
      </c>
    </row>
    <row r="98" spans="1:8" ht="13.5" thickTop="1"/>
    <row r="100" spans="1:8">
      <c r="A100" s="3141">
        <v>6</v>
      </c>
      <c r="B100" s="1948" t="s">
        <v>2727</v>
      </c>
      <c r="C100" s="3226"/>
      <c r="D100" s="1944"/>
      <c r="E100" s="1944"/>
      <c r="F100" s="1944"/>
      <c r="G100" s="1945"/>
      <c r="H100" s="1962"/>
    </row>
    <row r="101" spans="1:8">
      <c r="A101" s="1944"/>
      <c r="B101" s="1944"/>
      <c r="C101" s="1944"/>
      <c r="D101" s="1944"/>
      <c r="E101" s="1944"/>
      <c r="F101" s="1944"/>
      <c r="G101" s="1945"/>
      <c r="H101" s="1962"/>
    </row>
    <row r="102" spans="1:8" ht="39" thickBot="1">
      <c r="A102" s="3212">
        <v>6.1</v>
      </c>
      <c r="B102" s="3234" t="s">
        <v>2453</v>
      </c>
      <c r="C102" s="3214"/>
      <c r="D102" s="3214"/>
      <c r="E102" s="3214"/>
      <c r="F102" s="3214"/>
      <c r="G102" s="3214"/>
      <c r="H102" s="3214"/>
    </row>
    <row r="103" spans="1:8" ht="14.25" thickTop="1" thickBot="1">
      <c r="A103" s="1925">
        <v>1</v>
      </c>
      <c r="B103" s="3215" t="s">
        <v>2728</v>
      </c>
      <c r="C103" s="1955">
        <v>1</v>
      </c>
      <c r="D103" s="1955">
        <v>3</v>
      </c>
      <c r="E103" s="1956" t="s">
        <v>1</v>
      </c>
      <c r="F103" s="1957">
        <f>PRODUCT(C103:D103)</f>
        <v>3</v>
      </c>
      <c r="G103" s="1955">
        <v>663.93</v>
      </c>
      <c r="H103" s="1958">
        <f t="shared" ref="H103:H109" si="3">ROUND(F103*G103,2)</f>
        <v>1991.79</v>
      </c>
    </row>
    <row r="104" spans="1:8" ht="14.25" thickTop="1" thickBot="1">
      <c r="A104" s="1931">
        <v>2</v>
      </c>
      <c r="B104" s="3215" t="s">
        <v>2454</v>
      </c>
      <c r="C104" s="1955">
        <v>1</v>
      </c>
      <c r="D104" s="1955">
        <v>1</v>
      </c>
      <c r="E104" s="1956" t="s">
        <v>1</v>
      </c>
      <c r="F104" s="1957">
        <f>PRODUCT(C104:D104)</f>
        <v>1</v>
      </c>
      <c r="G104" s="1955">
        <v>207.07</v>
      </c>
      <c r="H104" s="1958">
        <f t="shared" si="3"/>
        <v>207.07</v>
      </c>
    </row>
    <row r="105" spans="1:8" ht="14.25" thickTop="1" thickBot="1">
      <c r="A105" s="1931">
        <v>3</v>
      </c>
      <c r="B105" s="1932" t="s">
        <v>2729</v>
      </c>
      <c r="C105" s="1933">
        <v>1</v>
      </c>
      <c r="D105" s="1933">
        <v>1</v>
      </c>
      <c r="E105" s="1959" t="s">
        <v>1</v>
      </c>
      <c r="F105" s="3218">
        <f>PRODUCT(C105:D105)</f>
        <v>1</v>
      </c>
      <c r="G105" s="1955">
        <v>235.75</v>
      </c>
      <c r="H105" s="3219">
        <f t="shared" si="3"/>
        <v>235.75</v>
      </c>
    </row>
    <row r="106" spans="1:8" ht="13.5" thickTop="1">
      <c r="A106" s="1925">
        <v>4</v>
      </c>
      <c r="B106" s="1932" t="s">
        <v>2457</v>
      </c>
      <c r="C106" s="1933">
        <v>1</v>
      </c>
      <c r="D106" s="1933">
        <v>0.5</v>
      </c>
      <c r="E106" s="1959" t="s">
        <v>1</v>
      </c>
      <c r="F106" s="3218">
        <v>1</v>
      </c>
      <c r="G106" s="1933">
        <v>579.77</v>
      </c>
      <c r="H106" s="3219">
        <f t="shared" si="3"/>
        <v>579.77</v>
      </c>
    </row>
    <row r="107" spans="1:8">
      <c r="A107" s="1931">
        <v>5</v>
      </c>
      <c r="B107" s="1932" t="s">
        <v>2458</v>
      </c>
      <c r="C107" s="1933">
        <v>1</v>
      </c>
      <c r="D107" s="1933">
        <v>0.5</v>
      </c>
      <c r="E107" s="1959" t="s">
        <v>1</v>
      </c>
      <c r="F107" s="3218">
        <v>1</v>
      </c>
      <c r="G107" s="1933">
        <v>132.41</v>
      </c>
      <c r="H107" s="3219">
        <f t="shared" si="3"/>
        <v>132.41</v>
      </c>
    </row>
    <row r="108" spans="1:8" ht="13.5" thickBot="1">
      <c r="A108" s="1931">
        <v>6</v>
      </c>
      <c r="B108" s="1932" t="s">
        <v>621</v>
      </c>
      <c r="C108" s="1933">
        <v>5</v>
      </c>
      <c r="D108" s="3216">
        <v>0.01</v>
      </c>
      <c r="E108" s="3217" t="s">
        <v>46</v>
      </c>
      <c r="F108" s="3218">
        <f>PRODUCT(C108:D108)</f>
        <v>0.05</v>
      </c>
      <c r="G108" s="1933">
        <f>SUM(H103:H107)</f>
        <v>3146.79</v>
      </c>
      <c r="H108" s="3219">
        <f t="shared" si="3"/>
        <v>157.34</v>
      </c>
    </row>
    <row r="109" spans="1:8" ht="13.5" thickTop="1">
      <c r="A109" s="1925">
        <v>7</v>
      </c>
      <c r="B109" s="3220" t="s">
        <v>2451</v>
      </c>
      <c r="C109" s="3221">
        <v>30</v>
      </c>
      <c r="D109" s="3216">
        <v>0.01</v>
      </c>
      <c r="E109" s="3217" t="s">
        <v>46</v>
      </c>
      <c r="F109" s="3218">
        <f>PRODUCT(C109:D109)</f>
        <v>0.3</v>
      </c>
      <c r="G109" s="3221">
        <f>SUM(H103:H108)</f>
        <v>3304.13</v>
      </c>
      <c r="H109" s="3219">
        <f t="shared" si="3"/>
        <v>991.24</v>
      </c>
    </row>
    <row r="110" spans="1:8" ht="13.5" thickBot="1">
      <c r="A110" s="3222"/>
      <c r="B110" s="3223"/>
      <c r="C110" s="3223"/>
      <c r="D110" s="3223"/>
      <c r="E110" s="3223"/>
      <c r="F110" s="3223"/>
      <c r="G110" s="3224" t="s">
        <v>2452</v>
      </c>
      <c r="H110" s="3235">
        <f>SUM(H103:H109)</f>
        <v>4295.37</v>
      </c>
    </row>
    <row r="111" spans="1:8" ht="13.5" thickTop="1">
      <c r="A111" s="1920"/>
      <c r="B111" s="1920"/>
      <c r="C111" s="1920"/>
      <c r="D111" s="1920"/>
      <c r="E111" s="1920"/>
      <c r="F111" s="1920"/>
      <c r="G111" s="1920"/>
      <c r="H111" s="1920"/>
    </row>
    <row r="112" spans="1:8" ht="26.25" thickBot="1">
      <c r="A112" s="3212">
        <v>6.2</v>
      </c>
      <c r="B112" s="3234" t="s">
        <v>2730</v>
      </c>
      <c r="C112" s="3214"/>
      <c r="D112" s="3214"/>
      <c r="E112" s="3214"/>
      <c r="F112" s="3214"/>
      <c r="G112" s="3214"/>
      <c r="H112" s="3214"/>
    </row>
    <row r="113" spans="1:8" ht="14.25" thickTop="1" thickBot="1">
      <c r="A113" s="1925">
        <v>1</v>
      </c>
      <c r="B113" s="3215" t="s">
        <v>2728</v>
      </c>
      <c r="C113" s="1955">
        <v>1</v>
      </c>
      <c r="D113" s="1955">
        <v>3</v>
      </c>
      <c r="E113" s="1956" t="s">
        <v>1</v>
      </c>
      <c r="F113" s="1957">
        <f>PRODUCT(C113:D113)</f>
        <v>3</v>
      </c>
      <c r="G113" s="1955">
        <v>663.93</v>
      </c>
      <c r="H113" s="1958">
        <f t="shared" ref="H113:H119" si="4">ROUND(F113*G113,2)</f>
        <v>1991.79</v>
      </c>
    </row>
    <row r="114" spans="1:8" ht="14.25" thickTop="1" thickBot="1">
      <c r="A114" s="1931">
        <v>2</v>
      </c>
      <c r="B114" s="3215" t="s">
        <v>2454</v>
      </c>
      <c r="C114" s="1955">
        <v>1</v>
      </c>
      <c r="D114" s="1955">
        <v>1</v>
      </c>
      <c r="E114" s="1956" t="s">
        <v>1</v>
      </c>
      <c r="F114" s="1957">
        <f>PRODUCT(C114:D114)</f>
        <v>1</v>
      </c>
      <c r="G114" s="1955">
        <v>207.07</v>
      </c>
      <c r="H114" s="1958">
        <f t="shared" si="4"/>
        <v>207.07</v>
      </c>
    </row>
    <row r="115" spans="1:8" ht="14.25" thickTop="1" thickBot="1">
      <c r="A115" s="1931">
        <v>3</v>
      </c>
      <c r="B115" s="1932" t="s">
        <v>2729</v>
      </c>
      <c r="C115" s="1933">
        <v>1</v>
      </c>
      <c r="D115" s="1933">
        <v>1</v>
      </c>
      <c r="E115" s="1959" t="s">
        <v>1</v>
      </c>
      <c r="F115" s="3218">
        <f>PRODUCT(C115:D115)</f>
        <v>1</v>
      </c>
      <c r="G115" s="1955">
        <v>235.75</v>
      </c>
      <c r="H115" s="3219">
        <f t="shared" si="4"/>
        <v>235.75</v>
      </c>
    </row>
    <row r="116" spans="1:8" ht="13.5" thickTop="1">
      <c r="A116" s="1925">
        <v>4</v>
      </c>
      <c r="B116" s="1932" t="s">
        <v>2457</v>
      </c>
      <c r="C116" s="1933">
        <v>1</v>
      </c>
      <c r="D116" s="1933">
        <v>0.5</v>
      </c>
      <c r="E116" s="1959" t="s">
        <v>1</v>
      </c>
      <c r="F116" s="3218">
        <v>1</v>
      </c>
      <c r="G116" s="1933">
        <v>579.77</v>
      </c>
      <c r="H116" s="3219">
        <f t="shared" si="4"/>
        <v>579.77</v>
      </c>
    </row>
    <row r="117" spans="1:8">
      <c r="A117" s="1931">
        <v>5</v>
      </c>
      <c r="B117" s="1932" t="s">
        <v>2458</v>
      </c>
      <c r="C117" s="1933">
        <v>1</v>
      </c>
      <c r="D117" s="1933">
        <v>0.5</v>
      </c>
      <c r="E117" s="1959" t="s">
        <v>1</v>
      </c>
      <c r="F117" s="3218">
        <v>1</v>
      </c>
      <c r="G117" s="1933">
        <v>132.41</v>
      </c>
      <c r="H117" s="3219">
        <f t="shared" si="4"/>
        <v>132.41</v>
      </c>
    </row>
    <row r="118" spans="1:8" ht="13.5" thickBot="1">
      <c r="A118" s="1931">
        <v>6</v>
      </c>
      <c r="B118" s="1932" t="s">
        <v>621</v>
      </c>
      <c r="C118" s="1933">
        <v>5</v>
      </c>
      <c r="D118" s="3216">
        <v>0.01</v>
      </c>
      <c r="E118" s="3217" t="s">
        <v>46</v>
      </c>
      <c r="F118" s="3218">
        <f>PRODUCT(C118:D118)</f>
        <v>0.05</v>
      </c>
      <c r="G118" s="1933">
        <f>SUM(H113:H117)</f>
        <v>3146.79</v>
      </c>
      <c r="H118" s="3219">
        <f t="shared" si="4"/>
        <v>157.34</v>
      </c>
    </row>
    <row r="119" spans="1:8" ht="13.5" thickTop="1">
      <c r="A119" s="1925">
        <v>7</v>
      </c>
      <c r="B119" s="3220" t="s">
        <v>2451</v>
      </c>
      <c r="C119" s="3221">
        <v>30</v>
      </c>
      <c r="D119" s="3216">
        <v>0.01</v>
      </c>
      <c r="E119" s="3217" t="s">
        <v>46</v>
      </c>
      <c r="F119" s="3218">
        <f>PRODUCT(C119:D119)</f>
        <v>0.3</v>
      </c>
      <c r="G119" s="3221">
        <f>SUM(H113:H118)</f>
        <v>3304.13</v>
      </c>
      <c r="H119" s="3219">
        <f t="shared" si="4"/>
        <v>991.24</v>
      </c>
    </row>
    <row r="120" spans="1:8" ht="13.5" thickBot="1">
      <c r="A120" s="3222"/>
      <c r="B120" s="3223"/>
      <c r="C120" s="3223"/>
      <c r="D120" s="3223"/>
      <c r="E120" s="3223"/>
      <c r="F120" s="3223"/>
      <c r="G120" s="3224" t="s">
        <v>2452</v>
      </c>
      <c r="H120" s="3235">
        <f>SUM(H113:H119)</f>
        <v>4295.37</v>
      </c>
    </row>
    <row r="121" spans="1:8" ht="13.5" thickTop="1">
      <c r="A121" s="1944"/>
      <c r="B121" s="1944"/>
      <c r="C121" s="1944"/>
      <c r="D121" s="1944"/>
      <c r="E121" s="1944"/>
      <c r="F121" s="1944"/>
      <c r="G121" s="1945"/>
      <c r="H121" s="1962"/>
    </row>
    <row r="122" spans="1:8" ht="51.75" thickBot="1">
      <c r="A122" s="3212">
        <v>6.3</v>
      </c>
      <c r="B122" s="3234" t="s">
        <v>2731</v>
      </c>
      <c r="C122" s="3214"/>
      <c r="D122" s="3214"/>
      <c r="E122" s="3214"/>
      <c r="F122" s="3214"/>
      <c r="G122" s="3214"/>
      <c r="H122" s="3214"/>
    </row>
    <row r="123" spans="1:8" ht="14.25" thickTop="1" thickBot="1">
      <c r="A123" s="1925">
        <v>1</v>
      </c>
      <c r="B123" s="1932" t="s">
        <v>2732</v>
      </c>
      <c r="C123" s="1933">
        <v>1</v>
      </c>
      <c r="D123" s="1933">
        <v>3</v>
      </c>
      <c r="E123" s="1959" t="s">
        <v>1</v>
      </c>
      <c r="F123" s="3218">
        <f>PRODUCT(C123:D123)</f>
        <v>3</v>
      </c>
      <c r="G123" s="3228">
        <v>487.67</v>
      </c>
      <c r="H123" s="3219">
        <f>ROUND(F123*G123,2)</f>
        <v>1463.01</v>
      </c>
    </row>
    <row r="124" spans="1:8" ht="13.5" thickTop="1">
      <c r="A124" s="1931">
        <v>2</v>
      </c>
      <c r="B124" s="1932" t="s">
        <v>2455</v>
      </c>
      <c r="C124" s="1933">
        <v>1</v>
      </c>
      <c r="D124" s="1933">
        <v>2</v>
      </c>
      <c r="E124" s="1959" t="s">
        <v>1</v>
      </c>
      <c r="F124" s="3218">
        <f>PRODUCT(C124:D124)</f>
        <v>2</v>
      </c>
      <c r="G124" s="3228">
        <v>172.46</v>
      </c>
      <c r="H124" s="3219">
        <f>ROUND(F124*G124,2)</f>
        <v>344.92</v>
      </c>
    </row>
    <row r="125" spans="1:8">
      <c r="A125" s="1931">
        <v>3</v>
      </c>
      <c r="B125" s="1932" t="s">
        <v>2719</v>
      </c>
      <c r="C125" s="1933">
        <v>1</v>
      </c>
      <c r="D125" s="1933">
        <v>1</v>
      </c>
      <c r="E125" s="1959" t="s">
        <v>1</v>
      </c>
      <c r="F125" s="3218">
        <f>PRODUCT(C125:D125)</f>
        <v>1</v>
      </c>
      <c r="G125" s="1933">
        <v>81.069999999999993</v>
      </c>
      <c r="H125" s="3219">
        <f>ROUND(F125*G125,2)</f>
        <v>81.069999999999993</v>
      </c>
    </row>
    <row r="126" spans="1:8">
      <c r="A126" s="1931">
        <v>4</v>
      </c>
      <c r="B126" s="1932" t="s">
        <v>621</v>
      </c>
      <c r="C126" s="1933">
        <v>5</v>
      </c>
      <c r="D126" s="3216">
        <v>0.01</v>
      </c>
      <c r="E126" s="3217" t="s">
        <v>46</v>
      </c>
      <c r="F126" s="3218">
        <f>PRODUCT(C126:D126)</f>
        <v>0.05</v>
      </c>
      <c r="G126" s="1933">
        <f>SUM(H123:H123)</f>
        <v>1463.01</v>
      </c>
      <c r="H126" s="3219">
        <f>ROUND(F126*G126,2)</f>
        <v>73.150000000000006</v>
      </c>
    </row>
    <row r="127" spans="1:8">
      <c r="A127" s="3230">
        <v>5</v>
      </c>
      <c r="B127" s="3220" t="s">
        <v>2451</v>
      </c>
      <c r="C127" s="3221">
        <v>30</v>
      </c>
      <c r="D127" s="3216">
        <v>0.01</v>
      </c>
      <c r="E127" s="3217" t="s">
        <v>46</v>
      </c>
      <c r="F127" s="3218">
        <f>PRODUCT(C127:D127)</f>
        <v>0.3</v>
      </c>
      <c r="G127" s="3221">
        <f>SUM(H123:H126)</f>
        <v>1962.15</v>
      </c>
      <c r="H127" s="3219">
        <f>ROUND(F127*G127,2)</f>
        <v>588.65</v>
      </c>
    </row>
    <row r="128" spans="1:8" ht="13.5" thickBot="1">
      <c r="A128" s="3222"/>
      <c r="B128" s="3223"/>
      <c r="C128" s="3223"/>
      <c r="D128" s="3223"/>
      <c r="E128" s="3223"/>
      <c r="F128" s="3223"/>
      <c r="G128" s="3224" t="s">
        <v>2452</v>
      </c>
      <c r="H128" s="3235">
        <f>SUM(H123:H127)</f>
        <v>2550.8000000000002</v>
      </c>
    </row>
    <row r="129" spans="1:8" ht="13.5" thickTop="1">
      <c r="A129" s="1944"/>
      <c r="B129" s="1944"/>
      <c r="C129" s="1944"/>
      <c r="D129" s="1944"/>
      <c r="E129" s="1944"/>
      <c r="F129" s="1944"/>
      <c r="G129" s="1945"/>
      <c r="H129" s="3236"/>
    </row>
    <row r="130" spans="1:8" ht="39" thickBot="1">
      <c r="A130" s="3212">
        <v>6.4</v>
      </c>
      <c r="B130" s="3234" t="s">
        <v>2733</v>
      </c>
      <c r="C130" s="3214"/>
      <c r="D130" s="3214"/>
      <c r="E130" s="3214"/>
      <c r="F130" s="3214"/>
      <c r="G130" s="3214"/>
      <c r="H130" s="3214"/>
    </row>
    <row r="131" spans="1:8" ht="14.25" thickTop="1" thickBot="1">
      <c r="A131" s="1925">
        <v>1</v>
      </c>
      <c r="B131" s="1932" t="s">
        <v>2732</v>
      </c>
      <c r="C131" s="1933">
        <v>1</v>
      </c>
      <c r="D131" s="1933">
        <v>3</v>
      </c>
      <c r="E131" s="1959" t="s">
        <v>1</v>
      </c>
      <c r="F131" s="3218">
        <f>PRODUCT(C131:D131)</f>
        <v>3</v>
      </c>
      <c r="G131" s="3228">
        <v>487.67</v>
      </c>
      <c r="H131" s="3219">
        <f>ROUND(F131*G131,2)</f>
        <v>1463.01</v>
      </c>
    </row>
    <row r="132" spans="1:8" ht="13.5" thickTop="1">
      <c r="A132" s="1931">
        <v>2</v>
      </c>
      <c r="B132" s="1932" t="s">
        <v>2455</v>
      </c>
      <c r="C132" s="1933">
        <v>1</v>
      </c>
      <c r="D132" s="1933">
        <v>2</v>
      </c>
      <c r="E132" s="1959" t="s">
        <v>1</v>
      </c>
      <c r="F132" s="3218">
        <f>PRODUCT(C132:D132)</f>
        <v>2</v>
      </c>
      <c r="G132" s="3228">
        <v>172.46</v>
      </c>
      <c r="H132" s="3219">
        <f>ROUND(F132*G132,2)</f>
        <v>344.92</v>
      </c>
    </row>
    <row r="133" spans="1:8">
      <c r="A133" s="1931">
        <v>3</v>
      </c>
      <c r="B133" s="1932" t="s">
        <v>2719</v>
      </c>
      <c r="C133" s="1933">
        <v>1</v>
      </c>
      <c r="D133" s="1933">
        <v>1</v>
      </c>
      <c r="E133" s="1959" t="s">
        <v>1</v>
      </c>
      <c r="F133" s="3218">
        <f>PRODUCT(C133:D133)</f>
        <v>1</v>
      </c>
      <c r="G133" s="1933">
        <v>81.069999999999993</v>
      </c>
      <c r="H133" s="3219">
        <f>ROUND(F133*G133,2)</f>
        <v>81.069999999999993</v>
      </c>
    </row>
    <row r="134" spans="1:8">
      <c r="A134" s="1931">
        <v>4</v>
      </c>
      <c r="B134" s="1932" t="s">
        <v>621</v>
      </c>
      <c r="C134" s="1933">
        <v>5</v>
      </c>
      <c r="D134" s="3216">
        <v>0.01</v>
      </c>
      <c r="E134" s="3217" t="s">
        <v>46</v>
      </c>
      <c r="F134" s="3218">
        <f>PRODUCT(C134:D134)</f>
        <v>0.05</v>
      </c>
      <c r="G134" s="1933">
        <f>SUM(H131:H131)</f>
        <v>1463.01</v>
      </c>
      <c r="H134" s="3219">
        <f>ROUND(F134*G134,2)</f>
        <v>73.150000000000006</v>
      </c>
    </row>
    <row r="135" spans="1:8">
      <c r="A135" s="3230">
        <v>5</v>
      </c>
      <c r="B135" s="3220" t="s">
        <v>2451</v>
      </c>
      <c r="C135" s="3221">
        <v>30</v>
      </c>
      <c r="D135" s="3216">
        <v>0.01</v>
      </c>
      <c r="E135" s="3217" t="s">
        <v>46</v>
      </c>
      <c r="F135" s="3218">
        <f>PRODUCT(C135:D135)</f>
        <v>0.3</v>
      </c>
      <c r="G135" s="3221">
        <f>SUM(H131:H134)</f>
        <v>1962.15</v>
      </c>
      <c r="H135" s="3219">
        <f>ROUND(F135*G135,2)</f>
        <v>588.65</v>
      </c>
    </row>
    <row r="136" spans="1:8" ht="13.5" thickBot="1">
      <c r="A136" s="3222"/>
      <c r="B136" s="3223"/>
      <c r="C136" s="3223"/>
      <c r="D136" s="3223"/>
      <c r="E136" s="3223"/>
      <c r="F136" s="3223"/>
      <c r="G136" s="3224" t="s">
        <v>2452</v>
      </c>
      <c r="H136" s="3235">
        <f>SUM(H131:H135)</f>
        <v>2550.8000000000002</v>
      </c>
    </row>
    <row r="137" spans="1:8" ht="13.5" thickTop="1"/>
    <row r="138" spans="1:8" ht="64.5" thickBot="1">
      <c r="A138" s="3212">
        <v>6.5</v>
      </c>
      <c r="B138" s="3237" t="s">
        <v>2734</v>
      </c>
      <c r="C138" s="3214"/>
      <c r="D138" s="3214"/>
      <c r="E138" s="3214"/>
      <c r="F138" s="3214"/>
      <c r="G138" s="3214"/>
      <c r="H138" s="3214"/>
    </row>
    <row r="139" spans="1:8" ht="14.25" thickTop="1" thickBot="1">
      <c r="A139" s="1925">
        <v>1</v>
      </c>
      <c r="B139" s="1932" t="s">
        <v>2732</v>
      </c>
      <c r="C139" s="1933">
        <v>1</v>
      </c>
      <c r="D139" s="1933">
        <v>3</v>
      </c>
      <c r="E139" s="1959" t="s">
        <v>1</v>
      </c>
      <c r="F139" s="3218">
        <f>PRODUCT(C139:D139)</f>
        <v>3</v>
      </c>
      <c r="G139" s="3228">
        <v>487.67</v>
      </c>
      <c r="H139" s="3219">
        <f>ROUND(F139*G139,2)</f>
        <v>1463.01</v>
      </c>
    </row>
    <row r="140" spans="1:8" ht="13.5" thickTop="1">
      <c r="A140" s="1931">
        <v>2</v>
      </c>
      <c r="B140" s="1932" t="s">
        <v>2455</v>
      </c>
      <c r="C140" s="1933">
        <v>1</v>
      </c>
      <c r="D140" s="1933">
        <v>2</v>
      </c>
      <c r="E140" s="1959" t="s">
        <v>1</v>
      </c>
      <c r="F140" s="3218">
        <f>PRODUCT(C140:D140)</f>
        <v>2</v>
      </c>
      <c r="G140" s="3228">
        <v>172.46</v>
      </c>
      <c r="H140" s="3219">
        <f>ROUND(F140*G140,2)</f>
        <v>344.92</v>
      </c>
    </row>
    <row r="141" spans="1:8">
      <c r="A141" s="1931">
        <v>3</v>
      </c>
      <c r="B141" s="1932" t="s">
        <v>2719</v>
      </c>
      <c r="C141" s="1933">
        <v>1</v>
      </c>
      <c r="D141" s="1933">
        <v>1</v>
      </c>
      <c r="E141" s="1959" t="s">
        <v>1</v>
      </c>
      <c r="F141" s="3218">
        <f>PRODUCT(C141:D141)</f>
        <v>1</v>
      </c>
      <c r="G141" s="1933">
        <v>81.069999999999993</v>
      </c>
      <c r="H141" s="3219">
        <f>ROUND(F141*G141,2)</f>
        <v>81.069999999999993</v>
      </c>
    </row>
    <row r="142" spans="1:8">
      <c r="A142" s="1931">
        <v>4</v>
      </c>
      <c r="B142" s="1932" t="s">
        <v>621</v>
      </c>
      <c r="C142" s="1933">
        <v>5</v>
      </c>
      <c r="D142" s="3216">
        <v>0.01</v>
      </c>
      <c r="E142" s="3217" t="s">
        <v>46</v>
      </c>
      <c r="F142" s="3218">
        <f>PRODUCT(C142:D142)</f>
        <v>0.05</v>
      </c>
      <c r="G142" s="1933">
        <f>SUM(H139:H139)</f>
        <v>1463.01</v>
      </c>
      <c r="H142" s="3219">
        <f>ROUND(F142*G142,2)</f>
        <v>73.150000000000006</v>
      </c>
    </row>
    <row r="143" spans="1:8">
      <c r="A143" s="3230">
        <v>5</v>
      </c>
      <c r="B143" s="3220" t="s">
        <v>2451</v>
      </c>
      <c r="C143" s="3221">
        <v>30</v>
      </c>
      <c r="D143" s="3216">
        <v>0.01</v>
      </c>
      <c r="E143" s="3217" t="s">
        <v>46</v>
      </c>
      <c r="F143" s="3218">
        <f>PRODUCT(C143:D143)</f>
        <v>0.3</v>
      </c>
      <c r="G143" s="3221">
        <f>SUM(H139:H142)</f>
        <v>1962.15</v>
      </c>
      <c r="H143" s="3219">
        <f>ROUND(F143*G143,2)</f>
        <v>588.65</v>
      </c>
    </row>
    <row r="144" spans="1:8" ht="13.5" thickBot="1">
      <c r="A144" s="3222"/>
      <c r="B144" s="3223"/>
      <c r="C144" s="3223"/>
      <c r="D144" s="3223"/>
      <c r="E144" s="3223"/>
      <c r="F144" s="3223"/>
      <c r="G144" s="3224" t="s">
        <v>2452</v>
      </c>
      <c r="H144" s="3238">
        <f>SUM(H139:H143)</f>
        <v>2550.8000000000002</v>
      </c>
    </row>
    <row r="145" spans="1:8" ht="13.5" thickTop="1"/>
    <row r="146" spans="1:8" ht="64.5" thickBot="1">
      <c r="A146" s="3212">
        <v>6.6</v>
      </c>
      <c r="B146" s="3239" t="s">
        <v>2735</v>
      </c>
      <c r="C146" s="1920"/>
      <c r="D146" s="1920"/>
      <c r="E146" s="1920"/>
      <c r="F146" s="1920"/>
      <c r="G146" s="1920"/>
      <c r="H146" s="1920"/>
    </row>
    <row r="147" spans="1:8" ht="14.25" thickTop="1" thickBot="1">
      <c r="A147" s="1925">
        <v>1</v>
      </c>
      <c r="B147" s="1932" t="s">
        <v>2463</v>
      </c>
      <c r="C147" s="1933">
        <v>1</v>
      </c>
      <c r="D147" s="1933">
        <v>2</v>
      </c>
      <c r="E147" s="1959" t="s">
        <v>1</v>
      </c>
      <c r="F147" s="3218">
        <f>PRODUCT(C147:D147)</f>
        <v>2</v>
      </c>
      <c r="G147" s="1955">
        <v>72.87</v>
      </c>
      <c r="H147" s="3219">
        <f>ROUND(F147*G147,2)</f>
        <v>145.74</v>
      </c>
    </row>
    <row r="148" spans="1:8" ht="13.5" thickTop="1">
      <c r="A148" s="1931">
        <v>2</v>
      </c>
      <c r="B148" s="1932" t="s">
        <v>2466</v>
      </c>
      <c r="C148" s="1933">
        <v>1</v>
      </c>
      <c r="D148" s="1933">
        <v>2</v>
      </c>
      <c r="E148" s="1959" t="s">
        <v>1</v>
      </c>
      <c r="F148" s="3218">
        <f>PRODUCT(C148:D148)</f>
        <v>2</v>
      </c>
      <c r="G148" s="1955">
        <v>48.8</v>
      </c>
      <c r="H148" s="3219">
        <f>ROUND(F148*G148,2)</f>
        <v>97.6</v>
      </c>
    </row>
    <row r="149" spans="1:8">
      <c r="A149" s="1931">
        <v>3</v>
      </c>
      <c r="B149" s="1932" t="s">
        <v>2464</v>
      </c>
      <c r="C149" s="1933">
        <v>1</v>
      </c>
      <c r="D149" s="1933">
        <v>1</v>
      </c>
      <c r="E149" s="1959" t="s">
        <v>1</v>
      </c>
      <c r="F149" s="3218">
        <f>PRODUCT(C149:D149)</f>
        <v>1</v>
      </c>
      <c r="G149" s="1933">
        <v>49.91</v>
      </c>
      <c r="H149" s="3219">
        <f>ROUND(F149*G149,2)</f>
        <v>49.91</v>
      </c>
    </row>
    <row r="150" spans="1:8">
      <c r="A150" s="1931">
        <v>4</v>
      </c>
      <c r="B150" s="1932" t="s">
        <v>621</v>
      </c>
      <c r="C150" s="1933">
        <v>5</v>
      </c>
      <c r="D150" s="3216">
        <v>0.01</v>
      </c>
      <c r="E150" s="3217" t="s">
        <v>46</v>
      </c>
      <c r="F150" s="3218">
        <f>PRODUCT(C150:D150)</f>
        <v>0.05</v>
      </c>
      <c r="G150" s="1933">
        <f>SUM(H147:H147)</f>
        <v>145.74</v>
      </c>
      <c r="H150" s="3219">
        <f>ROUND(F150*G150,2)</f>
        <v>7.29</v>
      </c>
    </row>
    <row r="151" spans="1:8">
      <c r="A151" s="3230">
        <v>5</v>
      </c>
      <c r="B151" s="3220" t="s">
        <v>2451</v>
      </c>
      <c r="C151" s="3221">
        <v>30</v>
      </c>
      <c r="D151" s="3216">
        <v>0.01</v>
      </c>
      <c r="E151" s="3217" t="s">
        <v>46</v>
      </c>
      <c r="F151" s="3218">
        <f>PRODUCT(C151:D151)</f>
        <v>0.3</v>
      </c>
      <c r="G151" s="3221">
        <f>SUM(H147:H150)</f>
        <v>300.54000000000002</v>
      </c>
      <c r="H151" s="3219">
        <f>ROUND(F151*G151,2)</f>
        <v>90.16</v>
      </c>
    </row>
    <row r="152" spans="1:8" ht="13.5" thickBot="1">
      <c r="A152" s="3222"/>
      <c r="B152" s="3223"/>
      <c r="C152" s="3223"/>
      <c r="D152" s="3223"/>
      <c r="E152" s="3223"/>
      <c r="F152" s="3223"/>
      <c r="G152" s="3224" t="s">
        <v>2452</v>
      </c>
      <c r="H152" s="3240">
        <f>SUM(H147:H151)</f>
        <v>390.7</v>
      </c>
    </row>
    <row r="153"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E290"/>
  <sheetViews>
    <sheetView workbookViewId="0"/>
  </sheetViews>
  <sheetFormatPr baseColWidth="10" defaultColWidth="11.42578125" defaultRowHeight="12.75"/>
  <cols>
    <col min="1" max="1" width="51.855468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c r="A2" s="1968"/>
      <c r="B2" s="1969"/>
      <c r="C2" s="1969"/>
      <c r="D2" s="1969"/>
      <c r="E2" s="1969"/>
    </row>
    <row r="3" spans="1:5">
      <c r="A3" s="3175" t="s">
        <v>2639</v>
      </c>
      <c r="B3" s="3176"/>
      <c r="C3" s="3176"/>
      <c r="D3" s="3176"/>
      <c r="E3" s="3176"/>
    </row>
    <row r="4" spans="1:5">
      <c r="A4" s="1974" t="s">
        <v>2483</v>
      </c>
      <c r="B4" s="1975">
        <v>2</v>
      </c>
      <c r="C4" s="1997" t="s">
        <v>3</v>
      </c>
      <c r="D4" s="1984">
        <v>170.32</v>
      </c>
      <c r="E4" s="1978">
        <f t="shared" ref="E4:E11" si="0">ROUND(B4*D4,2)</f>
        <v>340.64</v>
      </c>
    </row>
    <row r="5" spans="1:5" ht="25.5">
      <c r="A5" s="1979" t="s">
        <v>2640</v>
      </c>
      <c r="B5" s="1975">
        <v>1</v>
      </c>
      <c r="C5" s="1997" t="s">
        <v>3</v>
      </c>
      <c r="D5" s="1984">
        <v>216.55</v>
      </c>
      <c r="E5" s="1978">
        <f t="shared" si="0"/>
        <v>216.55</v>
      </c>
    </row>
    <row r="6" spans="1:5">
      <c r="A6" s="1980" t="s">
        <v>2641</v>
      </c>
      <c r="B6" s="1975">
        <v>1</v>
      </c>
      <c r="C6" s="1997" t="s">
        <v>3</v>
      </c>
      <c r="D6" s="1987">
        <v>689.04</v>
      </c>
      <c r="E6" s="1978">
        <f t="shared" si="0"/>
        <v>689.04</v>
      </c>
    </row>
    <row r="7" spans="1:5">
      <c r="A7" s="1982" t="s">
        <v>2486</v>
      </c>
      <c r="B7" s="1983">
        <v>4</v>
      </c>
      <c r="C7" s="1997" t="s">
        <v>3</v>
      </c>
      <c r="D7" s="1984">
        <v>227.36</v>
      </c>
      <c r="E7" s="1985">
        <f t="shared" si="0"/>
        <v>909.44</v>
      </c>
    </row>
    <row r="8" spans="1:5">
      <c r="A8" s="1980" t="s">
        <v>2642</v>
      </c>
      <c r="B8" s="1975">
        <v>1</v>
      </c>
      <c r="C8" s="1997" t="s">
        <v>3</v>
      </c>
      <c r="D8" s="1984">
        <v>464.5</v>
      </c>
      <c r="E8" s="1978">
        <f t="shared" si="0"/>
        <v>464.5</v>
      </c>
    </row>
    <row r="9" spans="1:5">
      <c r="A9" s="1980" t="s">
        <v>2643</v>
      </c>
      <c r="B9" s="1975">
        <v>1</v>
      </c>
      <c r="C9" s="1997" t="s">
        <v>3</v>
      </c>
      <c r="D9" s="1984">
        <v>271.56</v>
      </c>
      <c r="E9" s="1978">
        <f t="shared" si="0"/>
        <v>271.56</v>
      </c>
    </row>
    <row r="10" spans="1:5">
      <c r="A10" s="1980" t="s">
        <v>2489</v>
      </c>
      <c r="B10" s="1983">
        <v>3</v>
      </c>
      <c r="C10" s="1997" t="s">
        <v>3</v>
      </c>
      <c r="D10" s="1987">
        <v>69.3</v>
      </c>
      <c r="E10" s="1978">
        <f t="shared" si="0"/>
        <v>207.9</v>
      </c>
    </row>
    <row r="11" spans="1:5">
      <c r="A11" s="1980" t="s">
        <v>2490</v>
      </c>
      <c r="B11" s="1983">
        <v>3</v>
      </c>
      <c r="C11" s="1997" t="s">
        <v>3</v>
      </c>
      <c r="D11" s="1987">
        <v>10.28</v>
      </c>
      <c r="E11" s="1978">
        <f t="shared" si="0"/>
        <v>30.84</v>
      </c>
    </row>
    <row r="12" spans="1:5">
      <c r="A12" s="1980" t="s">
        <v>33</v>
      </c>
      <c r="B12" s="2009">
        <v>0.05</v>
      </c>
      <c r="C12" s="1976" t="s">
        <v>46</v>
      </c>
      <c r="D12" s="1977">
        <f>E4+E5+E6+E7+E8+E9+E10+E11</f>
        <v>3130.47</v>
      </c>
      <c r="E12" s="1978">
        <f>B12*D12</f>
        <v>156.52000000000001</v>
      </c>
    </row>
    <row r="13" spans="1:5">
      <c r="A13" s="3177"/>
      <c r="B13" s="3177"/>
      <c r="C13" s="5191" t="s">
        <v>2491</v>
      </c>
      <c r="D13" s="5191"/>
      <c r="E13" s="3178">
        <f>SUM(E4:E12)</f>
        <v>3286.99</v>
      </c>
    </row>
    <row r="14" spans="1:5">
      <c r="A14" s="1968"/>
      <c r="B14" s="1969"/>
      <c r="C14" s="1969"/>
      <c r="D14" s="1969"/>
      <c r="E14" s="1969"/>
    </row>
    <row r="15" spans="1:5">
      <c r="A15" s="3175" t="s">
        <v>2644</v>
      </c>
      <c r="B15" s="2016"/>
      <c r="C15" s="2016"/>
      <c r="D15" s="2016"/>
      <c r="E15" s="2016"/>
    </row>
    <row r="16" spans="1:5">
      <c r="A16" s="1974" t="s">
        <v>2483</v>
      </c>
      <c r="B16" s="2006">
        <v>2</v>
      </c>
      <c r="C16" s="1976" t="s">
        <v>3</v>
      </c>
      <c r="D16" s="1984">
        <v>170.32</v>
      </c>
      <c r="E16" s="1978">
        <f t="shared" ref="E16:E24" si="1">ROUND(B16*D16,2)</f>
        <v>340.64</v>
      </c>
    </row>
    <row r="17" spans="1:5" ht="25.5">
      <c r="A17" s="1979" t="s">
        <v>2640</v>
      </c>
      <c r="B17" s="2006">
        <v>1</v>
      </c>
      <c r="C17" s="1976" t="s">
        <v>3</v>
      </c>
      <c r="D17" s="1984">
        <v>216.55</v>
      </c>
      <c r="E17" s="1978">
        <f t="shared" si="1"/>
        <v>216.55</v>
      </c>
    </row>
    <row r="18" spans="1:5" ht="25.5">
      <c r="A18" s="1979" t="s">
        <v>2484</v>
      </c>
      <c r="B18" s="2006">
        <v>1</v>
      </c>
      <c r="C18" s="1976" t="s">
        <v>3</v>
      </c>
      <c r="D18" s="1984">
        <v>236.64</v>
      </c>
      <c r="E18" s="1978">
        <f t="shared" si="1"/>
        <v>236.64</v>
      </c>
    </row>
    <row r="19" spans="1:5">
      <c r="A19" s="1980" t="s">
        <v>2645</v>
      </c>
      <c r="B19" s="2006">
        <v>1</v>
      </c>
      <c r="C19" s="1976" t="s">
        <v>3</v>
      </c>
      <c r="D19" s="1987">
        <v>689.04</v>
      </c>
      <c r="E19" s="1978">
        <f t="shared" si="1"/>
        <v>689.04</v>
      </c>
    </row>
    <row r="20" spans="1:5">
      <c r="A20" s="1982" t="s">
        <v>2486</v>
      </c>
      <c r="B20" s="2008">
        <v>2</v>
      </c>
      <c r="C20" s="1976" t="s">
        <v>3</v>
      </c>
      <c r="D20" s="1984">
        <v>108.34</v>
      </c>
      <c r="E20" s="1985">
        <f t="shared" si="1"/>
        <v>216.68</v>
      </c>
    </row>
    <row r="21" spans="1:5">
      <c r="A21" s="1980" t="s">
        <v>2487</v>
      </c>
      <c r="B21" s="2006">
        <v>2</v>
      </c>
      <c r="C21" s="1976" t="s">
        <v>3</v>
      </c>
      <c r="D21" s="3179">
        <v>541.72</v>
      </c>
      <c r="E21" s="1978">
        <f t="shared" si="1"/>
        <v>1083.44</v>
      </c>
    </row>
    <row r="22" spans="1:5">
      <c r="A22" s="1980" t="s">
        <v>2488</v>
      </c>
      <c r="B22" s="2006">
        <v>1</v>
      </c>
      <c r="C22" s="1976" t="s">
        <v>3</v>
      </c>
      <c r="D22" s="1984">
        <v>271.56</v>
      </c>
      <c r="E22" s="1978">
        <f t="shared" si="1"/>
        <v>271.56</v>
      </c>
    </row>
    <row r="23" spans="1:5">
      <c r="A23" s="1980" t="s">
        <v>2489</v>
      </c>
      <c r="B23" s="2008">
        <v>4</v>
      </c>
      <c r="C23" s="1976" t="s">
        <v>3</v>
      </c>
      <c r="D23" s="1987">
        <v>69.3</v>
      </c>
      <c r="E23" s="1978">
        <f t="shared" si="1"/>
        <v>277.2</v>
      </c>
    </row>
    <row r="24" spans="1:5">
      <c r="A24" s="1980" t="s">
        <v>2490</v>
      </c>
      <c r="B24" s="2008">
        <v>2</v>
      </c>
      <c r="C24" s="1976" t="s">
        <v>3</v>
      </c>
      <c r="D24" s="1987">
        <v>10.28</v>
      </c>
      <c r="E24" s="1978">
        <f t="shared" si="1"/>
        <v>20.56</v>
      </c>
    </row>
    <row r="25" spans="1:5">
      <c r="A25" s="1980" t="s">
        <v>33</v>
      </c>
      <c r="B25" s="2009">
        <v>0.05</v>
      </c>
      <c r="C25" s="1976" t="s">
        <v>46</v>
      </c>
      <c r="D25" s="1984">
        <f>E16+E17+E18+E19+E20+E21+E22+E23+E24</f>
        <v>3352.31</v>
      </c>
      <c r="E25" s="1978">
        <f>B25*D25</f>
        <v>167.62</v>
      </c>
    </row>
    <row r="26" spans="1:5">
      <c r="A26" s="3177"/>
      <c r="B26" s="3177"/>
      <c r="C26" s="5191" t="s">
        <v>2491</v>
      </c>
      <c r="D26" s="5191"/>
      <c r="E26" s="3178">
        <f>SUM(E16:E25)</f>
        <v>3519.93</v>
      </c>
    </row>
    <row r="27" spans="1:5">
      <c r="A27" s="3180"/>
      <c r="B27" s="2022"/>
      <c r="C27" s="1976"/>
      <c r="D27" s="1977"/>
      <c r="E27" s="3181"/>
    </row>
    <row r="28" spans="1:5">
      <c r="A28" s="3175" t="s">
        <v>2646</v>
      </c>
      <c r="B28" s="2016"/>
      <c r="C28" s="2016"/>
      <c r="D28" s="2016"/>
      <c r="E28" s="2016"/>
    </row>
    <row r="29" spans="1:5">
      <c r="A29" s="1974" t="s">
        <v>2483</v>
      </c>
      <c r="B29" s="1975">
        <v>4</v>
      </c>
      <c r="C29" s="1997" t="s">
        <v>3</v>
      </c>
      <c r="D29" s="1984">
        <v>170.32</v>
      </c>
      <c r="E29" s="1978">
        <f t="shared" ref="E29:E36" si="2">ROUND(B29*D29,2)</f>
        <v>681.28</v>
      </c>
    </row>
    <row r="30" spans="1:5" ht="25.5">
      <c r="A30" s="1979" t="s">
        <v>2484</v>
      </c>
      <c r="B30" s="1975">
        <v>2</v>
      </c>
      <c r="C30" s="1997" t="s">
        <v>3</v>
      </c>
      <c r="D30" s="1984">
        <v>236.64</v>
      </c>
      <c r="E30" s="1978">
        <f t="shared" si="2"/>
        <v>473.28</v>
      </c>
    </row>
    <row r="31" spans="1:5">
      <c r="A31" s="1980" t="s">
        <v>2485</v>
      </c>
      <c r="B31" s="1975">
        <v>1</v>
      </c>
      <c r="C31" s="1997" t="s">
        <v>3</v>
      </c>
      <c r="D31" s="1987">
        <v>689.04</v>
      </c>
      <c r="E31" s="1978">
        <f t="shared" si="2"/>
        <v>689.04</v>
      </c>
    </row>
    <row r="32" spans="1:5">
      <c r="A32" s="1982" t="s">
        <v>2486</v>
      </c>
      <c r="B32" s="1983">
        <v>6</v>
      </c>
      <c r="C32" s="1997" t="s">
        <v>3</v>
      </c>
      <c r="D32" s="1984">
        <v>98.6</v>
      </c>
      <c r="E32" s="1985">
        <f t="shared" si="2"/>
        <v>591.6</v>
      </c>
    </row>
    <row r="33" spans="1:5">
      <c r="A33" s="1980" t="s">
        <v>2487</v>
      </c>
      <c r="B33" s="1975">
        <v>4</v>
      </c>
      <c r="C33" s="1997" t="s">
        <v>3</v>
      </c>
      <c r="D33" s="1984">
        <v>541.72</v>
      </c>
      <c r="E33" s="1978">
        <f t="shared" si="2"/>
        <v>2166.88</v>
      </c>
    </row>
    <row r="34" spans="1:5">
      <c r="A34" s="1980" t="s">
        <v>2488</v>
      </c>
      <c r="B34" s="1975">
        <v>2</v>
      </c>
      <c r="C34" s="1997" t="s">
        <v>3</v>
      </c>
      <c r="D34" s="1984">
        <v>271.56</v>
      </c>
      <c r="E34" s="1978">
        <f t="shared" si="2"/>
        <v>543.12</v>
      </c>
    </row>
    <row r="35" spans="1:5">
      <c r="A35" s="1980" t="s">
        <v>2489</v>
      </c>
      <c r="B35" s="1983">
        <v>8</v>
      </c>
      <c r="C35" s="1997" t="s">
        <v>3</v>
      </c>
      <c r="D35" s="1987">
        <v>69.3</v>
      </c>
      <c r="E35" s="1978">
        <f t="shared" si="2"/>
        <v>554.4</v>
      </c>
    </row>
    <row r="36" spans="1:5">
      <c r="A36" s="1980" t="s">
        <v>2490</v>
      </c>
      <c r="B36" s="1983">
        <v>12</v>
      </c>
      <c r="C36" s="1997" t="s">
        <v>3</v>
      </c>
      <c r="D36" s="1987">
        <v>10.28</v>
      </c>
      <c r="E36" s="1978">
        <f t="shared" si="2"/>
        <v>123.36</v>
      </c>
    </row>
    <row r="37" spans="1:5">
      <c r="A37" s="1980" t="s">
        <v>33</v>
      </c>
      <c r="B37" s="2009">
        <v>0.05</v>
      </c>
      <c r="C37" s="1997" t="s">
        <v>46</v>
      </c>
      <c r="D37" s="1984">
        <f>E29+E30+E31+E32+E33+E34+E35+E36</f>
        <v>5822.96</v>
      </c>
      <c r="E37" s="1978">
        <f>B37*D37</f>
        <v>291.14999999999998</v>
      </c>
    </row>
    <row r="38" spans="1:5">
      <c r="A38" s="3177"/>
      <c r="B38" s="3177"/>
      <c r="C38" s="5192" t="s">
        <v>2491</v>
      </c>
      <c r="D38" s="5192"/>
      <c r="E38" s="3178">
        <f>SUM(E29:E37)</f>
        <v>6114.11</v>
      </c>
    </row>
    <row r="39" spans="1:5">
      <c r="A39" s="1968"/>
      <c r="B39" s="1969"/>
      <c r="C39" s="2010"/>
      <c r="D39" s="2010"/>
      <c r="E39" s="1969"/>
    </row>
    <row r="40" spans="1:5">
      <c r="A40" s="3182" t="s">
        <v>1314</v>
      </c>
      <c r="B40" s="1973"/>
      <c r="C40" s="3183"/>
      <c r="D40" s="3183"/>
      <c r="E40" s="1973"/>
    </row>
    <row r="41" spans="1:5">
      <c r="A41" s="1974" t="s">
        <v>2483</v>
      </c>
      <c r="B41" s="1975">
        <v>2</v>
      </c>
      <c r="C41" s="1997" t="s">
        <v>3</v>
      </c>
      <c r="D41" s="1984">
        <v>170.32</v>
      </c>
      <c r="E41" s="1978">
        <f t="shared" ref="E41:E48" si="3">ROUND(B41*D41,2)</f>
        <v>340.64</v>
      </c>
    </row>
    <row r="42" spans="1:5" ht="25.5">
      <c r="A42" s="1979" t="s">
        <v>2484</v>
      </c>
      <c r="B42" s="1975">
        <v>1</v>
      </c>
      <c r="C42" s="1997" t="s">
        <v>3</v>
      </c>
      <c r="D42" s="1984">
        <v>236.64</v>
      </c>
      <c r="E42" s="1978">
        <f t="shared" si="3"/>
        <v>236.64</v>
      </c>
    </row>
    <row r="43" spans="1:5">
      <c r="A43" s="1980" t="s">
        <v>2485</v>
      </c>
      <c r="B43" s="1975">
        <v>2</v>
      </c>
      <c r="C43" s="1997" t="s">
        <v>3</v>
      </c>
      <c r="D43" s="1987">
        <v>689.04</v>
      </c>
      <c r="E43" s="1978">
        <f t="shared" si="3"/>
        <v>1378.08</v>
      </c>
    </row>
    <row r="44" spans="1:5">
      <c r="A44" s="1982" t="s">
        <v>2486</v>
      </c>
      <c r="B44" s="1983">
        <v>3</v>
      </c>
      <c r="C44" s="1997" t="s">
        <v>3</v>
      </c>
      <c r="D44" s="1984">
        <v>108.34</v>
      </c>
      <c r="E44" s="1985">
        <f t="shared" si="3"/>
        <v>325.02</v>
      </c>
    </row>
    <row r="45" spans="1:5">
      <c r="A45" s="1980" t="s">
        <v>2487</v>
      </c>
      <c r="B45" s="1975">
        <v>2</v>
      </c>
      <c r="C45" s="1997" t="s">
        <v>3</v>
      </c>
      <c r="D45" s="1984">
        <v>541.72</v>
      </c>
      <c r="E45" s="1978">
        <f t="shared" si="3"/>
        <v>1083.44</v>
      </c>
    </row>
    <row r="46" spans="1:5">
      <c r="A46" s="1980" t="s">
        <v>2488</v>
      </c>
      <c r="B46" s="1975">
        <v>1</v>
      </c>
      <c r="C46" s="1976" t="s">
        <v>3</v>
      </c>
      <c r="D46" s="1984">
        <v>271.56</v>
      </c>
      <c r="E46" s="1978">
        <f t="shared" si="3"/>
        <v>271.56</v>
      </c>
    </row>
    <row r="47" spans="1:5">
      <c r="A47" s="1980" t="s">
        <v>2489</v>
      </c>
      <c r="B47" s="1983">
        <v>4</v>
      </c>
      <c r="C47" s="1976" t="s">
        <v>3</v>
      </c>
      <c r="D47" s="2020">
        <v>69.3</v>
      </c>
      <c r="E47" s="1978">
        <f t="shared" si="3"/>
        <v>277.2</v>
      </c>
    </row>
    <row r="48" spans="1:5">
      <c r="A48" s="1980" t="s">
        <v>2490</v>
      </c>
      <c r="B48" s="1983">
        <v>6</v>
      </c>
      <c r="C48" s="1976" t="s">
        <v>3</v>
      </c>
      <c r="D48" s="1987">
        <v>10.28</v>
      </c>
      <c r="E48" s="1978">
        <f t="shared" si="3"/>
        <v>61.68</v>
      </c>
    </row>
    <row r="49" spans="1:5">
      <c r="A49" s="1980" t="s">
        <v>33</v>
      </c>
      <c r="B49" s="1988">
        <v>0.05</v>
      </c>
      <c r="C49" s="1976" t="s">
        <v>46</v>
      </c>
      <c r="D49" s="1977">
        <f>E41+E42+E43+E44+E45+E46+E47+E48</f>
        <v>3974.26</v>
      </c>
      <c r="E49" s="1978">
        <f>B49*D49</f>
        <v>198.71</v>
      </c>
    </row>
    <row r="50" spans="1:5">
      <c r="A50" s="3177"/>
      <c r="B50" s="3177"/>
      <c r="C50" s="5191" t="s">
        <v>2491</v>
      </c>
      <c r="D50" s="5191"/>
      <c r="E50" s="3178">
        <f>SUM(E41:E49)</f>
        <v>4172.97</v>
      </c>
    </row>
    <row r="51" spans="1:5">
      <c r="A51" s="1968"/>
      <c r="B51" s="1969"/>
      <c r="C51" s="1969"/>
      <c r="D51" s="1969"/>
      <c r="E51" s="1969"/>
    </row>
    <row r="52" spans="1:5">
      <c r="A52" s="2019" t="s">
        <v>2647</v>
      </c>
      <c r="B52" s="1969"/>
      <c r="C52" s="1969"/>
      <c r="D52" s="1969"/>
      <c r="E52" s="1969"/>
    </row>
    <row r="53" spans="1:5">
      <c r="A53" s="1992" t="s">
        <v>2648</v>
      </c>
      <c r="B53" s="1993">
        <v>1</v>
      </c>
      <c r="C53" s="1994" t="s">
        <v>3</v>
      </c>
      <c r="D53" s="1995">
        <v>2875.45</v>
      </c>
      <c r="E53" s="1996">
        <f t="shared" ref="E53:E62" si="4">ROUND(B53*D53,2)</f>
        <v>2875.45</v>
      </c>
    </row>
    <row r="54" spans="1:5">
      <c r="A54" s="1980" t="s">
        <v>2649</v>
      </c>
      <c r="B54" s="1975">
        <v>2</v>
      </c>
      <c r="C54" s="1997" t="s">
        <v>3</v>
      </c>
      <c r="D54" s="1984">
        <v>284.69</v>
      </c>
      <c r="E54" s="1998">
        <f t="shared" si="4"/>
        <v>569.38</v>
      </c>
    </row>
    <row r="55" spans="1:5">
      <c r="A55" s="1974" t="s">
        <v>2483</v>
      </c>
      <c r="B55" s="1975">
        <v>2</v>
      </c>
      <c r="C55" s="1997" t="s">
        <v>3</v>
      </c>
      <c r="D55" s="1984">
        <v>196.34</v>
      </c>
      <c r="E55" s="1998">
        <f t="shared" si="4"/>
        <v>392.68</v>
      </c>
    </row>
    <row r="56" spans="1:5">
      <c r="A56" s="1980" t="s">
        <v>2650</v>
      </c>
      <c r="B56" s="1975">
        <v>2</v>
      </c>
      <c r="C56" s="1997" t="s">
        <v>3</v>
      </c>
      <c r="D56" s="1984">
        <v>48.2</v>
      </c>
      <c r="E56" s="1998">
        <f t="shared" si="4"/>
        <v>96.4</v>
      </c>
    </row>
    <row r="57" spans="1:5">
      <c r="A57" s="1980" t="s">
        <v>2651</v>
      </c>
      <c r="B57" s="1975">
        <v>3</v>
      </c>
      <c r="C57" s="1997" t="s">
        <v>3</v>
      </c>
      <c r="D57" s="1984">
        <v>684.22</v>
      </c>
      <c r="E57" s="1998">
        <f t="shared" si="4"/>
        <v>2052.66</v>
      </c>
    </row>
    <row r="58" spans="1:5">
      <c r="A58" s="1980" t="s">
        <v>2652</v>
      </c>
      <c r="B58" s="1975">
        <v>2</v>
      </c>
      <c r="C58" s="1997" t="s">
        <v>3</v>
      </c>
      <c r="D58" s="1987">
        <v>368.97</v>
      </c>
      <c r="E58" s="1998">
        <f t="shared" si="4"/>
        <v>737.94</v>
      </c>
    </row>
    <row r="59" spans="1:5">
      <c r="A59" s="1980" t="s">
        <v>3543</v>
      </c>
      <c r="B59" s="1975">
        <v>1</v>
      </c>
      <c r="C59" s="1997" t="s">
        <v>3</v>
      </c>
      <c r="D59" s="1984">
        <v>582.36</v>
      </c>
      <c r="E59" s="1998">
        <f t="shared" si="4"/>
        <v>582.36</v>
      </c>
    </row>
    <row r="60" spans="1:5">
      <c r="A60" s="1982" t="s">
        <v>2653</v>
      </c>
      <c r="B60" s="1983">
        <v>1</v>
      </c>
      <c r="C60" s="1997" t="s">
        <v>3</v>
      </c>
      <c r="D60" s="1987">
        <v>341.1</v>
      </c>
      <c r="E60" s="1985">
        <f t="shared" si="4"/>
        <v>341.1</v>
      </c>
    </row>
    <row r="61" spans="1:5">
      <c r="A61" s="1980" t="s">
        <v>2654</v>
      </c>
      <c r="B61" s="1983">
        <v>1</v>
      </c>
      <c r="C61" s="1997" t="s">
        <v>3</v>
      </c>
      <c r="D61" s="1987">
        <v>298.12</v>
      </c>
      <c r="E61" s="1998">
        <f t="shared" si="4"/>
        <v>298.12</v>
      </c>
    </row>
    <row r="62" spans="1:5">
      <c r="A62" s="1980" t="s">
        <v>2508</v>
      </c>
      <c r="B62" s="1983">
        <v>4</v>
      </c>
      <c r="C62" s="1997" t="s">
        <v>3</v>
      </c>
      <c r="D62" s="1984">
        <v>49.66</v>
      </c>
      <c r="E62" s="1998">
        <f t="shared" si="4"/>
        <v>198.64</v>
      </c>
    </row>
    <row r="63" spans="1:5">
      <c r="A63" s="1980" t="s">
        <v>33</v>
      </c>
      <c r="B63" s="1988">
        <v>0.05</v>
      </c>
      <c r="C63" s="1997" t="s">
        <v>46</v>
      </c>
      <c r="D63" s="1984">
        <f>E53+E54+E55+E56+E57+E58+E59+E60+E61+E62</f>
        <v>8144.73</v>
      </c>
      <c r="E63" s="1998">
        <f>B63*D63</f>
        <v>407.24</v>
      </c>
    </row>
    <row r="64" spans="1:5">
      <c r="A64" s="3177"/>
      <c r="B64" s="3177"/>
      <c r="C64" s="5191" t="s">
        <v>2655</v>
      </c>
      <c r="D64" s="5191"/>
      <c r="E64" s="3178">
        <f>SUM(E53:E63)</f>
        <v>8551.9699999999993</v>
      </c>
    </row>
    <row r="65" spans="1:5">
      <c r="A65" s="1968"/>
      <c r="B65" s="1969"/>
      <c r="C65" s="1969"/>
      <c r="D65" s="1969"/>
      <c r="E65" s="1969"/>
    </row>
    <row r="66" spans="1:5">
      <c r="A66" s="2019" t="s">
        <v>2656</v>
      </c>
      <c r="B66" s="1969"/>
      <c r="C66" s="1969"/>
      <c r="D66" s="1969"/>
      <c r="E66" s="1969"/>
    </row>
    <row r="67" spans="1:5">
      <c r="A67" s="1992" t="s">
        <v>2648</v>
      </c>
      <c r="B67" s="1993">
        <v>2</v>
      </c>
      <c r="C67" s="1994" t="s">
        <v>3</v>
      </c>
      <c r="D67" s="1995">
        <v>2875.45</v>
      </c>
      <c r="E67" s="1996">
        <f>ROUND(B67*D67,2)</f>
        <v>5750.9</v>
      </c>
    </row>
    <row r="68" spans="1:5">
      <c r="A68" s="1980" t="s">
        <v>2649</v>
      </c>
      <c r="B68" s="1975">
        <v>4</v>
      </c>
      <c r="C68" s="1997" t="s">
        <v>3</v>
      </c>
      <c r="D68" s="1984">
        <v>284.69</v>
      </c>
      <c r="E68" s="1998">
        <f>ROUND(B68*D68,2)</f>
        <v>1138.76</v>
      </c>
    </row>
    <row r="69" spans="1:5">
      <c r="A69" s="1974" t="s">
        <v>2496</v>
      </c>
      <c r="B69" s="1975">
        <v>2</v>
      </c>
      <c r="C69" s="1997" t="s">
        <v>3</v>
      </c>
      <c r="D69" s="1984">
        <v>214.5</v>
      </c>
      <c r="E69" s="1998">
        <f>ROUND(B69*D69,2)</f>
        <v>429</v>
      </c>
    </row>
    <row r="70" spans="1:5">
      <c r="A70" s="1974" t="s">
        <v>2657</v>
      </c>
      <c r="B70" s="1975">
        <v>4</v>
      </c>
      <c r="C70" s="1997" t="s">
        <v>3</v>
      </c>
      <c r="D70" s="1984">
        <v>258.37</v>
      </c>
      <c r="E70" s="1998">
        <f>ROUND(B70*D70,2)</f>
        <v>1033.48</v>
      </c>
    </row>
    <row r="71" spans="1:5">
      <c r="A71" s="1980" t="s">
        <v>2650</v>
      </c>
      <c r="B71" s="1975">
        <v>4</v>
      </c>
      <c r="C71" s="1997" t="s">
        <v>3</v>
      </c>
      <c r="D71" s="1984">
        <v>48.2</v>
      </c>
      <c r="E71" s="1998">
        <f t="shared" ref="E71:E78" si="5">ROUND(B71*D71,2)</f>
        <v>192.8</v>
      </c>
    </row>
    <row r="72" spans="1:5">
      <c r="A72" s="1980" t="s">
        <v>2651</v>
      </c>
      <c r="B72" s="1975">
        <v>6</v>
      </c>
      <c r="C72" s="1997" t="s">
        <v>3</v>
      </c>
      <c r="D72" s="1984">
        <v>684.22</v>
      </c>
      <c r="E72" s="1998">
        <f t="shared" si="5"/>
        <v>4105.32</v>
      </c>
    </row>
    <row r="73" spans="1:5">
      <c r="A73" s="1980" t="s">
        <v>2652</v>
      </c>
      <c r="B73" s="1975">
        <v>4</v>
      </c>
      <c r="C73" s="1997" t="s">
        <v>3</v>
      </c>
      <c r="D73" s="1987">
        <v>368.97</v>
      </c>
      <c r="E73" s="1998">
        <f t="shared" si="5"/>
        <v>1475.88</v>
      </c>
    </row>
    <row r="74" spans="1:5">
      <c r="A74" s="1980" t="s">
        <v>3543</v>
      </c>
      <c r="B74" s="1975">
        <v>2</v>
      </c>
      <c r="C74" s="1997" t="s">
        <v>3</v>
      </c>
      <c r="D74" s="1984">
        <v>582.36</v>
      </c>
      <c r="E74" s="1998">
        <f t="shared" si="5"/>
        <v>1164.72</v>
      </c>
    </row>
    <row r="75" spans="1:5">
      <c r="A75" s="1982" t="s">
        <v>2653</v>
      </c>
      <c r="B75" s="1983">
        <v>1</v>
      </c>
      <c r="C75" s="1997" t="s">
        <v>3</v>
      </c>
      <c r="D75" s="1987">
        <v>341.1</v>
      </c>
      <c r="E75" s="1985">
        <f t="shared" si="5"/>
        <v>341.1</v>
      </c>
    </row>
    <row r="76" spans="1:5">
      <c r="A76" s="1980" t="s">
        <v>2654</v>
      </c>
      <c r="B76" s="1983">
        <v>1</v>
      </c>
      <c r="C76" s="1997" t="s">
        <v>3</v>
      </c>
      <c r="D76" s="1987">
        <v>298.12</v>
      </c>
      <c r="E76" s="1998">
        <f t="shared" si="5"/>
        <v>298.12</v>
      </c>
    </row>
    <row r="77" spans="1:5">
      <c r="A77" s="1980" t="s">
        <v>2508</v>
      </c>
      <c r="B77" s="1983">
        <v>12</v>
      </c>
      <c r="C77" s="1997" t="s">
        <v>3</v>
      </c>
      <c r="D77" s="1984">
        <v>49.66</v>
      </c>
      <c r="E77" s="1998">
        <f t="shared" si="5"/>
        <v>595.91999999999996</v>
      </c>
    </row>
    <row r="78" spans="1:5">
      <c r="A78" s="1974" t="s">
        <v>2658</v>
      </c>
      <c r="B78" s="1975">
        <v>8</v>
      </c>
      <c r="C78" s="1997" t="s">
        <v>3</v>
      </c>
      <c r="D78" s="1987">
        <v>10.58</v>
      </c>
      <c r="E78" s="1998">
        <f t="shared" si="5"/>
        <v>84.64</v>
      </c>
    </row>
    <row r="79" spans="1:5">
      <c r="A79" s="1980" t="s">
        <v>33</v>
      </c>
      <c r="B79" s="1988">
        <v>0.05</v>
      </c>
      <c r="C79" s="1997" t="s">
        <v>46</v>
      </c>
      <c r="D79" s="1984">
        <f>E67+E68+E69+E70+E71+E72+E73+E74+E75+E76+E77+E78</f>
        <v>16610.64</v>
      </c>
      <c r="E79" s="1998">
        <f>B79*D79</f>
        <v>830.53</v>
      </c>
    </row>
    <row r="80" spans="1:5">
      <c r="A80" s="3177"/>
      <c r="B80" s="3177"/>
      <c r="C80" s="5191" t="s">
        <v>2502</v>
      </c>
      <c r="D80" s="5191"/>
      <c r="E80" s="3178">
        <f>SUM(E67:E79)</f>
        <v>17441.169999999998</v>
      </c>
    </row>
    <row r="81" spans="1:5">
      <c r="A81" s="1968"/>
      <c r="B81" s="1969"/>
      <c r="C81" s="1969"/>
      <c r="D81" s="1969"/>
      <c r="E81" s="1969"/>
    </row>
    <row r="82" spans="1:5">
      <c r="A82" s="2019" t="s">
        <v>2659</v>
      </c>
      <c r="B82" s="1969"/>
      <c r="C82" s="1969"/>
      <c r="D82" s="1969"/>
      <c r="E82" s="1969"/>
    </row>
    <row r="83" spans="1:5">
      <c r="A83" s="2000" t="s">
        <v>2648</v>
      </c>
      <c r="B83" s="2001">
        <v>4</v>
      </c>
      <c r="C83" s="2002" t="s">
        <v>3</v>
      </c>
      <c r="D83" s="1995">
        <v>2875.45</v>
      </c>
      <c r="E83" s="2004">
        <f t="shared" ref="E83:E94" si="6">ROUND(B83*D83,2)</f>
        <v>11501.8</v>
      </c>
    </row>
    <row r="84" spans="1:5">
      <c r="A84" s="2005" t="s">
        <v>2649</v>
      </c>
      <c r="B84" s="2006">
        <v>8</v>
      </c>
      <c r="C84" s="1997" t="s">
        <v>3</v>
      </c>
      <c r="D84" s="1984">
        <v>284.69</v>
      </c>
      <c r="E84" s="1978">
        <f t="shared" si="6"/>
        <v>2277.52</v>
      </c>
    </row>
    <row r="85" spans="1:5">
      <c r="A85" s="2007" t="s">
        <v>2496</v>
      </c>
      <c r="B85" s="2006">
        <v>4</v>
      </c>
      <c r="C85" s="1997" t="s">
        <v>3</v>
      </c>
      <c r="D85" s="1984">
        <v>214.5</v>
      </c>
      <c r="E85" s="1978">
        <f t="shared" si="6"/>
        <v>858</v>
      </c>
    </row>
    <row r="86" spans="1:5">
      <c r="A86" s="2007" t="s">
        <v>2657</v>
      </c>
      <c r="B86" s="2006">
        <v>8</v>
      </c>
      <c r="C86" s="1997" t="s">
        <v>3</v>
      </c>
      <c r="D86" s="1984">
        <v>258.37</v>
      </c>
      <c r="E86" s="1978">
        <f t="shared" si="6"/>
        <v>2066.96</v>
      </c>
    </row>
    <row r="87" spans="1:5">
      <c r="A87" s="2005" t="s">
        <v>2650</v>
      </c>
      <c r="B87" s="2006">
        <v>8</v>
      </c>
      <c r="C87" s="1997" t="s">
        <v>3</v>
      </c>
      <c r="D87" s="1984">
        <v>48.2</v>
      </c>
      <c r="E87" s="1978">
        <f t="shared" si="6"/>
        <v>385.6</v>
      </c>
    </row>
    <row r="88" spans="1:5">
      <c r="A88" s="2005" t="s">
        <v>2651</v>
      </c>
      <c r="B88" s="2006">
        <v>4</v>
      </c>
      <c r="C88" s="1997" t="s">
        <v>3</v>
      </c>
      <c r="D88" s="1984">
        <v>684.22</v>
      </c>
      <c r="E88" s="1978">
        <f t="shared" si="6"/>
        <v>2736.88</v>
      </c>
    </row>
    <row r="89" spans="1:5">
      <c r="A89" s="2005" t="s">
        <v>2652</v>
      </c>
      <c r="B89" s="2006">
        <v>4</v>
      </c>
      <c r="C89" s="1997" t="s">
        <v>3</v>
      </c>
      <c r="D89" s="1987">
        <v>323.64</v>
      </c>
      <c r="E89" s="1978">
        <f t="shared" si="6"/>
        <v>1294.56</v>
      </c>
    </row>
    <row r="90" spans="1:5">
      <c r="A90" s="2005" t="s">
        <v>2508</v>
      </c>
      <c r="B90" s="1983">
        <v>20</v>
      </c>
      <c r="C90" s="1997" t="s">
        <v>3</v>
      </c>
      <c r="D90" s="1984">
        <v>49.66</v>
      </c>
      <c r="E90" s="1978">
        <f t="shared" si="6"/>
        <v>993.2</v>
      </c>
    </row>
    <row r="91" spans="1:5">
      <c r="A91" s="2007" t="s">
        <v>2658</v>
      </c>
      <c r="B91" s="2006">
        <v>16</v>
      </c>
      <c r="C91" s="1997" t="s">
        <v>3</v>
      </c>
      <c r="D91" s="1987">
        <v>10.58</v>
      </c>
      <c r="E91" s="1978">
        <f t="shared" si="6"/>
        <v>169.28</v>
      </c>
    </row>
    <row r="92" spans="1:5">
      <c r="A92" s="2005" t="s">
        <v>2654</v>
      </c>
      <c r="B92" s="1983">
        <v>14</v>
      </c>
      <c r="C92" s="1997" t="s">
        <v>3</v>
      </c>
      <c r="D92" s="1987">
        <v>298.12</v>
      </c>
      <c r="E92" s="1978">
        <f t="shared" si="6"/>
        <v>4173.68</v>
      </c>
    </row>
    <row r="93" spans="1:5">
      <c r="A93" s="2005" t="s">
        <v>2660</v>
      </c>
      <c r="B93" s="2006">
        <v>8</v>
      </c>
      <c r="C93" s="1997" t="s">
        <v>3</v>
      </c>
      <c r="D93" s="1984">
        <v>108.34</v>
      </c>
      <c r="E93" s="1978">
        <f t="shared" si="6"/>
        <v>866.72</v>
      </c>
    </row>
    <row r="94" spans="1:5">
      <c r="A94" s="2005" t="s">
        <v>2661</v>
      </c>
      <c r="B94" s="2006">
        <v>8</v>
      </c>
      <c r="C94" s="1997" t="s">
        <v>3</v>
      </c>
      <c r="D94" s="1987">
        <v>690.57</v>
      </c>
      <c r="E94" s="1978">
        <f t="shared" si="6"/>
        <v>5524.56</v>
      </c>
    </row>
    <row r="95" spans="1:5">
      <c r="A95" s="2005" t="s">
        <v>33</v>
      </c>
      <c r="B95" s="1988">
        <v>0.05</v>
      </c>
      <c r="C95" s="1997" t="s">
        <v>46</v>
      </c>
      <c r="D95" s="1984">
        <f>E83+E84+E85+E86+E87+E88+E89+E90+E91+E92+E93+E94</f>
        <v>32848.76</v>
      </c>
      <c r="E95" s="1978">
        <f>B95*D95</f>
        <v>1642.44</v>
      </c>
    </row>
    <row r="96" spans="1:5">
      <c r="A96" s="3177"/>
      <c r="B96" s="3177"/>
      <c r="C96" s="5191" t="s">
        <v>2491</v>
      </c>
      <c r="D96" s="5191"/>
      <c r="E96" s="3178">
        <f>SUM(E83:E95)</f>
        <v>34491.199999999997</v>
      </c>
    </row>
    <row r="97" spans="1:5">
      <c r="A97" s="1968"/>
      <c r="B97" s="1969"/>
      <c r="C97" s="1969"/>
      <c r="D97" s="1969"/>
      <c r="E97" s="1969"/>
    </row>
    <row r="98" spans="1:5">
      <c r="A98" s="2019" t="s">
        <v>2662</v>
      </c>
      <c r="B98" s="1969"/>
      <c r="C98" s="1969"/>
      <c r="D98" s="1969"/>
      <c r="E98" s="1969"/>
    </row>
    <row r="99" spans="1:5">
      <c r="A99" s="1992" t="s">
        <v>2648</v>
      </c>
      <c r="B99" s="1993">
        <v>2</v>
      </c>
      <c r="C99" s="1994" t="s">
        <v>3</v>
      </c>
      <c r="D99" s="1995">
        <v>2875.45</v>
      </c>
      <c r="E99" s="1996">
        <f>ROUND(B99*D99,2)</f>
        <v>5750.9</v>
      </c>
    </row>
    <row r="100" spans="1:5">
      <c r="A100" s="1980" t="s">
        <v>2649</v>
      </c>
      <c r="B100" s="1975">
        <v>4</v>
      </c>
      <c r="C100" s="1997" t="s">
        <v>3</v>
      </c>
      <c r="D100" s="1984">
        <v>284.69</v>
      </c>
      <c r="E100" s="1998">
        <f>ROUND(B100*D100,2)</f>
        <v>1138.76</v>
      </c>
    </row>
    <row r="101" spans="1:5">
      <c r="A101" s="1974" t="s">
        <v>2496</v>
      </c>
      <c r="B101" s="1975">
        <v>2</v>
      </c>
      <c r="C101" s="1997" t="s">
        <v>3</v>
      </c>
      <c r="D101" s="1984">
        <v>214.5</v>
      </c>
      <c r="E101" s="1998">
        <f>ROUND(B101*D101,2)</f>
        <v>429</v>
      </c>
    </row>
    <row r="102" spans="1:5">
      <c r="A102" s="1974" t="s">
        <v>2657</v>
      </c>
      <c r="B102" s="1975">
        <v>4</v>
      </c>
      <c r="C102" s="1997" t="s">
        <v>3</v>
      </c>
      <c r="D102" s="1984">
        <v>258.37</v>
      </c>
      <c r="E102" s="1998">
        <f>ROUND(B102*D102,2)</f>
        <v>1033.48</v>
      </c>
    </row>
    <row r="103" spans="1:5">
      <c r="A103" s="1980" t="s">
        <v>2650</v>
      </c>
      <c r="B103" s="1975">
        <v>4</v>
      </c>
      <c r="C103" s="1997" t="s">
        <v>3</v>
      </c>
      <c r="D103" s="1984">
        <v>48.2</v>
      </c>
      <c r="E103" s="1998">
        <f t="shared" ref="E103:E108" si="7">ROUND(B103*D103,2)</f>
        <v>192.8</v>
      </c>
    </row>
    <row r="104" spans="1:5">
      <c r="A104" s="1980" t="s">
        <v>2663</v>
      </c>
      <c r="B104" s="1975">
        <v>7</v>
      </c>
      <c r="C104" s="1997" t="s">
        <v>3</v>
      </c>
      <c r="D104" s="1987">
        <v>594.79999999999995</v>
      </c>
      <c r="E104" s="1998">
        <f t="shared" si="7"/>
        <v>4163.6000000000004</v>
      </c>
    </row>
    <row r="105" spans="1:5">
      <c r="A105" s="1980" t="s">
        <v>2664</v>
      </c>
      <c r="B105" s="1975">
        <v>4</v>
      </c>
      <c r="C105" s="1997" t="s">
        <v>3</v>
      </c>
      <c r="D105" s="1987">
        <v>690.57</v>
      </c>
      <c r="E105" s="1998">
        <f t="shared" si="7"/>
        <v>2762.28</v>
      </c>
    </row>
    <row r="106" spans="1:5">
      <c r="A106" s="1982" t="s">
        <v>2665</v>
      </c>
      <c r="B106" s="1983">
        <v>4</v>
      </c>
      <c r="C106" s="1997" t="s">
        <v>3</v>
      </c>
      <c r="D106" s="1984">
        <v>227.36</v>
      </c>
      <c r="E106" s="1985">
        <f t="shared" si="7"/>
        <v>909.44</v>
      </c>
    </row>
    <row r="107" spans="1:5">
      <c r="A107" s="1980" t="s">
        <v>2508</v>
      </c>
      <c r="B107" s="1983">
        <v>8</v>
      </c>
      <c r="C107" s="1997" t="s">
        <v>3</v>
      </c>
      <c r="D107" s="1984">
        <v>49.66</v>
      </c>
      <c r="E107" s="1998">
        <f t="shared" si="7"/>
        <v>397.28</v>
      </c>
    </row>
    <row r="108" spans="1:5">
      <c r="A108" s="1974" t="s">
        <v>2658</v>
      </c>
      <c r="B108" s="1975">
        <v>8</v>
      </c>
      <c r="C108" s="1997" t="s">
        <v>3</v>
      </c>
      <c r="D108" s="1984">
        <v>18.670000000000002</v>
      </c>
      <c r="E108" s="1998">
        <f t="shared" si="7"/>
        <v>149.36000000000001</v>
      </c>
    </row>
    <row r="109" spans="1:5">
      <c r="A109" s="1980" t="s">
        <v>33</v>
      </c>
      <c r="B109" s="1988">
        <v>0.05</v>
      </c>
      <c r="C109" s="1997" t="s">
        <v>46</v>
      </c>
      <c r="D109" s="1984">
        <f>E99+E100+E101+E102+E103+E104+E105+E106+E107+E108</f>
        <v>16926.900000000001</v>
      </c>
      <c r="E109" s="1998">
        <f>B109*D109</f>
        <v>846.35</v>
      </c>
    </row>
    <row r="110" spans="1:5">
      <c r="A110" s="3177"/>
      <c r="B110" s="3177"/>
      <c r="C110" s="5191" t="s">
        <v>2655</v>
      </c>
      <c r="D110" s="5191"/>
      <c r="E110" s="3178">
        <f>SUM(E99:E109)</f>
        <v>17773.25</v>
      </c>
    </row>
    <row r="111" spans="1:5">
      <c r="A111" s="1968"/>
      <c r="B111" s="1969"/>
      <c r="C111" s="1969"/>
      <c r="D111" s="1969"/>
      <c r="E111" s="1969"/>
    </row>
    <row r="112" spans="1:5">
      <c r="A112" s="2019" t="s">
        <v>2666</v>
      </c>
      <c r="B112" s="1969"/>
      <c r="C112" s="1969"/>
      <c r="D112" s="1969"/>
      <c r="E112" s="1969"/>
    </row>
    <row r="113" spans="1:5">
      <c r="A113" s="1992" t="s">
        <v>2648</v>
      </c>
      <c r="B113" s="1993">
        <v>2</v>
      </c>
      <c r="C113" s="1994" t="s">
        <v>3</v>
      </c>
      <c r="D113" s="1995">
        <v>2875.45</v>
      </c>
      <c r="E113" s="1996">
        <f>ROUND(B113*D113,2)</f>
        <v>5750.9</v>
      </c>
    </row>
    <row r="114" spans="1:5">
      <c r="A114" s="1980" t="s">
        <v>2649</v>
      </c>
      <c r="B114" s="1975">
        <v>4</v>
      </c>
      <c r="C114" s="1997" t="s">
        <v>3</v>
      </c>
      <c r="D114" s="1984">
        <v>284.69</v>
      </c>
      <c r="E114" s="1998">
        <f>ROUND(B114*D114,2)</f>
        <v>1138.76</v>
      </c>
    </row>
    <row r="115" spans="1:5">
      <c r="A115" s="1974" t="s">
        <v>2496</v>
      </c>
      <c r="B115" s="1975">
        <v>2</v>
      </c>
      <c r="C115" s="1997" t="s">
        <v>3</v>
      </c>
      <c r="D115" s="1984">
        <v>214.5</v>
      </c>
      <c r="E115" s="1998">
        <f>ROUND(B115*D115,2)</f>
        <v>429</v>
      </c>
    </row>
    <row r="116" spans="1:5">
      <c r="A116" s="1974" t="s">
        <v>2657</v>
      </c>
      <c r="B116" s="1975">
        <v>4</v>
      </c>
      <c r="C116" s="1997" t="s">
        <v>3</v>
      </c>
      <c r="D116" s="1984">
        <v>258.37</v>
      </c>
      <c r="E116" s="1998">
        <f>ROUND(B116*D116,2)</f>
        <v>1033.48</v>
      </c>
    </row>
    <row r="117" spans="1:5">
      <c r="A117" s="1980" t="s">
        <v>2650</v>
      </c>
      <c r="B117" s="1975">
        <v>4</v>
      </c>
      <c r="C117" s="1997" t="s">
        <v>3</v>
      </c>
      <c r="D117" s="1984">
        <v>48.2</v>
      </c>
      <c r="E117" s="1998">
        <f t="shared" ref="E117:E125" si="8">ROUND(B117*D117,2)</f>
        <v>192.8</v>
      </c>
    </row>
    <row r="118" spans="1:5">
      <c r="A118" s="1980" t="s">
        <v>2651</v>
      </c>
      <c r="B118" s="1975">
        <v>3</v>
      </c>
      <c r="C118" s="1997" t="s">
        <v>3</v>
      </c>
      <c r="D118" s="1984">
        <v>684.22</v>
      </c>
      <c r="E118" s="1998">
        <f t="shared" si="8"/>
        <v>2052.66</v>
      </c>
    </row>
    <row r="119" spans="1:5">
      <c r="A119" s="1980" t="s">
        <v>2652</v>
      </c>
      <c r="B119" s="1975">
        <v>2</v>
      </c>
      <c r="C119" s="1997" t="s">
        <v>3</v>
      </c>
      <c r="D119" s="1987">
        <v>368.97</v>
      </c>
      <c r="E119" s="1998">
        <f t="shared" si="8"/>
        <v>737.94</v>
      </c>
    </row>
    <row r="120" spans="1:5">
      <c r="A120" s="1980" t="s">
        <v>3543</v>
      </c>
      <c r="B120" s="1975">
        <v>1</v>
      </c>
      <c r="C120" s="1997" t="s">
        <v>3</v>
      </c>
      <c r="D120" s="1984">
        <v>582.36</v>
      </c>
      <c r="E120" s="1998">
        <f t="shared" si="8"/>
        <v>582.36</v>
      </c>
    </row>
    <row r="121" spans="1:5">
      <c r="A121" s="1980" t="s">
        <v>2663</v>
      </c>
      <c r="B121" s="1983">
        <v>14</v>
      </c>
      <c r="C121" s="1997" t="s">
        <v>3</v>
      </c>
      <c r="D121" s="1987">
        <v>594.79999999999995</v>
      </c>
      <c r="E121" s="1998">
        <f t="shared" si="8"/>
        <v>8327.2000000000007</v>
      </c>
    </row>
    <row r="122" spans="1:5">
      <c r="A122" s="1982" t="s">
        <v>2665</v>
      </c>
      <c r="B122" s="1983">
        <v>8</v>
      </c>
      <c r="C122" s="1997" t="s">
        <v>3</v>
      </c>
      <c r="D122" s="1984">
        <v>108.34</v>
      </c>
      <c r="E122" s="1985">
        <f t="shared" si="8"/>
        <v>866.72</v>
      </c>
    </row>
    <row r="123" spans="1:5">
      <c r="A123" s="1980" t="s">
        <v>2508</v>
      </c>
      <c r="B123" s="1983">
        <v>8</v>
      </c>
      <c r="C123" s="1997" t="s">
        <v>3</v>
      </c>
      <c r="D123" s="1984">
        <v>49.66</v>
      </c>
      <c r="E123" s="1998">
        <f t="shared" si="8"/>
        <v>397.28</v>
      </c>
    </row>
    <row r="124" spans="1:5">
      <c r="A124" s="1974" t="s">
        <v>2658</v>
      </c>
      <c r="B124" s="1975">
        <v>8</v>
      </c>
      <c r="C124" s="1997" t="s">
        <v>3</v>
      </c>
      <c r="D124" s="1987">
        <v>10.58</v>
      </c>
      <c r="E124" s="1998">
        <f t="shared" si="8"/>
        <v>84.64</v>
      </c>
    </row>
    <row r="125" spans="1:5">
      <c r="A125" s="1980" t="s">
        <v>2664</v>
      </c>
      <c r="B125" s="1975">
        <v>8</v>
      </c>
      <c r="C125" s="1997" t="s">
        <v>3</v>
      </c>
      <c r="D125" s="1987">
        <v>690.57</v>
      </c>
      <c r="E125" s="1998">
        <f t="shared" si="8"/>
        <v>5524.56</v>
      </c>
    </row>
    <row r="126" spans="1:5">
      <c r="A126" s="1980" t="s">
        <v>33</v>
      </c>
      <c r="B126" s="1988">
        <v>0.05</v>
      </c>
      <c r="C126" s="1997" t="s">
        <v>46</v>
      </c>
      <c r="D126" s="1984">
        <f>E113+E114+E115+E116+E117+E118+E119+E120+E121+E122+E123+E124+E125</f>
        <v>27118.3</v>
      </c>
      <c r="E126" s="1998">
        <f>B126*D126</f>
        <v>1355.92</v>
      </c>
    </row>
    <row r="127" spans="1:5">
      <c r="A127" s="3177"/>
      <c r="B127" s="3177"/>
      <c r="C127" s="5191" t="s">
        <v>2667</v>
      </c>
      <c r="D127" s="5191"/>
      <c r="E127" s="3178">
        <f>SUM(E113:E126)</f>
        <v>28474.22</v>
      </c>
    </row>
    <row r="128" spans="1:5">
      <c r="A128" s="1968"/>
      <c r="B128" s="1969"/>
      <c r="C128" s="1969"/>
      <c r="D128" s="1969"/>
      <c r="E128" s="1969"/>
    </row>
    <row r="129" spans="1:5">
      <c r="A129" s="2019" t="s">
        <v>2668</v>
      </c>
      <c r="B129" s="1969"/>
      <c r="C129" s="1969"/>
      <c r="D129" s="1969"/>
      <c r="E129" s="1969"/>
    </row>
    <row r="130" spans="1:5">
      <c r="A130" s="1974" t="s">
        <v>2669</v>
      </c>
      <c r="B130" s="1975">
        <v>2</v>
      </c>
      <c r="C130" s="1997" t="s">
        <v>3</v>
      </c>
      <c r="D130" s="1987">
        <v>58.12</v>
      </c>
      <c r="E130" s="1998">
        <f t="shared" ref="E130:E140" si="9">ROUND(B130*D130,2)</f>
        <v>116.24</v>
      </c>
    </row>
    <row r="131" spans="1:5">
      <c r="A131" s="1974" t="s">
        <v>2670</v>
      </c>
      <c r="B131" s="1975">
        <v>1</v>
      </c>
      <c r="C131" s="1997" t="s">
        <v>3</v>
      </c>
      <c r="D131" s="1987">
        <v>182.65</v>
      </c>
      <c r="E131" s="1998">
        <f t="shared" si="9"/>
        <v>182.65</v>
      </c>
    </row>
    <row r="132" spans="1:5">
      <c r="A132" s="1974" t="s">
        <v>2671</v>
      </c>
      <c r="B132" s="1975">
        <v>2</v>
      </c>
      <c r="C132" s="1997" t="s">
        <v>3</v>
      </c>
      <c r="D132" s="1987">
        <v>168.54</v>
      </c>
      <c r="E132" s="1998">
        <f t="shared" si="9"/>
        <v>337.08</v>
      </c>
    </row>
    <row r="133" spans="1:5">
      <c r="A133" s="1974" t="s">
        <v>2672</v>
      </c>
      <c r="B133" s="1975">
        <v>3</v>
      </c>
      <c r="C133" s="1997" t="s">
        <v>3</v>
      </c>
      <c r="D133" s="1987">
        <v>63.58</v>
      </c>
      <c r="E133" s="1998">
        <f t="shared" si="9"/>
        <v>190.74</v>
      </c>
    </row>
    <row r="134" spans="1:5">
      <c r="A134" s="1980" t="s">
        <v>2649</v>
      </c>
      <c r="B134" s="1975">
        <v>2</v>
      </c>
      <c r="C134" s="1997" t="s">
        <v>3</v>
      </c>
      <c r="D134" s="1984">
        <v>284.69</v>
      </c>
      <c r="E134" s="1998">
        <f>ROUND(B134*D134,2)</f>
        <v>569.38</v>
      </c>
    </row>
    <row r="135" spans="1:5">
      <c r="A135" s="1992" t="s">
        <v>2648</v>
      </c>
      <c r="B135" s="1993">
        <v>1</v>
      </c>
      <c r="C135" s="1994" t="s">
        <v>3</v>
      </c>
      <c r="D135" s="1995">
        <v>2875.45</v>
      </c>
      <c r="E135" s="1996">
        <f>ROUND(B135*D135,2)</f>
        <v>2875.45</v>
      </c>
    </row>
    <row r="136" spans="1:5">
      <c r="A136" s="1980" t="s">
        <v>2673</v>
      </c>
      <c r="B136" s="1983">
        <v>1</v>
      </c>
      <c r="C136" s="1997" t="s">
        <v>3</v>
      </c>
      <c r="D136" s="1987">
        <v>49.66</v>
      </c>
      <c r="E136" s="1998">
        <f t="shared" si="9"/>
        <v>49.66</v>
      </c>
    </row>
    <row r="137" spans="1:5">
      <c r="A137" s="1980" t="s">
        <v>2489</v>
      </c>
      <c r="B137" s="1983">
        <v>2</v>
      </c>
      <c r="C137" s="1997" t="s">
        <v>3</v>
      </c>
      <c r="D137" s="1984">
        <v>69.3</v>
      </c>
      <c r="E137" s="1998">
        <f t="shared" si="9"/>
        <v>138.6</v>
      </c>
    </row>
    <row r="138" spans="1:5">
      <c r="A138" s="1980" t="s">
        <v>2674</v>
      </c>
      <c r="B138" s="1983">
        <v>2</v>
      </c>
      <c r="C138" s="1997" t="s">
        <v>3</v>
      </c>
      <c r="D138" s="1987">
        <v>9.42</v>
      </c>
      <c r="E138" s="1998">
        <f t="shared" si="9"/>
        <v>18.84</v>
      </c>
    </row>
    <row r="139" spans="1:5">
      <c r="A139" s="1980" t="s">
        <v>2675</v>
      </c>
      <c r="B139" s="1983">
        <v>4</v>
      </c>
      <c r="C139" s="1997" t="s">
        <v>3</v>
      </c>
      <c r="D139" s="1987">
        <v>10</v>
      </c>
      <c r="E139" s="1998">
        <f t="shared" si="9"/>
        <v>40</v>
      </c>
    </row>
    <row r="140" spans="1:5">
      <c r="A140" s="1980" t="s">
        <v>2676</v>
      </c>
      <c r="B140" s="1983">
        <v>1</v>
      </c>
      <c r="C140" s="1997" t="s">
        <v>3</v>
      </c>
      <c r="D140" s="1987">
        <v>10.28</v>
      </c>
      <c r="E140" s="1998">
        <f t="shared" si="9"/>
        <v>10.28</v>
      </c>
    </row>
    <row r="141" spans="1:5">
      <c r="A141" s="3184" t="s">
        <v>2677</v>
      </c>
      <c r="B141" s="3185">
        <v>3</v>
      </c>
      <c r="C141" s="3186" t="s">
        <v>1691</v>
      </c>
      <c r="D141" s="3187">
        <v>3227.3</v>
      </c>
      <c r="E141" s="3188">
        <f t="shared" ref="E141:E146" si="10">+B141*D141</f>
        <v>9681.9</v>
      </c>
    </row>
    <row r="142" spans="1:5">
      <c r="A142" s="3184" t="s">
        <v>2678</v>
      </c>
      <c r="B142" s="3185">
        <v>3</v>
      </c>
      <c r="C142" s="3186" t="s">
        <v>1691</v>
      </c>
      <c r="D142" s="3187">
        <v>6814.58</v>
      </c>
      <c r="E142" s="3188">
        <f t="shared" si="10"/>
        <v>20443.740000000002</v>
      </c>
    </row>
    <row r="143" spans="1:5">
      <c r="A143" s="3184" t="s">
        <v>2679</v>
      </c>
      <c r="B143" s="3185">
        <v>3</v>
      </c>
      <c r="C143" s="3186" t="s">
        <v>1691</v>
      </c>
      <c r="D143" s="3189">
        <v>1105.6600000000001</v>
      </c>
      <c r="E143" s="3188">
        <f t="shared" si="10"/>
        <v>3316.98</v>
      </c>
    </row>
    <row r="144" spans="1:5">
      <c r="A144" s="3190" t="s">
        <v>2680</v>
      </c>
      <c r="B144" s="3185">
        <v>3</v>
      </c>
      <c r="C144" s="3186" t="s">
        <v>1691</v>
      </c>
      <c r="D144" s="3189">
        <v>58742.76</v>
      </c>
      <c r="E144" s="3188">
        <f t="shared" si="10"/>
        <v>176228.28</v>
      </c>
    </row>
    <row r="145" spans="1:5">
      <c r="A145" s="3184" t="s">
        <v>2681</v>
      </c>
      <c r="B145" s="3185">
        <v>1</v>
      </c>
      <c r="C145" s="3186" t="s">
        <v>1691</v>
      </c>
      <c r="D145" s="3189">
        <v>6071.1</v>
      </c>
      <c r="E145" s="3188">
        <f t="shared" si="10"/>
        <v>6071.1</v>
      </c>
    </row>
    <row r="146" spans="1:5" ht="25.5">
      <c r="A146" s="3191" t="s">
        <v>2682</v>
      </c>
      <c r="B146" s="3185">
        <v>4</v>
      </c>
      <c r="C146" s="3186" t="s">
        <v>1691</v>
      </c>
      <c r="D146" s="3189">
        <v>145</v>
      </c>
      <c r="E146" s="3188">
        <f t="shared" si="10"/>
        <v>580</v>
      </c>
    </row>
    <row r="147" spans="1:5">
      <c r="A147" s="3192" t="s">
        <v>2500</v>
      </c>
      <c r="B147" s="1983">
        <v>2</v>
      </c>
      <c r="C147" s="1997" t="s">
        <v>3</v>
      </c>
      <c r="D147" s="1987">
        <v>168.74</v>
      </c>
      <c r="E147" s="1985">
        <f>ROUND(B147*D147,2)</f>
        <v>337.48</v>
      </c>
    </row>
    <row r="148" spans="1:5">
      <c r="A148" s="3184" t="s">
        <v>2683</v>
      </c>
      <c r="B148" s="3185">
        <v>3</v>
      </c>
      <c r="C148" s="3186" t="s">
        <v>1691</v>
      </c>
      <c r="D148" s="3189">
        <v>700</v>
      </c>
      <c r="E148" s="3188">
        <f>+B148*D148</f>
        <v>2100</v>
      </c>
    </row>
    <row r="149" spans="1:5">
      <c r="A149" s="3192" t="s">
        <v>2684</v>
      </c>
      <c r="B149" s="1983">
        <v>1</v>
      </c>
      <c r="C149" s="1997" t="s">
        <v>3</v>
      </c>
      <c r="D149" s="1987">
        <v>98.25</v>
      </c>
      <c r="E149" s="1985">
        <f>ROUND(B149*D149,2)</f>
        <v>98.25</v>
      </c>
    </row>
    <row r="150" spans="1:5">
      <c r="A150" s="3184" t="s">
        <v>2685</v>
      </c>
      <c r="B150" s="3185">
        <v>8</v>
      </c>
      <c r="C150" s="3186" t="s">
        <v>1691</v>
      </c>
      <c r="D150" s="3189">
        <v>140</v>
      </c>
      <c r="E150" s="3188">
        <f>+B150*D150</f>
        <v>1120</v>
      </c>
    </row>
    <row r="151" spans="1:5">
      <c r="A151" s="1980" t="s">
        <v>33</v>
      </c>
      <c r="B151" s="1988">
        <v>0.05</v>
      </c>
      <c r="C151" s="1997" t="s">
        <v>46</v>
      </c>
      <c r="D151" s="1984">
        <f>+E130+E131+E132+E133+E134+E135+E136+E137+E138+E139+E140+E141+E142+E143+E144+E145+E146+E147+E148+E149+E150</f>
        <v>224506.65</v>
      </c>
      <c r="E151" s="1985">
        <f>B151*D151</f>
        <v>11225.33</v>
      </c>
    </row>
    <row r="152" spans="1:5">
      <c r="A152" s="3177"/>
      <c r="B152" s="3177"/>
      <c r="C152" s="5191" t="s">
        <v>2655</v>
      </c>
      <c r="D152" s="5191"/>
      <c r="E152" s="3178">
        <f>SUM(E130:E151)</f>
        <v>235731.98</v>
      </c>
    </row>
    <row r="153" spans="1:5">
      <c r="A153" s="1968"/>
      <c r="B153" s="1969"/>
      <c r="C153" s="1969"/>
      <c r="D153" s="1969"/>
      <c r="E153" s="1969"/>
    </row>
    <row r="154" spans="1:5">
      <c r="A154" s="3193" t="s">
        <v>2686</v>
      </c>
      <c r="B154" s="3194"/>
      <c r="C154" s="3194"/>
      <c r="D154" s="3195"/>
      <c r="E154" s="3195"/>
    </row>
    <row r="155" spans="1:5">
      <c r="A155" s="3196" t="s">
        <v>2687</v>
      </c>
      <c r="B155" s="3197">
        <v>1</v>
      </c>
      <c r="C155" s="3198" t="s">
        <v>1691</v>
      </c>
      <c r="D155" s="1995">
        <v>2875.45</v>
      </c>
      <c r="E155" s="3199">
        <f t="shared" ref="E155:E165" si="11">+B155*D155</f>
        <v>2875.45</v>
      </c>
    </row>
    <row r="156" spans="1:5">
      <c r="A156" s="3196" t="s">
        <v>2688</v>
      </c>
      <c r="B156" s="3197">
        <v>1</v>
      </c>
      <c r="C156" s="3198" t="s">
        <v>1691</v>
      </c>
      <c r="D156" s="3187">
        <v>324.60000000000002</v>
      </c>
      <c r="E156" s="3199">
        <f t="shared" si="11"/>
        <v>324.60000000000002</v>
      </c>
    </row>
    <row r="157" spans="1:5" ht="25.5">
      <c r="A157" s="3200" t="s">
        <v>2682</v>
      </c>
      <c r="B157" s="3197">
        <v>2</v>
      </c>
      <c r="C157" s="3198" t="s">
        <v>1691</v>
      </c>
      <c r="D157" s="3187">
        <v>145</v>
      </c>
      <c r="E157" s="3199">
        <f t="shared" si="11"/>
        <v>290</v>
      </c>
    </row>
    <row r="158" spans="1:5">
      <c r="A158" s="3196" t="s">
        <v>2689</v>
      </c>
      <c r="B158" s="3197">
        <v>2</v>
      </c>
      <c r="C158" s="3198" t="s">
        <v>1691</v>
      </c>
      <c r="D158" s="1984">
        <v>168.74</v>
      </c>
      <c r="E158" s="3199">
        <f t="shared" si="11"/>
        <v>337.48</v>
      </c>
    </row>
    <row r="159" spans="1:5">
      <c r="A159" s="3196" t="s">
        <v>2683</v>
      </c>
      <c r="B159" s="3197">
        <v>1</v>
      </c>
      <c r="C159" s="3198" t="s">
        <v>1691</v>
      </c>
      <c r="D159" s="3187">
        <v>700</v>
      </c>
      <c r="E159" s="3199">
        <f t="shared" si="11"/>
        <v>700</v>
      </c>
    </row>
    <row r="160" spans="1:5">
      <c r="A160" s="3196" t="s">
        <v>2690</v>
      </c>
      <c r="B160" s="3197">
        <v>1</v>
      </c>
      <c r="C160" s="3198" t="s">
        <v>1691</v>
      </c>
      <c r="D160" s="3187">
        <v>160.41999999999999</v>
      </c>
      <c r="E160" s="3199">
        <f t="shared" si="11"/>
        <v>160.41999999999999</v>
      </c>
    </row>
    <row r="161" spans="1:5">
      <c r="A161" s="3196" t="s">
        <v>2691</v>
      </c>
      <c r="B161" s="3197">
        <v>4</v>
      </c>
      <c r="C161" s="3198" t="s">
        <v>1691</v>
      </c>
      <c r="D161" s="3187">
        <v>140</v>
      </c>
      <c r="E161" s="3199">
        <f t="shared" si="11"/>
        <v>560</v>
      </c>
    </row>
    <row r="162" spans="1:5">
      <c r="A162" s="3201" t="s">
        <v>2692</v>
      </c>
      <c r="B162" s="3197">
        <v>1</v>
      </c>
      <c r="C162" s="3198" t="s">
        <v>1691</v>
      </c>
      <c r="D162" s="3187">
        <v>42444.6</v>
      </c>
      <c r="E162" s="3199">
        <f>+B162*D162</f>
        <v>42444.6</v>
      </c>
    </row>
    <row r="163" spans="1:5">
      <c r="A163" s="3196" t="s">
        <v>2693</v>
      </c>
      <c r="B163" s="3197">
        <v>1</v>
      </c>
      <c r="C163" s="3198" t="s">
        <v>1691</v>
      </c>
      <c r="D163" s="3187">
        <v>6814.58</v>
      </c>
      <c r="E163" s="3199">
        <f>+B163*D163</f>
        <v>6814.58</v>
      </c>
    </row>
    <row r="164" spans="1:5">
      <c r="A164" s="3196" t="s">
        <v>2677</v>
      </c>
      <c r="B164" s="3197">
        <v>1</v>
      </c>
      <c r="C164" s="3198" t="s">
        <v>1691</v>
      </c>
      <c r="D164" s="3187">
        <v>3227.3</v>
      </c>
      <c r="E164" s="3199">
        <f>+B164*D164</f>
        <v>3227.3</v>
      </c>
    </row>
    <row r="165" spans="1:5">
      <c r="A165" s="3196" t="s">
        <v>33</v>
      </c>
      <c r="B165" s="3197">
        <v>0.5</v>
      </c>
      <c r="C165" s="3198" t="s">
        <v>46</v>
      </c>
      <c r="D165" s="3187">
        <f>+SUM(E155:E161)</f>
        <v>5247.95</v>
      </c>
      <c r="E165" s="3199">
        <f t="shared" si="11"/>
        <v>2623.98</v>
      </c>
    </row>
    <row r="166" spans="1:5">
      <c r="A166" s="3202"/>
      <c r="B166" s="3203"/>
      <c r="C166" s="5191" t="s">
        <v>2491</v>
      </c>
      <c r="D166" s="5191"/>
      <c r="E166" s="3204">
        <f>+SUM(E155:E165)</f>
        <v>60358.41</v>
      </c>
    </row>
    <row r="167" spans="1:5">
      <c r="A167" s="1968"/>
      <c r="B167" s="1969"/>
      <c r="C167" s="1969"/>
      <c r="D167" s="1969"/>
      <c r="E167" s="1969"/>
    </row>
    <row r="168" spans="1:5">
      <c r="A168" s="2019" t="s">
        <v>1588</v>
      </c>
      <c r="B168" s="1969"/>
      <c r="C168" s="1969"/>
      <c r="D168" s="1969"/>
      <c r="E168" s="1969"/>
    </row>
    <row r="169" spans="1:5">
      <c r="A169" s="1992" t="s">
        <v>2492</v>
      </c>
      <c r="B169" s="1993">
        <v>1</v>
      </c>
      <c r="C169" s="1994" t="s">
        <v>3</v>
      </c>
      <c r="D169" s="1995">
        <v>160.25</v>
      </c>
      <c r="E169" s="1996">
        <f t="shared" ref="E169:E178" si="12">ROUND(B169*D169,2)</f>
        <v>160.25</v>
      </c>
    </row>
    <row r="170" spans="1:5">
      <c r="A170" s="1980" t="s">
        <v>2493</v>
      </c>
      <c r="B170" s="1975">
        <v>1</v>
      </c>
      <c r="C170" s="1997" t="s">
        <v>3</v>
      </c>
      <c r="D170" s="1984">
        <v>822.31</v>
      </c>
      <c r="E170" s="1998">
        <f t="shared" si="12"/>
        <v>822.31</v>
      </c>
    </row>
    <row r="171" spans="1:5">
      <c r="A171" s="1974" t="s">
        <v>2494</v>
      </c>
      <c r="B171" s="1975">
        <v>2</v>
      </c>
      <c r="C171" s="1997" t="s">
        <v>3</v>
      </c>
      <c r="D171" s="1984">
        <v>398.52</v>
      </c>
      <c r="E171" s="1998">
        <f t="shared" si="12"/>
        <v>797.04</v>
      </c>
    </row>
    <row r="172" spans="1:5">
      <c r="A172" s="1982" t="s">
        <v>2495</v>
      </c>
      <c r="B172" s="1983">
        <v>1</v>
      </c>
      <c r="C172" s="1997" t="s">
        <v>3</v>
      </c>
      <c r="D172" s="1984">
        <v>108.34</v>
      </c>
      <c r="E172" s="1985">
        <f t="shared" si="12"/>
        <v>108.34</v>
      </c>
    </row>
    <row r="173" spans="1:5">
      <c r="A173" s="1974" t="s">
        <v>2496</v>
      </c>
      <c r="B173" s="1975">
        <v>1</v>
      </c>
      <c r="C173" s="1997" t="s">
        <v>3</v>
      </c>
      <c r="D173" s="1984">
        <v>214.5</v>
      </c>
      <c r="E173" s="1998">
        <f t="shared" si="12"/>
        <v>214.5</v>
      </c>
    </row>
    <row r="174" spans="1:5">
      <c r="A174" s="1980" t="s">
        <v>2497</v>
      </c>
      <c r="B174" s="1983">
        <v>1</v>
      </c>
      <c r="C174" s="1997" t="s">
        <v>3</v>
      </c>
      <c r="D174" s="1984">
        <v>88.64</v>
      </c>
      <c r="E174" s="1998">
        <f t="shared" si="12"/>
        <v>88.64</v>
      </c>
    </row>
    <row r="175" spans="1:5">
      <c r="A175" s="1974" t="s">
        <v>2498</v>
      </c>
      <c r="B175" s="1975">
        <v>45</v>
      </c>
      <c r="C175" s="1997" t="s">
        <v>1665</v>
      </c>
      <c r="D175" s="1984">
        <v>31.24</v>
      </c>
      <c r="E175" s="1998">
        <f t="shared" si="12"/>
        <v>1405.8</v>
      </c>
    </row>
    <row r="176" spans="1:5">
      <c r="A176" s="1980" t="s">
        <v>2499</v>
      </c>
      <c r="B176" s="1975">
        <v>8</v>
      </c>
      <c r="C176" s="1997" t="s">
        <v>1665</v>
      </c>
      <c r="D176" s="1984">
        <v>43.86</v>
      </c>
      <c r="E176" s="1998">
        <f t="shared" si="12"/>
        <v>350.88</v>
      </c>
    </row>
    <row r="177" spans="1:5">
      <c r="A177" s="1980" t="s">
        <v>2500</v>
      </c>
      <c r="B177" s="1975">
        <v>1</v>
      </c>
      <c r="C177" s="1997" t="s">
        <v>3</v>
      </c>
      <c r="D177" s="1984">
        <v>168.74</v>
      </c>
      <c r="E177" s="1998">
        <f t="shared" si="12"/>
        <v>168.74</v>
      </c>
    </row>
    <row r="178" spans="1:5">
      <c r="A178" s="1980" t="s">
        <v>2501</v>
      </c>
      <c r="B178" s="1975">
        <v>1</v>
      </c>
      <c r="C178" s="1997" t="s">
        <v>3</v>
      </c>
      <c r="D178" s="1987">
        <v>280.10000000000002</v>
      </c>
      <c r="E178" s="1998">
        <f t="shared" si="12"/>
        <v>280.10000000000002</v>
      </c>
    </row>
    <row r="179" spans="1:5">
      <c r="A179" s="1980" t="s">
        <v>33</v>
      </c>
      <c r="B179" s="1988">
        <v>0.05</v>
      </c>
      <c r="C179" s="1997" t="s">
        <v>46</v>
      </c>
      <c r="D179" s="1984">
        <f>E169+E170+E171+E172+E173+E174+E175+E176+E177+E178</f>
        <v>4396.6000000000004</v>
      </c>
      <c r="E179" s="1998">
        <f>B179*D179</f>
        <v>219.83</v>
      </c>
    </row>
    <row r="180" spans="1:5">
      <c r="A180" s="3177"/>
      <c r="B180" s="3177"/>
      <c r="C180" s="5191" t="s">
        <v>2502</v>
      </c>
      <c r="D180" s="5191"/>
      <c r="E180" s="3178">
        <f>SUM(E169:E179)</f>
        <v>4616.43</v>
      </c>
    </row>
    <row r="181" spans="1:5">
      <c r="A181" s="1999"/>
      <c r="B181" s="1999"/>
      <c r="C181" s="1999"/>
      <c r="D181" s="1999"/>
      <c r="E181" s="1999"/>
    </row>
    <row r="182" spans="1:5">
      <c r="A182" s="2019" t="s">
        <v>2503</v>
      </c>
      <c r="B182" s="1969"/>
      <c r="C182" s="1969"/>
      <c r="D182" s="1969"/>
      <c r="E182" s="1969"/>
    </row>
    <row r="183" spans="1:5">
      <c r="A183" s="2000" t="s">
        <v>2504</v>
      </c>
      <c r="B183" s="2001">
        <v>1</v>
      </c>
      <c r="C183" s="2002" t="s">
        <v>3</v>
      </c>
      <c r="D183" s="2003">
        <v>452.4</v>
      </c>
      <c r="E183" s="2004">
        <f t="shared" ref="E183:E188" si="13">ROUND(B183*D183,2)</f>
        <v>452.4</v>
      </c>
    </row>
    <row r="184" spans="1:5">
      <c r="A184" s="2005" t="s">
        <v>2505</v>
      </c>
      <c r="B184" s="2006">
        <v>1</v>
      </c>
      <c r="C184" s="1976" t="s">
        <v>3</v>
      </c>
      <c r="D184" s="1977">
        <v>50.77</v>
      </c>
      <c r="E184" s="1978">
        <f t="shared" si="13"/>
        <v>50.77</v>
      </c>
    </row>
    <row r="185" spans="1:5">
      <c r="A185" s="2007" t="s">
        <v>2506</v>
      </c>
      <c r="B185" s="2006">
        <v>40</v>
      </c>
      <c r="C185" s="1976" t="s">
        <v>1665</v>
      </c>
      <c r="D185" s="1984">
        <v>85.26</v>
      </c>
      <c r="E185" s="1978">
        <f t="shared" si="13"/>
        <v>3410.4</v>
      </c>
    </row>
    <row r="186" spans="1:5">
      <c r="A186" s="2007" t="s">
        <v>2507</v>
      </c>
      <c r="B186" s="2006">
        <v>1</v>
      </c>
      <c r="C186" s="1976" t="s">
        <v>3</v>
      </c>
      <c r="D186" s="1977">
        <v>97.08</v>
      </c>
      <c r="E186" s="1978">
        <f t="shared" si="13"/>
        <v>97.08</v>
      </c>
    </row>
    <row r="187" spans="1:5">
      <c r="A187" s="2005" t="s">
        <v>2508</v>
      </c>
      <c r="B187" s="2008">
        <v>4</v>
      </c>
      <c r="C187" s="1976" t="s">
        <v>3</v>
      </c>
      <c r="D187" s="1984">
        <v>49.66</v>
      </c>
      <c r="E187" s="1978">
        <f t="shared" si="13"/>
        <v>198.64</v>
      </c>
    </row>
    <row r="188" spans="1:5">
      <c r="A188" s="2007" t="s">
        <v>2509</v>
      </c>
      <c r="B188" s="2006">
        <v>4</v>
      </c>
      <c r="C188" s="1976" t="s">
        <v>3</v>
      </c>
      <c r="D188" s="1987">
        <v>10.28</v>
      </c>
      <c r="E188" s="1978">
        <f t="shared" si="13"/>
        <v>41.12</v>
      </c>
    </row>
    <row r="189" spans="1:5">
      <c r="A189" s="2005" t="s">
        <v>33</v>
      </c>
      <c r="B189" s="2009">
        <v>0.05</v>
      </c>
      <c r="C189" s="1976" t="s">
        <v>46</v>
      </c>
      <c r="D189" s="1977">
        <f>E183+E184+E185+E186+E187+E188</f>
        <v>4250.41</v>
      </c>
      <c r="E189" s="1978">
        <f>B189*D189</f>
        <v>212.52</v>
      </c>
    </row>
    <row r="190" spans="1:5">
      <c r="A190" s="3177"/>
      <c r="B190" s="3177"/>
      <c r="C190" s="5191" t="s">
        <v>2491</v>
      </c>
      <c r="D190" s="5191"/>
      <c r="E190" s="3178">
        <f>SUM(E183:E189)</f>
        <v>4462.93</v>
      </c>
    </row>
    <row r="191" spans="1:5">
      <c r="A191" s="1999"/>
      <c r="B191" s="1999"/>
      <c r="C191" s="1999"/>
      <c r="D191" s="1999"/>
      <c r="E191" s="1999"/>
    </row>
    <row r="192" spans="1:5">
      <c r="A192" s="2019" t="s">
        <v>2694</v>
      </c>
      <c r="B192" s="2010"/>
      <c r="C192" s="2010"/>
      <c r="D192" s="2010"/>
      <c r="E192" s="2010"/>
    </row>
    <row r="193" spans="1:5">
      <c r="A193" s="1992" t="s">
        <v>2648</v>
      </c>
      <c r="B193" s="1993">
        <v>1</v>
      </c>
      <c r="C193" s="1994" t="s">
        <v>3</v>
      </c>
      <c r="D193" s="1995">
        <v>2875.45</v>
      </c>
      <c r="E193" s="1996">
        <f t="shared" ref="E193:E202" si="14">ROUND(B193*D193,2)</f>
        <v>2875.45</v>
      </c>
    </row>
    <row r="194" spans="1:5">
      <c r="A194" s="1980" t="s">
        <v>2649</v>
      </c>
      <c r="B194" s="1975">
        <v>2</v>
      </c>
      <c r="C194" s="1997" t="s">
        <v>3</v>
      </c>
      <c r="D194" s="1984">
        <v>284.69</v>
      </c>
      <c r="E194" s="1998">
        <f t="shared" si="14"/>
        <v>569.38</v>
      </c>
    </row>
    <row r="195" spans="1:5">
      <c r="A195" s="1974" t="s">
        <v>2669</v>
      </c>
      <c r="B195" s="1975">
        <v>2</v>
      </c>
      <c r="C195" s="1997" t="s">
        <v>3</v>
      </c>
      <c r="D195" s="1987">
        <v>58.12</v>
      </c>
      <c r="E195" s="1998">
        <f t="shared" si="14"/>
        <v>116.24</v>
      </c>
    </row>
    <row r="196" spans="1:5">
      <c r="A196" s="1974" t="s">
        <v>2695</v>
      </c>
      <c r="B196" s="1975">
        <v>1</v>
      </c>
      <c r="C196" s="1997" t="s">
        <v>3</v>
      </c>
      <c r="D196" s="1987">
        <v>182.65</v>
      </c>
      <c r="E196" s="1998">
        <f t="shared" si="14"/>
        <v>182.65</v>
      </c>
    </row>
    <row r="197" spans="1:5">
      <c r="A197" s="1974" t="s">
        <v>2696</v>
      </c>
      <c r="B197" s="1975">
        <v>1</v>
      </c>
      <c r="C197" s="1997" t="s">
        <v>3</v>
      </c>
      <c r="D197" s="1987">
        <v>168.54</v>
      </c>
      <c r="E197" s="1998">
        <f t="shared" si="14"/>
        <v>168.54</v>
      </c>
    </row>
    <row r="198" spans="1:5">
      <c r="A198" s="1980" t="s">
        <v>2673</v>
      </c>
      <c r="B198" s="1983">
        <v>1</v>
      </c>
      <c r="C198" s="1997" t="s">
        <v>3</v>
      </c>
      <c r="D198" s="1987">
        <v>49.66</v>
      </c>
      <c r="E198" s="1998">
        <f t="shared" si="14"/>
        <v>49.66</v>
      </c>
    </row>
    <row r="199" spans="1:5">
      <c r="A199" s="1980" t="s">
        <v>2697</v>
      </c>
      <c r="B199" s="1983">
        <v>1</v>
      </c>
      <c r="C199" s="1997" t="s">
        <v>3</v>
      </c>
      <c r="D199" s="1984">
        <v>69.3</v>
      </c>
      <c r="E199" s="1998">
        <f t="shared" si="14"/>
        <v>69.3</v>
      </c>
    </row>
    <row r="200" spans="1:5">
      <c r="A200" s="1980" t="s">
        <v>2674</v>
      </c>
      <c r="B200" s="1983">
        <v>2</v>
      </c>
      <c r="C200" s="1997" t="s">
        <v>3</v>
      </c>
      <c r="D200" s="1987">
        <v>9.42</v>
      </c>
      <c r="E200" s="1998">
        <f t="shared" si="14"/>
        <v>18.84</v>
      </c>
    </row>
    <row r="201" spans="1:5">
      <c r="A201" s="1980" t="s">
        <v>2675</v>
      </c>
      <c r="B201" s="1983">
        <v>1</v>
      </c>
      <c r="C201" s="1997" t="s">
        <v>3</v>
      </c>
      <c r="D201" s="1987">
        <v>10</v>
      </c>
      <c r="E201" s="1998">
        <f t="shared" si="14"/>
        <v>10</v>
      </c>
    </row>
    <row r="202" spans="1:5">
      <c r="A202" s="1980" t="s">
        <v>2676</v>
      </c>
      <c r="B202" s="1983">
        <v>1</v>
      </c>
      <c r="C202" s="1997" t="s">
        <v>3</v>
      </c>
      <c r="D202" s="1987">
        <v>10.28</v>
      </c>
      <c r="E202" s="1998">
        <f t="shared" si="14"/>
        <v>10.28</v>
      </c>
    </row>
    <row r="203" spans="1:5">
      <c r="A203" s="1980" t="s">
        <v>33</v>
      </c>
      <c r="B203" s="1988">
        <v>0.05</v>
      </c>
      <c r="C203" s="1997" t="s">
        <v>46</v>
      </c>
      <c r="D203" s="1984">
        <f>E193+E194+E195+E196+E197+E198+E199+E200+E201+E202</f>
        <v>4070.34</v>
      </c>
      <c r="E203" s="1998">
        <f>B203*D203</f>
        <v>203.52</v>
      </c>
    </row>
    <row r="204" spans="1:5">
      <c r="A204" s="3205"/>
      <c r="B204" s="3205"/>
      <c r="C204" s="5192" t="s">
        <v>2491</v>
      </c>
      <c r="D204" s="5192"/>
      <c r="E204" s="3178">
        <f>SUM(E193:E203)</f>
        <v>4273.8599999999997</v>
      </c>
    </row>
    <row r="205" spans="1:5">
      <c r="A205" s="1999"/>
      <c r="B205" s="1999"/>
      <c r="C205" s="1999"/>
      <c r="D205" s="1999"/>
      <c r="E205" s="1999"/>
    </row>
    <row r="206" spans="1:5">
      <c r="A206" s="2019" t="s">
        <v>2698</v>
      </c>
      <c r="B206" s="1969"/>
      <c r="C206" s="1969"/>
      <c r="D206" s="1969"/>
      <c r="E206" s="1969"/>
    </row>
    <row r="207" spans="1:5">
      <c r="A207" s="1992" t="s">
        <v>2648</v>
      </c>
      <c r="B207" s="1993">
        <v>1</v>
      </c>
      <c r="C207" s="1994" t="s">
        <v>3</v>
      </c>
      <c r="D207" s="1995">
        <v>2875.45</v>
      </c>
      <c r="E207" s="1996">
        <f t="shared" ref="E207:E218" si="15">ROUND(B207*D207,2)</f>
        <v>2875.45</v>
      </c>
    </row>
    <row r="208" spans="1:5">
      <c r="A208" s="1980" t="s">
        <v>2649</v>
      </c>
      <c r="B208" s="1975">
        <v>2</v>
      </c>
      <c r="C208" s="1997" t="s">
        <v>3</v>
      </c>
      <c r="D208" s="1984">
        <v>284.69</v>
      </c>
      <c r="E208" s="1998">
        <f t="shared" si="15"/>
        <v>569.38</v>
      </c>
    </row>
    <row r="209" spans="1:5">
      <c r="A209" s="1992" t="s">
        <v>2699</v>
      </c>
      <c r="B209" s="1993">
        <v>3</v>
      </c>
      <c r="C209" s="1994" t="s">
        <v>3</v>
      </c>
      <c r="D209" s="3189">
        <v>6814.58</v>
      </c>
      <c r="E209" s="1996">
        <f t="shared" si="15"/>
        <v>20443.740000000002</v>
      </c>
    </row>
    <row r="210" spans="1:5">
      <c r="A210" s="1974" t="s">
        <v>2669</v>
      </c>
      <c r="B210" s="1975">
        <v>2</v>
      </c>
      <c r="C210" s="1997" t="s">
        <v>3</v>
      </c>
      <c r="D210" s="1987">
        <v>58.12</v>
      </c>
      <c r="E210" s="1998">
        <f t="shared" si="15"/>
        <v>116.24</v>
      </c>
    </row>
    <row r="211" spans="1:5">
      <c r="A211" s="1974" t="s">
        <v>2670</v>
      </c>
      <c r="B211" s="1975">
        <v>1</v>
      </c>
      <c r="C211" s="1997" t="s">
        <v>3</v>
      </c>
      <c r="D211" s="1987">
        <v>182.65</v>
      </c>
      <c r="E211" s="1998">
        <f t="shared" si="15"/>
        <v>182.65</v>
      </c>
    </row>
    <row r="212" spans="1:5">
      <c r="A212" s="1974" t="s">
        <v>2671</v>
      </c>
      <c r="B212" s="1975">
        <v>2</v>
      </c>
      <c r="C212" s="1997" t="s">
        <v>3</v>
      </c>
      <c r="D212" s="1987">
        <v>168.54</v>
      </c>
      <c r="E212" s="1998">
        <f t="shared" si="15"/>
        <v>337.08</v>
      </c>
    </row>
    <row r="213" spans="1:5">
      <c r="A213" s="1974" t="s">
        <v>2672</v>
      </c>
      <c r="B213" s="1975">
        <v>1</v>
      </c>
      <c r="C213" s="1997" t="s">
        <v>3</v>
      </c>
      <c r="D213" s="1987">
        <v>63.58</v>
      </c>
      <c r="E213" s="1998">
        <f t="shared" si="15"/>
        <v>63.58</v>
      </c>
    </row>
    <row r="214" spans="1:5">
      <c r="A214" s="1980" t="s">
        <v>2673</v>
      </c>
      <c r="B214" s="1983">
        <v>1</v>
      </c>
      <c r="C214" s="1997" t="s">
        <v>3</v>
      </c>
      <c r="D214" s="1987">
        <v>49.66</v>
      </c>
      <c r="E214" s="1998">
        <f t="shared" si="15"/>
        <v>49.66</v>
      </c>
    </row>
    <row r="215" spans="1:5">
      <c r="A215" s="1980" t="s">
        <v>2489</v>
      </c>
      <c r="B215" s="1983">
        <v>3</v>
      </c>
      <c r="C215" s="1997" t="s">
        <v>3</v>
      </c>
      <c r="D215" s="1984">
        <v>69.3</v>
      </c>
      <c r="E215" s="1998">
        <f t="shared" si="15"/>
        <v>207.9</v>
      </c>
    </row>
    <row r="216" spans="1:5">
      <c r="A216" s="1980" t="s">
        <v>2674</v>
      </c>
      <c r="B216" s="1983">
        <v>2</v>
      </c>
      <c r="C216" s="1997" t="s">
        <v>3</v>
      </c>
      <c r="D216" s="1987">
        <v>9.42</v>
      </c>
      <c r="E216" s="1998">
        <f t="shared" si="15"/>
        <v>18.84</v>
      </c>
    </row>
    <row r="217" spans="1:5">
      <c r="A217" s="1980" t="s">
        <v>2675</v>
      </c>
      <c r="B217" s="1983">
        <v>4</v>
      </c>
      <c r="C217" s="1997" t="s">
        <v>3</v>
      </c>
      <c r="D217" s="1987">
        <v>10</v>
      </c>
      <c r="E217" s="1998">
        <f t="shared" si="15"/>
        <v>40</v>
      </c>
    </row>
    <row r="218" spans="1:5">
      <c r="A218" s="1980" t="s">
        <v>2676</v>
      </c>
      <c r="B218" s="1983">
        <v>2</v>
      </c>
      <c r="C218" s="1997" t="s">
        <v>3</v>
      </c>
      <c r="D218" s="1987">
        <v>10.28</v>
      </c>
      <c r="E218" s="1998">
        <f t="shared" si="15"/>
        <v>20.56</v>
      </c>
    </row>
    <row r="219" spans="1:5">
      <c r="A219" s="1980" t="s">
        <v>2500</v>
      </c>
      <c r="B219" s="1975">
        <v>6</v>
      </c>
      <c r="C219" s="1997" t="s">
        <v>3</v>
      </c>
      <c r="D219" s="1987">
        <v>168.74</v>
      </c>
      <c r="E219" s="1998">
        <f>ROUND(B219*D219,2)</f>
        <v>1012.44</v>
      </c>
    </row>
    <row r="220" spans="1:5">
      <c r="A220" s="1980" t="s">
        <v>2684</v>
      </c>
      <c r="B220" s="1975">
        <v>1</v>
      </c>
      <c r="C220" s="1997" t="s">
        <v>3</v>
      </c>
      <c r="D220" s="1987">
        <v>98.25</v>
      </c>
      <c r="E220" s="1998">
        <f>ROUND(B220*D220,2)</f>
        <v>98.25</v>
      </c>
    </row>
    <row r="221" spans="1:5">
      <c r="A221" s="1980" t="s">
        <v>33</v>
      </c>
      <c r="B221" s="1988">
        <v>0.05</v>
      </c>
      <c r="C221" s="1997" t="s">
        <v>46</v>
      </c>
      <c r="D221" s="1984">
        <f>E207+E208+E209+E210+E211+E212+E213+E214+E215+E216+E217+E218+E219+E220</f>
        <v>26035.77</v>
      </c>
      <c r="E221" s="1998">
        <f>B221*D221</f>
        <v>1301.79</v>
      </c>
    </row>
    <row r="222" spans="1:5">
      <c r="A222" s="3177"/>
      <c r="B222" s="3177"/>
      <c r="C222" s="5191" t="s">
        <v>2655</v>
      </c>
      <c r="D222" s="5191"/>
      <c r="E222" s="3178">
        <f>SUM(E207:E221)</f>
        <v>27337.56</v>
      </c>
    </row>
    <row r="223" spans="1:5">
      <c r="A223" s="1999"/>
      <c r="B223" s="1999"/>
      <c r="C223" s="1999"/>
      <c r="D223" s="1999"/>
      <c r="E223" s="1999"/>
    </row>
    <row r="224" spans="1:5">
      <c r="A224" s="2019" t="s">
        <v>2700</v>
      </c>
      <c r="B224" s="1969"/>
      <c r="C224" s="1969"/>
      <c r="D224" s="1969"/>
      <c r="E224" s="1969"/>
    </row>
    <row r="225" spans="1:5">
      <c r="A225" s="1974" t="s">
        <v>2670</v>
      </c>
      <c r="B225" s="1975">
        <v>4</v>
      </c>
      <c r="C225" s="1997" t="s">
        <v>3</v>
      </c>
      <c r="D225" s="1987">
        <v>182.65</v>
      </c>
      <c r="E225" s="1998">
        <f>ROUND(B225*D225,2)</f>
        <v>730.6</v>
      </c>
    </row>
    <row r="226" spans="1:5">
      <c r="A226" s="1980" t="s">
        <v>2649</v>
      </c>
      <c r="B226" s="1975">
        <v>2</v>
      </c>
      <c r="C226" s="1997" t="s">
        <v>3</v>
      </c>
      <c r="D226" s="1984">
        <v>284.69</v>
      </c>
      <c r="E226" s="1998">
        <f>ROUND(B226*D226,2)</f>
        <v>569.38</v>
      </c>
    </row>
    <row r="227" spans="1:5">
      <c r="A227" s="1980" t="s">
        <v>2489</v>
      </c>
      <c r="B227" s="1983">
        <v>4</v>
      </c>
      <c r="C227" s="1997" t="s">
        <v>3</v>
      </c>
      <c r="D227" s="1984">
        <v>69.3</v>
      </c>
      <c r="E227" s="1998">
        <f>ROUND(B227*D227,2)</f>
        <v>277.2</v>
      </c>
    </row>
    <row r="228" spans="1:5">
      <c r="A228" s="1980" t="s">
        <v>2675</v>
      </c>
      <c r="B228" s="1983">
        <v>4</v>
      </c>
      <c r="C228" s="1997" t="s">
        <v>3</v>
      </c>
      <c r="D228" s="1987">
        <v>10</v>
      </c>
      <c r="E228" s="1998">
        <f>ROUND(B228*D228,2)</f>
        <v>40</v>
      </c>
    </row>
    <row r="229" spans="1:5" ht="25.5">
      <c r="A229" s="3191" t="s">
        <v>2701</v>
      </c>
      <c r="B229" s="3185">
        <v>3</v>
      </c>
      <c r="C229" s="1997" t="s">
        <v>3</v>
      </c>
      <c r="D229" s="3206">
        <v>12284.6</v>
      </c>
      <c r="E229" s="3188">
        <f>+B229*D229</f>
        <v>36853.800000000003</v>
      </c>
    </row>
    <row r="230" spans="1:5" ht="25.5">
      <c r="A230" s="3191" t="s">
        <v>2702</v>
      </c>
      <c r="B230" s="3185">
        <v>3</v>
      </c>
      <c r="C230" s="1997" t="s">
        <v>3</v>
      </c>
      <c r="D230" s="3206">
        <v>10692.94</v>
      </c>
      <c r="E230" s="3188">
        <f>+B230*D230</f>
        <v>32078.82</v>
      </c>
    </row>
    <row r="231" spans="1:5">
      <c r="A231" s="3184" t="s">
        <v>2703</v>
      </c>
      <c r="B231" s="3185">
        <v>1</v>
      </c>
      <c r="C231" s="1997" t="s">
        <v>3</v>
      </c>
      <c r="D231" s="3206">
        <v>5886.68</v>
      </c>
      <c r="E231" s="3188">
        <f>+B231*D231</f>
        <v>5886.68</v>
      </c>
    </row>
    <row r="232" spans="1:5">
      <c r="A232" s="3192" t="s">
        <v>2704</v>
      </c>
      <c r="B232" s="1983">
        <v>3</v>
      </c>
      <c r="C232" s="1997" t="s">
        <v>3</v>
      </c>
      <c r="D232" s="1987">
        <v>66.5</v>
      </c>
      <c r="E232" s="1985">
        <f>ROUND(B232*D232,2)</f>
        <v>199.5</v>
      </c>
    </row>
    <row r="233" spans="1:5">
      <c r="A233" s="3184" t="s">
        <v>2685</v>
      </c>
      <c r="B233" s="3185">
        <v>3</v>
      </c>
      <c r="C233" s="3186" t="s">
        <v>3</v>
      </c>
      <c r="D233" s="3189">
        <v>140</v>
      </c>
      <c r="E233" s="3188">
        <f>+B233*D233</f>
        <v>420</v>
      </c>
    </row>
    <row r="234" spans="1:5">
      <c r="A234" s="1980" t="s">
        <v>33</v>
      </c>
      <c r="B234" s="1988">
        <v>0.05</v>
      </c>
      <c r="C234" s="1997" t="s">
        <v>46</v>
      </c>
      <c r="D234" s="1984">
        <f>+E225+E226+E227+E228+E229+E230+E231+E232+E233</f>
        <v>77055.98</v>
      </c>
      <c r="E234" s="1985">
        <f>B234*D234</f>
        <v>3852.8</v>
      </c>
    </row>
    <row r="235" spans="1:5">
      <c r="A235" s="3177"/>
      <c r="B235" s="3177"/>
      <c r="C235" s="5191" t="s">
        <v>2655</v>
      </c>
      <c r="D235" s="5191"/>
      <c r="E235" s="3178">
        <f>SUM(E225:E234)</f>
        <v>80908.78</v>
      </c>
    </row>
    <row r="236" spans="1:5">
      <c r="A236" s="1999"/>
      <c r="B236" s="1999"/>
      <c r="C236" s="1999"/>
      <c r="D236" s="1999"/>
      <c r="E236" s="1999"/>
    </row>
    <row r="237" spans="1:5">
      <c r="A237" s="2019" t="s">
        <v>953</v>
      </c>
      <c r="B237" s="2010"/>
      <c r="C237" s="2010"/>
      <c r="D237" s="2010"/>
      <c r="E237" s="2010"/>
    </row>
    <row r="238" spans="1:5">
      <c r="A238" s="2011" t="s">
        <v>2510</v>
      </c>
      <c r="B238" s="2012">
        <v>2</v>
      </c>
      <c r="C238" s="1994" t="s">
        <v>148</v>
      </c>
      <c r="D238" s="1995">
        <v>800</v>
      </c>
      <c r="E238" s="1996">
        <f>ROUND(B238*D238,2)</f>
        <v>1600</v>
      </c>
    </row>
    <row r="239" spans="1:5">
      <c r="A239" s="2013" t="s">
        <v>2511</v>
      </c>
      <c r="B239" s="1988">
        <v>0.05</v>
      </c>
      <c r="C239" s="1997" t="s">
        <v>46</v>
      </c>
      <c r="D239" s="1984">
        <f>E238</f>
        <v>1600</v>
      </c>
      <c r="E239" s="1998">
        <f>ROUND(B239*D239,2)</f>
        <v>80</v>
      </c>
    </row>
    <row r="240" spans="1:5">
      <c r="A240" s="3207"/>
      <c r="B240" s="3208"/>
      <c r="C240" s="5193" t="s">
        <v>2512</v>
      </c>
      <c r="D240" s="5194"/>
      <c r="E240" s="3178">
        <f>SUM(E238:E239)</f>
        <v>1680</v>
      </c>
    </row>
    <row r="241" spans="1:5">
      <c r="A241" s="2016"/>
      <c r="B241" s="2016"/>
      <c r="C241" s="2017"/>
      <c r="D241" s="2017"/>
      <c r="E241" s="2018"/>
    </row>
    <row r="242" spans="1:5">
      <c r="A242" s="2019" t="s">
        <v>925</v>
      </c>
      <c r="B242" s="2010"/>
      <c r="C242" s="2010"/>
      <c r="D242" s="2010"/>
      <c r="E242" s="2010"/>
    </row>
    <row r="243" spans="1:5">
      <c r="A243" s="2011" t="s">
        <v>2513</v>
      </c>
      <c r="B243" s="2012">
        <v>2</v>
      </c>
      <c r="C243" s="1994" t="s">
        <v>148</v>
      </c>
      <c r="D243" s="1995">
        <v>600</v>
      </c>
      <c r="E243" s="1996">
        <f>ROUND(B243*D243,2)</f>
        <v>1200</v>
      </c>
    </row>
    <row r="244" spans="1:5">
      <c r="A244" s="2013" t="s">
        <v>2511</v>
      </c>
      <c r="B244" s="1988">
        <v>0.05</v>
      </c>
      <c r="C244" s="1997" t="s">
        <v>46</v>
      </c>
      <c r="D244" s="1984">
        <f>E243</f>
        <v>1200</v>
      </c>
      <c r="E244" s="1998">
        <f>ROUND(B244*D244,2)</f>
        <v>60</v>
      </c>
    </row>
    <row r="245" spans="1:5">
      <c r="A245" s="3207"/>
      <c r="B245" s="3208"/>
      <c r="C245" s="5193" t="s">
        <v>2512</v>
      </c>
      <c r="D245" s="5194"/>
      <c r="E245" s="3178">
        <f>SUM(E243:E244)</f>
        <v>1260</v>
      </c>
    </row>
    <row r="247" spans="1:5">
      <c r="A247" s="2019" t="s">
        <v>2514</v>
      </c>
      <c r="B247" s="1969"/>
      <c r="C247" s="1969"/>
      <c r="D247" s="1969"/>
      <c r="E247" s="1969"/>
    </row>
    <row r="248" spans="1:5">
      <c r="A248" s="2007" t="s">
        <v>2515</v>
      </c>
      <c r="B248" s="2001">
        <v>2</v>
      </c>
      <c r="C248" s="2002" t="s">
        <v>3</v>
      </c>
      <c r="D248" s="2003">
        <v>170.32</v>
      </c>
      <c r="E248" s="2004">
        <f t="shared" ref="E248:E253" si="16">ROUND(B248*D248,2)</f>
        <v>340.64</v>
      </c>
    </row>
    <row r="249" spans="1:5">
      <c r="A249" s="1974" t="s">
        <v>2516</v>
      </c>
      <c r="B249" s="2006">
        <v>1</v>
      </c>
      <c r="C249" s="1976" t="s">
        <v>3</v>
      </c>
      <c r="D249" s="1984">
        <v>405.92</v>
      </c>
      <c r="E249" s="1978">
        <f t="shared" si="16"/>
        <v>405.92</v>
      </c>
    </row>
    <row r="250" spans="1:5">
      <c r="A250" s="1974" t="s">
        <v>2517</v>
      </c>
      <c r="B250" s="2006">
        <v>1</v>
      </c>
      <c r="C250" s="1976" t="s">
        <v>3</v>
      </c>
      <c r="D250" s="1984">
        <v>951.08</v>
      </c>
      <c r="E250" s="1978">
        <f t="shared" si="16"/>
        <v>951.08</v>
      </c>
    </row>
    <row r="251" spans="1:5">
      <c r="A251" s="1980" t="s">
        <v>2518</v>
      </c>
      <c r="B251" s="2008">
        <v>1</v>
      </c>
      <c r="C251" s="1976" t="s">
        <v>3</v>
      </c>
      <c r="D251" s="1984">
        <v>4646.84</v>
      </c>
      <c r="E251" s="1978">
        <f t="shared" si="16"/>
        <v>4646.84</v>
      </c>
    </row>
    <row r="252" spans="1:5">
      <c r="A252" s="1980" t="s">
        <v>2489</v>
      </c>
      <c r="B252" s="2008">
        <v>2</v>
      </c>
      <c r="C252" s="1976" t="s">
        <v>3</v>
      </c>
      <c r="D252" s="1987">
        <v>69.3</v>
      </c>
      <c r="E252" s="1978">
        <f t="shared" si="16"/>
        <v>138.6</v>
      </c>
    </row>
    <row r="253" spans="1:5">
      <c r="A253" s="1974" t="s">
        <v>2509</v>
      </c>
      <c r="B253" s="2006">
        <v>2</v>
      </c>
      <c r="C253" s="1976" t="s">
        <v>3</v>
      </c>
      <c r="D253" s="1984">
        <v>10.28</v>
      </c>
      <c r="E253" s="1978">
        <f t="shared" si="16"/>
        <v>20.56</v>
      </c>
    </row>
    <row r="254" spans="1:5">
      <c r="A254" s="1980" t="s">
        <v>33</v>
      </c>
      <c r="B254" s="2009">
        <v>0.05</v>
      </c>
      <c r="C254" s="1976" t="s">
        <v>46</v>
      </c>
      <c r="D254" s="1977">
        <f>E248+E249+E250+E251+E252+E253</f>
        <v>6503.64</v>
      </c>
      <c r="E254" s="1978">
        <f>B254*D254</f>
        <v>325.18</v>
      </c>
    </row>
    <row r="255" spans="1:5">
      <c r="A255" s="3177"/>
      <c r="B255" s="3177"/>
      <c r="C255" s="5191" t="s">
        <v>2491</v>
      </c>
      <c r="D255" s="5191"/>
      <c r="E255" s="3178">
        <f>SUM(E248:E254)</f>
        <v>6828.82</v>
      </c>
    </row>
    <row r="257" spans="1:5">
      <c r="A257" s="3209" t="s">
        <v>2705</v>
      </c>
      <c r="B257" s="1969"/>
      <c r="C257" s="1969"/>
      <c r="D257" s="1969"/>
      <c r="E257" s="1969"/>
    </row>
    <row r="258" spans="1:5">
      <c r="A258" s="2007" t="s">
        <v>2706</v>
      </c>
      <c r="B258" s="2001">
        <v>1</v>
      </c>
      <c r="C258" s="2002" t="s">
        <v>3</v>
      </c>
      <c r="D258" s="2003">
        <v>170.32</v>
      </c>
      <c r="E258" s="2004">
        <f>ROUND(B258*D258,2)</f>
        <v>170.32</v>
      </c>
    </row>
    <row r="259" spans="1:5">
      <c r="A259" s="2005" t="s">
        <v>2707</v>
      </c>
      <c r="B259" s="2006">
        <v>1</v>
      </c>
      <c r="C259" s="1976" t="s">
        <v>3</v>
      </c>
      <c r="D259" s="1981">
        <v>689.04</v>
      </c>
      <c r="E259" s="1978">
        <f>ROUND(B259*D259,2)</f>
        <v>689.04</v>
      </c>
    </row>
    <row r="260" spans="1:5">
      <c r="A260" s="3210" t="s">
        <v>2708</v>
      </c>
      <c r="B260" s="2008">
        <v>1</v>
      </c>
      <c r="C260" s="1976" t="s">
        <v>3</v>
      </c>
      <c r="D260" s="1984">
        <v>227.36</v>
      </c>
      <c r="E260" s="1985">
        <f>ROUND(B260*D260,2)</f>
        <v>227.36</v>
      </c>
    </row>
    <row r="261" spans="1:5">
      <c r="A261" s="1980" t="s">
        <v>2489</v>
      </c>
      <c r="B261" s="2008">
        <v>2</v>
      </c>
      <c r="C261" s="1976" t="s">
        <v>3</v>
      </c>
      <c r="D261" s="1987">
        <v>69.3</v>
      </c>
      <c r="E261" s="1978">
        <f>ROUND(B261*D261,2)</f>
        <v>138.6</v>
      </c>
    </row>
    <row r="262" spans="1:5">
      <c r="A262" s="1974" t="s">
        <v>2509</v>
      </c>
      <c r="B262" s="2006">
        <v>2</v>
      </c>
      <c r="C262" s="1976" t="s">
        <v>3</v>
      </c>
      <c r="D262" s="1987">
        <v>10.28</v>
      </c>
      <c r="E262" s="1978">
        <f>ROUND(B262*D262,2)</f>
        <v>20.56</v>
      </c>
    </row>
    <row r="263" spans="1:5">
      <c r="A263" s="2005" t="s">
        <v>33</v>
      </c>
      <c r="B263" s="2009">
        <v>0.05</v>
      </c>
      <c r="C263" s="1976" t="s">
        <v>46</v>
      </c>
      <c r="D263" s="1977">
        <f>E258+E259+E260+E262</f>
        <v>1107.28</v>
      </c>
      <c r="E263" s="1978">
        <f>B263*D263</f>
        <v>55.36</v>
      </c>
    </row>
    <row r="264" spans="1:5">
      <c r="A264" s="3177"/>
      <c r="B264" s="3177"/>
      <c r="C264" s="5191" t="s">
        <v>2491</v>
      </c>
      <c r="D264" s="5191"/>
      <c r="E264" s="3178">
        <f>SUM(E258:E263)</f>
        <v>1301.24</v>
      </c>
    </row>
    <row r="266" spans="1:5">
      <c r="A266" s="3209" t="s">
        <v>2709</v>
      </c>
      <c r="B266" s="1969"/>
      <c r="C266" s="1969"/>
      <c r="D266" s="1969"/>
      <c r="E266" s="1969"/>
    </row>
    <row r="267" spans="1:5">
      <c r="A267" s="2007" t="s">
        <v>2710</v>
      </c>
      <c r="B267" s="2001">
        <v>1</v>
      </c>
      <c r="C267" s="2002" t="s">
        <v>3</v>
      </c>
      <c r="D267" s="2003">
        <v>199.52</v>
      </c>
      <c r="E267" s="2004">
        <f t="shared" ref="E267:E272" si="17">ROUND(B267*D267,2)</f>
        <v>199.52</v>
      </c>
    </row>
    <row r="268" spans="1:5">
      <c r="A268" s="1980" t="s">
        <v>2711</v>
      </c>
      <c r="B268" s="2006">
        <v>1</v>
      </c>
      <c r="C268" s="1976" t="s">
        <v>3</v>
      </c>
      <c r="D268" s="1981">
        <v>145</v>
      </c>
      <c r="E268" s="1978">
        <f>ROUND(B268*D268,2)</f>
        <v>145</v>
      </c>
    </row>
    <row r="269" spans="1:5">
      <c r="A269" s="2005" t="s">
        <v>2707</v>
      </c>
      <c r="B269" s="2006">
        <v>2</v>
      </c>
      <c r="C269" s="1976" t="s">
        <v>3</v>
      </c>
      <c r="D269" s="1981">
        <v>584.36</v>
      </c>
      <c r="E269" s="1978">
        <f t="shared" si="17"/>
        <v>1168.72</v>
      </c>
    </row>
    <row r="270" spans="1:5">
      <c r="A270" s="3210" t="s">
        <v>2708</v>
      </c>
      <c r="B270" s="2008">
        <v>2</v>
      </c>
      <c r="C270" s="1976" t="s">
        <v>3</v>
      </c>
      <c r="D270" s="1984">
        <v>227.36</v>
      </c>
      <c r="E270" s="1985">
        <f t="shared" si="17"/>
        <v>454.72</v>
      </c>
    </row>
    <row r="271" spans="1:5">
      <c r="A271" s="1980" t="s">
        <v>2489</v>
      </c>
      <c r="B271" s="2008">
        <v>2</v>
      </c>
      <c r="C271" s="1976" t="s">
        <v>3</v>
      </c>
      <c r="D271" s="1987">
        <v>69.3</v>
      </c>
      <c r="E271" s="1978">
        <f t="shared" si="17"/>
        <v>138.6</v>
      </c>
    </row>
    <row r="272" spans="1:5">
      <c r="A272" s="1974" t="s">
        <v>2509</v>
      </c>
      <c r="B272" s="2006">
        <v>2</v>
      </c>
      <c r="C272" s="1976" t="s">
        <v>3</v>
      </c>
      <c r="D272" s="1987">
        <v>10.28</v>
      </c>
      <c r="E272" s="1978">
        <f t="shared" si="17"/>
        <v>20.56</v>
      </c>
    </row>
    <row r="273" spans="1:5">
      <c r="A273" s="2005" t="s">
        <v>33</v>
      </c>
      <c r="B273" s="2009">
        <v>0.05</v>
      </c>
      <c r="C273" s="1976" t="s">
        <v>46</v>
      </c>
      <c r="D273" s="1977">
        <f>E267+E269+E270+E272</f>
        <v>1843.52</v>
      </c>
      <c r="E273" s="1978">
        <f>B273*D273</f>
        <v>92.18</v>
      </c>
    </row>
    <row r="274" spans="1:5">
      <c r="A274" s="3177"/>
      <c r="B274" s="3177"/>
      <c r="C274" s="5191" t="s">
        <v>2491</v>
      </c>
      <c r="D274" s="5191"/>
      <c r="E274" s="3178">
        <f>SUM(E267:E273)</f>
        <v>2219.3000000000002</v>
      </c>
    </row>
    <row r="276" spans="1:5">
      <c r="A276" s="3209" t="s">
        <v>2712</v>
      </c>
      <c r="B276" s="1969"/>
      <c r="C276" s="1969"/>
      <c r="D276" s="1969"/>
      <c r="E276" s="1969"/>
    </row>
    <row r="277" spans="1:5">
      <c r="A277" s="1974" t="s">
        <v>2713</v>
      </c>
      <c r="B277" s="1993">
        <v>1</v>
      </c>
      <c r="C277" s="1994" t="s">
        <v>3</v>
      </c>
      <c r="D277" s="1995">
        <v>170.32</v>
      </c>
      <c r="E277" s="1996">
        <f>ROUND(B277*D277,2)</f>
        <v>170.32</v>
      </c>
    </row>
    <row r="278" spans="1:5">
      <c r="A278" s="1980" t="s">
        <v>2714</v>
      </c>
      <c r="B278" s="1975">
        <v>1</v>
      </c>
      <c r="C278" s="1997" t="s">
        <v>3</v>
      </c>
      <c r="D278" s="1987">
        <v>250.32</v>
      </c>
      <c r="E278" s="1998">
        <f>ROUND(B278*D278,2)</f>
        <v>250.32</v>
      </c>
    </row>
    <row r="279" spans="1:5">
      <c r="A279" s="1980" t="s">
        <v>2642</v>
      </c>
      <c r="B279" s="1975">
        <v>1</v>
      </c>
      <c r="C279" s="1997" t="s">
        <v>3</v>
      </c>
      <c r="D279" s="1984">
        <v>464.5</v>
      </c>
      <c r="E279" s="1998">
        <f>ROUND(B279*D279,2)</f>
        <v>464.5</v>
      </c>
    </row>
    <row r="280" spans="1:5">
      <c r="A280" s="1980" t="s">
        <v>2489</v>
      </c>
      <c r="B280" s="1983">
        <v>1</v>
      </c>
      <c r="C280" s="1997" t="s">
        <v>3</v>
      </c>
      <c r="D280" s="1987">
        <v>69.3</v>
      </c>
      <c r="E280" s="1998">
        <f>ROUND(B280*D280,2)</f>
        <v>69.3</v>
      </c>
    </row>
    <row r="281" spans="1:5">
      <c r="A281" s="1974" t="s">
        <v>2509</v>
      </c>
      <c r="B281" s="1975">
        <v>1</v>
      </c>
      <c r="C281" s="1997" t="s">
        <v>3</v>
      </c>
      <c r="D281" s="1987">
        <v>10.28</v>
      </c>
      <c r="E281" s="1998">
        <f>ROUND(B281*D281,2)</f>
        <v>10.28</v>
      </c>
    </row>
    <row r="282" spans="1:5">
      <c r="A282" s="2005" t="s">
        <v>33</v>
      </c>
      <c r="B282" s="2009">
        <v>0.05</v>
      </c>
      <c r="C282" s="1976" t="s">
        <v>46</v>
      </c>
      <c r="D282" s="1977">
        <f>E277+E278+E279+E281</f>
        <v>895.42</v>
      </c>
      <c r="E282" s="1978">
        <f>B282*D282</f>
        <v>44.77</v>
      </c>
    </row>
    <row r="283" spans="1:5">
      <c r="A283" s="3177"/>
      <c r="B283" s="3177"/>
      <c r="C283" s="5191" t="s">
        <v>2491</v>
      </c>
      <c r="D283" s="5191"/>
      <c r="E283" s="3178">
        <f>SUM(E277:E282)</f>
        <v>1009.49</v>
      </c>
    </row>
    <row r="285" spans="1:5">
      <c r="A285" s="3209" t="s">
        <v>2715</v>
      </c>
      <c r="B285" s="1969"/>
      <c r="C285" s="1969"/>
      <c r="D285" s="1969"/>
      <c r="E285" s="1969"/>
    </row>
    <row r="286" spans="1:5">
      <c r="A286" s="1980" t="s">
        <v>2642</v>
      </c>
      <c r="B286" s="1975">
        <v>1</v>
      </c>
      <c r="C286" s="1997" t="s">
        <v>3</v>
      </c>
      <c r="D286" s="1984">
        <v>464.5</v>
      </c>
      <c r="E286" s="1998">
        <f>ROUND(B286*D286,2)</f>
        <v>464.5</v>
      </c>
    </row>
    <row r="287" spans="1:5">
      <c r="A287" s="1974" t="s">
        <v>2716</v>
      </c>
      <c r="B287" s="1993">
        <v>1</v>
      </c>
      <c r="C287" s="1994" t="s">
        <v>3</v>
      </c>
      <c r="D287" s="1995">
        <v>238.8</v>
      </c>
      <c r="E287" s="1996">
        <f>ROUND(B287*D287,2)</f>
        <v>238.8</v>
      </c>
    </row>
    <row r="288" spans="1:5">
      <c r="A288" s="1980" t="s">
        <v>2489</v>
      </c>
      <c r="B288" s="2008">
        <v>2</v>
      </c>
      <c r="C288" s="1976" t="s">
        <v>3</v>
      </c>
      <c r="D288" s="1987">
        <v>69.3</v>
      </c>
      <c r="E288" s="1978">
        <f>ROUND(B288*D288,2)</f>
        <v>138.6</v>
      </c>
    </row>
    <row r="289" spans="1:5">
      <c r="A289" s="2005" t="s">
        <v>33</v>
      </c>
      <c r="B289" s="2009">
        <v>0.05</v>
      </c>
      <c r="C289" s="1976" t="s">
        <v>46</v>
      </c>
      <c r="D289" s="1977">
        <f>E286+E287+E288</f>
        <v>841.9</v>
      </c>
      <c r="E289" s="1978">
        <f>B289*D289</f>
        <v>42.1</v>
      </c>
    </row>
    <row r="290" spans="1:5">
      <c r="A290" s="3177"/>
      <c r="B290" s="3177"/>
      <c r="C290" s="5191" t="s">
        <v>2491</v>
      </c>
      <c r="D290" s="5191"/>
      <c r="E290" s="3178">
        <f>SUM(E286:E289)</f>
        <v>884</v>
      </c>
    </row>
  </sheetData>
  <customSheetViews>
    <customSheetView guid="{43BC9397-3E8C-478C-B548-E4A845A7F82B}">
      <pageMargins left="0.7" right="0.7" top="0.75" bottom="0.75" header="0.3" footer="0.3"/>
      <pageSetup paperSize="9" orientation="portrait" r:id="rId1"/>
    </customSheetView>
  </customSheetViews>
  <mergeCells count="23">
    <mergeCell ref="C255:D255"/>
    <mergeCell ref="C264:D264"/>
    <mergeCell ref="C274:D274"/>
    <mergeCell ref="C283:D283"/>
    <mergeCell ref="C290:D290"/>
    <mergeCell ref="C245:D245"/>
    <mergeCell ref="C96:D96"/>
    <mergeCell ref="C110:D110"/>
    <mergeCell ref="C127:D127"/>
    <mergeCell ref="C152:D152"/>
    <mergeCell ref="C166:D166"/>
    <mergeCell ref="C180:D180"/>
    <mergeCell ref="C190:D190"/>
    <mergeCell ref="C204:D204"/>
    <mergeCell ref="C222:D222"/>
    <mergeCell ref="C235:D235"/>
    <mergeCell ref="C240:D240"/>
    <mergeCell ref="C80:D80"/>
    <mergeCell ref="C13:D13"/>
    <mergeCell ref="C26:D26"/>
    <mergeCell ref="C38:D38"/>
    <mergeCell ref="C50:D50"/>
    <mergeCell ref="C64:D64"/>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4">
    <tabColor rgb="FFFF0000"/>
  </sheetPr>
  <dimension ref="A1:IU1868"/>
  <sheetViews>
    <sheetView workbookViewId="0">
      <selection sqref="A1:F1"/>
    </sheetView>
  </sheetViews>
  <sheetFormatPr baseColWidth="10" defaultColWidth="11.42578125" defaultRowHeight="12.75"/>
  <cols>
    <col min="1" max="1" width="11.42578125" style="2030"/>
    <col min="2" max="2" width="64.28515625" style="2030" bestFit="1" customWidth="1"/>
    <col min="3" max="16384" width="11.42578125" style="2030"/>
  </cols>
  <sheetData>
    <row r="1" spans="1:255" s="2352" customFormat="1" ht="15.75" customHeight="1">
      <c r="A1" s="5196"/>
      <c r="B1" s="5196"/>
      <c r="C1" s="5196"/>
      <c r="D1" s="5196"/>
      <c r="E1" s="5196"/>
      <c r="F1" s="5196"/>
      <c r="G1" s="2244"/>
      <c r="H1" s="2244"/>
      <c r="I1" s="2357"/>
      <c r="IS1" s="2094"/>
      <c r="IT1" s="2094"/>
      <c r="IU1" s="2094"/>
    </row>
    <row r="2" spans="1:255" s="2352" customFormat="1" ht="15.75" customHeight="1">
      <c r="A2" s="5197"/>
      <c r="B2" s="5197"/>
      <c r="C2" s="5197"/>
      <c r="D2" s="5197"/>
      <c r="E2" s="5197"/>
      <c r="F2" s="5197"/>
      <c r="G2" s="2244"/>
      <c r="H2" s="2244"/>
      <c r="I2" s="2357"/>
      <c r="IS2" s="2358"/>
      <c r="IT2" s="2359"/>
      <c r="IU2" s="2359"/>
    </row>
    <row r="3" spans="1:255" s="2352" customFormat="1" ht="12.75" customHeight="1">
      <c r="A3" s="5198"/>
      <c r="B3" s="5198"/>
      <c r="C3" s="5198"/>
      <c r="D3" s="5198"/>
      <c r="E3" s="5198"/>
      <c r="F3" s="5198"/>
      <c r="G3" s="2244"/>
      <c r="H3" s="2244"/>
      <c r="I3" s="2357"/>
      <c r="IS3" s="2358"/>
      <c r="IT3" s="2358"/>
      <c r="IU3" s="2359"/>
    </row>
    <row r="4" spans="1:255" s="2352" customFormat="1" ht="12.75" customHeight="1">
      <c r="A4" s="5198"/>
      <c r="B4" s="5198"/>
      <c r="C4" s="5198"/>
      <c r="D4" s="5198"/>
      <c r="E4" s="5198"/>
      <c r="F4" s="5198"/>
      <c r="G4" s="2244"/>
      <c r="H4" s="2244"/>
      <c r="I4" s="2357"/>
      <c r="IS4" s="2358"/>
      <c r="IT4" s="2358"/>
      <c r="IU4" s="2359"/>
    </row>
    <row r="5" spans="1:255" s="2352" customFormat="1" ht="15.75" customHeight="1">
      <c r="A5" s="2033"/>
      <c r="B5" s="2033"/>
      <c r="C5" s="2033"/>
      <c r="D5" s="2033"/>
      <c r="E5" s="2033"/>
      <c r="F5" s="2033"/>
      <c r="G5" s="2244"/>
      <c r="H5" s="2244"/>
      <c r="I5" s="2357"/>
      <c r="IS5" s="2358"/>
      <c r="IT5" s="2358"/>
      <c r="IU5" s="2359"/>
    </row>
    <row r="6" spans="1:255" s="2352" customFormat="1" ht="15.75" customHeight="1">
      <c r="A6" s="2034"/>
      <c r="B6" s="2035"/>
      <c r="C6" s="2036"/>
      <c r="D6" s="2036"/>
      <c r="E6" s="2034"/>
      <c r="F6" s="2510"/>
      <c r="G6" s="2244"/>
      <c r="H6" s="2244"/>
      <c r="I6" s="2357"/>
      <c r="O6" s="2094"/>
      <c r="P6" s="2094"/>
      <c r="IS6" s="2358"/>
      <c r="IT6" s="2358"/>
      <c r="IU6" s="2359"/>
    </row>
    <row r="7" spans="1:255" s="2352" customFormat="1" ht="14.25" customHeight="1">
      <c r="A7" s="2034"/>
      <c r="B7" s="5199"/>
      <c r="C7" s="5199"/>
      <c r="D7" s="5199"/>
      <c r="E7" s="2034"/>
      <c r="F7" s="2510"/>
      <c r="G7" s="2244"/>
      <c r="H7" s="2244"/>
      <c r="I7" s="2357"/>
      <c r="K7" s="2244"/>
      <c r="P7" s="2360"/>
      <c r="IS7" s="2358"/>
      <c r="IT7" s="2358"/>
      <c r="IU7" s="2359"/>
    </row>
    <row r="8" spans="1:255" s="2352" customFormat="1" ht="12.75" customHeight="1">
      <c r="A8" s="2034"/>
      <c r="B8" s="2035"/>
      <c r="C8" s="2037"/>
      <c r="D8" s="2037"/>
      <c r="E8" s="2034"/>
      <c r="F8" s="2035"/>
      <c r="G8" s="2244"/>
      <c r="H8" s="2244"/>
      <c r="I8" s="2357"/>
      <c r="K8" s="2244"/>
      <c r="IS8" s="2358"/>
      <c r="IT8" s="2358"/>
      <c r="IU8" s="2359"/>
    </row>
    <row r="9" spans="1:255" s="2352" customFormat="1" ht="15" customHeight="1" thickBot="1">
      <c r="A9" s="2038"/>
      <c r="B9" s="5195"/>
      <c r="C9" s="5195"/>
      <c r="D9" s="5195"/>
      <c r="E9" s="2038"/>
      <c r="F9" s="2039"/>
      <c r="G9" s="2244"/>
      <c r="H9" s="2244"/>
      <c r="I9" s="2357"/>
      <c r="K9" s="2244"/>
      <c r="IS9" s="2358"/>
      <c r="IT9" s="2358"/>
      <c r="IU9" s="2359"/>
    </row>
    <row r="10" spans="1:255" s="2352" customFormat="1" ht="13.5" customHeight="1" thickTop="1" thickBot="1">
      <c r="A10" s="2040"/>
      <c r="B10" s="2041"/>
      <c r="C10" s="2042"/>
      <c r="D10" s="2042"/>
      <c r="E10" s="2042"/>
      <c r="F10" s="2042"/>
      <c r="G10" s="2361"/>
      <c r="H10" s="2244"/>
      <c r="I10" s="2357"/>
      <c r="IS10" s="2358"/>
      <c r="IT10" s="2358"/>
      <c r="IU10" s="2359"/>
    </row>
    <row r="11" spans="1:255" s="2352" customFormat="1" ht="4.5" customHeight="1" thickTop="1">
      <c r="A11" s="2043"/>
      <c r="B11" s="2044"/>
      <c r="C11" s="2044"/>
      <c r="D11" s="2044"/>
      <c r="E11" s="2044"/>
      <c r="F11" s="2044"/>
      <c r="G11" s="2361"/>
      <c r="H11" s="2244"/>
      <c r="I11" s="2357"/>
      <c r="IS11" s="2359"/>
      <c r="IT11" s="2359"/>
      <c r="IU11" s="2359"/>
    </row>
    <row r="12" spans="1:255" s="2352" customFormat="1" ht="15" customHeight="1" thickBot="1">
      <c r="A12" s="2045"/>
      <c r="B12" s="5202"/>
      <c r="C12" s="5202"/>
      <c r="D12" s="5202"/>
      <c r="E12" s="5202"/>
      <c r="F12" s="5202"/>
      <c r="G12" s="2361"/>
      <c r="H12" s="2244"/>
      <c r="I12" s="2357"/>
      <c r="M12" s="2244"/>
      <c r="IS12" s="2358"/>
      <c r="IT12" s="2358"/>
      <c r="IU12" s="2359"/>
    </row>
    <row r="13" spans="1:255" s="2352" customFormat="1" ht="12.75" customHeight="1" thickTop="1">
      <c r="A13" s="2046"/>
      <c r="B13" s="2047"/>
      <c r="C13" s="2048"/>
      <c r="D13" s="2049"/>
      <c r="E13" s="2048"/>
      <c r="F13" s="2511"/>
      <c r="G13" s="2362"/>
      <c r="H13" s="2362"/>
      <c r="I13" s="2357"/>
      <c r="M13" s="2244"/>
      <c r="IS13" s="2358"/>
      <c r="IT13" s="2358"/>
      <c r="IU13" s="2359"/>
    </row>
    <row r="14" spans="1:255" s="2352" customFormat="1" ht="12.75" customHeight="1">
      <c r="A14" s="2050"/>
      <c r="B14" s="2051"/>
      <c r="C14" s="2052"/>
      <c r="D14" s="2053"/>
      <c r="E14" s="2052"/>
      <c r="F14" s="2132"/>
      <c r="G14" s="2362"/>
      <c r="H14" s="2362"/>
      <c r="I14" s="2357"/>
      <c r="M14" s="2244"/>
      <c r="IS14" s="2358"/>
      <c r="IT14" s="2358"/>
      <c r="IU14" s="2359"/>
    </row>
    <row r="15" spans="1:255" s="2352" customFormat="1" ht="12.75" customHeight="1">
      <c r="A15" s="2050"/>
      <c r="B15" s="2051"/>
      <c r="C15" s="2052"/>
      <c r="D15" s="2053"/>
      <c r="E15" s="2052"/>
      <c r="F15" s="2132"/>
      <c r="G15" s="2362"/>
      <c r="H15" s="2244"/>
      <c r="I15" s="2357"/>
      <c r="M15" s="2244"/>
      <c r="IS15" s="2358"/>
      <c r="IT15" s="2358"/>
      <c r="IU15" s="2359"/>
    </row>
    <row r="16" spans="1:255" s="2352" customFormat="1" ht="12.75" customHeight="1">
      <c r="A16" s="2050"/>
      <c r="B16" s="2051"/>
      <c r="C16" s="2052"/>
      <c r="D16" s="2053"/>
      <c r="E16" s="2052"/>
      <c r="F16" s="2132"/>
      <c r="G16" s="2362"/>
      <c r="H16" s="2362"/>
      <c r="I16" s="2357"/>
      <c r="O16" s="2360"/>
      <c r="P16" s="2360"/>
      <c r="IS16" s="2358"/>
      <c r="IT16" s="2358"/>
      <c r="IU16" s="2359"/>
    </row>
    <row r="17" spans="1:255" s="2352" customFormat="1" ht="12.75" customHeight="1">
      <c r="A17" s="2050"/>
      <c r="B17" s="2051"/>
      <c r="C17" s="2052"/>
      <c r="D17" s="2053"/>
      <c r="E17" s="2052"/>
      <c r="F17" s="2132"/>
      <c r="G17" s="2362"/>
      <c r="H17" s="2362"/>
      <c r="I17" s="2357"/>
      <c r="IS17" s="2358"/>
      <c r="IT17" s="2358"/>
      <c r="IU17" s="2359"/>
    </row>
    <row r="18" spans="1:255" s="2352" customFormat="1" ht="12.75" customHeight="1">
      <c r="A18" s="2050"/>
      <c r="B18" s="2051"/>
      <c r="C18" s="2052"/>
      <c r="D18" s="2053"/>
      <c r="E18" s="2052"/>
      <c r="F18" s="2132"/>
      <c r="G18" s="2362"/>
      <c r="H18" s="2362"/>
      <c r="I18" s="2357"/>
      <c r="IS18" s="2358"/>
      <c r="IT18" s="2358"/>
      <c r="IU18" s="2359"/>
    </row>
    <row r="19" spans="1:255" s="2352" customFormat="1" ht="12.75" customHeight="1">
      <c r="A19" s="2050"/>
      <c r="B19" s="2051"/>
      <c r="C19" s="2052"/>
      <c r="D19" s="2053"/>
      <c r="E19" s="2052"/>
      <c r="F19" s="2132"/>
      <c r="G19" s="2362"/>
      <c r="H19" s="2362"/>
      <c r="I19" s="2357"/>
      <c r="IS19" s="2358"/>
      <c r="IT19" s="2358"/>
      <c r="IU19" s="2359"/>
    </row>
    <row r="20" spans="1:255" s="2352" customFormat="1" ht="12.75" customHeight="1">
      <c r="A20" s="2050"/>
      <c r="B20" s="2051"/>
      <c r="C20" s="2052"/>
      <c r="D20" s="2053"/>
      <c r="E20" s="2052"/>
      <c r="F20" s="2132"/>
      <c r="G20" s="2362"/>
      <c r="H20" s="2362"/>
      <c r="I20" s="2357"/>
      <c r="IS20" s="2358"/>
      <c r="IT20" s="2358"/>
      <c r="IU20" s="2359"/>
    </row>
    <row r="21" spans="1:255" s="2352" customFormat="1" ht="12.75" customHeight="1">
      <c r="A21" s="2050"/>
      <c r="B21" s="2051"/>
      <c r="C21" s="2052"/>
      <c r="D21" s="2053"/>
      <c r="E21" s="2054"/>
      <c r="F21" s="2132"/>
      <c r="G21" s="2362"/>
      <c r="H21" s="2362"/>
      <c r="I21" s="2357"/>
      <c r="IS21" s="2358"/>
      <c r="IT21" s="2358"/>
      <c r="IU21" s="2359"/>
    </row>
    <row r="22" spans="1:255" s="2352" customFormat="1" ht="12.75" customHeight="1">
      <c r="A22" s="2050"/>
      <c r="B22" s="2051"/>
      <c r="C22" s="2052"/>
      <c r="D22" s="2053"/>
      <c r="E22" s="2055"/>
      <c r="F22" s="2132"/>
      <c r="G22" s="2362"/>
      <c r="H22" s="2362"/>
      <c r="I22" s="2357"/>
      <c r="IS22" s="2358"/>
      <c r="IT22" s="2358"/>
      <c r="IU22" s="2359"/>
    </row>
    <row r="23" spans="1:255" s="2352" customFormat="1" ht="12.75" customHeight="1">
      <c r="A23" s="2050"/>
      <c r="B23" s="2051"/>
      <c r="C23" s="2052"/>
      <c r="D23" s="2053"/>
      <c r="E23" s="2055"/>
      <c r="F23" s="2132"/>
      <c r="G23" s="2362"/>
      <c r="H23" s="2362"/>
      <c r="I23" s="2357"/>
      <c r="IS23" s="2358"/>
      <c r="IT23" s="2358"/>
      <c r="IU23" s="2359"/>
    </row>
    <row r="24" spans="1:255" s="2352" customFormat="1" ht="12.75" customHeight="1">
      <c r="A24" s="2050"/>
      <c r="B24" s="2051"/>
      <c r="C24" s="2052"/>
      <c r="D24" s="2053"/>
      <c r="E24" s="2052"/>
      <c r="F24" s="2132"/>
      <c r="G24" s="2362"/>
      <c r="H24" s="2362"/>
      <c r="I24" s="2357"/>
      <c r="IS24" s="2358"/>
      <c r="IT24" s="2358"/>
      <c r="IU24" s="2359"/>
    </row>
    <row r="25" spans="1:255" s="2352" customFormat="1" ht="12.75" customHeight="1">
      <c r="A25" s="2050"/>
      <c r="B25" s="2051"/>
      <c r="C25" s="2052"/>
      <c r="D25" s="2053"/>
      <c r="E25" s="2052"/>
      <c r="F25" s="2132"/>
      <c r="G25" s="2362"/>
      <c r="H25" s="2362"/>
      <c r="I25" s="2357"/>
      <c r="IS25" s="2358"/>
      <c r="IT25" s="2358"/>
      <c r="IU25" s="2359"/>
    </row>
    <row r="26" spans="1:255" s="2352" customFormat="1" ht="12.75" customHeight="1">
      <c r="A26" s="2050"/>
      <c r="B26" s="2051"/>
      <c r="C26" s="2052"/>
      <c r="D26" s="2053"/>
      <c r="E26" s="2052"/>
      <c r="F26" s="2132"/>
      <c r="G26" s="2362"/>
      <c r="H26" s="2362"/>
      <c r="I26" s="2357"/>
      <c r="IS26" s="2358"/>
      <c r="IT26" s="2358"/>
      <c r="IU26" s="2359"/>
    </row>
    <row r="27" spans="1:255" s="2352" customFormat="1" ht="12.75" customHeight="1">
      <c r="A27" s="2050"/>
      <c r="B27" s="2051"/>
      <c r="C27" s="2052"/>
      <c r="D27" s="2053"/>
      <c r="E27" s="2055"/>
      <c r="F27" s="2132"/>
      <c r="G27" s="2362"/>
      <c r="H27" s="2362"/>
      <c r="I27" s="2357"/>
      <c r="IS27" s="2358"/>
      <c r="IT27" s="2358"/>
      <c r="IU27" s="2359"/>
    </row>
    <row r="28" spans="1:255" s="2352" customFormat="1" ht="12.75" customHeight="1">
      <c r="A28" s="2050"/>
      <c r="B28" s="2051"/>
      <c r="C28" s="2052"/>
      <c r="D28" s="2053"/>
      <c r="E28" s="2052"/>
      <c r="F28" s="2132"/>
      <c r="G28" s="2362"/>
      <c r="H28" s="2362"/>
      <c r="I28" s="2357"/>
      <c r="IS28" s="2358"/>
      <c r="IT28" s="2358"/>
      <c r="IU28" s="2359"/>
    </row>
    <row r="29" spans="1:255" s="2352" customFormat="1" ht="12.75" customHeight="1">
      <c r="A29" s="2050"/>
      <c r="B29" s="2051"/>
      <c r="C29" s="2052"/>
      <c r="D29" s="2053"/>
      <c r="E29" s="2052"/>
      <c r="F29" s="2132"/>
      <c r="G29" s="2362"/>
      <c r="H29" s="2362"/>
      <c r="I29" s="2357"/>
      <c r="IS29" s="2358"/>
      <c r="IT29" s="2358"/>
      <c r="IU29" s="2359"/>
    </row>
    <row r="30" spans="1:255" s="2352" customFormat="1" ht="12.75" customHeight="1">
      <c r="A30" s="2050"/>
      <c r="B30" s="2051"/>
      <c r="C30" s="2052"/>
      <c r="D30" s="2053"/>
      <c r="E30" s="2055"/>
      <c r="F30" s="2132"/>
      <c r="G30" s="2362"/>
      <c r="H30" s="2362"/>
      <c r="I30" s="2357"/>
      <c r="IS30" s="2358"/>
      <c r="IT30" s="2358"/>
      <c r="IU30" s="2359"/>
    </row>
    <row r="31" spans="1:255" s="2352" customFormat="1" ht="12.75" customHeight="1">
      <c r="A31" s="2050"/>
      <c r="B31" s="2051"/>
      <c r="C31" s="2052"/>
      <c r="D31" s="2053"/>
      <c r="E31" s="2055"/>
      <c r="F31" s="2132"/>
      <c r="G31" s="2362"/>
      <c r="H31" s="2362"/>
      <c r="I31" s="2357"/>
      <c r="IS31" s="2358"/>
      <c r="IT31" s="2358"/>
      <c r="IU31" s="2359"/>
    </row>
    <row r="32" spans="1:255" s="2352" customFormat="1" ht="12.75" customHeight="1">
      <c r="A32" s="2050"/>
      <c r="B32" s="2051"/>
      <c r="C32" s="2052"/>
      <c r="D32" s="2053"/>
      <c r="E32" s="2055"/>
      <c r="F32" s="2132"/>
      <c r="G32" s="2362"/>
      <c r="H32" s="2362"/>
      <c r="I32" s="2357"/>
      <c r="IS32" s="2358"/>
      <c r="IT32" s="2358"/>
      <c r="IU32" s="2359"/>
    </row>
    <row r="33" spans="1:255" s="2352" customFormat="1" ht="12.75" customHeight="1">
      <c r="A33" s="2050"/>
      <c r="B33" s="2051"/>
      <c r="C33" s="2052"/>
      <c r="D33" s="2053"/>
      <c r="E33" s="2055"/>
      <c r="F33" s="2132"/>
      <c r="G33" s="2362"/>
      <c r="H33" s="2362"/>
      <c r="I33" s="2357"/>
      <c r="IS33" s="2358"/>
      <c r="IT33" s="2358"/>
      <c r="IU33" s="2359"/>
    </row>
    <row r="34" spans="1:255" s="2352" customFormat="1" ht="12.75" customHeight="1">
      <c r="A34" s="2050"/>
      <c r="B34" s="2051"/>
      <c r="C34" s="2052"/>
      <c r="D34" s="2053"/>
      <c r="E34" s="2055"/>
      <c r="F34" s="2132"/>
      <c r="G34" s="2362"/>
      <c r="H34" s="2362"/>
      <c r="I34" s="2357"/>
    </row>
    <row r="35" spans="1:255" s="2352" customFormat="1" ht="12.75" customHeight="1">
      <c r="A35" s="2050"/>
      <c r="B35" s="2051"/>
      <c r="C35" s="2052"/>
      <c r="D35" s="2053"/>
      <c r="E35" s="2052"/>
      <c r="F35" s="2132"/>
      <c r="G35" s="2362"/>
      <c r="H35" s="2362"/>
      <c r="I35" s="2357"/>
    </row>
    <row r="36" spans="1:255" s="2352" customFormat="1" ht="12.75" customHeight="1">
      <c r="A36" s="2050"/>
      <c r="B36" s="2051"/>
      <c r="C36" s="2052"/>
      <c r="D36" s="2053"/>
      <c r="E36" s="2052"/>
      <c r="F36" s="2132"/>
      <c r="G36" s="2362"/>
      <c r="H36" s="2362"/>
      <c r="I36" s="2357"/>
    </row>
    <row r="37" spans="1:255" s="2352" customFormat="1" ht="12.75" customHeight="1">
      <c r="A37" s="2050"/>
      <c r="B37" s="2051"/>
      <c r="C37" s="2052"/>
      <c r="D37" s="2053"/>
      <c r="E37" s="2052"/>
      <c r="F37" s="2132"/>
      <c r="G37" s="2362"/>
      <c r="H37" s="2362"/>
      <c r="I37" s="2357"/>
    </row>
    <row r="38" spans="1:255" s="2352" customFormat="1" ht="12.75" customHeight="1">
      <c r="A38" s="2050"/>
      <c r="B38" s="2051"/>
      <c r="C38" s="2052"/>
      <c r="D38" s="2053"/>
      <c r="E38" s="2052"/>
      <c r="F38" s="2132"/>
      <c r="G38" s="2362"/>
      <c r="H38" s="2362"/>
      <c r="I38" s="2357"/>
    </row>
    <row r="39" spans="1:255" s="2352" customFormat="1" ht="12.75" customHeight="1">
      <c r="A39" s="2050"/>
      <c r="B39" s="2051"/>
      <c r="C39" s="2052"/>
      <c r="D39" s="2053"/>
      <c r="E39" s="2052"/>
      <c r="F39" s="2132"/>
      <c r="G39" s="2362"/>
      <c r="H39" s="2362"/>
      <c r="I39" s="2357"/>
    </row>
    <row r="40" spans="1:255" s="2352" customFormat="1" ht="12.75" customHeight="1">
      <c r="A40" s="2050"/>
      <c r="B40" s="2056"/>
      <c r="C40" s="2057"/>
      <c r="D40" s="2058"/>
      <c r="E40" s="2057"/>
      <c r="F40" s="2512"/>
      <c r="G40" s="2362"/>
      <c r="H40" s="2362"/>
      <c r="I40" s="2357"/>
    </row>
    <row r="41" spans="1:255" s="2352" customFormat="1" ht="12.75" customHeight="1">
      <c r="A41" s="2050"/>
      <c r="B41" s="2051"/>
      <c r="C41" s="2059"/>
      <c r="D41" s="2060"/>
      <c r="E41" s="2057"/>
      <c r="F41" s="2512"/>
      <c r="G41" s="2362"/>
      <c r="H41" s="2362"/>
      <c r="I41" s="2357"/>
    </row>
    <row r="42" spans="1:255" s="2352" customFormat="1" ht="12.95" customHeight="1">
      <c r="A42" s="2061"/>
      <c r="B42" s="2062"/>
      <c r="C42" s="2063"/>
      <c r="D42" s="2060"/>
      <c r="E42" s="2064"/>
      <c r="F42" s="2513"/>
      <c r="G42" s="2362"/>
      <c r="H42" s="2362"/>
      <c r="I42" s="2357"/>
      <c r="T42" s="2363"/>
      <c r="U42" s="2359"/>
      <c r="V42" s="2359"/>
    </row>
    <row r="43" spans="1:255" s="2352" customFormat="1" ht="12.95" customHeight="1">
      <c r="A43" s="2050"/>
      <c r="B43" s="2064"/>
      <c r="C43" s="2065"/>
      <c r="D43" s="2066"/>
      <c r="E43" s="2067"/>
      <c r="F43" s="2514"/>
      <c r="G43" s="2362"/>
      <c r="H43" s="2362"/>
      <c r="I43" s="2357"/>
      <c r="T43" s="2364"/>
      <c r="U43" s="2244"/>
      <c r="V43" s="2244"/>
    </row>
    <row r="44" spans="1:255" s="2352" customFormat="1" ht="12.95" customHeight="1">
      <c r="A44" s="2050"/>
      <c r="B44" s="2064"/>
      <c r="C44" s="2065"/>
      <c r="D44" s="2066"/>
      <c r="E44" s="2067"/>
      <c r="F44" s="2514"/>
      <c r="G44" s="2362"/>
      <c r="H44" s="2362"/>
      <c r="I44" s="2357"/>
      <c r="T44" s="2364"/>
      <c r="U44" s="2244"/>
      <c r="V44" s="2244"/>
    </row>
    <row r="45" spans="1:255" s="2352" customFormat="1" ht="12.95" customHeight="1">
      <c r="A45" s="2050"/>
      <c r="B45" s="2064"/>
      <c r="C45" s="2065"/>
      <c r="D45" s="2066"/>
      <c r="E45" s="2067"/>
      <c r="F45" s="2514"/>
      <c r="G45" s="2362"/>
      <c r="H45" s="2362"/>
      <c r="I45" s="2357"/>
      <c r="T45" s="2364"/>
      <c r="U45" s="2244"/>
      <c r="V45" s="2244"/>
    </row>
    <row r="46" spans="1:255" s="2352" customFormat="1" ht="12.95" customHeight="1">
      <c r="A46" s="2050"/>
      <c r="B46" s="2064"/>
      <c r="C46" s="2065"/>
      <c r="D46" s="2066"/>
      <c r="E46" s="2067"/>
      <c r="F46" s="2514"/>
      <c r="G46" s="2362"/>
      <c r="H46" s="2362"/>
      <c r="I46" s="2357"/>
      <c r="T46" s="2364"/>
      <c r="U46" s="2244"/>
      <c r="V46" s="2244"/>
    </row>
    <row r="47" spans="1:255" s="2352" customFormat="1" ht="12.95" customHeight="1">
      <c r="A47" s="2068"/>
      <c r="B47" s="2064"/>
      <c r="C47" s="2064"/>
      <c r="D47" s="2069"/>
      <c r="E47" s="2063"/>
      <c r="F47" s="2515"/>
      <c r="G47" s="2362"/>
      <c r="H47" s="2362"/>
      <c r="I47" s="2357"/>
    </row>
    <row r="48" spans="1:255" s="2352" customFormat="1" ht="12.95" customHeight="1">
      <c r="A48" s="2050"/>
      <c r="B48" s="2051"/>
      <c r="C48" s="2059"/>
      <c r="D48" s="2060"/>
      <c r="E48" s="2063"/>
      <c r="F48" s="2515"/>
      <c r="G48" s="2362"/>
      <c r="H48" s="2362"/>
      <c r="I48" s="2357"/>
    </row>
    <row r="49" spans="1:9" s="2352" customFormat="1" ht="12.95" customHeight="1">
      <c r="A49" s="2061"/>
      <c r="B49" s="2062"/>
      <c r="C49" s="2063"/>
      <c r="D49" s="2060"/>
      <c r="E49" s="2064"/>
      <c r="F49" s="2513"/>
      <c r="G49" s="2362"/>
      <c r="H49" s="2362"/>
      <c r="I49" s="2357"/>
    </row>
    <row r="50" spans="1:9" s="2352" customFormat="1" ht="12.95" customHeight="1">
      <c r="A50" s="2050"/>
      <c r="B50" s="2064"/>
      <c r="C50" s="2065"/>
      <c r="D50" s="2066"/>
      <c r="E50" s="2067"/>
      <c r="F50" s="2514"/>
      <c r="G50" s="2362"/>
      <c r="H50" s="2362"/>
      <c r="I50" s="2357"/>
    </row>
    <row r="51" spans="1:9" s="2352" customFormat="1" ht="12.95" customHeight="1">
      <c r="A51" s="2050"/>
      <c r="B51" s="2064"/>
      <c r="C51" s="2065"/>
      <c r="D51" s="2066"/>
      <c r="E51" s="2067"/>
      <c r="F51" s="2514"/>
      <c r="G51" s="2362"/>
      <c r="H51" s="2362"/>
      <c r="I51" s="2357"/>
    </row>
    <row r="52" spans="1:9" s="2352" customFormat="1" ht="12.95" customHeight="1">
      <c r="A52" s="2050"/>
      <c r="B52" s="2064"/>
      <c r="C52" s="2065"/>
      <c r="D52" s="2066"/>
      <c r="E52" s="2067"/>
      <c r="F52" s="2514"/>
      <c r="G52" s="2362"/>
      <c r="H52" s="2362"/>
      <c r="I52" s="2357"/>
    </row>
    <row r="53" spans="1:9" s="2352" customFormat="1" ht="12.95" customHeight="1">
      <c r="A53" s="2050"/>
      <c r="B53" s="2064"/>
      <c r="C53" s="2065"/>
      <c r="D53" s="2066"/>
      <c r="E53" s="2067"/>
      <c r="F53" s="2514"/>
      <c r="G53" s="2362"/>
      <c r="H53" s="2362"/>
      <c r="I53" s="2357"/>
    </row>
    <row r="54" spans="1:9" s="2352" customFormat="1" ht="12.95" customHeight="1">
      <c r="A54" s="2068"/>
      <c r="B54" s="2064"/>
      <c r="C54" s="2064"/>
      <c r="D54" s="2069"/>
      <c r="E54" s="2063"/>
      <c r="F54" s="2515"/>
      <c r="G54" s="2362"/>
      <c r="H54" s="2362"/>
      <c r="I54" s="2357"/>
    </row>
    <row r="55" spans="1:9" s="2352" customFormat="1" ht="12.95" customHeight="1">
      <c r="A55" s="2070"/>
      <c r="B55" s="2071"/>
      <c r="C55" s="2072"/>
      <c r="D55" s="2073"/>
      <c r="E55" s="2072"/>
      <c r="F55" s="2072"/>
      <c r="G55" s="2362"/>
      <c r="H55" s="2362"/>
      <c r="I55" s="2357"/>
    </row>
    <row r="56" spans="1:9" s="2352" customFormat="1" ht="13.5" customHeight="1">
      <c r="A56" s="2074"/>
      <c r="B56" s="5197"/>
      <c r="C56" s="5197"/>
      <c r="D56" s="5197"/>
      <c r="E56" s="5197"/>
      <c r="F56" s="5197"/>
      <c r="G56" s="2362"/>
      <c r="H56" s="2362"/>
      <c r="I56" s="2357"/>
    </row>
    <row r="57" spans="1:9" s="2352" customFormat="1" ht="12.95" customHeight="1" thickBot="1">
      <c r="A57" s="2075"/>
      <c r="B57" s="2076"/>
      <c r="C57" s="2077"/>
      <c r="D57" s="2078"/>
      <c r="E57" s="2077"/>
      <c r="F57" s="2077"/>
      <c r="G57" s="2244"/>
      <c r="H57" s="2244"/>
      <c r="I57" s="2357"/>
    </row>
    <row r="58" spans="1:9" s="2352" customFormat="1" ht="12.95" customHeight="1" thickTop="1">
      <c r="A58" s="2079"/>
      <c r="B58" s="2080"/>
      <c r="C58" s="2048"/>
      <c r="D58" s="2081"/>
      <c r="E58" s="2048"/>
      <c r="F58" s="2511"/>
      <c r="G58" s="2362"/>
      <c r="H58" s="2244"/>
      <c r="I58" s="2357"/>
    </row>
    <row r="59" spans="1:9" s="2352" customFormat="1" ht="12.95" customHeight="1">
      <c r="A59" s="2050"/>
      <c r="B59" s="2082"/>
      <c r="C59" s="2052"/>
      <c r="D59" s="2083"/>
      <c r="E59" s="2052"/>
      <c r="F59" s="2132"/>
      <c r="G59" s="2362"/>
      <c r="H59" s="2244"/>
      <c r="I59" s="2357"/>
    </row>
    <row r="60" spans="1:9" s="2366" customFormat="1" ht="12.95" customHeight="1">
      <c r="A60" s="2050"/>
      <c r="B60" s="2084"/>
      <c r="C60" s="2085"/>
      <c r="D60" s="2086"/>
      <c r="E60" s="2087"/>
      <c r="F60" s="2132"/>
      <c r="G60" s="2365"/>
      <c r="H60" s="2365"/>
    </row>
    <row r="61" spans="1:9" s="2352" customFormat="1" ht="12.95" customHeight="1" thickBot="1">
      <c r="A61" s="2088"/>
      <c r="B61" s="2089"/>
      <c r="C61" s="2090"/>
      <c r="D61" s="2091"/>
      <c r="E61" s="2092"/>
      <c r="F61" s="2516"/>
      <c r="G61" s="2367"/>
      <c r="H61" s="2244"/>
      <c r="I61" s="2357"/>
    </row>
    <row r="62" spans="1:9" s="2352" customFormat="1" ht="12.95" customHeight="1" thickTop="1">
      <c r="A62" s="2043"/>
      <c r="B62" s="2043"/>
      <c r="C62" s="2093"/>
      <c r="D62" s="2094"/>
      <c r="E62" s="2093"/>
      <c r="F62" s="2093"/>
      <c r="G62" s="2244"/>
      <c r="H62" s="2244"/>
      <c r="I62" s="2357"/>
    </row>
    <row r="63" spans="1:9" s="2352" customFormat="1" ht="12.95" customHeight="1" thickBot="1">
      <c r="A63" s="2075"/>
      <c r="B63" s="2095"/>
      <c r="C63" s="2093"/>
      <c r="D63" s="2094"/>
      <c r="E63" s="2093"/>
      <c r="F63" s="2093"/>
      <c r="G63" s="2244"/>
      <c r="H63" s="2244"/>
      <c r="I63" s="2357"/>
    </row>
    <row r="64" spans="1:9" s="2352" customFormat="1" ht="12.95" customHeight="1" thickTop="1">
      <c r="A64" s="2079"/>
      <c r="B64" s="2096"/>
      <c r="C64" s="2097"/>
      <c r="D64" s="2098"/>
      <c r="E64" s="2097"/>
      <c r="F64" s="2511"/>
      <c r="G64" s="2362"/>
      <c r="H64" s="2244"/>
      <c r="I64" s="2357"/>
    </row>
    <row r="65" spans="1:9" s="2352" customFormat="1" ht="12.95" customHeight="1">
      <c r="A65" s="2050"/>
      <c r="B65" s="2082"/>
      <c r="C65" s="2052"/>
      <c r="D65" s="2083"/>
      <c r="E65" s="2052"/>
      <c r="F65" s="2132"/>
      <c r="G65" s="2362"/>
      <c r="H65" s="2244"/>
      <c r="I65" s="2357"/>
    </row>
    <row r="66" spans="1:9" s="2366" customFormat="1" ht="12.95" customHeight="1">
      <c r="A66" s="2050"/>
      <c r="B66" s="2084"/>
      <c r="C66" s="2085"/>
      <c r="D66" s="2086"/>
      <c r="E66" s="2087"/>
      <c r="F66" s="2132"/>
      <c r="G66" s="2365"/>
      <c r="H66" s="2365"/>
    </row>
    <row r="67" spans="1:9" s="2352" customFormat="1" ht="12.95" customHeight="1" thickBot="1">
      <c r="A67" s="2099"/>
      <c r="B67" s="2100"/>
      <c r="C67" s="2101"/>
      <c r="D67" s="2091"/>
      <c r="E67" s="2092"/>
      <c r="F67" s="2516"/>
      <c r="G67" s="2367"/>
      <c r="H67" s="2244"/>
      <c r="I67" s="2357"/>
    </row>
    <row r="68" spans="1:9" s="2352" customFormat="1" ht="12.95" customHeight="1" thickTop="1">
      <c r="A68" s="2043"/>
      <c r="B68" s="2043"/>
      <c r="C68" s="2102"/>
      <c r="D68" s="2103"/>
      <c r="E68" s="2072"/>
      <c r="F68" s="2149"/>
      <c r="G68" s="2227"/>
      <c r="H68" s="2244"/>
      <c r="I68" s="2357"/>
    </row>
    <row r="69" spans="1:9" s="2352" customFormat="1" ht="12.95" customHeight="1" thickBot="1">
      <c r="A69" s="2075"/>
      <c r="B69" s="2104"/>
      <c r="C69" s="2093"/>
      <c r="D69" s="2094"/>
      <c r="E69" s="2093"/>
      <c r="F69" s="2093"/>
      <c r="G69" s="2227"/>
      <c r="H69" s="2244"/>
      <c r="I69" s="2357"/>
    </row>
    <row r="70" spans="1:9" s="2352" customFormat="1" ht="12.95" customHeight="1" thickTop="1">
      <c r="A70" s="2079"/>
      <c r="B70" s="2080"/>
      <c r="C70" s="2048"/>
      <c r="D70" s="2081"/>
      <c r="E70" s="2048"/>
      <c r="F70" s="2511"/>
      <c r="G70" s="2227"/>
      <c r="H70" s="2244"/>
      <c r="I70" s="2357"/>
    </row>
    <row r="71" spans="1:9" s="2352" customFormat="1" ht="12.95" customHeight="1">
      <c r="A71" s="2050"/>
      <c r="B71" s="2082"/>
      <c r="C71" s="2052"/>
      <c r="D71" s="2083"/>
      <c r="E71" s="2052"/>
      <c r="F71" s="2132"/>
      <c r="G71" s="2227"/>
      <c r="H71" s="2244"/>
      <c r="I71" s="2357"/>
    </row>
    <row r="72" spans="1:9" s="2352" customFormat="1" ht="12.95" customHeight="1">
      <c r="A72" s="2050"/>
      <c r="B72" s="2084"/>
      <c r="C72" s="2085"/>
      <c r="D72" s="2086"/>
      <c r="E72" s="2087"/>
      <c r="F72" s="2132"/>
      <c r="G72" s="2227"/>
      <c r="H72" s="2244"/>
      <c r="I72" s="2357"/>
    </row>
    <row r="73" spans="1:9" s="2352" customFormat="1" ht="12.95" customHeight="1" thickBot="1">
      <c r="A73" s="2099"/>
      <c r="B73" s="2100"/>
      <c r="C73" s="2101"/>
      <c r="D73" s="2105"/>
      <c r="E73" s="2092"/>
      <c r="F73" s="2516"/>
      <c r="G73" s="2227"/>
      <c r="H73" s="2244"/>
      <c r="I73" s="2357"/>
    </row>
    <row r="74" spans="1:9" s="2352" customFormat="1" ht="12.95" customHeight="1" thickTop="1">
      <c r="A74" s="2043"/>
      <c r="B74" s="2043"/>
      <c r="C74" s="2102"/>
      <c r="D74" s="2103"/>
      <c r="E74" s="2072"/>
      <c r="F74" s="2149"/>
      <c r="G74" s="2227"/>
      <c r="H74" s="2244"/>
      <c r="I74" s="2357"/>
    </row>
    <row r="75" spans="1:9" s="2352" customFormat="1" ht="12.95" customHeight="1" thickBot="1">
      <c r="A75" s="2075"/>
      <c r="B75" s="2104"/>
      <c r="C75" s="2102"/>
      <c r="D75" s="2103"/>
      <c r="E75" s="2072"/>
      <c r="F75" s="2149"/>
      <c r="G75" s="2227"/>
      <c r="H75" s="2244"/>
      <c r="I75" s="2357"/>
    </row>
    <row r="76" spans="1:9" s="2352" customFormat="1" ht="12.95" customHeight="1" thickTop="1">
      <c r="A76" s="2079"/>
      <c r="B76" s="2080"/>
      <c r="C76" s="2106"/>
      <c r="D76" s="2081"/>
      <c r="E76" s="2048"/>
      <c r="F76" s="2511"/>
      <c r="G76" s="2227"/>
      <c r="H76" s="2244"/>
      <c r="I76" s="2357"/>
    </row>
    <row r="77" spans="1:9" s="2352" customFormat="1" ht="12.95" customHeight="1">
      <c r="A77" s="2050"/>
      <c r="B77" s="2107"/>
      <c r="C77" s="2108"/>
      <c r="D77" s="2083"/>
      <c r="E77" s="2109"/>
      <c r="F77" s="2132"/>
      <c r="G77" s="2227"/>
      <c r="H77" s="2244"/>
      <c r="I77" s="2357"/>
    </row>
    <row r="78" spans="1:9" s="2352" customFormat="1" ht="12.95" customHeight="1">
      <c r="A78" s="2050"/>
      <c r="B78" s="2107"/>
      <c r="C78" s="2108"/>
      <c r="D78" s="2083"/>
      <c r="E78" s="2109"/>
      <c r="F78" s="2132"/>
      <c r="G78" s="2227"/>
      <c r="H78" s="2244"/>
      <c r="I78" s="2357"/>
    </row>
    <row r="79" spans="1:9" s="2352" customFormat="1" ht="12.95" customHeight="1">
      <c r="A79" s="2050"/>
      <c r="B79" s="2110"/>
      <c r="C79" s="2108"/>
      <c r="D79" s="2083"/>
      <c r="E79" s="2111"/>
      <c r="F79" s="2516"/>
      <c r="G79" s="2227"/>
      <c r="H79" s="2244"/>
      <c r="I79" s="2357"/>
    </row>
    <row r="80" spans="1:9" s="2352" customFormat="1" ht="12.95" customHeight="1" thickBot="1">
      <c r="A80" s="2050"/>
      <c r="B80" s="2110"/>
      <c r="C80" s="2112"/>
      <c r="D80" s="2083"/>
      <c r="E80" s="2113"/>
      <c r="F80" s="2516"/>
      <c r="G80" s="2227"/>
      <c r="H80" s="2244"/>
      <c r="I80" s="2357"/>
    </row>
    <row r="81" spans="1:9" s="2352" customFormat="1" ht="12.95" customHeight="1" thickTop="1" thickBot="1">
      <c r="A81" s="2099"/>
      <c r="B81" s="2114"/>
      <c r="C81" s="2115"/>
      <c r="D81" s="2091"/>
      <c r="E81" s="2113"/>
      <c r="F81" s="2517"/>
      <c r="G81" s="2227"/>
      <c r="H81" s="2244"/>
      <c r="I81" s="2357"/>
    </row>
    <row r="82" spans="1:9" s="2352" customFormat="1" ht="12.95" customHeight="1" thickTop="1">
      <c r="A82" s="2070"/>
      <c r="B82" s="2070"/>
      <c r="C82" s="2102"/>
      <c r="D82" s="2103"/>
      <c r="E82" s="2116"/>
      <c r="F82" s="2518"/>
      <c r="G82" s="2227"/>
      <c r="H82" s="2244"/>
      <c r="I82" s="2357"/>
    </row>
    <row r="83" spans="1:9" s="2352" customFormat="1" ht="12.95" customHeight="1">
      <c r="A83" s="2117"/>
      <c r="B83" s="2117"/>
      <c r="C83" s="2118"/>
      <c r="D83" s="2119"/>
      <c r="E83" s="2120"/>
      <c r="F83" s="2519"/>
      <c r="G83" s="2227"/>
      <c r="H83" s="2244"/>
      <c r="I83" s="2357"/>
    </row>
    <row r="84" spans="1:9" s="2352" customFormat="1" ht="12.95" customHeight="1" thickBot="1">
      <c r="A84" s="2121"/>
      <c r="B84" s="2122"/>
      <c r="C84" s="2118"/>
      <c r="D84" s="2119"/>
      <c r="E84" s="2120"/>
      <c r="F84" s="2519"/>
      <c r="G84" s="2227"/>
      <c r="H84" s="2244"/>
      <c r="I84" s="2357"/>
    </row>
    <row r="85" spans="1:9" s="2352" customFormat="1" ht="12.95" customHeight="1" thickTop="1">
      <c r="A85" s="2123"/>
      <c r="B85" s="2124"/>
      <c r="C85" s="2125"/>
      <c r="D85" s="2126"/>
      <c r="E85" s="2127"/>
      <c r="F85" s="2511"/>
      <c r="G85" s="2227"/>
      <c r="H85" s="2244"/>
      <c r="I85" s="2357"/>
    </row>
    <row r="86" spans="1:9" s="2352" customFormat="1" ht="12.95" customHeight="1">
      <c r="A86" s="2128"/>
      <c r="B86" s="2129"/>
      <c r="C86" s="2130"/>
      <c r="D86" s="2131"/>
      <c r="E86" s="2132"/>
      <c r="F86" s="2132"/>
      <c r="G86" s="2227"/>
      <c r="H86" s="2244"/>
      <c r="I86" s="2357"/>
    </row>
    <row r="87" spans="1:9" s="2352" customFormat="1" ht="25.5" customHeight="1">
      <c r="A87" s="2128"/>
      <c r="B87" s="2133"/>
      <c r="C87" s="2112"/>
      <c r="D87" s="2083"/>
      <c r="E87" s="2134"/>
      <c r="F87" s="2132"/>
      <c r="G87" s="2227"/>
      <c r="H87" s="2244"/>
      <c r="I87" s="2357"/>
    </row>
    <row r="88" spans="1:9" s="2352" customFormat="1" ht="12.95" customHeight="1">
      <c r="A88" s="2128"/>
      <c r="B88" s="2129"/>
      <c r="C88" s="2130"/>
      <c r="D88" s="2131"/>
      <c r="E88" s="2135"/>
      <c r="F88" s="2132"/>
      <c r="G88" s="2227"/>
      <c r="H88" s="2244"/>
      <c r="I88" s="2357"/>
    </row>
    <row r="89" spans="1:9" s="2352" customFormat="1" ht="12.95" customHeight="1">
      <c r="A89" s="2128"/>
      <c r="B89" s="2129"/>
      <c r="C89" s="2130"/>
      <c r="D89" s="2131"/>
      <c r="E89" s="2135"/>
      <c r="F89" s="2132"/>
      <c r="G89" s="2227"/>
      <c r="H89" s="2244"/>
      <c r="I89" s="2357"/>
    </row>
    <row r="90" spans="1:9" s="2352" customFormat="1" ht="12.95" customHeight="1">
      <c r="A90" s="2128"/>
      <c r="B90" s="2129"/>
      <c r="C90" s="2130"/>
      <c r="D90" s="2131"/>
      <c r="E90" s="2135"/>
      <c r="F90" s="2132"/>
      <c r="G90" s="2227"/>
      <c r="H90" s="2244"/>
      <c r="I90" s="2357"/>
    </row>
    <row r="91" spans="1:9" s="2352" customFormat="1" ht="12.95" customHeight="1">
      <c r="A91" s="2136"/>
      <c r="B91" s="2137"/>
      <c r="C91" s="2138"/>
      <c r="D91" s="2083"/>
      <c r="E91" s="2111"/>
      <c r="F91" s="2520"/>
      <c r="G91" s="2227"/>
      <c r="H91" s="2244"/>
      <c r="I91" s="2357"/>
    </row>
    <row r="92" spans="1:9" s="2352" customFormat="1" ht="12.95" customHeight="1" thickBot="1">
      <c r="A92" s="2139"/>
      <c r="B92" s="2140"/>
      <c r="C92" s="2141"/>
      <c r="D92" s="2142"/>
      <c r="E92" s="2143"/>
      <c r="F92" s="2516"/>
      <c r="G92" s="2227"/>
      <c r="H92" s="2244"/>
      <c r="I92" s="2357"/>
    </row>
    <row r="93" spans="1:9" s="2352" customFormat="1" ht="12.95" customHeight="1" thickTop="1">
      <c r="A93" s="2117"/>
      <c r="B93" s="2117"/>
      <c r="C93" s="2118"/>
      <c r="D93" s="2119"/>
      <c r="E93" s="2120"/>
      <c r="F93" s="2519"/>
      <c r="G93" s="2227"/>
      <c r="H93" s="2244"/>
      <c r="I93" s="2357"/>
    </row>
    <row r="94" spans="1:9" s="2352" customFormat="1" ht="12.75" customHeight="1">
      <c r="A94" s="2074"/>
      <c r="B94" s="5197"/>
      <c r="C94" s="5197"/>
      <c r="D94" s="5197"/>
      <c r="E94" s="5197"/>
      <c r="F94" s="5197"/>
      <c r="G94" s="2227"/>
      <c r="H94" s="2244"/>
      <c r="I94" s="2357"/>
    </row>
    <row r="95" spans="1:9" s="2352" customFormat="1" ht="12.95" customHeight="1" thickBot="1">
      <c r="A95" s="2144"/>
      <c r="B95" s="2104"/>
      <c r="C95" s="2077"/>
      <c r="D95" s="2078"/>
      <c r="E95" s="2077"/>
      <c r="F95" s="2077"/>
      <c r="G95" s="2244"/>
      <c r="H95" s="2244"/>
      <c r="I95" s="2357"/>
    </row>
    <row r="96" spans="1:9" s="2352" customFormat="1" ht="12.95" customHeight="1" thickTop="1">
      <c r="A96" s="2079"/>
      <c r="B96" s="2080"/>
      <c r="C96" s="2048"/>
      <c r="D96" s="2145"/>
      <c r="E96" s="2048"/>
      <c r="F96" s="2511"/>
      <c r="G96" s="2225"/>
      <c r="H96" s="2244"/>
      <c r="I96" s="2357"/>
    </row>
    <row r="97" spans="1:9" s="2352" customFormat="1" ht="12.95" customHeight="1">
      <c r="A97" s="2050"/>
      <c r="B97" s="2082"/>
      <c r="C97" s="2052"/>
      <c r="D97" s="2146"/>
      <c r="E97" s="2052"/>
      <c r="F97" s="2132"/>
      <c r="G97" s="2225"/>
      <c r="H97" s="2244"/>
      <c r="I97" s="2357"/>
    </row>
    <row r="98" spans="1:9" s="2352" customFormat="1" ht="12.95" customHeight="1">
      <c r="A98" s="2050"/>
      <c r="B98" s="2082"/>
      <c r="C98" s="2052"/>
      <c r="D98" s="2146"/>
      <c r="E98" s="2052"/>
      <c r="F98" s="2132"/>
      <c r="G98" s="2225"/>
      <c r="H98" s="2244"/>
      <c r="I98" s="2357"/>
    </row>
    <row r="99" spans="1:9" s="2352" customFormat="1" ht="12.95" customHeight="1">
      <c r="A99" s="2050"/>
      <c r="B99" s="2082"/>
      <c r="C99" s="2052"/>
      <c r="D99" s="2146"/>
      <c r="E99" s="2052"/>
      <c r="F99" s="2132"/>
      <c r="G99" s="2225"/>
      <c r="H99" s="2244"/>
      <c r="I99" s="2357"/>
    </row>
    <row r="100" spans="1:9" s="2352" customFormat="1" ht="12.95" customHeight="1">
      <c r="A100" s="2050"/>
      <c r="B100" s="2082"/>
      <c r="C100" s="2052"/>
      <c r="D100" s="2146"/>
      <c r="E100" s="2052"/>
      <c r="F100" s="2132"/>
      <c r="G100" s="2225"/>
      <c r="H100" s="2244"/>
      <c r="I100" s="2357"/>
    </row>
    <row r="101" spans="1:9" s="2352" customFormat="1" ht="12.95" customHeight="1">
      <c r="A101" s="2050"/>
      <c r="B101" s="2082"/>
      <c r="C101" s="2052"/>
      <c r="D101" s="2146"/>
      <c r="E101" s="2052"/>
      <c r="F101" s="2132"/>
      <c r="G101" s="2225"/>
      <c r="H101" s="2244"/>
      <c r="I101" s="2357"/>
    </row>
    <row r="102" spans="1:9" s="2352" customFormat="1" ht="12.95" customHeight="1" thickBot="1">
      <c r="A102" s="2099"/>
      <c r="B102" s="2100"/>
      <c r="C102" s="2101"/>
      <c r="D102" s="2105"/>
      <c r="E102" s="2143"/>
      <c r="F102" s="2516"/>
      <c r="G102" s="2227"/>
      <c r="H102" s="2244"/>
      <c r="I102" s="2357"/>
    </row>
    <row r="103" spans="1:9" s="2352" customFormat="1" ht="12.95" customHeight="1" thickTop="1">
      <c r="A103" s="2043"/>
      <c r="B103" s="2147"/>
      <c r="C103" s="2072"/>
      <c r="D103" s="2148"/>
      <c r="E103" s="2149"/>
      <c r="F103" s="2149"/>
      <c r="G103" s="2227"/>
      <c r="H103" s="2244"/>
      <c r="I103" s="2357"/>
    </row>
    <row r="104" spans="1:9" s="2352" customFormat="1" ht="12.95" customHeight="1" thickBot="1">
      <c r="A104" s="2144"/>
      <c r="B104" s="2150"/>
      <c r="C104" s="2093"/>
      <c r="D104" s="2094"/>
      <c r="E104" s="2093"/>
      <c r="F104" s="2093"/>
      <c r="G104" s="2244"/>
      <c r="H104" s="2244"/>
      <c r="I104" s="2357"/>
    </row>
    <row r="105" spans="1:9" s="2352" customFormat="1" ht="12.95" customHeight="1" thickTop="1">
      <c r="A105" s="2079"/>
      <c r="B105" s="2080"/>
      <c r="C105" s="2048"/>
      <c r="D105" s="2081"/>
      <c r="E105" s="2048"/>
      <c r="F105" s="2511"/>
      <c r="G105" s="2225"/>
      <c r="H105" s="2244"/>
      <c r="I105" s="2357"/>
    </row>
    <row r="106" spans="1:9" s="2352" customFormat="1" ht="12.95" customHeight="1">
      <c r="A106" s="2050"/>
      <c r="B106" s="2082"/>
      <c r="C106" s="2052"/>
      <c r="D106" s="2083"/>
      <c r="E106" s="2052"/>
      <c r="F106" s="2132"/>
      <c r="G106" s="2225"/>
      <c r="H106" s="2244"/>
      <c r="I106" s="2357"/>
    </row>
    <row r="107" spans="1:9" s="2352" customFormat="1" ht="12.95" customHeight="1">
      <c r="A107" s="2050"/>
      <c r="B107" s="2082"/>
      <c r="C107" s="2052"/>
      <c r="D107" s="2083"/>
      <c r="E107" s="2052"/>
      <c r="F107" s="2132"/>
      <c r="G107" s="2225"/>
      <c r="H107" s="2244"/>
      <c r="I107" s="2357"/>
    </row>
    <row r="108" spans="1:9" s="2352" customFormat="1" ht="12.95" customHeight="1">
      <c r="A108" s="2050"/>
      <c r="B108" s="2082"/>
      <c r="C108" s="2052"/>
      <c r="D108" s="2083"/>
      <c r="E108" s="2052"/>
      <c r="F108" s="2132"/>
      <c r="G108" s="2225"/>
      <c r="H108" s="2244"/>
      <c r="I108" s="2357"/>
    </row>
    <row r="109" spans="1:9" s="2352" customFormat="1" ht="12.95" customHeight="1">
      <c r="A109" s="2050"/>
      <c r="B109" s="2082"/>
      <c r="C109" s="2052"/>
      <c r="D109" s="2083"/>
      <c r="E109" s="2052"/>
      <c r="F109" s="2132"/>
      <c r="G109" s="2225"/>
      <c r="H109" s="2244"/>
      <c r="I109" s="2357"/>
    </row>
    <row r="110" spans="1:9" s="2352" customFormat="1" ht="12.95" customHeight="1">
      <c r="A110" s="2050"/>
      <c r="B110" s="2082"/>
      <c r="C110" s="2052"/>
      <c r="D110" s="2146"/>
      <c r="E110" s="2052"/>
      <c r="F110" s="2132"/>
      <c r="G110" s="2225"/>
      <c r="H110" s="2244"/>
      <c r="I110" s="2357"/>
    </row>
    <row r="111" spans="1:9" s="2352" customFormat="1" ht="12.95" customHeight="1" thickBot="1">
      <c r="A111" s="2099"/>
      <c r="B111" s="2100"/>
      <c r="C111" s="2101"/>
      <c r="D111" s="2105"/>
      <c r="E111" s="2143"/>
      <c r="F111" s="2516"/>
      <c r="G111" s="2227"/>
      <c r="H111" s="2244"/>
      <c r="I111" s="2357"/>
    </row>
    <row r="112" spans="1:9" s="2352" customFormat="1" ht="12.95" customHeight="1" thickTop="1">
      <c r="A112" s="2043"/>
      <c r="B112" s="2147"/>
      <c r="C112" s="2072"/>
      <c r="D112" s="2148"/>
      <c r="E112" s="2149"/>
      <c r="F112" s="2149"/>
      <c r="G112" s="2227"/>
      <c r="H112" s="2244"/>
      <c r="I112" s="2357"/>
    </row>
    <row r="113" spans="1:9" s="2352" customFormat="1" ht="12.95" customHeight="1" thickBot="1">
      <c r="A113" s="2144"/>
      <c r="B113" s="2150"/>
      <c r="C113" s="2093"/>
      <c r="D113" s="2094"/>
      <c r="E113" s="2093"/>
      <c r="F113" s="2093"/>
      <c r="G113" s="2244"/>
      <c r="H113" s="2244"/>
      <c r="I113" s="2357"/>
    </row>
    <row r="114" spans="1:9" s="2352" customFormat="1" ht="12.95" customHeight="1" thickTop="1">
      <c r="A114" s="2079"/>
      <c r="B114" s="2080"/>
      <c r="C114" s="2048"/>
      <c r="D114" s="2081"/>
      <c r="E114" s="2048"/>
      <c r="F114" s="2511"/>
      <c r="G114" s="2225"/>
      <c r="H114" s="2244"/>
      <c r="I114" s="2357"/>
    </row>
    <row r="115" spans="1:9" s="2352" customFormat="1" ht="12.95" customHeight="1">
      <c r="A115" s="2050"/>
      <c r="B115" s="2082"/>
      <c r="C115" s="2052"/>
      <c r="D115" s="2083"/>
      <c r="E115" s="2052"/>
      <c r="F115" s="2132"/>
      <c r="G115" s="2225"/>
      <c r="H115" s="2244"/>
      <c r="I115" s="2357"/>
    </row>
    <row r="116" spans="1:9" s="2352" customFormat="1" ht="12.95" customHeight="1">
      <c r="A116" s="2050"/>
      <c r="B116" s="2082"/>
      <c r="C116" s="2052"/>
      <c r="D116" s="2083"/>
      <c r="E116" s="2052"/>
      <c r="F116" s="2132"/>
      <c r="G116" s="2225"/>
      <c r="H116" s="2244"/>
      <c r="I116" s="2357"/>
    </row>
    <row r="117" spans="1:9" s="2352" customFormat="1" ht="12.95" customHeight="1">
      <c r="A117" s="2050"/>
      <c r="B117" s="2082"/>
      <c r="C117" s="2052"/>
      <c r="D117" s="2083"/>
      <c r="E117" s="2052"/>
      <c r="F117" s="2132"/>
      <c r="G117" s="2225"/>
      <c r="H117" s="2244"/>
      <c r="I117" s="2357"/>
    </row>
    <row r="118" spans="1:9" s="2352" customFormat="1" ht="12.95" customHeight="1">
      <c r="A118" s="2050"/>
      <c r="B118" s="2082"/>
      <c r="C118" s="2052"/>
      <c r="D118" s="2083"/>
      <c r="E118" s="2052"/>
      <c r="F118" s="2132"/>
      <c r="G118" s="2225"/>
      <c r="H118" s="2244"/>
      <c r="I118" s="2357"/>
    </row>
    <row r="119" spans="1:9" s="2352" customFormat="1" ht="12.95" customHeight="1">
      <c r="A119" s="2050"/>
      <c r="B119" s="2082"/>
      <c r="C119" s="2109"/>
      <c r="D119" s="2083"/>
      <c r="E119" s="2052"/>
      <c r="F119" s="2132"/>
      <c r="G119" s="2225"/>
      <c r="H119" s="2244"/>
      <c r="I119" s="2357"/>
    </row>
    <row r="120" spans="1:9" s="2352" customFormat="1" ht="12.95" customHeight="1" thickBot="1">
      <c r="A120" s="2099"/>
      <c r="B120" s="2100"/>
      <c r="C120" s="2101"/>
      <c r="D120" s="2105"/>
      <c r="E120" s="2143"/>
      <c r="F120" s="2516"/>
      <c r="G120" s="2227"/>
      <c r="H120" s="2244"/>
      <c r="I120" s="2357"/>
    </row>
    <row r="121" spans="1:9" s="2352" customFormat="1" ht="12.95" customHeight="1" thickTop="1">
      <c r="A121" s="2043"/>
      <c r="B121" s="2147"/>
      <c r="C121" s="2072"/>
      <c r="D121" s="2148"/>
      <c r="E121" s="2149"/>
      <c r="F121" s="2521"/>
      <c r="G121" s="2227"/>
      <c r="H121" s="2244"/>
      <c r="I121" s="2357"/>
    </row>
    <row r="122" spans="1:9" s="2352" customFormat="1" ht="12.95" customHeight="1" thickBot="1">
      <c r="A122" s="2144"/>
      <c r="B122" s="2150"/>
      <c r="C122" s="2093"/>
      <c r="D122" s="2094"/>
      <c r="E122" s="2093"/>
      <c r="F122" s="2093"/>
      <c r="G122" s="2244"/>
      <c r="H122" s="2244"/>
      <c r="I122" s="2357"/>
    </row>
    <row r="123" spans="1:9" s="2352" customFormat="1" ht="12.95" customHeight="1" thickTop="1">
      <c r="A123" s="2079"/>
      <c r="B123" s="2080"/>
      <c r="C123" s="2048"/>
      <c r="D123" s="2081"/>
      <c r="E123" s="2048"/>
      <c r="F123" s="2132"/>
      <c r="G123" s="2225"/>
      <c r="H123" s="2244"/>
      <c r="I123" s="2357"/>
    </row>
    <row r="124" spans="1:9" s="2352" customFormat="1" ht="12.95" customHeight="1">
      <c r="A124" s="2151"/>
      <c r="B124" s="2082"/>
      <c r="C124" s="2152"/>
      <c r="D124" s="2153"/>
      <c r="E124" s="2152"/>
      <c r="F124" s="2132"/>
      <c r="G124" s="2225"/>
      <c r="H124" s="2244"/>
      <c r="I124" s="2357"/>
    </row>
    <row r="125" spans="1:9" s="2352" customFormat="1" ht="12.95" customHeight="1">
      <c r="A125" s="2151"/>
      <c r="B125" s="2082"/>
      <c r="C125" s="2052"/>
      <c r="D125" s="2083"/>
      <c r="E125" s="2052"/>
      <c r="F125" s="2132"/>
      <c r="G125" s="2225"/>
      <c r="H125" s="2244"/>
      <c r="I125" s="2357"/>
    </row>
    <row r="126" spans="1:9" s="2352" customFormat="1" ht="12.95" customHeight="1">
      <c r="A126" s="2151"/>
      <c r="B126" s="2082"/>
      <c r="C126" s="2052"/>
      <c r="D126" s="2083"/>
      <c r="E126" s="2052"/>
      <c r="F126" s="2132"/>
      <c r="G126" s="2225"/>
      <c r="H126" s="2244"/>
      <c r="I126" s="2357"/>
    </row>
    <row r="127" spans="1:9" s="2352" customFormat="1" ht="12.95" customHeight="1">
      <c r="A127" s="2151"/>
      <c r="B127" s="2082"/>
      <c r="C127" s="2052"/>
      <c r="D127" s="2083"/>
      <c r="E127" s="2052"/>
      <c r="F127" s="2132"/>
      <c r="G127" s="2225"/>
      <c r="H127" s="2244"/>
      <c r="I127" s="2357"/>
    </row>
    <row r="128" spans="1:9" s="2352" customFormat="1" ht="12.95" customHeight="1">
      <c r="A128" s="2151"/>
      <c r="B128" s="2082"/>
      <c r="C128" s="2052"/>
      <c r="D128" s="2083"/>
      <c r="E128" s="2052"/>
      <c r="F128" s="2132"/>
      <c r="G128" s="2225"/>
      <c r="H128" s="2244"/>
      <c r="I128" s="2357"/>
    </row>
    <row r="129" spans="1:9" s="2352" customFormat="1" ht="12.95" customHeight="1" thickBot="1">
      <c r="A129" s="2099"/>
      <c r="B129" s="2100"/>
      <c r="C129" s="2101"/>
      <c r="D129" s="2105"/>
      <c r="E129" s="2143"/>
      <c r="F129" s="2516"/>
      <c r="G129" s="2227"/>
      <c r="H129" s="2244"/>
      <c r="I129" s="2357"/>
    </row>
    <row r="130" spans="1:9" s="2352" customFormat="1" ht="12.95" customHeight="1" thickTop="1">
      <c r="A130" s="2043"/>
      <c r="B130" s="2070"/>
      <c r="C130" s="2072"/>
      <c r="D130" s="2148"/>
      <c r="E130" s="2149"/>
      <c r="F130" s="2149"/>
      <c r="G130" s="2227"/>
      <c r="H130" s="2244"/>
      <c r="I130" s="2357"/>
    </row>
    <row r="131" spans="1:9" s="2352" customFormat="1" ht="12.95" customHeight="1" thickBot="1">
      <c r="A131" s="2144"/>
      <c r="B131" s="2147"/>
      <c r="C131" s="2093"/>
      <c r="D131" s="2094"/>
      <c r="E131" s="2093"/>
      <c r="F131" s="2093"/>
      <c r="G131" s="2227"/>
      <c r="H131" s="2244"/>
      <c r="I131" s="2357"/>
    </row>
    <row r="132" spans="1:9" s="2352" customFormat="1" ht="12.95" customHeight="1" thickTop="1">
      <c r="A132" s="2079"/>
      <c r="B132" s="2080"/>
      <c r="C132" s="2048"/>
      <c r="D132" s="2145"/>
      <c r="E132" s="2048"/>
      <c r="F132" s="2511"/>
      <c r="G132" s="2227"/>
      <c r="H132" s="2244"/>
      <c r="I132" s="2357"/>
    </row>
    <row r="133" spans="1:9" s="2352" customFormat="1" ht="12.95" customHeight="1">
      <c r="A133" s="2050"/>
      <c r="B133" s="2082"/>
      <c r="C133" s="2052"/>
      <c r="D133" s="2146"/>
      <c r="E133" s="2052"/>
      <c r="F133" s="2132"/>
      <c r="G133" s="2227"/>
      <c r="H133" s="2244"/>
      <c r="I133" s="2357"/>
    </row>
    <row r="134" spans="1:9" s="2352" customFormat="1" ht="12.95" customHeight="1">
      <c r="A134" s="2050"/>
      <c r="B134" s="2082"/>
      <c r="C134" s="2052"/>
      <c r="D134" s="2146"/>
      <c r="E134" s="2052"/>
      <c r="F134" s="2132"/>
      <c r="G134" s="2227"/>
      <c r="H134" s="2244"/>
      <c r="I134" s="2357"/>
    </row>
    <row r="135" spans="1:9" s="2352" customFormat="1" ht="12.95" customHeight="1" thickBot="1">
      <c r="A135" s="2099"/>
      <c r="B135" s="2100"/>
      <c r="C135" s="2101"/>
      <c r="D135" s="2105"/>
      <c r="E135" s="2143"/>
      <c r="F135" s="2516"/>
      <c r="G135" s="2227"/>
      <c r="H135" s="2244"/>
      <c r="I135" s="2357"/>
    </row>
    <row r="136" spans="1:9" s="2352" customFormat="1" ht="12.95" customHeight="1" thickTop="1">
      <c r="A136" s="2043"/>
      <c r="B136" s="2070"/>
      <c r="C136" s="2072"/>
      <c r="D136" s="2148"/>
      <c r="E136" s="2149"/>
      <c r="F136" s="2149"/>
      <c r="G136" s="2227"/>
      <c r="H136" s="2244"/>
      <c r="I136" s="2357"/>
    </row>
    <row r="137" spans="1:9" s="2352" customFormat="1" ht="12.95" customHeight="1" thickBot="1">
      <c r="A137" s="2144"/>
      <c r="B137" s="2150"/>
      <c r="C137" s="2093"/>
      <c r="D137" s="2094"/>
      <c r="E137" s="2093"/>
      <c r="F137" s="2093"/>
      <c r="G137" s="2227"/>
      <c r="H137" s="2244"/>
      <c r="I137" s="2357"/>
    </row>
    <row r="138" spans="1:9" s="2352" customFormat="1" ht="12.95" customHeight="1" thickTop="1">
      <c r="A138" s="2079"/>
      <c r="B138" s="2080"/>
      <c r="C138" s="2048"/>
      <c r="D138" s="2154"/>
      <c r="E138" s="2048"/>
      <c r="F138" s="199"/>
      <c r="G138" s="2227"/>
      <c r="H138" s="2244"/>
      <c r="I138" s="2357"/>
    </row>
    <row r="139" spans="1:9" s="2352" customFormat="1" ht="12.95" customHeight="1">
      <c r="A139" s="2050"/>
      <c r="B139" s="2082"/>
      <c r="C139" s="2052"/>
      <c r="D139" s="2155"/>
      <c r="E139" s="2052"/>
      <c r="F139" s="204"/>
      <c r="G139" s="2227"/>
      <c r="H139" s="2244"/>
      <c r="I139" s="2357"/>
    </row>
    <row r="140" spans="1:9" s="2352" customFormat="1" ht="12.95" customHeight="1">
      <c r="A140" s="2050"/>
      <c r="B140" s="2082"/>
      <c r="C140" s="2052"/>
      <c r="D140" s="2155"/>
      <c r="E140" s="2052"/>
      <c r="F140" s="204"/>
      <c r="G140" s="2227"/>
      <c r="H140" s="2244"/>
      <c r="I140" s="2357"/>
    </row>
    <row r="141" spans="1:9" s="2352" customFormat="1" ht="12.95" customHeight="1">
      <c r="A141" s="2050"/>
      <c r="B141" s="2082"/>
      <c r="C141" s="2052"/>
      <c r="D141" s="2156"/>
      <c r="E141" s="2052"/>
      <c r="F141" s="204"/>
      <c r="G141" s="2227"/>
      <c r="H141" s="2244"/>
      <c r="I141" s="2357"/>
    </row>
    <row r="142" spans="1:9" s="2352" customFormat="1" ht="12.95" customHeight="1">
      <c r="A142" s="2050"/>
      <c r="B142" s="2082"/>
      <c r="C142" s="2052"/>
      <c r="D142" s="2155"/>
      <c r="E142" s="2052"/>
      <c r="F142" s="204"/>
      <c r="G142" s="2227"/>
      <c r="H142" s="2244"/>
      <c r="I142" s="2357"/>
    </row>
    <row r="143" spans="1:9" s="2352" customFormat="1" ht="12.95" customHeight="1">
      <c r="A143" s="2050"/>
      <c r="B143" s="2157"/>
      <c r="C143" s="2052"/>
      <c r="D143" s="2155"/>
      <c r="E143" s="2052"/>
      <c r="F143" s="2132"/>
      <c r="G143" s="2227"/>
      <c r="H143" s="2244"/>
      <c r="I143" s="2357"/>
    </row>
    <row r="144" spans="1:9" s="2352" customFormat="1" ht="12.95" customHeight="1" thickBot="1">
      <c r="A144" s="2099"/>
      <c r="B144" s="2100"/>
      <c r="C144" s="2101"/>
      <c r="D144" s="2105"/>
      <c r="E144" s="2143"/>
      <c r="F144" s="2516"/>
      <c r="G144" s="2227"/>
      <c r="H144" s="2244"/>
      <c r="I144" s="2357"/>
    </row>
    <row r="145" spans="1:9" s="2352" customFormat="1" ht="12.95" customHeight="1" thickTop="1">
      <c r="A145" s="2070"/>
      <c r="B145" s="2070"/>
      <c r="C145" s="2072"/>
      <c r="D145" s="2148"/>
      <c r="E145" s="2149"/>
      <c r="F145" s="2149"/>
      <c r="G145" s="2227"/>
      <c r="H145" s="2244"/>
      <c r="I145" s="2357"/>
    </row>
    <row r="146" spans="1:9" s="2352" customFormat="1" ht="13.5" customHeight="1">
      <c r="A146" s="2074"/>
      <c r="B146" s="5197"/>
      <c r="C146" s="5197"/>
      <c r="D146" s="5197"/>
      <c r="E146" s="5197"/>
      <c r="F146" s="5197"/>
      <c r="G146" s="2227"/>
      <c r="H146" s="2244"/>
      <c r="I146" s="2357"/>
    </row>
    <row r="147" spans="1:9" s="2352" customFormat="1" ht="12.95" customHeight="1" thickBot="1">
      <c r="A147" s="2144"/>
      <c r="B147" s="2150"/>
      <c r="C147" s="2093"/>
      <c r="D147" s="2094"/>
      <c r="E147" s="2093"/>
      <c r="F147" s="2093"/>
      <c r="G147" s="2244"/>
      <c r="H147" s="2244"/>
      <c r="I147" s="2357"/>
    </row>
    <row r="148" spans="1:9" s="2352" customFormat="1" ht="12.95" customHeight="1" thickTop="1">
      <c r="A148" s="2079"/>
      <c r="B148" s="2080"/>
      <c r="C148" s="2048"/>
      <c r="D148" s="2081"/>
      <c r="E148" s="2048"/>
      <c r="F148" s="2511"/>
      <c r="G148" s="2225"/>
      <c r="H148" s="2244"/>
      <c r="I148" s="2357"/>
    </row>
    <row r="149" spans="1:9" s="2352" customFormat="1" ht="12.95" customHeight="1">
      <c r="A149" s="2050"/>
      <c r="B149" s="2082"/>
      <c r="C149" s="2052"/>
      <c r="D149" s="2083"/>
      <c r="E149" s="2052"/>
      <c r="F149" s="2132"/>
      <c r="G149" s="2225"/>
      <c r="H149" s="2244"/>
      <c r="I149" s="2357"/>
    </row>
    <row r="150" spans="1:9" s="2352" customFormat="1" ht="12.95" customHeight="1">
      <c r="A150" s="2050"/>
      <c r="B150" s="2082"/>
      <c r="C150" s="2052"/>
      <c r="D150" s="2083"/>
      <c r="E150" s="2052"/>
      <c r="F150" s="2132"/>
      <c r="G150" s="2225"/>
      <c r="H150" s="2244"/>
      <c r="I150" s="2357"/>
    </row>
    <row r="151" spans="1:9" s="2352" customFormat="1" ht="12.95" customHeight="1">
      <c r="A151" s="2050"/>
      <c r="B151" s="2082"/>
      <c r="C151" s="2052"/>
      <c r="D151" s="2083"/>
      <c r="E151" s="2052"/>
      <c r="F151" s="2132"/>
      <c r="G151" s="2225"/>
      <c r="H151" s="2244"/>
      <c r="I151" s="2357"/>
    </row>
    <row r="152" spans="1:9" s="2352" customFormat="1" ht="12.95" customHeight="1">
      <c r="A152" s="2050"/>
      <c r="B152" s="2082"/>
      <c r="C152" s="2052"/>
      <c r="D152" s="2083"/>
      <c r="E152" s="2052"/>
      <c r="F152" s="2132"/>
      <c r="G152" s="2225"/>
      <c r="H152" s="2244"/>
      <c r="I152" s="2357"/>
    </row>
    <row r="153" spans="1:9" s="2352" customFormat="1" ht="12.95" customHeight="1">
      <c r="A153" s="2050"/>
      <c r="B153" s="2082"/>
      <c r="C153" s="2052"/>
      <c r="D153" s="2083"/>
      <c r="E153" s="2052"/>
      <c r="F153" s="2132"/>
      <c r="G153" s="2225"/>
      <c r="H153" s="2244"/>
      <c r="I153" s="2357"/>
    </row>
    <row r="154" spans="1:9" s="2352" customFormat="1" ht="12.95" customHeight="1" thickBot="1">
      <c r="A154" s="2099"/>
      <c r="B154" s="2100"/>
      <c r="C154" s="2101"/>
      <c r="D154" s="2105"/>
      <c r="E154" s="2143"/>
      <c r="F154" s="2516"/>
      <c r="G154" s="2227"/>
      <c r="H154" s="2244"/>
      <c r="I154" s="2357"/>
    </row>
    <row r="155" spans="1:9" s="2352" customFormat="1" ht="12.95" customHeight="1" thickTop="1">
      <c r="A155" s="2070"/>
      <c r="B155" s="2070"/>
      <c r="C155" s="2093"/>
      <c r="D155" s="2094"/>
      <c r="E155" s="2158"/>
      <c r="F155" s="2158"/>
      <c r="G155" s="2368"/>
      <c r="H155" s="2244"/>
      <c r="I155" s="2357"/>
    </row>
    <row r="156" spans="1:9" s="2352" customFormat="1" ht="12.95" customHeight="1" thickBot="1">
      <c r="A156" s="2144"/>
      <c r="B156" s="2150"/>
      <c r="C156" s="2093"/>
      <c r="D156" s="2094"/>
      <c r="E156" s="2093"/>
      <c r="F156" s="2093"/>
      <c r="G156" s="2244"/>
      <c r="H156" s="2244"/>
      <c r="I156" s="2357"/>
    </row>
    <row r="157" spans="1:9" s="2352" customFormat="1" ht="12.95" customHeight="1" thickTop="1">
      <c r="A157" s="2079"/>
      <c r="B157" s="2080"/>
      <c r="C157" s="2048"/>
      <c r="D157" s="2145"/>
      <c r="E157" s="2048"/>
      <c r="F157" s="2511"/>
      <c r="G157" s="2225"/>
      <c r="H157" s="2244"/>
      <c r="I157" s="2357"/>
    </row>
    <row r="158" spans="1:9" s="2352" customFormat="1" ht="12.95" customHeight="1">
      <c r="A158" s="2050"/>
      <c r="B158" s="2082"/>
      <c r="C158" s="2052"/>
      <c r="D158" s="2146"/>
      <c r="E158" s="2052"/>
      <c r="F158" s="2132"/>
      <c r="G158" s="2225"/>
      <c r="H158" s="2244"/>
      <c r="I158" s="2357"/>
    </row>
    <row r="159" spans="1:9" s="2352" customFormat="1" ht="12.95" customHeight="1">
      <c r="A159" s="2050"/>
      <c r="B159" s="2082"/>
      <c r="C159" s="2052"/>
      <c r="D159" s="2146"/>
      <c r="E159" s="2052"/>
      <c r="F159" s="2132"/>
      <c r="G159" s="2225"/>
      <c r="H159" s="2244"/>
      <c r="I159" s="2357"/>
    </row>
    <row r="160" spans="1:9" s="2352" customFormat="1" ht="12.95" customHeight="1">
      <c r="A160" s="2050"/>
      <c r="B160" s="2082"/>
      <c r="C160" s="2052"/>
      <c r="D160" s="2146"/>
      <c r="E160" s="2052"/>
      <c r="F160" s="2132"/>
      <c r="G160" s="2225"/>
      <c r="H160" s="2244"/>
      <c r="I160" s="2357"/>
    </row>
    <row r="161" spans="1:9" s="2352" customFormat="1" ht="12.95" customHeight="1">
      <c r="A161" s="2050"/>
      <c r="B161" s="2082"/>
      <c r="C161" s="2052"/>
      <c r="D161" s="2159"/>
      <c r="E161" s="2052"/>
      <c r="F161" s="2132"/>
      <c r="G161" s="2225"/>
      <c r="H161" s="2244"/>
      <c r="I161" s="2357"/>
    </row>
    <row r="162" spans="1:9" s="2352" customFormat="1" ht="12.95" customHeight="1" thickBot="1">
      <c r="A162" s="2099"/>
      <c r="B162" s="2100"/>
      <c r="C162" s="2101"/>
      <c r="D162" s="2105"/>
      <c r="E162" s="2143"/>
      <c r="F162" s="2516"/>
      <c r="G162" s="2227"/>
      <c r="H162" s="2244"/>
      <c r="I162" s="2357"/>
    </row>
    <row r="163" spans="1:9" s="2352" customFormat="1" ht="12.95" customHeight="1" thickTop="1">
      <c r="A163" s="2070"/>
      <c r="B163" s="2070"/>
      <c r="C163" s="2072"/>
      <c r="D163" s="2148"/>
      <c r="E163" s="2149"/>
      <c r="F163" s="2149"/>
      <c r="G163" s="2227"/>
      <c r="H163" s="2244"/>
      <c r="I163" s="2357"/>
    </row>
    <row r="164" spans="1:9" s="2177" customFormat="1" ht="12.95" customHeight="1" thickBot="1">
      <c r="A164" s="2144"/>
      <c r="B164" s="2160"/>
      <c r="C164" s="2161"/>
      <c r="D164" s="2162"/>
      <c r="E164" s="2161"/>
      <c r="F164" s="2161"/>
      <c r="G164" s="2350"/>
      <c r="H164" s="2350"/>
      <c r="I164" s="2353"/>
    </row>
    <row r="165" spans="1:9" s="2177" customFormat="1" ht="12.95" customHeight="1" thickTop="1">
      <c r="A165" s="2163"/>
      <c r="B165" s="2164"/>
      <c r="C165" s="2165"/>
      <c r="D165" s="2166"/>
      <c r="E165" s="2167"/>
      <c r="F165" s="2511"/>
      <c r="G165" s="2356"/>
      <c r="H165" s="2356"/>
      <c r="I165" s="2353"/>
    </row>
    <row r="166" spans="1:9" s="2177" customFormat="1" ht="12.95" customHeight="1">
      <c r="A166" s="2168"/>
      <c r="B166" s="2169"/>
      <c r="C166" s="2170"/>
      <c r="D166" s="2171"/>
      <c r="E166" s="2172"/>
      <c r="F166" s="2132"/>
      <c r="G166" s="2356"/>
      <c r="H166" s="2356"/>
      <c r="I166" s="2353"/>
    </row>
    <row r="167" spans="1:9" s="2177" customFormat="1" ht="12.95" customHeight="1">
      <c r="A167" s="2168"/>
      <c r="B167" s="2169"/>
      <c r="C167" s="2170"/>
      <c r="D167" s="2171"/>
      <c r="E167" s="2172"/>
      <c r="F167" s="2132"/>
      <c r="G167" s="2356"/>
      <c r="H167" s="2356"/>
      <c r="I167" s="2353"/>
    </row>
    <row r="168" spans="1:9" s="2177" customFormat="1" ht="12.95" customHeight="1">
      <c r="A168" s="2168"/>
      <c r="B168" s="2169"/>
      <c r="C168" s="2170"/>
      <c r="D168" s="2171"/>
      <c r="E168" s="2172"/>
      <c r="F168" s="2132"/>
      <c r="G168" s="2356"/>
      <c r="H168" s="2356"/>
      <c r="I168" s="2353"/>
    </row>
    <row r="169" spans="1:9" s="2177" customFormat="1" ht="12.95" customHeight="1">
      <c r="A169" s="2168"/>
      <c r="B169" s="2169"/>
      <c r="C169" s="2170"/>
      <c r="D169" s="2171"/>
      <c r="E169" s="2052"/>
      <c r="F169" s="2132"/>
      <c r="G169" s="2356"/>
      <c r="H169" s="2369"/>
      <c r="I169" s="2353"/>
    </row>
    <row r="170" spans="1:9" s="2177" customFormat="1" ht="12.95" customHeight="1" thickBot="1">
      <c r="A170" s="2173"/>
      <c r="B170" s="2174"/>
      <c r="C170" s="2175"/>
      <c r="D170" s="2176"/>
      <c r="E170" s="2143"/>
      <c r="F170" s="2516"/>
      <c r="G170" s="2370"/>
      <c r="H170" s="2371"/>
      <c r="I170" s="2353"/>
    </row>
    <row r="171" spans="1:9" s="2177" customFormat="1" ht="12.95" customHeight="1" thickTop="1">
      <c r="C171" s="2161"/>
      <c r="D171" s="2162"/>
      <c r="E171" s="2149"/>
      <c r="F171" s="2522"/>
      <c r="G171" s="2370"/>
      <c r="H171" s="2371"/>
      <c r="I171" s="2353"/>
    </row>
    <row r="172" spans="1:9" s="2374" customFormat="1" ht="12.95" customHeight="1" thickBot="1">
      <c r="A172" s="2144"/>
      <c r="B172" s="2160"/>
      <c r="C172" s="2178"/>
      <c r="D172" s="2179"/>
      <c r="E172" s="2178"/>
      <c r="F172" s="2178"/>
      <c r="G172" s="2372"/>
      <c r="H172" s="2372"/>
      <c r="I172" s="2373"/>
    </row>
    <row r="173" spans="1:9" s="2177" customFormat="1" ht="12.95" customHeight="1" thickTop="1">
      <c r="A173" s="2163"/>
      <c r="B173" s="2180"/>
      <c r="C173" s="2165"/>
      <c r="D173" s="2181"/>
      <c r="E173" s="2167"/>
      <c r="F173" s="2511"/>
      <c r="G173" s="2375"/>
      <c r="H173" s="2356"/>
      <c r="I173" s="2353"/>
    </row>
    <row r="174" spans="1:9" s="2177" customFormat="1" ht="12.95" customHeight="1">
      <c r="A174" s="2168"/>
      <c r="B174" s="2182"/>
      <c r="C174" s="2170"/>
      <c r="D174" s="2183"/>
      <c r="E174" s="2172"/>
      <c r="F174" s="2132"/>
      <c r="G174" s="2375"/>
      <c r="H174" s="2356"/>
      <c r="I174" s="2353"/>
    </row>
    <row r="175" spans="1:9" s="2177" customFormat="1" ht="12.95" customHeight="1">
      <c r="A175" s="2168"/>
      <c r="B175" s="2184"/>
      <c r="C175" s="2170"/>
      <c r="D175" s="2183"/>
      <c r="E175" s="2052"/>
      <c r="F175" s="2132"/>
      <c r="G175" s="2375"/>
      <c r="H175" s="2369"/>
      <c r="I175" s="2353"/>
    </row>
    <row r="176" spans="1:9" s="2177" customFormat="1" ht="12.95" customHeight="1" thickBot="1">
      <c r="A176" s="2173"/>
      <c r="B176" s="2185"/>
      <c r="C176" s="2175"/>
      <c r="D176" s="2186"/>
      <c r="E176" s="2143"/>
      <c r="F176" s="2516"/>
      <c r="G176" s="2370"/>
      <c r="H176" s="2371"/>
      <c r="I176" s="2353"/>
    </row>
    <row r="177" spans="1:9" s="2177" customFormat="1" ht="12.95" customHeight="1" thickTop="1">
      <c r="C177" s="2161"/>
      <c r="D177" s="2162"/>
      <c r="E177" s="2187"/>
      <c r="F177" s="2523"/>
      <c r="G177" s="2356"/>
      <c r="H177" s="2371"/>
      <c r="I177" s="2353"/>
    </row>
    <row r="178" spans="1:9" s="2374" customFormat="1" ht="12.95" customHeight="1" thickBot="1">
      <c r="A178" s="2144"/>
      <c r="B178" s="2160"/>
      <c r="C178" s="2178"/>
      <c r="D178" s="2179"/>
      <c r="E178" s="2178"/>
      <c r="F178" s="2178"/>
      <c r="G178" s="2372"/>
      <c r="H178" s="2372"/>
      <c r="I178" s="2373"/>
    </row>
    <row r="179" spans="1:9" s="2177" customFormat="1" ht="12.95" customHeight="1" thickTop="1">
      <c r="A179" s="2163"/>
      <c r="B179" s="2180"/>
      <c r="C179" s="2167"/>
      <c r="D179" s="2181"/>
      <c r="E179" s="2167"/>
      <c r="F179" s="2524"/>
      <c r="G179" s="2375"/>
      <c r="H179" s="2356"/>
      <c r="I179" s="2353"/>
    </row>
    <row r="180" spans="1:9" s="2177" customFormat="1" ht="12.95" customHeight="1">
      <c r="A180" s="2168"/>
      <c r="B180" s="2184"/>
      <c r="C180" s="2170"/>
      <c r="D180" s="2183"/>
      <c r="E180" s="2172"/>
      <c r="F180" s="2525"/>
      <c r="G180" s="2375"/>
      <c r="H180" s="2356"/>
      <c r="I180" s="2353"/>
    </row>
    <row r="181" spans="1:9" s="2177" customFormat="1" ht="12.95" customHeight="1">
      <c r="A181" s="2168"/>
      <c r="B181" s="2184"/>
      <c r="C181" s="2170"/>
      <c r="D181" s="2183"/>
      <c r="E181" s="2172"/>
      <c r="F181" s="2525"/>
      <c r="G181" s="2375"/>
      <c r="H181" s="2356"/>
      <c r="I181" s="2353"/>
    </row>
    <row r="182" spans="1:9" s="2177" customFormat="1" ht="12.95" customHeight="1">
      <c r="A182" s="2168"/>
      <c r="B182" s="2184"/>
      <c r="C182" s="2170"/>
      <c r="D182" s="2183"/>
      <c r="E182" s="2052"/>
      <c r="F182" s="2525"/>
      <c r="G182" s="2375"/>
      <c r="H182" s="2369"/>
      <c r="I182" s="2353"/>
    </row>
    <row r="183" spans="1:9" s="2177" customFormat="1" ht="12.95" customHeight="1" thickBot="1">
      <c r="A183" s="2173"/>
      <c r="B183" s="2185"/>
      <c r="C183" s="2188"/>
      <c r="D183" s="2186"/>
      <c r="E183" s="2143"/>
      <c r="F183" s="2516"/>
      <c r="G183" s="2370"/>
      <c r="H183" s="2371"/>
      <c r="I183" s="2353"/>
    </row>
    <row r="184" spans="1:9" s="2177" customFormat="1" ht="12.95" customHeight="1" thickTop="1">
      <c r="B184" s="2189"/>
      <c r="C184" s="2187"/>
      <c r="D184" s="2190"/>
      <c r="E184" s="2149"/>
      <c r="F184" s="2522"/>
      <c r="G184" s="2370"/>
      <c r="H184" s="2371"/>
      <c r="I184" s="2353"/>
    </row>
    <row r="185" spans="1:9" s="2209" customFormat="1" ht="12.95" customHeight="1" thickBot="1">
      <c r="A185" s="2144"/>
      <c r="B185" s="2191"/>
      <c r="C185" s="2192"/>
      <c r="D185" s="2193"/>
      <c r="E185" s="2192"/>
      <c r="F185" s="2192"/>
      <c r="G185" s="2376"/>
      <c r="H185" s="2377"/>
    </row>
    <row r="186" spans="1:9" s="2209" customFormat="1" ht="12.95" customHeight="1" thickTop="1">
      <c r="A186" s="2194"/>
      <c r="B186" s="2195"/>
      <c r="C186" s="2196"/>
      <c r="D186" s="2197"/>
      <c r="E186" s="2198"/>
      <c r="F186" s="2526"/>
      <c r="G186" s="2378"/>
      <c r="H186" s="2377"/>
    </row>
    <row r="187" spans="1:9" s="2209" customFormat="1" ht="12.95" customHeight="1">
      <c r="A187" s="2199"/>
      <c r="B187" s="2200"/>
      <c r="C187" s="2201"/>
      <c r="D187" s="2202"/>
      <c r="E187" s="2203"/>
      <c r="F187" s="2527"/>
      <c r="G187" s="2378"/>
      <c r="H187" s="2377"/>
    </row>
    <row r="188" spans="1:9" s="2352" customFormat="1" ht="12.95" customHeight="1">
      <c r="A188" s="2199"/>
      <c r="B188" s="2204"/>
      <c r="C188" s="2201"/>
      <c r="D188" s="2202"/>
      <c r="E188" s="2203"/>
      <c r="F188" s="2527"/>
      <c r="G188" s="2225"/>
      <c r="H188" s="2244"/>
      <c r="I188" s="2357"/>
    </row>
    <row r="189" spans="1:9" s="2209" customFormat="1" ht="12.95" customHeight="1">
      <c r="A189" s="2199"/>
      <c r="B189" s="2200"/>
      <c r="C189" s="2203"/>
      <c r="D189" s="2202"/>
      <c r="E189" s="2203"/>
      <c r="F189" s="2527"/>
      <c r="G189" s="2379"/>
      <c r="H189" s="2377"/>
    </row>
    <row r="190" spans="1:9" s="2209" customFormat="1" ht="12.95" customHeight="1" thickBot="1">
      <c r="A190" s="2205"/>
      <c r="B190" s="2206"/>
      <c r="C190" s="2207"/>
      <c r="D190" s="2208"/>
      <c r="E190" s="2143"/>
      <c r="F190" s="2516"/>
      <c r="G190" s="2379"/>
      <c r="H190" s="2377"/>
    </row>
    <row r="191" spans="1:9" s="2209" customFormat="1" ht="12.95" customHeight="1" thickTop="1">
      <c r="C191" s="2192"/>
      <c r="D191" s="2193"/>
      <c r="E191" s="2210"/>
      <c r="F191" s="2528"/>
      <c r="G191" s="2379"/>
      <c r="H191" s="2377"/>
    </row>
    <row r="192" spans="1:9" s="2070" customFormat="1" ht="12.95" customHeight="1" thickBot="1">
      <c r="A192" s="2144"/>
      <c r="B192" s="2211"/>
      <c r="C192" s="2212"/>
      <c r="D192" s="2148"/>
      <c r="E192" s="2072"/>
      <c r="F192" s="2072"/>
      <c r="G192" s="2225"/>
      <c r="H192" s="2225"/>
      <c r="I192" s="2354"/>
    </row>
    <row r="193" spans="1:9" s="2352" customFormat="1" ht="12.95" customHeight="1" thickTop="1">
      <c r="A193" s="2079"/>
      <c r="B193" s="2195"/>
      <c r="C193" s="2213"/>
      <c r="D193" s="2197"/>
      <c r="E193" s="2198"/>
      <c r="F193" s="2526"/>
      <c r="G193" s="2225"/>
      <c r="H193" s="2244"/>
      <c r="I193" s="2357"/>
    </row>
    <row r="194" spans="1:9" s="2352" customFormat="1" ht="12.95" customHeight="1">
      <c r="A194" s="2050"/>
      <c r="B194" s="2200"/>
      <c r="C194" s="2214"/>
      <c r="D194" s="2202"/>
      <c r="E194" s="2203"/>
      <c r="F194" s="2527"/>
      <c r="G194" s="2225"/>
      <c r="H194" s="2244"/>
      <c r="I194" s="2357"/>
    </row>
    <row r="195" spans="1:9" s="2352" customFormat="1" ht="12.95" customHeight="1">
      <c r="A195" s="2050"/>
      <c r="B195" s="2200"/>
      <c r="C195" s="2203"/>
      <c r="D195" s="2202"/>
      <c r="E195" s="2215"/>
      <c r="F195" s="2527"/>
      <c r="G195" s="2225"/>
      <c r="H195" s="2244"/>
      <c r="I195" s="2357"/>
    </row>
    <row r="196" spans="1:9" s="2352" customFormat="1" ht="12.95" customHeight="1">
      <c r="A196" s="2050"/>
      <c r="B196" s="2082"/>
      <c r="C196" s="2052"/>
      <c r="D196" s="2146"/>
      <c r="E196" s="2216"/>
      <c r="F196" s="2527"/>
      <c r="G196" s="2225"/>
      <c r="H196" s="2244"/>
      <c r="I196" s="2357"/>
    </row>
    <row r="197" spans="1:9" s="2352" customFormat="1" ht="12.95" customHeight="1" thickBot="1">
      <c r="A197" s="2099"/>
      <c r="B197" s="2206"/>
      <c r="C197" s="2207"/>
      <c r="D197" s="2208"/>
      <c r="E197" s="2143"/>
      <c r="F197" s="2516"/>
      <c r="G197" s="2227"/>
      <c r="H197" s="2244"/>
      <c r="I197" s="2357"/>
    </row>
    <row r="198" spans="1:9" s="2352" customFormat="1" ht="12.95" customHeight="1" thickTop="1">
      <c r="A198" s="2070"/>
      <c r="B198" s="2070"/>
      <c r="C198" s="2072"/>
      <c r="D198" s="2148"/>
      <c r="E198" s="2149"/>
      <c r="F198" s="2149"/>
      <c r="G198" s="2227"/>
      <c r="H198" s="2244"/>
      <c r="I198" s="2357"/>
    </row>
    <row r="199" spans="1:9" s="2352" customFormat="1" ht="12.95" hidden="1" customHeight="1" thickBot="1">
      <c r="A199" s="2144"/>
      <c r="B199" s="2217"/>
      <c r="C199" s="218"/>
      <c r="D199" s="219"/>
      <c r="E199" s="218"/>
      <c r="F199" s="218"/>
      <c r="G199" s="2227"/>
      <c r="H199" s="2244"/>
      <c r="I199" s="2357"/>
    </row>
    <row r="200" spans="1:9" s="2352" customFormat="1" ht="12.95" hidden="1" customHeight="1" thickTop="1">
      <c r="A200" s="2079"/>
      <c r="B200" s="2218"/>
      <c r="C200" s="2219"/>
      <c r="D200" s="197"/>
      <c r="E200" s="198"/>
      <c r="F200" s="199"/>
      <c r="G200" s="2227"/>
      <c r="H200" s="2244"/>
      <c r="I200" s="2357"/>
    </row>
    <row r="201" spans="1:9" s="2352" customFormat="1" ht="12.95" hidden="1" customHeight="1">
      <c r="A201" s="2050"/>
      <c r="B201" s="2220"/>
      <c r="C201" s="2221"/>
      <c r="D201" s="202"/>
      <c r="E201" s="203"/>
      <c r="F201" s="204"/>
      <c r="G201" s="2227"/>
      <c r="H201" s="2244"/>
      <c r="I201" s="2357"/>
    </row>
    <row r="202" spans="1:9" s="2352" customFormat="1" ht="12.95" hidden="1" customHeight="1">
      <c r="A202" s="2050"/>
      <c r="B202" s="2220"/>
      <c r="C202" s="201"/>
      <c r="D202" s="202"/>
      <c r="E202" s="2222"/>
      <c r="F202" s="204"/>
      <c r="G202" s="2227"/>
      <c r="H202" s="2244"/>
      <c r="I202" s="2357"/>
    </row>
    <row r="203" spans="1:9" s="2352" customFormat="1" ht="12.95" hidden="1" customHeight="1" thickBot="1">
      <c r="A203" s="2068"/>
      <c r="B203" s="2223"/>
      <c r="C203" s="207"/>
      <c r="D203" s="208"/>
      <c r="E203" s="2224"/>
      <c r="F203" s="2529"/>
      <c r="G203" s="2227"/>
      <c r="H203" s="2244"/>
      <c r="I203" s="2357"/>
    </row>
    <row r="204" spans="1:9" s="2352" customFormat="1" ht="12.95" hidden="1" customHeight="1" thickTop="1">
      <c r="A204" s="2070"/>
      <c r="B204" s="2070"/>
      <c r="C204" s="2225"/>
      <c r="D204" s="2226"/>
      <c r="E204" s="2227"/>
      <c r="F204" s="2227"/>
      <c r="G204" s="2227"/>
      <c r="H204" s="2244"/>
      <c r="I204" s="2357"/>
    </row>
    <row r="205" spans="1:9" s="2352" customFormat="1" ht="12.95" hidden="1" customHeight="1" thickBot="1">
      <c r="A205" s="2144"/>
      <c r="B205" s="2228"/>
      <c r="C205" s="8"/>
      <c r="D205" s="8"/>
      <c r="E205" s="8"/>
      <c r="F205" s="8"/>
      <c r="G205" s="2227"/>
      <c r="H205" s="2244"/>
      <c r="I205" s="2357"/>
    </row>
    <row r="206" spans="1:9" s="2352" customFormat="1" ht="12.95" hidden="1" customHeight="1" thickTop="1">
      <c r="A206" s="2079"/>
      <c r="B206" s="2229"/>
      <c r="C206" s="2230"/>
      <c r="D206" s="2231"/>
      <c r="E206" s="2232"/>
      <c r="F206" s="199"/>
      <c r="G206" s="2227"/>
      <c r="H206" s="2244"/>
      <c r="I206" s="2357"/>
    </row>
    <row r="207" spans="1:9" s="2352" customFormat="1" ht="12.95" hidden="1" customHeight="1">
      <c r="A207" s="2050"/>
      <c r="B207" s="2233"/>
      <c r="C207" s="2234"/>
      <c r="D207" s="2235"/>
      <c r="E207" s="2236"/>
      <c r="F207" s="204"/>
      <c r="G207" s="2244"/>
      <c r="H207" s="2244"/>
      <c r="I207" s="2357"/>
    </row>
    <row r="208" spans="1:9" s="2352" customFormat="1" ht="12.95" hidden="1" customHeight="1" thickBot="1">
      <c r="A208" s="2099"/>
      <c r="B208" s="2237"/>
      <c r="C208" s="2238"/>
      <c r="D208" s="2239"/>
      <c r="E208" s="2240"/>
      <c r="F208" s="2530"/>
      <c r="G208" s="2225"/>
      <c r="H208" s="2244"/>
      <c r="I208" s="2357"/>
    </row>
    <row r="209" spans="1:9" s="2352" customFormat="1" ht="12.95" customHeight="1">
      <c r="A209" s="2070"/>
      <c r="B209" s="2070"/>
      <c r="C209" s="2072"/>
      <c r="D209" s="2148"/>
      <c r="E209" s="2149"/>
      <c r="F209" s="2149"/>
      <c r="G209" s="2225"/>
      <c r="H209" s="2244"/>
      <c r="I209" s="2357"/>
    </row>
    <row r="210" spans="1:9" s="2352" customFormat="1" ht="12.95" customHeight="1" thickBot="1">
      <c r="A210" s="2144"/>
      <c r="B210" s="2241"/>
      <c r="C210" s="8"/>
      <c r="D210" s="1413"/>
      <c r="E210" s="8"/>
      <c r="F210" s="8"/>
      <c r="G210" s="2225"/>
      <c r="H210" s="2244"/>
      <c r="I210" s="2357"/>
    </row>
    <row r="211" spans="1:9" s="2352" customFormat="1" ht="12.95" customHeight="1" thickTop="1">
      <c r="A211" s="2079"/>
      <c r="B211" s="2242"/>
      <c r="C211" s="2242"/>
      <c r="D211" s="2231"/>
      <c r="E211" s="2232"/>
      <c r="F211" s="199"/>
      <c r="G211" s="2225"/>
      <c r="H211" s="2244"/>
      <c r="I211" s="2357"/>
    </row>
    <row r="212" spans="1:9" s="2352" customFormat="1" ht="12.95" customHeight="1">
      <c r="A212" s="2050"/>
      <c r="B212" s="2243"/>
      <c r="C212" s="2244"/>
      <c r="D212" s="2235"/>
      <c r="E212" s="2245"/>
      <c r="F212" s="204"/>
      <c r="G212" s="2225"/>
      <c r="H212" s="2244"/>
      <c r="I212" s="2357"/>
    </row>
    <row r="213" spans="1:9" s="2352" customFormat="1" ht="12.95" customHeight="1">
      <c r="A213" s="2068"/>
      <c r="B213" s="2243"/>
      <c r="C213" s="2243"/>
      <c r="D213" s="5203"/>
      <c r="E213" s="5203"/>
      <c r="F213" s="2531"/>
      <c r="G213" s="2225"/>
      <c r="H213" s="2244"/>
      <c r="I213" s="2357"/>
    </row>
    <row r="214" spans="1:9" s="2352" customFormat="1" ht="12.95" customHeight="1" thickBot="1">
      <c r="A214" s="2099"/>
      <c r="B214" s="2238"/>
      <c r="C214" s="2238"/>
      <c r="D214" s="5204"/>
      <c r="E214" s="5204"/>
      <c r="F214" s="2532"/>
      <c r="G214" s="2225"/>
      <c r="H214" s="2244"/>
      <c r="I214" s="2357"/>
    </row>
    <row r="215" spans="1:9" s="2352" customFormat="1" ht="12.95" customHeight="1" thickTop="1">
      <c r="A215" s="2070"/>
      <c r="B215" s="2070"/>
      <c r="C215" s="2072"/>
      <c r="D215" s="2148"/>
      <c r="E215" s="2149"/>
      <c r="F215" s="2149"/>
      <c r="G215" s="2225"/>
      <c r="H215" s="2244"/>
      <c r="I215" s="2357"/>
    </row>
    <row r="216" spans="1:9" s="2352" customFormat="1" ht="12.95" customHeight="1" thickBot="1">
      <c r="A216" s="2070"/>
      <c r="B216" s="2150"/>
      <c r="C216" s="2093"/>
      <c r="D216" s="2094"/>
      <c r="E216" s="2093"/>
      <c r="F216" s="2093"/>
      <c r="G216" s="2225"/>
      <c r="H216" s="2244"/>
      <c r="I216" s="2357"/>
    </row>
    <row r="217" spans="1:9" s="2352" customFormat="1" ht="12.95" customHeight="1" thickTop="1">
      <c r="A217" s="2246"/>
      <c r="B217" s="2080"/>
      <c r="C217" s="2247"/>
      <c r="D217" s="2145"/>
      <c r="E217" s="2048"/>
      <c r="F217" s="199"/>
      <c r="G217" s="2225"/>
      <c r="H217" s="2244"/>
      <c r="I217" s="2357"/>
    </row>
    <row r="218" spans="1:9" s="2352" customFormat="1" ht="12.95" customHeight="1">
      <c r="A218" s="2068"/>
      <c r="B218" s="2082"/>
      <c r="C218" s="2052"/>
      <c r="D218" s="2146"/>
      <c r="E218" s="2052"/>
      <c r="F218" s="204"/>
      <c r="G218" s="2227"/>
      <c r="H218" s="2244"/>
      <c r="I218" s="2357"/>
    </row>
    <row r="219" spans="1:9" s="2352" customFormat="1" ht="12.95" customHeight="1">
      <c r="A219" s="2068"/>
      <c r="B219" s="2082"/>
      <c r="C219" s="2052"/>
      <c r="D219" s="2146"/>
      <c r="E219" s="2248"/>
      <c r="F219" s="204"/>
      <c r="G219" s="2227"/>
      <c r="H219" s="2244"/>
      <c r="I219" s="2357"/>
    </row>
    <row r="220" spans="1:9" s="2352" customFormat="1" ht="12.95" customHeight="1">
      <c r="A220" s="2068"/>
      <c r="B220" s="2082"/>
      <c r="C220" s="2052"/>
      <c r="D220" s="2146"/>
      <c r="E220" s="2052"/>
      <c r="F220" s="204"/>
      <c r="G220" s="2244"/>
      <c r="H220" s="2244"/>
      <c r="I220" s="2357"/>
    </row>
    <row r="221" spans="1:9" s="2352" customFormat="1" ht="12.95" customHeight="1" thickBot="1">
      <c r="A221" s="2099"/>
      <c r="B221" s="2100"/>
      <c r="C221" s="2101"/>
      <c r="D221" s="2105"/>
      <c r="E221" s="2143"/>
      <c r="F221" s="2533"/>
      <c r="G221" s="2225"/>
      <c r="H221" s="2244"/>
      <c r="I221" s="2357"/>
    </row>
    <row r="222" spans="1:9" s="2352" customFormat="1" ht="12.95" customHeight="1" thickTop="1">
      <c r="A222" s="2070"/>
      <c r="B222" s="2070"/>
      <c r="C222" s="2072"/>
      <c r="D222" s="2148"/>
      <c r="E222" s="2149"/>
      <c r="F222" s="2149"/>
      <c r="G222" s="2225"/>
      <c r="H222" s="2244"/>
      <c r="I222" s="2357"/>
    </row>
    <row r="223" spans="1:9" s="2352" customFormat="1" ht="12.95" customHeight="1" thickBot="1">
      <c r="A223" s="2070"/>
      <c r="B223" s="2147"/>
      <c r="C223" s="2093"/>
      <c r="D223" s="2094"/>
      <c r="E223" s="2093"/>
      <c r="F223" s="2093"/>
      <c r="G223" s="2225"/>
      <c r="H223" s="2244"/>
      <c r="I223" s="2357"/>
    </row>
    <row r="224" spans="1:9" s="2352" customFormat="1" ht="12.95" customHeight="1" thickTop="1">
      <c r="A224" s="2246"/>
      <c r="B224" s="2080"/>
      <c r="C224" s="2247"/>
      <c r="D224" s="2145"/>
      <c r="E224" s="2048"/>
      <c r="F224" s="199"/>
      <c r="G224" s="2225"/>
      <c r="H224" s="2244"/>
      <c r="I224" s="2357"/>
    </row>
    <row r="225" spans="1:9" s="2352" customFormat="1" ht="12.95" customHeight="1">
      <c r="A225" s="2068"/>
      <c r="B225" s="2082"/>
      <c r="C225" s="2052"/>
      <c r="D225" s="2146"/>
      <c r="E225" s="2052"/>
      <c r="F225" s="204"/>
      <c r="G225" s="2225"/>
      <c r="H225" s="2244"/>
      <c r="I225" s="2357"/>
    </row>
    <row r="226" spans="1:9" s="2352" customFormat="1" ht="12.95" customHeight="1">
      <c r="A226" s="2068"/>
      <c r="B226" s="2082"/>
      <c r="C226" s="2052"/>
      <c r="D226" s="2146"/>
      <c r="E226" s="2249"/>
      <c r="F226" s="204"/>
      <c r="G226" s="2227"/>
      <c r="H226" s="2244"/>
      <c r="I226" s="2357"/>
    </row>
    <row r="227" spans="1:9" s="2352" customFormat="1" ht="12.95" customHeight="1">
      <c r="A227" s="2068"/>
      <c r="B227" s="2082"/>
      <c r="C227" s="2052"/>
      <c r="D227" s="2146"/>
      <c r="E227" s="2052"/>
      <c r="F227" s="204"/>
      <c r="G227" s="2227"/>
      <c r="H227" s="2244"/>
      <c r="I227" s="2357"/>
    </row>
    <row r="228" spans="1:9" s="2352" customFormat="1" ht="12.95" customHeight="1" thickBot="1">
      <c r="A228" s="2099"/>
      <c r="B228" s="2100"/>
      <c r="C228" s="2101"/>
      <c r="D228" s="2105"/>
      <c r="E228" s="2143"/>
      <c r="F228" s="2533"/>
      <c r="G228" s="2244"/>
      <c r="H228" s="2244"/>
      <c r="I228" s="2357"/>
    </row>
    <row r="229" spans="1:9" s="2352" customFormat="1" ht="12.95" customHeight="1" thickTop="1">
      <c r="A229" s="2070"/>
      <c r="B229" s="2147"/>
      <c r="C229" s="2250"/>
      <c r="D229" s="2148"/>
      <c r="E229" s="2149"/>
      <c r="F229" s="2149"/>
      <c r="G229" s="2225"/>
      <c r="H229" s="2244"/>
      <c r="I229" s="2357"/>
    </row>
    <row r="230" spans="1:9" s="2352" customFormat="1" ht="12.95" customHeight="1" thickBot="1">
      <c r="A230" s="2070"/>
      <c r="B230" s="2147"/>
      <c r="C230" s="2093"/>
      <c r="D230" s="2094"/>
      <c r="E230" s="2093"/>
      <c r="F230" s="2093"/>
      <c r="G230" s="2225"/>
      <c r="H230" s="2244"/>
      <c r="I230" s="2357"/>
    </row>
    <row r="231" spans="1:9" s="2352" customFormat="1" ht="12.95" customHeight="1" thickTop="1">
      <c r="A231" s="2246"/>
      <c r="B231" s="2080"/>
      <c r="C231" s="2247"/>
      <c r="D231" s="2145"/>
      <c r="E231" s="2048"/>
      <c r="F231" s="199"/>
      <c r="G231" s="2225"/>
      <c r="H231" s="2244"/>
      <c r="I231" s="2357"/>
    </row>
    <row r="232" spans="1:9" s="2352" customFormat="1" ht="12.95" customHeight="1">
      <c r="A232" s="2068"/>
      <c r="B232" s="2082"/>
      <c r="C232" s="2052"/>
      <c r="D232" s="2146"/>
      <c r="E232" s="2052"/>
      <c r="F232" s="204"/>
      <c r="G232" s="2225"/>
      <c r="H232" s="2244"/>
      <c r="I232" s="2357"/>
    </row>
    <row r="233" spans="1:9" s="2352" customFormat="1" ht="12.95" customHeight="1">
      <c r="A233" s="2068"/>
      <c r="B233" s="2082"/>
      <c r="C233" s="2052"/>
      <c r="D233" s="2146"/>
      <c r="E233" s="2248"/>
      <c r="F233" s="204"/>
      <c r="G233" s="2225"/>
      <c r="H233" s="2244"/>
      <c r="I233" s="2357"/>
    </row>
    <row r="234" spans="1:9" s="2352" customFormat="1" ht="12.95" customHeight="1">
      <c r="A234" s="2068"/>
      <c r="B234" s="2082"/>
      <c r="C234" s="2251"/>
      <c r="D234" s="2146"/>
      <c r="E234" s="2052"/>
      <c r="F234" s="204"/>
      <c r="G234" s="2227"/>
      <c r="H234" s="2244"/>
      <c r="I234" s="2357"/>
    </row>
    <row r="235" spans="1:9" s="2352" customFormat="1" ht="12.95" customHeight="1">
      <c r="A235" s="2068"/>
      <c r="B235" s="2082"/>
      <c r="C235" s="2052"/>
      <c r="D235" s="2146"/>
      <c r="E235" s="2052"/>
      <c r="F235" s="204"/>
      <c r="G235" s="2227"/>
      <c r="H235" s="2244"/>
      <c r="I235" s="2357"/>
    </row>
    <row r="236" spans="1:9" s="2352" customFormat="1" ht="12.95" customHeight="1" thickBot="1">
      <c r="A236" s="2099"/>
      <c r="B236" s="2100"/>
      <c r="C236" s="2101"/>
      <c r="D236" s="2105"/>
      <c r="E236" s="2143"/>
      <c r="F236" s="2533"/>
      <c r="G236" s="2244"/>
      <c r="H236" s="2244"/>
      <c r="I236" s="2357"/>
    </row>
    <row r="237" spans="1:9" s="2352" customFormat="1" ht="12.95" customHeight="1" thickTop="1">
      <c r="A237" s="2070"/>
      <c r="B237" s="2147"/>
      <c r="C237" s="2250"/>
      <c r="D237" s="2148"/>
      <c r="E237" s="2149"/>
      <c r="F237" s="2149"/>
      <c r="G237" s="2225"/>
      <c r="H237" s="2244"/>
      <c r="I237" s="2357"/>
    </row>
    <row r="238" spans="1:9" s="2352" customFormat="1" ht="12.95" customHeight="1" thickBot="1">
      <c r="A238" s="2070"/>
      <c r="B238" s="2147"/>
      <c r="C238" s="2093"/>
      <c r="D238" s="2094"/>
      <c r="E238" s="2093"/>
      <c r="F238" s="2093"/>
      <c r="G238" s="2225"/>
      <c r="H238" s="2244"/>
      <c r="I238" s="2357"/>
    </row>
    <row r="239" spans="1:9" s="2352" customFormat="1" ht="12.95" customHeight="1" thickTop="1">
      <c r="A239" s="2246"/>
      <c r="B239" s="2080"/>
      <c r="C239" s="2247"/>
      <c r="D239" s="2145"/>
      <c r="E239" s="2048"/>
      <c r="F239" s="199"/>
      <c r="G239" s="2225"/>
      <c r="H239" s="2244"/>
      <c r="I239" s="2357"/>
    </row>
    <row r="240" spans="1:9" s="2352" customFormat="1" ht="12.95" customHeight="1">
      <c r="A240" s="2068"/>
      <c r="B240" s="2082"/>
      <c r="C240" s="2052"/>
      <c r="D240" s="2146"/>
      <c r="E240" s="2052"/>
      <c r="F240" s="204"/>
      <c r="G240" s="2225"/>
      <c r="H240" s="2244"/>
      <c r="I240" s="2357"/>
    </row>
    <row r="241" spans="1:9" s="2352" customFormat="1" ht="12.95" customHeight="1">
      <c r="A241" s="2068"/>
      <c r="B241" s="2082"/>
      <c r="C241" s="2052"/>
      <c r="D241" s="2146"/>
      <c r="E241" s="2248"/>
      <c r="F241" s="204"/>
      <c r="G241" s="2225"/>
      <c r="H241" s="2244"/>
      <c r="I241" s="2357"/>
    </row>
    <row r="242" spans="1:9" s="2352" customFormat="1" ht="12.95" customHeight="1">
      <c r="A242" s="2068"/>
      <c r="B242" s="2082"/>
      <c r="C242" s="2251"/>
      <c r="D242" s="2146"/>
      <c r="E242" s="2052"/>
      <c r="F242" s="204"/>
      <c r="G242" s="2227"/>
      <c r="H242" s="2244"/>
      <c r="I242" s="2357"/>
    </row>
    <row r="243" spans="1:9" s="2352" customFormat="1" ht="12.95" customHeight="1">
      <c r="A243" s="2068"/>
      <c r="B243" s="2082"/>
      <c r="C243" s="2052"/>
      <c r="D243" s="2146"/>
      <c r="E243" s="2052"/>
      <c r="F243" s="204"/>
      <c r="G243" s="2227"/>
      <c r="H243" s="2244"/>
      <c r="I243" s="2357"/>
    </row>
    <row r="244" spans="1:9" s="2352" customFormat="1" ht="12.95" customHeight="1" thickBot="1">
      <c r="A244" s="2099"/>
      <c r="B244" s="2100"/>
      <c r="C244" s="2101"/>
      <c r="D244" s="2105"/>
      <c r="E244" s="2252"/>
      <c r="F244" s="2533"/>
      <c r="G244" s="2380"/>
      <c r="H244" s="2244"/>
      <c r="I244" s="2357"/>
    </row>
    <row r="245" spans="1:9" s="2352" customFormat="1" ht="12.95" customHeight="1" thickTop="1">
      <c r="A245" s="2070"/>
      <c r="B245" s="2147"/>
      <c r="C245" s="2250"/>
      <c r="D245" s="2148"/>
      <c r="E245" s="2149"/>
      <c r="F245" s="2149"/>
      <c r="G245" s="2244"/>
      <c r="H245" s="2244"/>
      <c r="I245" s="2357"/>
    </row>
    <row r="246" spans="1:9" s="2352" customFormat="1" ht="12.95" customHeight="1" thickBot="1">
      <c r="A246" s="2070"/>
      <c r="B246" s="2147"/>
      <c r="C246" s="2093"/>
      <c r="D246" s="2094"/>
      <c r="E246" s="2093"/>
      <c r="F246" s="2093"/>
      <c r="G246" s="2225"/>
      <c r="H246" s="2244"/>
      <c r="I246" s="2357"/>
    </row>
    <row r="247" spans="1:9" s="2352" customFormat="1" ht="12.95" customHeight="1" thickTop="1">
      <c r="A247" s="2246"/>
      <c r="B247" s="2080"/>
      <c r="C247" s="2253"/>
      <c r="D247" s="2081"/>
      <c r="E247" s="2048"/>
      <c r="F247" s="199"/>
      <c r="G247" s="2225"/>
      <c r="H247" s="2244"/>
      <c r="I247" s="2357"/>
    </row>
    <row r="248" spans="1:9" s="2352" customFormat="1" ht="12.95" customHeight="1">
      <c r="A248" s="2068"/>
      <c r="B248" s="2082"/>
      <c r="C248" s="2052"/>
      <c r="D248" s="2083"/>
      <c r="E248" s="2052"/>
      <c r="F248" s="204"/>
      <c r="G248" s="2225"/>
      <c r="H248" s="2244"/>
      <c r="I248" s="2357"/>
    </row>
    <row r="249" spans="1:9" s="2352" customFormat="1" ht="12.95" customHeight="1">
      <c r="A249" s="2068"/>
      <c r="B249" s="2082"/>
      <c r="C249" s="2052"/>
      <c r="D249" s="2083"/>
      <c r="E249" s="2248"/>
      <c r="F249" s="204"/>
      <c r="G249" s="2225"/>
      <c r="H249" s="2244"/>
      <c r="I249" s="2357"/>
    </row>
    <row r="250" spans="1:9" s="2352" customFormat="1" ht="12.95" customHeight="1">
      <c r="A250" s="2068"/>
      <c r="B250" s="2082"/>
      <c r="C250" s="2052"/>
      <c r="D250" s="2083"/>
      <c r="E250" s="2248"/>
      <c r="F250" s="204"/>
      <c r="G250" s="2227"/>
      <c r="H250" s="2244"/>
      <c r="I250" s="2357"/>
    </row>
    <row r="251" spans="1:9" s="2352" customFormat="1" ht="12.95" customHeight="1">
      <c r="A251" s="2068"/>
      <c r="B251" s="2082"/>
      <c r="C251" s="2052"/>
      <c r="D251" s="2083"/>
      <c r="E251" s="2052"/>
      <c r="F251" s="204"/>
      <c r="G251" s="2227"/>
      <c r="H251" s="2244"/>
      <c r="I251" s="2357"/>
    </row>
    <row r="252" spans="1:9" s="2352" customFormat="1" ht="12.95" customHeight="1" thickBot="1">
      <c r="A252" s="2099"/>
      <c r="B252" s="2100"/>
      <c r="C252" s="2101"/>
      <c r="D252" s="2091"/>
      <c r="E252" s="2092"/>
      <c r="F252" s="2533"/>
      <c r="G252" s="2244"/>
      <c r="H252" s="2244"/>
      <c r="I252" s="2357"/>
    </row>
    <row r="253" spans="1:9" s="2352" customFormat="1" ht="12.95" customHeight="1" thickTop="1" thickBot="1">
      <c r="A253" s="2070"/>
      <c r="B253" s="2147"/>
      <c r="C253" s="2072"/>
      <c r="D253" s="2103"/>
      <c r="E253" s="2149"/>
      <c r="F253" s="2533"/>
      <c r="G253" s="2225"/>
      <c r="H253" s="2244"/>
      <c r="I253" s="2357"/>
    </row>
    <row r="254" spans="1:9" s="2352" customFormat="1" ht="12.95" customHeight="1" thickTop="1">
      <c r="A254" s="2070"/>
      <c r="B254" s="2070"/>
      <c r="C254" s="2093"/>
      <c r="D254" s="2094"/>
      <c r="E254" s="2158"/>
      <c r="F254" s="2534"/>
      <c r="G254" s="2225"/>
      <c r="H254" s="2244"/>
      <c r="I254" s="2357"/>
    </row>
    <row r="255" spans="1:9" s="2352" customFormat="1" ht="12.95" hidden="1" customHeight="1" thickBot="1">
      <c r="A255" s="2070"/>
      <c r="B255" s="2147"/>
      <c r="C255" s="2093"/>
      <c r="D255" s="2094"/>
      <c r="E255" s="2093"/>
      <c r="F255" s="2093"/>
      <c r="G255" s="2225"/>
      <c r="H255" s="2244"/>
      <c r="I255" s="2357"/>
    </row>
    <row r="256" spans="1:9" s="2352" customFormat="1" ht="12.95" hidden="1" customHeight="1" thickTop="1">
      <c r="A256" s="2246"/>
      <c r="B256" s="2080"/>
      <c r="C256" s="2247"/>
      <c r="D256" s="2081"/>
      <c r="E256" s="2048"/>
      <c r="F256" s="199"/>
      <c r="G256" s="2227"/>
      <c r="H256" s="2244"/>
      <c r="I256" s="2357"/>
    </row>
    <row r="257" spans="1:9" s="2352" customFormat="1" ht="12.95" hidden="1" customHeight="1">
      <c r="A257" s="2068"/>
      <c r="B257" s="2082"/>
      <c r="C257" s="2052"/>
      <c r="D257" s="2083"/>
      <c r="E257" s="2052"/>
      <c r="F257" s="204"/>
      <c r="G257" s="2227"/>
      <c r="H257" s="2244"/>
      <c r="I257" s="2357"/>
    </row>
    <row r="258" spans="1:9" s="2352" customFormat="1" ht="12.95" hidden="1" customHeight="1">
      <c r="A258" s="2068"/>
      <c r="B258" s="2082"/>
      <c r="C258" s="2052"/>
      <c r="D258" s="2083"/>
      <c r="E258" s="2248"/>
      <c r="F258" s="204"/>
      <c r="G258" s="2227"/>
      <c r="H258" s="2244"/>
      <c r="I258" s="2357"/>
    </row>
    <row r="259" spans="1:9" s="2352" customFormat="1" ht="12.95" hidden="1" customHeight="1">
      <c r="A259" s="2068"/>
      <c r="B259" s="2082"/>
      <c r="C259" s="2052"/>
      <c r="D259" s="2083"/>
      <c r="E259" s="2254"/>
      <c r="F259" s="204"/>
      <c r="G259" s="2225"/>
      <c r="H259" s="2244"/>
      <c r="I259" s="2357"/>
    </row>
    <row r="260" spans="1:9" s="2352" customFormat="1" ht="12.95" hidden="1" customHeight="1" thickBot="1">
      <c r="A260" s="2068"/>
      <c r="B260" s="2100"/>
      <c r="C260" s="2101"/>
      <c r="D260" s="2091"/>
      <c r="E260" s="2092"/>
      <c r="F260" s="2533"/>
      <c r="G260" s="2225"/>
      <c r="H260" s="2244"/>
      <c r="I260" s="2357"/>
    </row>
    <row r="261" spans="1:9" s="2352" customFormat="1" ht="12.95" customHeight="1">
      <c r="A261" s="2070"/>
      <c r="B261" s="2070"/>
      <c r="C261" s="2072"/>
      <c r="D261" s="2103"/>
      <c r="E261" s="2149"/>
      <c r="F261" s="2149"/>
      <c r="G261" s="2225"/>
      <c r="H261" s="2244"/>
      <c r="I261" s="2357"/>
    </row>
    <row r="262" spans="1:9" s="2352" customFormat="1" ht="12.95" customHeight="1" thickBot="1">
      <c r="A262" s="2070"/>
      <c r="B262" s="2147"/>
      <c r="C262" s="2093"/>
      <c r="D262" s="2094"/>
      <c r="E262" s="2093"/>
      <c r="F262" s="2093"/>
      <c r="G262" s="2227"/>
      <c r="H262" s="2244"/>
      <c r="I262" s="2357"/>
    </row>
    <row r="263" spans="1:9" s="2352" customFormat="1" ht="12.95" customHeight="1" thickTop="1">
      <c r="A263" s="2246"/>
      <c r="B263" s="2080"/>
      <c r="C263" s="2255"/>
      <c r="D263" s="2081"/>
      <c r="E263" s="2048"/>
      <c r="F263" s="199"/>
      <c r="G263" s="2227"/>
      <c r="H263" s="2244"/>
      <c r="I263" s="2357"/>
    </row>
    <row r="264" spans="1:9" s="2352" customFormat="1" ht="14.25" customHeight="1">
      <c r="A264" s="2068"/>
      <c r="B264" s="2082"/>
      <c r="C264" s="2256"/>
      <c r="D264" s="2083"/>
      <c r="E264" s="2052"/>
      <c r="F264" s="204"/>
      <c r="G264" s="2381"/>
      <c r="H264" s="2244"/>
      <c r="I264" s="2357"/>
    </row>
    <row r="265" spans="1:9" s="2352" customFormat="1" ht="12.95" customHeight="1">
      <c r="A265" s="2068"/>
      <c r="B265" s="2082"/>
      <c r="C265" s="2052"/>
      <c r="D265" s="2083"/>
      <c r="E265" s="2254"/>
      <c r="F265" s="204"/>
      <c r="G265" s="2244"/>
      <c r="H265" s="2244"/>
      <c r="I265" s="2357"/>
    </row>
    <row r="266" spans="1:9" s="2352" customFormat="1" ht="12.95" customHeight="1" thickBot="1">
      <c r="A266" s="2099"/>
      <c r="B266" s="2100"/>
      <c r="C266" s="2101"/>
      <c r="D266" s="2091"/>
      <c r="E266" s="2143"/>
      <c r="F266" s="2533"/>
      <c r="G266" s="2225"/>
      <c r="H266" s="2244"/>
      <c r="I266" s="2357"/>
    </row>
    <row r="267" spans="1:9" s="2352" customFormat="1" ht="12.95" customHeight="1" thickTop="1">
      <c r="A267" s="2070"/>
      <c r="B267" s="2070"/>
      <c r="C267" s="2072"/>
      <c r="D267" s="2103"/>
      <c r="E267" s="2149"/>
      <c r="F267" s="2149"/>
      <c r="G267" s="2225"/>
      <c r="H267" s="2244"/>
      <c r="I267" s="2357"/>
    </row>
    <row r="268" spans="1:9" s="2352" customFormat="1" ht="15" customHeight="1">
      <c r="A268" s="2074"/>
      <c r="B268" s="5197"/>
      <c r="C268" s="5197"/>
      <c r="D268" s="5197"/>
      <c r="E268" s="5197"/>
      <c r="F268" s="5197"/>
      <c r="G268" s="2225"/>
      <c r="H268" s="2244"/>
      <c r="I268" s="2357"/>
    </row>
    <row r="269" spans="1:9" s="2352" customFormat="1" ht="12.95" customHeight="1" thickBot="1">
      <c r="A269" s="2070"/>
      <c r="B269" s="2147"/>
      <c r="C269" s="2072"/>
      <c r="D269" s="2103"/>
      <c r="E269" s="2149"/>
      <c r="F269" s="2149"/>
      <c r="G269" s="2225"/>
      <c r="H269" s="2244"/>
      <c r="I269" s="2357"/>
    </row>
    <row r="270" spans="1:9" s="2352" customFormat="1" ht="12.95" customHeight="1" thickTop="1">
      <c r="A270" s="2246"/>
      <c r="B270" s="2080"/>
      <c r="C270" s="2048"/>
      <c r="D270" s="2081"/>
      <c r="E270" s="2048"/>
      <c r="F270" s="199"/>
      <c r="G270" s="2225"/>
      <c r="H270" s="2244"/>
      <c r="I270" s="2357"/>
    </row>
    <row r="271" spans="1:9" s="2352" customFormat="1" ht="12.95" customHeight="1">
      <c r="A271" s="2068"/>
      <c r="B271" s="2157"/>
      <c r="C271" s="2052"/>
      <c r="D271" s="2083"/>
      <c r="E271" s="2052"/>
      <c r="F271" s="204"/>
      <c r="G271" s="2225"/>
      <c r="H271" s="2244"/>
      <c r="I271" s="2357"/>
    </row>
    <row r="272" spans="1:9" s="2352" customFormat="1" ht="12.95" customHeight="1">
      <c r="A272" s="2068"/>
      <c r="B272" s="2082"/>
      <c r="C272" s="2052"/>
      <c r="D272" s="2083"/>
      <c r="E272" s="2052"/>
      <c r="F272" s="204"/>
      <c r="G272" s="2225"/>
      <c r="H272" s="2244"/>
      <c r="I272" s="2357"/>
    </row>
    <row r="273" spans="1:9" s="2352" customFormat="1" ht="12.95" customHeight="1" thickBot="1">
      <c r="A273" s="2099"/>
      <c r="B273" s="2100"/>
      <c r="C273" s="2101"/>
      <c r="D273" s="2091"/>
      <c r="E273" s="2143"/>
      <c r="F273" s="2533"/>
      <c r="G273" s="2227"/>
      <c r="H273" s="2244"/>
      <c r="I273" s="2357"/>
    </row>
    <row r="274" spans="1:9" s="2352" customFormat="1" ht="12.95" customHeight="1" thickTop="1">
      <c r="A274" s="2070"/>
      <c r="B274" s="2070"/>
      <c r="C274" s="2072"/>
      <c r="D274" s="2103"/>
      <c r="E274" s="2149"/>
      <c r="F274" s="2149"/>
      <c r="G274" s="2368"/>
      <c r="H274" s="2244"/>
      <c r="I274" s="2357"/>
    </row>
    <row r="275" spans="1:9" s="2352" customFormat="1" ht="12.95" customHeight="1">
      <c r="A275" s="2070"/>
      <c r="B275" s="2070"/>
      <c r="C275" s="2072"/>
      <c r="D275" s="2103"/>
      <c r="E275" s="2149"/>
      <c r="F275" s="2149"/>
      <c r="G275" s="2368"/>
      <c r="H275" s="2244"/>
      <c r="I275" s="2357"/>
    </row>
    <row r="276" spans="1:9" s="2352" customFormat="1" ht="12.95" customHeight="1">
      <c r="A276" s="2070"/>
      <c r="B276" s="2070"/>
      <c r="C276" s="2093"/>
      <c r="D276" s="2094"/>
      <c r="E276" s="2158"/>
      <c r="F276" s="2158"/>
      <c r="G276" s="2227"/>
      <c r="H276" s="2244"/>
      <c r="I276" s="2357"/>
    </row>
    <row r="277" spans="1:9" s="2352" customFormat="1" ht="12.95" customHeight="1" thickBot="1">
      <c r="A277" s="2070"/>
      <c r="B277" s="2147"/>
      <c r="C277" s="2093"/>
      <c r="D277" s="2094"/>
      <c r="E277" s="2093"/>
      <c r="F277" s="2093"/>
      <c r="G277" s="2227"/>
      <c r="H277" s="2244"/>
      <c r="I277" s="2357"/>
    </row>
    <row r="278" spans="1:9" s="2352" customFormat="1" ht="12.95" customHeight="1" thickTop="1">
      <c r="A278" s="2246"/>
      <c r="B278" s="2080"/>
      <c r="C278" s="2048"/>
      <c r="D278" s="2145"/>
      <c r="E278" s="2048"/>
      <c r="F278" s="199"/>
      <c r="G278" s="2227"/>
      <c r="H278" s="2244"/>
      <c r="I278" s="2357"/>
    </row>
    <row r="279" spans="1:9" s="2352" customFormat="1" ht="12.95" customHeight="1">
      <c r="A279" s="2068"/>
      <c r="B279" s="2082"/>
      <c r="C279" s="2052"/>
      <c r="D279" s="2146"/>
      <c r="E279" s="2052"/>
      <c r="F279" s="204"/>
      <c r="G279" s="2227"/>
      <c r="H279" s="2244"/>
      <c r="I279" s="2357"/>
    </row>
    <row r="280" spans="1:9" s="2352" customFormat="1" ht="12.95" customHeight="1">
      <c r="A280" s="2068"/>
      <c r="B280" s="2082"/>
      <c r="C280" s="2251"/>
      <c r="D280" s="2146"/>
      <c r="E280" s="2052"/>
      <c r="F280" s="204"/>
      <c r="G280" s="2227"/>
      <c r="H280" s="2244"/>
      <c r="I280" s="2357"/>
    </row>
    <row r="281" spans="1:9" s="2352" customFormat="1" ht="12.95" customHeight="1">
      <c r="A281" s="2068"/>
      <c r="B281" s="2082"/>
      <c r="C281" s="2257"/>
      <c r="D281" s="2146"/>
      <c r="E281" s="2052"/>
      <c r="F281" s="204"/>
      <c r="G281" s="2244"/>
      <c r="H281" s="2244"/>
      <c r="I281" s="2357"/>
    </row>
    <row r="282" spans="1:9" s="2352" customFormat="1" ht="12.95" customHeight="1">
      <c r="A282" s="2068"/>
      <c r="B282" s="2082"/>
      <c r="C282" s="2257"/>
      <c r="D282" s="2146"/>
      <c r="E282" s="2052"/>
      <c r="F282" s="204"/>
      <c r="G282" s="2225"/>
      <c r="H282" s="2244"/>
      <c r="I282" s="2357"/>
    </row>
    <row r="283" spans="1:9" s="2352" customFormat="1" ht="12.95" customHeight="1">
      <c r="A283" s="2068"/>
      <c r="B283" s="2082"/>
      <c r="C283" s="2257"/>
      <c r="D283" s="2146"/>
      <c r="E283" s="2052"/>
      <c r="F283" s="204"/>
      <c r="G283" s="2225"/>
      <c r="H283" s="2244"/>
      <c r="I283" s="2357"/>
    </row>
    <row r="284" spans="1:9" s="2352" customFormat="1" ht="12.95" customHeight="1">
      <c r="A284" s="2068"/>
      <c r="B284" s="2082"/>
      <c r="C284" s="2251"/>
      <c r="D284" s="2146"/>
      <c r="E284" s="2052"/>
      <c r="F284" s="204"/>
      <c r="G284" s="2225"/>
      <c r="H284" s="2244"/>
      <c r="I284" s="2357"/>
    </row>
    <row r="285" spans="1:9" s="2352" customFormat="1" ht="12.95" customHeight="1">
      <c r="A285" s="2068"/>
      <c r="B285" s="2082"/>
      <c r="C285" s="2052"/>
      <c r="D285" s="2146"/>
      <c r="E285" s="2052"/>
      <c r="F285" s="204"/>
      <c r="G285" s="2225"/>
      <c r="H285" s="2244"/>
      <c r="I285" s="2357"/>
    </row>
    <row r="286" spans="1:9" s="2352" customFormat="1" ht="12.95" hidden="1" customHeight="1">
      <c r="A286" s="2068"/>
      <c r="B286" s="2137"/>
      <c r="C286" s="2109"/>
      <c r="D286" s="2146"/>
      <c r="E286" s="2258"/>
      <c r="F286" s="2535"/>
      <c r="G286" s="2225"/>
      <c r="H286" s="2244"/>
      <c r="I286" s="2357"/>
    </row>
    <row r="287" spans="1:9" s="2352" customFormat="1" ht="12.95" hidden="1" customHeight="1">
      <c r="A287" s="2068"/>
      <c r="B287" s="2259"/>
      <c r="C287" s="2109"/>
      <c r="D287" s="2146"/>
      <c r="E287" s="2111"/>
      <c r="F287" s="2536"/>
      <c r="G287" s="2225"/>
      <c r="H287" s="2244"/>
      <c r="I287" s="2357"/>
    </row>
    <row r="288" spans="1:9" s="2352" customFormat="1" ht="12.95" hidden="1" customHeight="1">
      <c r="A288" s="2068"/>
      <c r="B288" s="2137"/>
      <c r="C288" s="2109"/>
      <c r="D288" s="2146"/>
      <c r="E288" s="2258"/>
      <c r="F288" s="2535"/>
      <c r="G288" s="2225"/>
      <c r="H288" s="2244"/>
      <c r="I288" s="2357"/>
    </row>
    <row r="289" spans="1:9" s="2352" customFormat="1" ht="12.95" customHeight="1" thickBot="1">
      <c r="A289" s="2099"/>
      <c r="B289" s="2260"/>
      <c r="C289" s="2101"/>
      <c r="D289" s="2105"/>
      <c r="E289" s="2143"/>
      <c r="F289" s="2533"/>
      <c r="G289" s="2225"/>
      <c r="H289" s="2244"/>
      <c r="I289" s="2357"/>
    </row>
    <row r="290" spans="1:9" s="2352" customFormat="1" ht="12.95" customHeight="1" thickTop="1">
      <c r="A290" s="2070"/>
      <c r="B290" s="2070"/>
      <c r="C290" s="2072"/>
      <c r="D290" s="2148"/>
      <c r="E290" s="2149"/>
      <c r="F290" s="2149"/>
      <c r="G290" s="2227"/>
      <c r="H290" s="2244"/>
      <c r="I290" s="2357"/>
    </row>
    <row r="291" spans="1:9" s="2352" customFormat="1" ht="12.95" customHeight="1" thickBot="1">
      <c r="A291" s="2070"/>
      <c r="B291" s="2147"/>
      <c r="C291" s="2093"/>
      <c r="D291" s="2094"/>
      <c r="E291" s="2093"/>
      <c r="F291" s="2093"/>
      <c r="G291" s="2227"/>
      <c r="H291" s="2244"/>
      <c r="I291" s="2357"/>
    </row>
    <row r="292" spans="1:9" s="2352" customFormat="1" ht="12.95" customHeight="1" thickTop="1">
      <c r="A292" s="2246"/>
      <c r="B292" s="2080"/>
      <c r="C292" s="2048"/>
      <c r="D292" s="2145"/>
      <c r="E292" s="2048"/>
      <c r="F292" s="199"/>
      <c r="G292" s="2368"/>
      <c r="H292" s="2244"/>
      <c r="I292" s="2357"/>
    </row>
    <row r="293" spans="1:9" s="2352" customFormat="1" ht="12.95" customHeight="1">
      <c r="A293" s="2068"/>
      <c r="B293" s="2082"/>
      <c r="C293" s="2052"/>
      <c r="D293" s="2146"/>
      <c r="E293" s="2052"/>
      <c r="F293" s="204"/>
      <c r="G293" s="2244"/>
      <c r="H293" s="2244"/>
      <c r="I293" s="2357"/>
    </row>
    <row r="294" spans="1:9" s="2352" customFormat="1" ht="12.95" customHeight="1">
      <c r="A294" s="2068"/>
      <c r="B294" s="2157"/>
      <c r="C294" s="2257"/>
      <c r="D294" s="2146"/>
      <c r="E294" s="2052"/>
      <c r="F294" s="204"/>
      <c r="G294" s="2225"/>
      <c r="H294" s="2244"/>
      <c r="I294" s="2357"/>
    </row>
    <row r="295" spans="1:9" s="2352" customFormat="1" ht="12.95" customHeight="1">
      <c r="A295" s="2068"/>
      <c r="B295" s="2082"/>
      <c r="C295" s="2052"/>
      <c r="D295" s="2146"/>
      <c r="E295" s="2052"/>
      <c r="F295" s="204"/>
      <c r="G295" s="2225"/>
      <c r="H295" s="2244"/>
      <c r="I295" s="2357"/>
    </row>
    <row r="296" spans="1:9" s="2352" customFormat="1" ht="12.95" customHeight="1">
      <c r="A296" s="2068"/>
      <c r="B296" s="2082"/>
      <c r="C296" s="2257"/>
      <c r="D296" s="2146"/>
      <c r="E296" s="2052"/>
      <c r="F296" s="204"/>
      <c r="G296" s="2225"/>
      <c r="H296" s="2244"/>
      <c r="I296" s="2357"/>
    </row>
    <row r="297" spans="1:9" s="2352" customFormat="1" ht="12.95" customHeight="1">
      <c r="A297" s="2068"/>
      <c r="B297" s="2082"/>
      <c r="C297" s="2257"/>
      <c r="D297" s="2146"/>
      <c r="E297" s="2052"/>
      <c r="F297" s="204"/>
      <c r="G297" s="2225"/>
      <c r="H297" s="2244"/>
      <c r="I297" s="2357"/>
    </row>
    <row r="298" spans="1:9" s="2352" customFormat="1" ht="12.95" customHeight="1">
      <c r="A298" s="2068"/>
      <c r="B298" s="2082"/>
      <c r="C298" s="2251"/>
      <c r="D298" s="2146"/>
      <c r="E298" s="2052"/>
      <c r="F298" s="204"/>
      <c r="G298" s="2225"/>
      <c r="H298" s="2244"/>
      <c r="I298" s="2357"/>
    </row>
    <row r="299" spans="1:9" s="2352" customFormat="1" ht="12.95" customHeight="1">
      <c r="A299" s="2068"/>
      <c r="B299" s="2082"/>
      <c r="C299" s="2052"/>
      <c r="D299" s="2146"/>
      <c r="E299" s="2052"/>
      <c r="F299" s="204"/>
      <c r="G299" s="2225"/>
      <c r="H299" s="2244"/>
      <c r="I299" s="2357"/>
    </row>
    <row r="300" spans="1:9" s="2352" customFormat="1" ht="12.95" customHeight="1">
      <c r="A300" s="2261"/>
      <c r="B300" s="2262"/>
      <c r="C300" s="2263"/>
      <c r="D300" s="2264"/>
      <c r="E300" s="2265"/>
      <c r="F300" s="2537"/>
      <c r="G300" s="2225"/>
      <c r="H300" s="2244"/>
      <c r="I300" s="2357"/>
    </row>
    <row r="301" spans="1:9" s="2352" customFormat="1" ht="12.95" customHeight="1" thickBot="1">
      <c r="A301" s="2068"/>
      <c r="B301" s="2259"/>
      <c r="C301" s="2109"/>
      <c r="D301" s="2146"/>
      <c r="E301" s="2111"/>
      <c r="F301" s="2533"/>
      <c r="G301" s="2225"/>
      <c r="H301" s="2244"/>
      <c r="I301" s="2357"/>
    </row>
    <row r="302" spans="1:9" s="2352" customFormat="1" ht="12.95" hidden="1" customHeight="1" thickTop="1">
      <c r="A302" s="2068"/>
      <c r="B302" s="2137"/>
      <c r="C302" s="2109"/>
      <c r="D302" s="2146"/>
      <c r="E302" s="2265"/>
      <c r="F302" s="2535"/>
      <c r="G302" s="2225"/>
      <c r="H302" s="2244"/>
      <c r="I302" s="2357"/>
    </row>
    <row r="303" spans="1:9" s="2352" customFormat="1" ht="12.95" hidden="1" customHeight="1" thickBot="1">
      <c r="A303" s="2099"/>
      <c r="B303" s="2260"/>
      <c r="C303" s="2101"/>
      <c r="D303" s="2105"/>
      <c r="E303" s="2143"/>
      <c r="F303" s="2533"/>
      <c r="G303" s="2225"/>
      <c r="H303" s="2244"/>
      <c r="I303" s="2357"/>
    </row>
    <row r="304" spans="1:9" s="2352" customFormat="1" ht="12.95" hidden="1" customHeight="1" thickTop="1">
      <c r="A304" s="2070"/>
      <c r="B304" s="2070"/>
      <c r="C304" s="2093"/>
      <c r="D304" s="2094"/>
      <c r="E304" s="2158"/>
      <c r="F304" s="2158"/>
      <c r="G304" s="2227"/>
      <c r="H304" s="2244"/>
      <c r="I304" s="2357"/>
    </row>
    <row r="305" spans="1:15" s="2352" customFormat="1" ht="12.95" hidden="1" customHeight="1" thickBot="1">
      <c r="A305" s="2070"/>
      <c r="B305" s="2147"/>
      <c r="C305" s="2093"/>
      <c r="D305" s="2094"/>
      <c r="E305" s="2093"/>
      <c r="F305" s="2093"/>
      <c r="G305" s="2368"/>
      <c r="H305" s="2244"/>
      <c r="I305" s="2357"/>
    </row>
    <row r="306" spans="1:15" s="2352" customFormat="1" ht="12.95" hidden="1" customHeight="1" thickTop="1">
      <c r="A306" s="2246"/>
      <c r="B306" s="2266"/>
      <c r="C306" s="2048"/>
      <c r="D306" s="2145"/>
      <c r="E306" s="2048"/>
      <c r="F306" s="199"/>
      <c r="G306" s="2368"/>
      <c r="H306" s="2244"/>
      <c r="I306" s="2357"/>
    </row>
    <row r="307" spans="1:15" s="2352" customFormat="1" ht="12.95" hidden="1" customHeight="1">
      <c r="A307" s="2068"/>
      <c r="B307" s="2157"/>
      <c r="C307" s="2052"/>
      <c r="D307" s="2146"/>
      <c r="E307" s="2052"/>
      <c r="F307" s="204"/>
      <c r="G307" s="2382"/>
      <c r="H307" s="2244"/>
      <c r="I307" s="2357"/>
    </row>
    <row r="308" spans="1:15" s="2352" customFormat="1" ht="12.95" hidden="1" customHeight="1">
      <c r="A308" s="2068"/>
      <c r="B308" s="2082"/>
      <c r="C308" s="2052"/>
      <c r="D308" s="2146"/>
      <c r="E308" s="2052"/>
      <c r="F308" s="204"/>
      <c r="G308" s="2382"/>
      <c r="H308" s="2244"/>
      <c r="I308" s="2357"/>
    </row>
    <row r="309" spans="1:15" s="2352" customFormat="1" ht="12.95" hidden="1" customHeight="1">
      <c r="A309" s="2068"/>
      <c r="B309" s="2082"/>
      <c r="C309" s="2257"/>
      <c r="D309" s="2146"/>
      <c r="E309" s="2052"/>
      <c r="F309" s="204"/>
      <c r="G309" s="2382"/>
      <c r="H309" s="2244"/>
      <c r="I309" s="2357"/>
    </row>
    <row r="310" spans="1:15" s="2352" customFormat="1" ht="12.95" hidden="1" customHeight="1">
      <c r="A310" s="2068"/>
      <c r="B310" s="2082"/>
      <c r="C310" s="2257"/>
      <c r="D310" s="2146"/>
      <c r="E310" s="2052"/>
      <c r="F310" s="204"/>
      <c r="G310" s="2382"/>
      <c r="H310" s="2244"/>
      <c r="I310" s="2357"/>
    </row>
    <row r="311" spans="1:15" s="2352" customFormat="1" ht="12.95" hidden="1" customHeight="1">
      <c r="A311" s="2068"/>
      <c r="B311" s="2157"/>
      <c r="C311" s="2257"/>
      <c r="D311" s="2146"/>
      <c r="E311" s="2052"/>
      <c r="F311" s="204"/>
      <c r="G311" s="2227"/>
      <c r="H311" s="2244"/>
      <c r="I311" s="2357"/>
    </row>
    <row r="312" spans="1:15" s="2352" customFormat="1" ht="12.95" hidden="1" customHeight="1">
      <c r="A312" s="2068"/>
      <c r="B312" s="2082"/>
      <c r="C312" s="2251"/>
      <c r="D312" s="2146"/>
      <c r="E312" s="2052"/>
      <c r="F312" s="204"/>
      <c r="G312" s="2227"/>
      <c r="H312" s="2244"/>
      <c r="I312" s="2357"/>
    </row>
    <row r="313" spans="1:15" s="2352" customFormat="1" ht="12.95" hidden="1" customHeight="1">
      <c r="A313" s="2068"/>
      <c r="B313" s="2082"/>
      <c r="C313" s="2052"/>
      <c r="D313" s="2146"/>
      <c r="E313" s="2052"/>
      <c r="F313" s="204"/>
      <c r="G313" s="2244"/>
      <c r="H313" s="2244"/>
      <c r="I313" s="2357"/>
      <c r="K313" s="2070"/>
      <c r="L313" s="2070"/>
      <c r="M313" s="2383"/>
      <c r="N313" s="2354"/>
      <c r="O313" s="2384"/>
    </row>
    <row r="314" spans="1:15" s="2352" customFormat="1" ht="12.95" hidden="1" customHeight="1">
      <c r="A314" s="2068"/>
      <c r="B314" s="2259"/>
      <c r="C314" s="2109"/>
      <c r="D314" s="2146"/>
      <c r="E314" s="2258"/>
      <c r="F314" s="2536"/>
      <c r="G314" s="2225"/>
      <c r="H314" s="2244"/>
      <c r="I314" s="2357"/>
      <c r="K314" s="2070"/>
      <c r="L314" s="2354"/>
      <c r="M314" s="2383"/>
      <c r="N314" s="2354"/>
      <c r="O314" s="2354"/>
    </row>
    <row r="315" spans="1:15" s="2352" customFormat="1" ht="12.95" hidden="1" customHeight="1">
      <c r="A315" s="2068"/>
      <c r="B315" s="2259"/>
      <c r="C315" s="2109"/>
      <c r="D315" s="2146"/>
      <c r="E315" s="2111"/>
      <c r="F315" s="2536"/>
      <c r="G315" s="2225"/>
      <c r="H315" s="2244"/>
      <c r="I315" s="2357"/>
      <c r="K315" s="2070"/>
      <c r="L315" s="2070"/>
      <c r="M315" s="2070"/>
      <c r="N315" s="2075"/>
      <c r="O315" s="2351"/>
    </row>
    <row r="316" spans="1:15" s="2352" customFormat="1" ht="12.95" hidden="1" customHeight="1">
      <c r="A316" s="2068"/>
      <c r="B316" s="2137"/>
      <c r="C316" s="2109"/>
      <c r="D316" s="2146"/>
      <c r="E316" s="2258"/>
      <c r="F316" s="2535"/>
      <c r="G316" s="2225"/>
      <c r="H316" s="2244"/>
      <c r="I316" s="2357"/>
      <c r="K316" s="2070"/>
      <c r="L316" s="2070"/>
      <c r="M316" s="2070"/>
      <c r="N316" s="2075"/>
      <c r="O316" s="2351"/>
    </row>
    <row r="317" spans="1:15" s="2352" customFormat="1" ht="12.95" hidden="1" customHeight="1" thickBot="1">
      <c r="A317" s="2099"/>
      <c r="B317" s="2260"/>
      <c r="C317" s="2101"/>
      <c r="D317" s="2105"/>
      <c r="E317" s="2143"/>
      <c r="F317" s="2533"/>
      <c r="G317" s="2225"/>
      <c r="H317" s="2244"/>
      <c r="I317" s="2357"/>
      <c r="K317" s="2070"/>
      <c r="L317" s="2070"/>
      <c r="M317" s="2070"/>
      <c r="N317" s="2075"/>
      <c r="O317" s="2351"/>
    </row>
    <row r="318" spans="1:15" s="2352" customFormat="1" ht="15" hidden="1" customHeight="1" thickTop="1">
      <c r="A318" s="2070"/>
      <c r="B318" s="2070"/>
      <c r="C318" s="2093"/>
      <c r="D318" s="2094"/>
      <c r="E318" s="2158"/>
      <c r="F318" s="2158"/>
      <c r="G318" s="2225"/>
      <c r="H318" s="2244"/>
      <c r="I318" s="2357"/>
      <c r="K318" s="2070"/>
      <c r="L318" s="2070"/>
      <c r="M318" s="2070"/>
      <c r="N318" s="2075"/>
      <c r="O318" s="2351"/>
    </row>
    <row r="319" spans="1:15" s="2352" customFormat="1" ht="12.95" customHeight="1" thickTop="1">
      <c r="A319" s="2070"/>
      <c r="B319" s="2070"/>
      <c r="C319" s="2072"/>
      <c r="D319" s="2148"/>
      <c r="E319" s="2149"/>
      <c r="F319" s="2149"/>
      <c r="G319" s="2225"/>
      <c r="H319" s="2244"/>
      <c r="I319" s="2357"/>
      <c r="K319" s="2070"/>
      <c r="L319" s="2070"/>
      <c r="M319" s="2070"/>
      <c r="N319" s="2075"/>
      <c r="O319" s="2351"/>
    </row>
    <row r="320" spans="1:15" s="2352" customFormat="1" ht="12.95" customHeight="1" thickBot="1">
      <c r="A320" s="2070"/>
      <c r="B320" s="2147"/>
      <c r="C320" s="2093"/>
      <c r="D320" s="2094"/>
      <c r="E320" s="2093"/>
      <c r="F320" s="2093"/>
      <c r="G320" s="2227"/>
      <c r="H320" s="2244"/>
      <c r="I320" s="2357"/>
    </row>
    <row r="321" spans="1:15" s="2352" customFormat="1" ht="12.95" customHeight="1" thickTop="1">
      <c r="A321" s="2246"/>
      <c r="B321" s="2080"/>
      <c r="C321" s="2048"/>
      <c r="D321" s="2145"/>
      <c r="E321" s="2048"/>
      <c r="F321" s="199"/>
      <c r="G321" s="2225"/>
      <c r="H321" s="2244"/>
      <c r="I321" s="2357"/>
    </row>
    <row r="322" spans="1:15" s="2352" customFormat="1" ht="12.95" customHeight="1">
      <c r="A322" s="2068"/>
      <c r="B322" s="2082"/>
      <c r="C322" s="2267"/>
      <c r="D322" s="2146"/>
      <c r="E322" s="2052"/>
      <c r="F322" s="204"/>
      <c r="G322" s="2225"/>
      <c r="H322" s="2244"/>
      <c r="I322" s="2357"/>
    </row>
    <row r="323" spans="1:15" s="2352" customFormat="1" ht="12.95" customHeight="1">
      <c r="A323" s="2068"/>
      <c r="B323" s="2082"/>
      <c r="C323" s="2251"/>
      <c r="D323" s="2146"/>
      <c r="E323" s="2052"/>
      <c r="F323" s="204"/>
      <c r="G323" s="2225"/>
      <c r="H323" s="2244"/>
      <c r="I323" s="2357"/>
    </row>
    <row r="324" spans="1:15" s="2352" customFormat="1" ht="12.95" customHeight="1">
      <c r="A324" s="2068"/>
      <c r="B324" s="2082"/>
      <c r="C324" s="2052"/>
      <c r="D324" s="2146"/>
      <c r="E324" s="2052"/>
      <c r="F324" s="204"/>
      <c r="G324" s="2225"/>
      <c r="H324" s="2244"/>
      <c r="I324" s="2357"/>
    </row>
    <row r="325" spans="1:15" s="2352" customFormat="1" ht="12.95" customHeight="1">
      <c r="A325" s="2068"/>
      <c r="B325" s="2082"/>
      <c r="C325" s="2052"/>
      <c r="D325" s="2146"/>
      <c r="E325" s="2052"/>
      <c r="F325" s="204"/>
      <c r="G325" s="2244"/>
      <c r="H325" s="2244"/>
      <c r="I325" s="2357"/>
    </row>
    <row r="326" spans="1:15" s="2352" customFormat="1" ht="12.95" customHeight="1" thickBot="1">
      <c r="A326" s="2099"/>
      <c r="B326" s="2100"/>
      <c r="C326" s="2101"/>
      <c r="D326" s="2105"/>
      <c r="E326" s="2143"/>
      <c r="F326" s="2533"/>
      <c r="G326" s="2227"/>
      <c r="H326" s="2244"/>
      <c r="I326" s="2357"/>
    </row>
    <row r="327" spans="1:15" s="2352" customFormat="1" ht="12.95" customHeight="1" thickTop="1" thickBot="1">
      <c r="A327" s="2068"/>
      <c r="B327" s="2259"/>
      <c r="C327" s="2109"/>
      <c r="D327" s="2146"/>
      <c r="E327" s="2111"/>
      <c r="F327" s="2533"/>
      <c r="G327" s="2225"/>
      <c r="H327" s="2244"/>
      <c r="I327" s="2357"/>
    </row>
    <row r="328" spans="1:15" s="2352" customFormat="1" ht="12.95" customHeight="1" thickTop="1">
      <c r="A328" s="2070"/>
      <c r="B328" s="2147"/>
      <c r="C328" s="2250"/>
      <c r="D328" s="2148"/>
      <c r="E328" s="2149"/>
      <c r="F328" s="2538"/>
      <c r="G328" s="2227"/>
      <c r="H328" s="2244"/>
      <c r="I328" s="2357"/>
    </row>
    <row r="329" spans="1:15" s="2352" customFormat="1" ht="12.95" customHeight="1">
      <c r="A329" s="2070"/>
      <c r="B329" s="2070"/>
      <c r="C329" s="2072"/>
      <c r="D329" s="2148"/>
      <c r="E329" s="2072"/>
      <c r="F329" s="2072"/>
      <c r="G329" s="2350"/>
      <c r="H329" s="2350"/>
      <c r="I329" s="2353"/>
      <c r="J329" s="2177"/>
      <c r="K329" s="2070"/>
      <c r="L329" s="2070"/>
      <c r="M329" s="2070"/>
      <c r="N329" s="2075"/>
      <c r="O329" s="2351"/>
    </row>
    <row r="330" spans="1:15" s="2352" customFormat="1" ht="12.95" customHeight="1" thickBot="1">
      <c r="A330" s="2070"/>
      <c r="B330" s="2268"/>
      <c r="C330" s="2269"/>
      <c r="D330" s="2270"/>
      <c r="E330" s="2271"/>
      <c r="F330" s="2539"/>
      <c r="G330" s="2350"/>
      <c r="H330" s="2350"/>
      <c r="I330" s="2353"/>
      <c r="J330" s="2177"/>
      <c r="K330" s="2070"/>
      <c r="L330" s="2070"/>
      <c r="M330" s="2070"/>
      <c r="N330" s="2075"/>
      <c r="O330" s="2351"/>
    </row>
    <row r="331" spans="1:15" s="2352" customFormat="1" ht="12.95" customHeight="1" thickTop="1">
      <c r="A331" s="2246"/>
      <c r="B331" s="2272"/>
      <c r="C331" s="2273"/>
      <c r="D331" s="2274"/>
      <c r="E331" s="2273"/>
      <c r="F331" s="2540"/>
      <c r="G331" s="2350"/>
      <c r="H331" s="2350"/>
      <c r="I331" s="2353"/>
      <c r="J331" s="2177"/>
      <c r="K331" s="2070"/>
      <c r="L331" s="2070"/>
      <c r="M331" s="2070"/>
      <c r="N331" s="2075"/>
      <c r="O331" s="2351"/>
    </row>
    <row r="332" spans="1:15" s="2352" customFormat="1" ht="12.95" customHeight="1">
      <c r="A332" s="2068"/>
      <c r="B332" s="2275"/>
      <c r="C332" s="2276"/>
      <c r="D332" s="2277"/>
      <c r="E332" s="2276"/>
      <c r="F332" s="2426"/>
      <c r="G332" s="2350"/>
      <c r="H332" s="2350"/>
      <c r="I332" s="2353"/>
      <c r="J332" s="2177"/>
      <c r="K332" s="2070"/>
      <c r="L332" s="2070"/>
      <c r="M332" s="2070"/>
      <c r="N332" s="2075"/>
      <c r="O332" s="2351"/>
    </row>
    <row r="333" spans="1:15" s="2352" customFormat="1" ht="12.95" customHeight="1" thickBot="1">
      <c r="A333" s="2099"/>
      <c r="B333" s="2278"/>
      <c r="C333" s="2279"/>
      <c r="D333" s="2280"/>
      <c r="E333" s="2281"/>
      <c r="F333" s="2541"/>
      <c r="G333" s="2350"/>
      <c r="H333" s="2350"/>
      <c r="I333" s="2353"/>
      <c r="J333" s="2177"/>
      <c r="K333" s="2070"/>
      <c r="L333" s="2070"/>
      <c r="M333" s="2070"/>
      <c r="N333" s="2075"/>
      <c r="O333" s="2351"/>
    </row>
    <row r="334" spans="1:15" s="2352" customFormat="1" ht="12.95" customHeight="1" thickTop="1">
      <c r="A334" s="2246"/>
      <c r="B334" s="2272"/>
      <c r="C334" s="2273"/>
      <c r="D334" s="2282"/>
      <c r="E334" s="2283"/>
      <c r="F334" s="2540"/>
      <c r="G334" s="2350"/>
      <c r="H334" s="2350"/>
      <c r="I334" s="2353"/>
      <c r="J334" s="2177"/>
      <c r="K334" s="2070"/>
      <c r="L334" s="2070"/>
      <c r="M334" s="2070"/>
      <c r="N334" s="2075"/>
      <c r="O334" s="2351"/>
    </row>
    <row r="335" spans="1:15" s="2352" customFormat="1" ht="12.95" customHeight="1">
      <c r="A335" s="2068"/>
      <c r="B335" s="2284"/>
      <c r="C335" s="2285"/>
      <c r="D335" s="2277"/>
      <c r="E335" s="2286"/>
      <c r="F335" s="2426"/>
      <c r="G335" s="2350"/>
      <c r="H335" s="2350"/>
      <c r="I335" s="2353"/>
      <c r="J335" s="2177"/>
      <c r="K335" s="2070"/>
      <c r="L335" s="2070"/>
      <c r="M335" s="2070"/>
      <c r="N335" s="2075"/>
      <c r="O335" s="2351"/>
    </row>
    <row r="336" spans="1:15" s="2352" customFormat="1" ht="12.95" customHeight="1">
      <c r="A336" s="2068"/>
      <c r="B336" s="2275"/>
      <c r="C336" s="2276"/>
      <c r="D336" s="2287"/>
      <c r="E336" s="2286"/>
      <c r="F336" s="2426"/>
      <c r="G336" s="2350"/>
      <c r="H336" s="2350"/>
      <c r="I336" s="2353"/>
      <c r="J336" s="2177"/>
      <c r="K336" s="2070"/>
      <c r="L336" s="2070"/>
      <c r="M336" s="2070"/>
      <c r="N336" s="2075"/>
      <c r="O336" s="2351"/>
    </row>
    <row r="337" spans="1:15" s="2352" customFormat="1" ht="12.95" customHeight="1">
      <c r="A337" s="2068"/>
      <c r="B337" s="2275"/>
      <c r="C337" s="2276"/>
      <c r="D337" s="2277"/>
      <c r="E337" s="2288"/>
      <c r="F337" s="2426"/>
      <c r="G337" s="2350"/>
      <c r="H337" s="2350"/>
      <c r="I337" s="2353"/>
      <c r="J337" s="2177"/>
      <c r="K337" s="2070"/>
      <c r="L337" s="2070"/>
      <c r="M337" s="2070"/>
      <c r="N337" s="2075"/>
      <c r="O337" s="2351"/>
    </row>
    <row r="338" spans="1:15" s="2352" customFormat="1" ht="12.95" customHeight="1">
      <c r="A338" s="2068"/>
      <c r="B338" s="2275"/>
      <c r="C338" s="2276"/>
      <c r="D338" s="2277"/>
      <c r="E338" s="2288"/>
      <c r="F338" s="2426"/>
      <c r="G338" s="2350"/>
      <c r="H338" s="2350"/>
      <c r="I338" s="2353"/>
      <c r="J338" s="2177"/>
      <c r="K338" s="2070"/>
      <c r="L338" s="2070"/>
      <c r="M338" s="2070"/>
      <c r="N338" s="2075"/>
      <c r="O338" s="2351"/>
    </row>
    <row r="339" spans="1:15" s="2352" customFormat="1" ht="12.95" customHeight="1">
      <c r="A339" s="2068"/>
      <c r="B339" s="2289"/>
      <c r="C339" s="2290"/>
      <c r="D339" s="2291"/>
      <c r="E339" s="2292"/>
      <c r="F339" s="2542"/>
      <c r="G339" s="2350"/>
      <c r="H339" s="2350"/>
      <c r="I339" s="2353"/>
      <c r="J339" s="2177"/>
      <c r="K339" s="2070"/>
      <c r="L339" s="2070"/>
      <c r="M339" s="2070"/>
      <c r="N339" s="2075"/>
      <c r="O339" s="2351"/>
    </row>
    <row r="340" spans="1:15" s="2352" customFormat="1" ht="12.95" customHeight="1">
      <c r="A340" s="2068"/>
      <c r="B340" s="2275"/>
      <c r="C340" s="2276"/>
      <c r="D340" s="2277"/>
      <c r="E340" s="2288"/>
      <c r="F340" s="2426"/>
      <c r="G340" s="2350"/>
      <c r="H340" s="2350"/>
      <c r="I340" s="2353"/>
      <c r="J340" s="2177"/>
      <c r="K340" s="2070"/>
      <c r="L340" s="2070"/>
      <c r="M340" s="2070"/>
      <c r="N340" s="2075"/>
      <c r="O340" s="2351"/>
    </row>
    <row r="341" spans="1:15" s="2352" customFormat="1" ht="12.95" customHeight="1">
      <c r="A341" s="2068"/>
      <c r="B341" s="2293"/>
      <c r="C341" s="2294"/>
      <c r="D341" s="2295"/>
      <c r="E341" s="2296"/>
      <c r="F341" s="2426"/>
      <c r="G341" s="2350"/>
      <c r="H341" s="2350"/>
      <c r="I341" s="2353"/>
      <c r="J341" s="2177"/>
      <c r="K341" s="2070"/>
      <c r="L341" s="2070"/>
      <c r="M341" s="2070"/>
      <c r="N341" s="2075"/>
      <c r="O341" s="2351"/>
    </row>
    <row r="342" spans="1:15" s="2352" customFormat="1" ht="12.95" customHeight="1" thickBot="1">
      <c r="A342" s="2099"/>
      <c r="B342" s="2278"/>
      <c r="C342" s="2279"/>
      <c r="D342" s="2280"/>
      <c r="E342" s="2281"/>
      <c r="F342" s="2541"/>
      <c r="G342" s="2350"/>
      <c r="H342" s="2350"/>
      <c r="I342" s="2353"/>
      <c r="J342" s="2177"/>
      <c r="K342" s="2070"/>
      <c r="L342" s="2070"/>
      <c r="M342" s="2070"/>
      <c r="N342" s="2075"/>
      <c r="O342" s="2351"/>
    </row>
    <row r="343" spans="1:15" s="2352" customFormat="1" ht="12.95" customHeight="1" thickTop="1">
      <c r="A343" s="2246"/>
      <c r="B343" s="2297"/>
      <c r="C343" s="2232"/>
      <c r="D343" s="2231"/>
      <c r="E343" s="2298"/>
      <c r="F343" s="2543"/>
      <c r="G343" s="2350"/>
      <c r="H343" s="2032"/>
      <c r="I343" s="8"/>
      <c r="J343" s="8"/>
      <c r="K343" s="2070"/>
      <c r="L343" s="2070"/>
      <c r="M343" s="2070"/>
      <c r="N343" s="2075"/>
      <c r="O343" s="2351"/>
    </row>
    <row r="344" spans="1:15" s="2352" customFormat="1" ht="12.95" hidden="1" customHeight="1">
      <c r="A344" s="2068"/>
      <c r="B344" s="2299"/>
      <c r="C344" s="2236"/>
      <c r="D344" s="2235"/>
      <c r="E344" s="2300"/>
      <c r="F344" s="2544"/>
      <c r="G344" s="2350"/>
      <c r="H344" s="2032"/>
      <c r="I344" s="8"/>
      <c r="J344" s="8"/>
      <c r="K344" s="2070"/>
      <c r="L344" s="2070"/>
      <c r="M344" s="2070"/>
      <c r="N344" s="2075"/>
      <c r="O344" s="2351"/>
    </row>
    <row r="345" spans="1:15" s="2352" customFormat="1" ht="12.95" hidden="1" customHeight="1" thickBot="1">
      <c r="A345" s="2099"/>
      <c r="B345" s="2301"/>
      <c r="C345" s="2302"/>
      <c r="D345" s="2239"/>
      <c r="E345" s="2303"/>
      <c r="F345" s="2545"/>
      <c r="G345" s="2350"/>
      <c r="H345" s="2032"/>
      <c r="I345" s="8"/>
      <c r="J345" s="8"/>
      <c r="K345" s="2070"/>
      <c r="L345" s="2070"/>
      <c r="M345" s="2070"/>
      <c r="N345" s="2075"/>
      <c r="O345" s="2351"/>
    </row>
    <row r="346" spans="1:15" s="2352" customFormat="1" ht="12.95" customHeight="1">
      <c r="A346" s="2070"/>
      <c r="B346" s="2070"/>
      <c r="C346" s="2070"/>
      <c r="D346" s="2070"/>
      <c r="E346" s="2070"/>
      <c r="F346" s="2070"/>
      <c r="G346" s="2350"/>
      <c r="H346" s="2032"/>
      <c r="I346" s="8"/>
      <c r="J346" s="8"/>
      <c r="K346" s="2070"/>
      <c r="L346" s="2070"/>
      <c r="M346" s="2070"/>
      <c r="N346" s="2075"/>
      <c r="O346" s="2351"/>
    </row>
    <row r="347" spans="1:15" s="2352" customFormat="1" ht="12.95" customHeight="1">
      <c r="A347" s="2070"/>
      <c r="B347" s="2070"/>
      <c r="C347" s="2070"/>
      <c r="D347" s="2070"/>
      <c r="E347" s="2070"/>
      <c r="F347" s="2070"/>
      <c r="G347" s="2350"/>
      <c r="H347" s="2032"/>
      <c r="I347" s="8"/>
      <c r="J347" s="8"/>
      <c r="K347" s="2070"/>
      <c r="L347" s="2070"/>
      <c r="M347" s="2070"/>
      <c r="N347" s="2075"/>
      <c r="O347" s="2351"/>
    </row>
    <row r="348" spans="1:15" s="2352" customFormat="1" ht="12.95" customHeight="1">
      <c r="A348" s="2070"/>
      <c r="B348" s="2268"/>
      <c r="C348" s="2269"/>
      <c r="D348" s="2270"/>
      <c r="E348" s="2304"/>
      <c r="F348" s="2539"/>
      <c r="G348" s="2350"/>
      <c r="H348" s="2350"/>
      <c r="I348" s="2353"/>
      <c r="J348" s="2177"/>
      <c r="K348" s="2070"/>
      <c r="L348" s="2070"/>
      <c r="M348" s="2070"/>
      <c r="N348" s="2075"/>
      <c r="O348" s="2351"/>
    </row>
    <row r="349" spans="1:15" s="2352" customFormat="1" ht="11.85" customHeight="1">
      <c r="A349" s="2070"/>
      <c r="B349" s="2305"/>
      <c r="C349" s="2276"/>
      <c r="D349" s="2306"/>
      <c r="E349" s="2307"/>
      <c r="F349" s="2546"/>
      <c r="G349" s="2225"/>
      <c r="H349" s="2225"/>
      <c r="I349" s="2354"/>
      <c r="J349" s="2070"/>
      <c r="K349" s="2070"/>
      <c r="L349" s="2070"/>
    </row>
    <row r="350" spans="1:15" s="2352" customFormat="1" ht="11.85" customHeight="1">
      <c r="A350" s="2070"/>
      <c r="B350" s="2305"/>
      <c r="C350" s="2308"/>
      <c r="D350" s="2309"/>
      <c r="E350" s="2310"/>
      <c r="F350" s="2307"/>
      <c r="G350" s="2225"/>
      <c r="H350" s="2225"/>
      <c r="I350" s="2354"/>
      <c r="J350" s="2070"/>
      <c r="K350" s="2070"/>
      <c r="L350" s="2070"/>
    </row>
    <row r="351" spans="1:15" s="2352" customFormat="1" ht="11.85" customHeight="1">
      <c r="A351" s="2070"/>
      <c r="B351" s="2305"/>
      <c r="C351" s="2308"/>
      <c r="D351" s="2309"/>
      <c r="E351" s="2310"/>
      <c r="F351" s="2307"/>
      <c r="G351" s="2225"/>
      <c r="H351" s="2225"/>
      <c r="I351" s="2354"/>
      <c r="J351" s="2070"/>
      <c r="K351" s="2070"/>
      <c r="L351" s="2070"/>
    </row>
    <row r="352" spans="1:15" s="2352" customFormat="1" ht="11.85" customHeight="1">
      <c r="A352" s="2070"/>
      <c r="B352" s="2305"/>
      <c r="C352" s="2308"/>
      <c r="D352" s="2309"/>
      <c r="E352" s="2310"/>
      <c r="F352" s="2307"/>
      <c r="G352" s="2225"/>
      <c r="H352" s="2225"/>
      <c r="I352" s="2354"/>
      <c r="J352" s="2070"/>
      <c r="K352" s="2070"/>
      <c r="L352" s="2070"/>
    </row>
    <row r="353" spans="1:16" s="2352" customFormat="1" ht="11.85" customHeight="1">
      <c r="A353" s="2070"/>
      <c r="B353" s="2305"/>
      <c r="C353" s="2311"/>
      <c r="D353" s="2309"/>
      <c r="E353" s="2310"/>
      <c r="F353" s="2546"/>
      <c r="G353" s="2225"/>
      <c r="H353" s="2225"/>
      <c r="I353" s="2354"/>
      <c r="J353" s="2070"/>
      <c r="K353" s="2070"/>
      <c r="L353" s="2070"/>
    </row>
    <row r="354" spans="1:16" s="2352" customFormat="1" ht="11.85" customHeight="1">
      <c r="A354" s="2070"/>
      <c r="B354" s="2312"/>
      <c r="C354" s="2311"/>
      <c r="D354" s="2309"/>
      <c r="E354" s="2310"/>
      <c r="F354" s="2547"/>
      <c r="G354" s="2225"/>
      <c r="H354" s="2225"/>
      <c r="I354" s="2354"/>
      <c r="J354" s="2070"/>
      <c r="K354" s="2070"/>
      <c r="L354" s="2070"/>
    </row>
    <row r="355" spans="1:16" s="2352" customFormat="1" ht="11.85" customHeight="1">
      <c r="A355" s="2070"/>
      <c r="B355" s="2305"/>
      <c r="C355" s="2308"/>
      <c r="D355" s="2309"/>
      <c r="E355" s="2310"/>
      <c r="F355" s="2307"/>
      <c r="G355" s="2225"/>
      <c r="H355" s="2225"/>
      <c r="I355" s="2354"/>
      <c r="J355" s="2070"/>
      <c r="K355" s="2070"/>
      <c r="L355" s="2070"/>
    </row>
    <row r="356" spans="1:16" s="2352" customFormat="1" ht="11.85" customHeight="1">
      <c r="A356" s="2070"/>
      <c r="B356" s="2305"/>
      <c r="C356" s="2308"/>
      <c r="D356" s="2309"/>
      <c r="E356" s="2310"/>
      <c r="F356" s="2307"/>
      <c r="G356" s="2225"/>
      <c r="H356" s="2225"/>
      <c r="I356" s="2354"/>
      <c r="J356" s="2070"/>
      <c r="K356" s="2070"/>
      <c r="L356" s="2070"/>
    </row>
    <row r="357" spans="1:16" s="2352" customFormat="1" ht="11.85" customHeight="1">
      <c r="A357" s="2070"/>
      <c r="B357" s="2313"/>
      <c r="C357" s="2311"/>
      <c r="D357" s="2309"/>
      <c r="E357" s="2311"/>
      <c r="F357" s="2546"/>
      <c r="G357" s="2225"/>
      <c r="H357" s="2225"/>
      <c r="I357" s="2354"/>
      <c r="J357" s="2070"/>
      <c r="K357" s="2070"/>
      <c r="L357" s="2070"/>
    </row>
    <row r="358" spans="1:16" s="2352" customFormat="1" ht="11.85" customHeight="1" thickBot="1">
      <c r="A358" s="2070"/>
      <c r="B358" s="2313"/>
      <c r="C358" s="2311"/>
      <c r="D358" s="2311"/>
      <c r="E358" s="2314"/>
      <c r="F358" s="2548"/>
      <c r="G358" s="2225"/>
      <c r="H358" s="2225"/>
      <c r="I358" s="2354"/>
      <c r="J358" s="2070"/>
      <c r="K358" s="2070"/>
      <c r="L358" s="2070"/>
    </row>
    <row r="359" spans="1:16" s="2352" customFormat="1" ht="11.85" customHeight="1" thickBot="1">
      <c r="A359" s="2070"/>
      <c r="B359" s="2315"/>
      <c r="C359" s="2316"/>
      <c r="D359" s="2315"/>
      <c r="E359" s="2317"/>
      <c r="F359" s="2548"/>
      <c r="G359" s="2225"/>
      <c r="H359" s="2225"/>
      <c r="I359" s="2354"/>
      <c r="J359" s="2070"/>
      <c r="K359" s="2070"/>
      <c r="L359" s="2070"/>
    </row>
    <row r="360" spans="1:16" s="2352" customFormat="1" ht="12.95" customHeight="1">
      <c r="A360" s="2070"/>
      <c r="B360" s="2070"/>
      <c r="C360" s="2070"/>
      <c r="D360" s="2070"/>
      <c r="E360" s="2070"/>
      <c r="F360" s="2070"/>
      <c r="G360" s="2350"/>
      <c r="H360" s="2350"/>
      <c r="I360" s="2353"/>
      <c r="J360" s="2177"/>
      <c r="K360" s="2070"/>
      <c r="L360" s="2070"/>
      <c r="M360" s="2070"/>
      <c r="N360" s="2075"/>
      <c r="O360" s="2351"/>
    </row>
    <row r="361" spans="1:16" s="2352" customFormat="1" ht="12.95" customHeight="1">
      <c r="A361" s="2318"/>
      <c r="B361" s="2319"/>
      <c r="C361" s="2320"/>
      <c r="D361" s="2320"/>
      <c r="E361" s="2321"/>
      <c r="F361" s="2549"/>
      <c r="G361" s="2355"/>
      <c r="H361" s="2350"/>
      <c r="I361" s="2350"/>
      <c r="J361" s="2353"/>
      <c r="K361" s="2177"/>
      <c r="L361" s="2070"/>
      <c r="M361" s="2070"/>
      <c r="N361" s="2070"/>
      <c r="O361" s="2075"/>
      <c r="P361" s="2351"/>
    </row>
    <row r="362" spans="1:16" s="2352" customFormat="1" ht="12.95" customHeight="1">
      <c r="A362" s="2318"/>
      <c r="B362" s="2322"/>
      <c r="C362" s="2054"/>
      <c r="D362" s="2323"/>
      <c r="E362" s="2054"/>
      <c r="F362" s="2550"/>
      <c r="G362" s="2350"/>
      <c r="H362" s="2350"/>
      <c r="I362" s="2350"/>
      <c r="J362" s="2353"/>
      <c r="K362" s="2177"/>
      <c r="L362" s="2070"/>
      <c r="M362" s="2070"/>
      <c r="N362" s="2070"/>
      <c r="O362" s="2075"/>
      <c r="P362" s="2351"/>
    </row>
    <row r="363" spans="1:16" s="2352" customFormat="1" ht="12.95" customHeight="1">
      <c r="A363" s="2318"/>
      <c r="B363" s="2322"/>
      <c r="C363" s="2054"/>
      <c r="D363" s="2324"/>
      <c r="E363" s="2054"/>
      <c r="F363" s="2550"/>
      <c r="G363" s="2350"/>
      <c r="H363" s="2350"/>
      <c r="I363" s="2350"/>
      <c r="J363" s="2353"/>
      <c r="K363" s="2177"/>
      <c r="L363" s="2070"/>
      <c r="M363" s="2070"/>
      <c r="N363" s="2070"/>
      <c r="O363" s="2075"/>
      <c r="P363" s="2351"/>
    </row>
    <row r="364" spans="1:16" s="2352" customFormat="1" ht="12.95" customHeight="1">
      <c r="A364" s="2318"/>
      <c r="B364" s="2322"/>
      <c r="C364" s="2054"/>
      <c r="D364" s="2323"/>
      <c r="E364" s="2054"/>
      <c r="F364" s="2550"/>
      <c r="G364" s="2350"/>
      <c r="H364" s="2350"/>
      <c r="I364" s="2350"/>
      <c r="J364" s="2353"/>
      <c r="K364" s="2177"/>
      <c r="L364" s="2070"/>
      <c r="M364" s="2070"/>
      <c r="N364" s="2070"/>
      <c r="O364" s="2075"/>
      <c r="P364" s="2351"/>
    </row>
    <row r="365" spans="1:16" s="2352" customFormat="1" ht="12.95" customHeight="1">
      <c r="A365" s="2318"/>
      <c r="B365" s="2322"/>
      <c r="C365" s="2325"/>
      <c r="D365" s="2323"/>
      <c r="E365" s="2054"/>
      <c r="F365" s="2550"/>
      <c r="G365" s="2350"/>
      <c r="H365" s="2350"/>
      <c r="I365" s="2350"/>
      <c r="J365" s="2353"/>
      <c r="K365" s="2177"/>
      <c r="L365" s="2070"/>
      <c r="M365" s="2070"/>
      <c r="N365" s="2070"/>
      <c r="O365" s="2075"/>
      <c r="P365" s="2351"/>
    </row>
    <row r="366" spans="1:16" s="2352" customFormat="1" ht="12.95" customHeight="1">
      <c r="A366" s="2318"/>
      <c r="B366" s="2322"/>
      <c r="C366" s="2054"/>
      <c r="D366" s="2323"/>
      <c r="E366" s="2054"/>
      <c r="F366" s="2550"/>
      <c r="G366" s="2350"/>
      <c r="H366" s="2350"/>
      <c r="I366" s="2350"/>
      <c r="J366" s="2353"/>
      <c r="K366" s="2177"/>
      <c r="L366" s="2070"/>
      <c r="M366" s="2070"/>
      <c r="N366" s="2070"/>
      <c r="O366" s="2075"/>
      <c r="P366" s="2351"/>
    </row>
    <row r="367" spans="1:16" s="2352" customFormat="1" ht="12.95" customHeight="1">
      <c r="A367" s="2318"/>
      <c r="B367" s="2107"/>
      <c r="C367" s="2054"/>
      <c r="D367" s="2323"/>
      <c r="E367" s="2054"/>
      <c r="F367" s="2550"/>
      <c r="G367" s="2350"/>
      <c r="H367" s="2350"/>
      <c r="I367" s="2350"/>
      <c r="J367" s="2353"/>
      <c r="K367" s="2177"/>
      <c r="L367" s="2070"/>
      <c r="M367" s="2070"/>
      <c r="N367" s="2070"/>
      <c r="O367" s="2075"/>
      <c r="P367" s="2351"/>
    </row>
    <row r="368" spans="1:16" s="2352" customFormat="1" ht="12.95" customHeight="1" thickBot="1">
      <c r="A368" s="2318"/>
      <c r="B368" s="5200"/>
      <c r="C368" s="5200"/>
      <c r="D368" s="5200"/>
      <c r="E368" s="5200"/>
      <c r="F368" s="2551"/>
      <c r="G368" s="2350"/>
      <c r="H368" s="2350"/>
      <c r="I368" s="2350"/>
      <c r="J368" s="2353"/>
      <c r="K368" s="2177"/>
      <c r="L368" s="2070"/>
      <c r="M368" s="2070"/>
      <c r="N368" s="2070"/>
      <c r="O368" s="2075"/>
      <c r="P368" s="2351"/>
    </row>
    <row r="369" spans="1:16" s="2352" customFormat="1" ht="12.95" customHeight="1" thickTop="1" thickBot="1">
      <c r="A369" s="2326"/>
      <c r="B369" s="5201"/>
      <c r="C369" s="5201"/>
      <c r="D369" s="5201"/>
      <c r="E369" s="5201"/>
      <c r="F369" s="2551"/>
      <c r="G369" s="2350"/>
      <c r="H369" s="2350"/>
      <c r="I369" s="2350"/>
      <c r="J369" s="2353"/>
      <c r="K369" s="2177"/>
      <c r="L369" s="2070"/>
      <c r="M369" s="2070"/>
      <c r="N369" s="2070"/>
      <c r="O369" s="2075"/>
      <c r="P369" s="2351"/>
    </row>
    <row r="370" spans="1:16" s="2352" customFormat="1" ht="12.95" customHeight="1" thickTop="1">
      <c r="A370" s="2318"/>
      <c r="B370" s="2327"/>
      <c r="C370" s="2327"/>
      <c r="D370" s="2327"/>
      <c r="E370" s="2327"/>
      <c r="F370" s="2552"/>
      <c r="G370" s="2350"/>
      <c r="H370" s="2350"/>
      <c r="I370" s="2350"/>
      <c r="J370" s="2353"/>
      <c r="K370" s="2177"/>
      <c r="L370" s="2070"/>
      <c r="M370" s="2070"/>
      <c r="N370" s="2070"/>
      <c r="O370" s="2075"/>
      <c r="P370" s="2351"/>
    </row>
    <row r="371" spans="1:16" s="2352" customFormat="1" ht="12.95" customHeight="1">
      <c r="A371" s="2318"/>
      <c r="B371" s="2327"/>
      <c r="C371" s="2327"/>
      <c r="D371" s="2327"/>
      <c r="E371" s="2327"/>
      <c r="F371" s="2552"/>
      <c r="G371" s="2350"/>
      <c r="H371" s="2350"/>
      <c r="I371" s="2350"/>
      <c r="J371" s="2353"/>
      <c r="K371" s="2177"/>
      <c r="L371" s="2070"/>
      <c r="M371" s="2070"/>
      <c r="N371" s="2070"/>
      <c r="O371" s="2075"/>
      <c r="P371" s="2351"/>
    </row>
    <row r="372" spans="1:16" s="2352" customFormat="1" ht="12.75" hidden="1" customHeight="1" thickBot="1">
      <c r="A372" s="2070"/>
      <c r="B372" s="2147"/>
      <c r="C372" s="2161"/>
      <c r="D372" s="2162"/>
      <c r="E372" s="2161"/>
      <c r="F372" s="2161"/>
      <c r="G372" s="2350"/>
      <c r="H372" s="2350"/>
      <c r="I372" s="2353"/>
      <c r="J372" s="2177"/>
      <c r="K372" s="2070"/>
      <c r="L372" s="2070"/>
      <c r="M372" s="2070"/>
      <c r="N372" s="2075"/>
      <c r="O372" s="2351"/>
    </row>
    <row r="373" spans="1:16" s="2352" customFormat="1" ht="12.95" hidden="1" customHeight="1" thickTop="1">
      <c r="A373" s="2070"/>
      <c r="B373" s="2080"/>
      <c r="C373" s="2048"/>
      <c r="D373" s="2145"/>
      <c r="E373" s="2048"/>
      <c r="F373" s="199"/>
      <c r="G373" s="2350"/>
      <c r="H373" s="2350"/>
      <c r="I373" s="2353"/>
      <c r="J373" s="2177"/>
      <c r="K373" s="2070"/>
      <c r="L373" s="2070"/>
      <c r="M373" s="2070"/>
      <c r="N373" s="2075"/>
      <c r="O373" s="2351"/>
    </row>
    <row r="374" spans="1:16" s="2352" customFormat="1" ht="12.95" hidden="1" customHeight="1">
      <c r="A374" s="2070"/>
      <c r="B374" s="2082"/>
      <c r="C374" s="2052"/>
      <c r="D374" s="2146"/>
      <c r="E374" s="2052"/>
      <c r="F374" s="204"/>
      <c r="G374" s="2350"/>
      <c r="H374" s="2350"/>
      <c r="I374" s="2353"/>
      <c r="J374" s="2177"/>
      <c r="K374" s="2070"/>
      <c r="L374" s="2070"/>
      <c r="M374" s="2070"/>
      <c r="N374" s="2075"/>
      <c r="O374" s="2351"/>
    </row>
    <row r="375" spans="1:16" s="2352" customFormat="1" ht="12.95" hidden="1" customHeight="1">
      <c r="A375" s="2070"/>
      <c r="B375" s="2328"/>
      <c r="C375" s="2054"/>
      <c r="D375" s="2506"/>
      <c r="E375" s="2054"/>
      <c r="F375" s="2550"/>
      <c r="G375" s="2350"/>
      <c r="H375" s="2350"/>
      <c r="I375" s="2353"/>
      <c r="J375" s="2177"/>
      <c r="K375" s="2070"/>
      <c r="L375" s="2070"/>
      <c r="M375" s="2070"/>
      <c r="N375" s="2075"/>
      <c r="O375" s="2351"/>
    </row>
    <row r="376" spans="1:16" s="2352" customFormat="1" ht="12.95" hidden="1" customHeight="1">
      <c r="A376" s="2070"/>
      <c r="B376" s="2082"/>
      <c r="C376" s="2052"/>
      <c r="D376" s="2146"/>
      <c r="E376" s="2052"/>
      <c r="F376" s="204"/>
      <c r="G376" s="2350"/>
      <c r="H376" s="2350"/>
      <c r="I376" s="2353"/>
      <c r="J376" s="2177"/>
      <c r="K376" s="2070"/>
      <c r="L376" s="2070"/>
      <c r="M376" s="2070"/>
      <c r="N376" s="2075"/>
      <c r="O376" s="2351"/>
    </row>
    <row r="377" spans="1:16" s="2352" customFormat="1" ht="12.95" hidden="1" customHeight="1" thickBot="1">
      <c r="A377" s="2070"/>
      <c r="B377" s="2100"/>
      <c r="C377" s="2101"/>
      <c r="D377" s="2105"/>
      <c r="E377" s="2143"/>
      <c r="F377" s="2533"/>
      <c r="G377" s="2350"/>
      <c r="H377" s="2350"/>
      <c r="I377" s="2353"/>
      <c r="J377" s="2177"/>
      <c r="K377" s="2070"/>
      <c r="L377" s="2070"/>
      <c r="M377" s="2070"/>
      <c r="N377" s="2075"/>
      <c r="O377" s="2351"/>
    </row>
    <row r="378" spans="1:16" s="2352" customFormat="1" ht="12.95" hidden="1" customHeight="1" thickTop="1">
      <c r="A378" s="2070"/>
      <c r="B378" s="2070"/>
      <c r="C378" s="2070"/>
      <c r="D378" s="2070"/>
      <c r="E378" s="2070"/>
      <c r="F378" s="2070"/>
      <c r="G378" s="2350"/>
      <c r="H378" s="2350"/>
      <c r="I378" s="2353"/>
      <c r="J378" s="2177"/>
      <c r="K378" s="2070"/>
      <c r="L378" s="2070"/>
      <c r="M378" s="2070"/>
      <c r="N378" s="2075"/>
      <c r="O378" s="2351"/>
    </row>
    <row r="379" spans="1:16" s="2352" customFormat="1" ht="12.95" hidden="1" customHeight="1">
      <c r="A379" s="2070"/>
      <c r="B379" s="2070"/>
      <c r="C379" s="2070"/>
      <c r="D379" s="2070"/>
      <c r="E379" s="2070"/>
      <c r="F379" s="2070"/>
      <c r="G379" s="2350"/>
      <c r="H379" s="2350"/>
      <c r="I379" s="2353"/>
      <c r="J379" s="2177"/>
      <c r="K379" s="2070"/>
      <c r="L379" s="2070"/>
      <c r="M379" s="2070"/>
      <c r="N379" s="2075"/>
      <c r="O379" s="2351"/>
    </row>
    <row r="380" spans="1:16" s="2352" customFormat="1" ht="12.95" hidden="1" customHeight="1">
      <c r="A380" s="2070"/>
      <c r="B380" s="2070"/>
      <c r="C380" s="2070"/>
      <c r="D380" s="2070"/>
      <c r="E380" s="2070"/>
      <c r="F380" s="2070"/>
      <c r="G380" s="2350"/>
      <c r="H380" s="2350"/>
      <c r="I380" s="2353"/>
      <c r="J380" s="2177"/>
      <c r="K380" s="2070"/>
      <c r="L380" s="2070"/>
      <c r="M380" s="2070"/>
      <c r="N380" s="2075"/>
      <c r="O380" s="2351"/>
    </row>
    <row r="381" spans="1:16" s="2352" customFormat="1" ht="12.95" hidden="1" customHeight="1">
      <c r="A381" s="2070"/>
      <c r="B381" s="2070"/>
      <c r="C381" s="2070"/>
      <c r="D381" s="2070"/>
      <c r="E381" s="2070"/>
      <c r="F381" s="2070"/>
      <c r="G381" s="2350"/>
      <c r="H381" s="2350"/>
      <c r="I381" s="2353"/>
      <c r="J381" s="2177"/>
      <c r="K381" s="2070"/>
      <c r="L381" s="2070"/>
      <c r="M381" s="2070"/>
      <c r="N381" s="2075"/>
      <c r="O381" s="2351"/>
    </row>
    <row r="382" spans="1:16" s="2352" customFormat="1" ht="12.95" hidden="1" customHeight="1">
      <c r="A382" s="2070"/>
      <c r="B382" s="2070"/>
      <c r="C382" s="2070"/>
      <c r="D382" s="2070"/>
      <c r="E382" s="2070"/>
      <c r="F382" s="2070"/>
      <c r="G382" s="2350"/>
      <c r="H382" s="2350"/>
      <c r="I382" s="2353"/>
      <c r="J382" s="2177"/>
      <c r="K382" s="2070"/>
      <c r="L382" s="2070"/>
      <c r="M382" s="2070"/>
      <c r="N382" s="2075"/>
      <c r="O382" s="2351"/>
    </row>
    <row r="383" spans="1:16" s="2352" customFormat="1" ht="12.95" hidden="1" customHeight="1">
      <c r="A383" s="2070"/>
      <c r="B383" s="2070"/>
      <c r="C383" s="2070"/>
      <c r="D383" s="2070"/>
      <c r="E383" s="2070"/>
      <c r="F383" s="2070"/>
      <c r="G383" s="2350"/>
      <c r="H383" s="2350"/>
      <c r="I383" s="2353"/>
      <c r="J383" s="2177"/>
      <c r="K383" s="2070"/>
      <c r="L383" s="2070"/>
      <c r="M383" s="2070"/>
      <c r="N383" s="2075"/>
      <c r="O383" s="2351"/>
    </row>
    <row r="384" spans="1:16" s="2352" customFormat="1" ht="12.95" hidden="1" customHeight="1">
      <c r="A384" s="2070"/>
      <c r="B384" s="2070"/>
      <c r="C384" s="2070"/>
      <c r="D384" s="2070"/>
      <c r="E384" s="2070"/>
      <c r="F384" s="2070"/>
      <c r="G384" s="2350"/>
      <c r="H384" s="2350"/>
      <c r="I384" s="2353"/>
      <c r="J384" s="2177"/>
      <c r="K384" s="2070"/>
      <c r="L384" s="2070"/>
      <c r="M384" s="2070"/>
      <c r="N384" s="2075"/>
      <c r="O384" s="2351"/>
    </row>
    <row r="385" spans="1:15" s="2352" customFormat="1" ht="12.95" hidden="1" customHeight="1">
      <c r="A385" s="2070"/>
      <c r="B385" s="2070"/>
      <c r="C385" s="2070"/>
      <c r="D385" s="2070"/>
      <c r="E385" s="2070"/>
      <c r="F385" s="2070"/>
      <c r="G385" s="2350"/>
      <c r="H385" s="2350"/>
      <c r="I385" s="2353"/>
      <c r="J385" s="2177"/>
      <c r="K385" s="2070"/>
      <c r="L385" s="2070"/>
      <c r="M385" s="2070"/>
      <c r="N385" s="2075"/>
      <c r="O385" s="2351"/>
    </row>
    <row r="386" spans="1:15" s="2352" customFormat="1" ht="12.95" hidden="1" customHeight="1" thickBot="1">
      <c r="A386" s="2070"/>
      <c r="B386" s="2070"/>
      <c r="C386" s="2070"/>
      <c r="D386" s="2070"/>
      <c r="E386" s="2070"/>
      <c r="F386" s="2070"/>
      <c r="G386" s="2350"/>
      <c r="H386" s="2350"/>
      <c r="I386" s="2353"/>
      <c r="J386" s="2177"/>
      <c r="K386" s="2070"/>
      <c r="L386" s="2070"/>
      <c r="M386" s="2070"/>
      <c r="N386" s="2075"/>
      <c r="O386" s="2351"/>
    </row>
    <row r="387" spans="1:15" s="2352" customFormat="1" ht="12.95" hidden="1" customHeight="1" thickTop="1">
      <c r="A387" s="2070"/>
      <c r="B387" s="2329"/>
      <c r="C387" s="2330"/>
      <c r="D387" s="2330"/>
      <c r="E387" s="2331"/>
      <c r="F387" s="2553"/>
      <c r="G387" s="2350"/>
      <c r="H387" s="2350"/>
      <c r="I387" s="2353"/>
      <c r="J387" s="2177"/>
      <c r="K387" s="2070"/>
      <c r="L387" s="2070"/>
      <c r="M387" s="2070"/>
      <c r="N387" s="2075"/>
      <c r="O387" s="2351"/>
    </row>
    <row r="388" spans="1:15" s="2352" customFormat="1" ht="12.95" hidden="1" customHeight="1">
      <c r="A388" s="2070"/>
      <c r="B388" s="2328"/>
      <c r="C388" s="2054"/>
      <c r="D388" s="2506"/>
      <c r="E388" s="2054"/>
      <c r="F388" s="2550"/>
      <c r="G388" s="2350"/>
      <c r="H388" s="2350"/>
      <c r="I388" s="2353"/>
      <c r="J388" s="2177"/>
      <c r="K388" s="2070"/>
      <c r="L388" s="2070"/>
      <c r="M388" s="2070"/>
      <c r="N388" s="2075"/>
      <c r="O388" s="2351"/>
    </row>
    <row r="389" spans="1:15" s="2352" customFormat="1" ht="12.95" hidden="1" customHeight="1">
      <c r="A389" s="2070"/>
      <c r="B389" s="2328"/>
      <c r="C389" s="2054"/>
      <c r="D389" s="2506"/>
      <c r="E389" s="2054"/>
      <c r="F389" s="2550"/>
      <c r="G389" s="2350"/>
      <c r="H389" s="2350"/>
      <c r="I389" s="2353"/>
      <c r="J389" s="2177"/>
      <c r="K389" s="2070"/>
      <c r="L389" s="2070"/>
      <c r="M389" s="2070"/>
      <c r="N389" s="2075"/>
      <c r="O389" s="2351"/>
    </row>
    <row r="390" spans="1:15" s="2352" customFormat="1" ht="12.95" hidden="1" customHeight="1">
      <c r="A390" s="2070"/>
      <c r="B390" s="2328"/>
      <c r="C390" s="2054"/>
      <c r="D390" s="2507"/>
      <c r="E390" s="2054"/>
      <c r="F390" s="2550"/>
      <c r="G390" s="2350"/>
      <c r="H390" s="2350"/>
      <c r="I390" s="2353"/>
      <c r="J390" s="2177"/>
      <c r="K390" s="2070"/>
      <c r="L390" s="2070"/>
      <c r="M390" s="2070"/>
      <c r="N390" s="2075"/>
      <c r="O390" s="2351"/>
    </row>
    <row r="391" spans="1:15" s="2352" customFormat="1" ht="12.95" hidden="1" customHeight="1">
      <c r="A391" s="2070"/>
      <c r="B391" s="2328"/>
      <c r="C391" s="2054"/>
      <c r="D391" s="2506"/>
      <c r="E391" s="2054"/>
      <c r="F391" s="2550"/>
      <c r="G391" s="2350"/>
      <c r="H391" s="2350"/>
      <c r="I391" s="2353"/>
      <c r="J391" s="2177"/>
      <c r="K391" s="2070"/>
      <c r="L391" s="2070"/>
      <c r="M391" s="2070"/>
      <c r="N391" s="2075"/>
      <c r="O391" s="2351"/>
    </row>
    <row r="392" spans="1:15" s="2352" customFormat="1" ht="12.95" hidden="1" customHeight="1" thickBot="1">
      <c r="A392" s="2070"/>
      <c r="B392" s="2332"/>
      <c r="C392" s="2333"/>
      <c r="D392" s="2333"/>
      <c r="E392" s="2334"/>
      <c r="F392" s="2551"/>
      <c r="G392" s="2350"/>
      <c r="H392" s="2350"/>
      <c r="I392" s="2353"/>
      <c r="J392" s="2177"/>
      <c r="K392" s="2070"/>
      <c r="L392" s="2070"/>
      <c r="M392" s="2070"/>
      <c r="N392" s="2075"/>
      <c r="O392" s="2351"/>
    </row>
    <row r="393" spans="1:15" s="2352" customFormat="1" ht="12.95" hidden="1" customHeight="1" thickTop="1" thickBot="1">
      <c r="A393" s="2070"/>
      <c r="B393" s="2332"/>
      <c r="C393" s="2333"/>
      <c r="D393" s="2333"/>
      <c r="E393" s="2334"/>
      <c r="F393" s="2551"/>
      <c r="G393" s="2350"/>
      <c r="H393" s="2350"/>
      <c r="I393" s="2353"/>
      <c r="J393" s="2177"/>
      <c r="K393" s="2070"/>
      <c r="L393" s="2070"/>
      <c r="M393" s="2070"/>
      <c r="N393" s="2075"/>
      <c r="O393" s="2351"/>
    </row>
    <row r="394" spans="1:15" s="2352" customFormat="1" ht="12.95" hidden="1" customHeight="1" thickTop="1">
      <c r="A394" s="2070"/>
      <c r="B394" s="2070"/>
      <c r="C394" s="2070"/>
      <c r="D394" s="2070"/>
      <c r="E394" s="2070"/>
      <c r="F394" s="2070"/>
      <c r="G394" s="2350"/>
      <c r="H394" s="2350"/>
      <c r="I394" s="2353"/>
      <c r="J394" s="2177"/>
      <c r="K394" s="2070"/>
      <c r="L394" s="2070"/>
      <c r="M394" s="2070"/>
      <c r="N394" s="2075"/>
      <c r="O394" s="2351"/>
    </row>
    <row r="395" spans="1:15" s="2352" customFormat="1" ht="12.95" hidden="1" customHeight="1">
      <c r="A395" s="2070"/>
      <c r="B395" s="2070"/>
      <c r="C395" s="2070"/>
      <c r="D395" s="2070"/>
      <c r="E395" s="2070"/>
      <c r="F395" s="2070"/>
      <c r="G395" s="2350"/>
      <c r="H395" s="2350"/>
      <c r="I395" s="2353"/>
      <c r="J395" s="2177"/>
      <c r="K395" s="2070"/>
      <c r="L395" s="2070"/>
      <c r="M395" s="2070"/>
      <c r="N395" s="2075"/>
      <c r="O395" s="2351"/>
    </row>
    <row r="396" spans="1:15" s="2352" customFormat="1" ht="12.95" hidden="1" customHeight="1">
      <c r="A396" s="2070"/>
      <c r="B396" s="2070"/>
      <c r="C396" s="2070"/>
      <c r="D396" s="2070"/>
      <c r="E396" s="2070"/>
      <c r="F396" s="2070"/>
      <c r="G396" s="2350"/>
      <c r="H396" s="2350"/>
      <c r="I396" s="2353"/>
      <c r="J396" s="2177"/>
      <c r="K396" s="2070"/>
      <c r="L396" s="2070"/>
      <c r="M396" s="2070"/>
      <c r="N396" s="2075"/>
      <c r="O396" s="2351"/>
    </row>
    <row r="397" spans="1:15" s="2352" customFormat="1" ht="12.95" hidden="1" customHeight="1">
      <c r="A397" s="2070"/>
      <c r="B397" s="2070"/>
      <c r="C397" s="2070"/>
      <c r="D397" s="2070"/>
      <c r="E397" s="2070"/>
      <c r="F397" s="2070"/>
      <c r="G397" s="2350"/>
      <c r="H397" s="2350"/>
      <c r="I397" s="2353"/>
      <c r="J397" s="2177"/>
      <c r="K397" s="2070"/>
      <c r="L397" s="2070"/>
      <c r="M397" s="2070"/>
      <c r="N397" s="2075"/>
      <c r="O397" s="2351"/>
    </row>
    <row r="398" spans="1:15" s="2352" customFormat="1" ht="12.95" hidden="1" customHeight="1" thickBot="1">
      <c r="A398" s="2070"/>
      <c r="B398" s="2335"/>
      <c r="C398" s="2336"/>
      <c r="D398" s="2336"/>
      <c r="E398" s="2337"/>
      <c r="F398" s="2554"/>
      <c r="G398" s="2350"/>
      <c r="H398" s="2350"/>
      <c r="I398" s="2353"/>
      <c r="J398" s="2177"/>
      <c r="K398" s="2070"/>
      <c r="L398" s="2070"/>
      <c r="M398" s="2070"/>
      <c r="N398" s="2075"/>
      <c r="O398" s="2351"/>
    </row>
    <row r="399" spans="1:15" s="2352" customFormat="1" ht="12.95" hidden="1" customHeight="1" thickTop="1">
      <c r="A399" s="2338"/>
      <c r="B399" s="2339"/>
      <c r="C399" s="2340"/>
      <c r="D399" s="2508"/>
      <c r="E399" s="2341"/>
      <c r="F399" s="2555"/>
      <c r="G399" s="2350"/>
      <c r="H399" s="2350"/>
      <c r="I399" s="2353"/>
      <c r="J399" s="2177"/>
      <c r="K399" s="2070"/>
      <c r="L399" s="2070"/>
      <c r="M399" s="2070"/>
      <c r="N399" s="2075"/>
      <c r="O399" s="2351"/>
    </row>
    <row r="400" spans="1:15" s="2352" customFormat="1" ht="12.75" hidden="1" customHeight="1">
      <c r="A400" s="2342"/>
      <c r="B400" s="2343"/>
      <c r="C400" s="2344"/>
      <c r="D400" s="2347"/>
      <c r="E400" s="2345"/>
      <c r="F400" s="2556"/>
      <c r="G400" s="2350"/>
      <c r="H400" s="2350"/>
      <c r="I400" s="2353"/>
      <c r="J400" s="2177"/>
      <c r="K400" s="2070"/>
      <c r="L400" s="2070"/>
      <c r="M400" s="2070"/>
      <c r="N400" s="2075"/>
      <c r="O400" s="2351"/>
    </row>
    <row r="401" spans="1:15" s="2352" customFormat="1" ht="12.95" hidden="1" customHeight="1">
      <c r="A401" s="2342"/>
      <c r="B401" s="2346"/>
      <c r="C401" s="2344"/>
      <c r="D401" s="2347"/>
      <c r="E401" s="2345"/>
      <c r="F401" s="2556"/>
      <c r="G401" s="2350"/>
      <c r="H401" s="2350"/>
      <c r="I401" s="2353"/>
      <c r="J401" s="2177"/>
      <c r="K401" s="2070"/>
      <c r="L401" s="2070"/>
      <c r="M401" s="2070"/>
      <c r="N401" s="2075"/>
      <c r="O401" s="2351"/>
    </row>
    <row r="402" spans="1:15" s="2352" customFormat="1" ht="12.95" hidden="1" customHeight="1" thickBot="1">
      <c r="A402" s="2348"/>
      <c r="B402" s="2349"/>
      <c r="C402" s="2349"/>
      <c r="D402" s="2349"/>
      <c r="E402" s="2303"/>
      <c r="F402" s="2557"/>
      <c r="G402" s="2350"/>
      <c r="H402" s="2350"/>
      <c r="I402" s="2353"/>
      <c r="J402" s="2177"/>
      <c r="K402" s="2070"/>
      <c r="L402" s="2070"/>
      <c r="M402" s="2070"/>
      <c r="N402" s="2075"/>
      <c r="O402" s="2351"/>
    </row>
    <row r="403" spans="1:15" s="2352" customFormat="1">
      <c r="A403" s="2070"/>
      <c r="B403" s="2070"/>
      <c r="C403" s="2070"/>
      <c r="D403" s="2070"/>
      <c r="E403" s="2070"/>
      <c r="F403" s="2070"/>
      <c r="G403" s="2356"/>
      <c r="H403" s="2356"/>
      <c r="I403" s="2353"/>
      <c r="J403" s="2177"/>
      <c r="K403" s="2070"/>
      <c r="L403" s="2070"/>
      <c r="M403" s="2070"/>
      <c r="N403" s="2075"/>
      <c r="O403" s="2351"/>
    </row>
    <row r="404" spans="1:15" s="2352" customFormat="1">
      <c r="A404" s="2070"/>
      <c r="B404" s="2070"/>
      <c r="C404" s="2072"/>
      <c r="D404" s="2148"/>
      <c r="E404" s="2149"/>
      <c r="F404" s="2149"/>
      <c r="G404" s="2225"/>
      <c r="H404" s="2244"/>
      <c r="I404" s="2357"/>
      <c r="K404" s="2558"/>
    </row>
    <row r="405" spans="1:15" s="2177" customFormat="1">
      <c r="A405" s="2559"/>
      <c r="B405" s="5197"/>
      <c r="C405" s="5197"/>
      <c r="D405" s="5197"/>
      <c r="E405" s="5197"/>
      <c r="F405" s="5197"/>
      <c r="G405" s="2356"/>
      <c r="H405" s="2356"/>
      <c r="I405" s="2353"/>
    </row>
    <row r="406" spans="1:15" s="2177" customFormat="1">
      <c r="B406" s="2560"/>
      <c r="C406" s="2072"/>
      <c r="D406" s="2148"/>
      <c r="E406" s="2072"/>
      <c r="F406" s="2072"/>
      <c r="G406" s="2356"/>
      <c r="H406" s="2356"/>
      <c r="I406" s="2353"/>
    </row>
    <row r="407" spans="1:15" s="2177" customFormat="1" ht="13.5" thickBot="1">
      <c r="B407" s="2561"/>
      <c r="C407" s="2178"/>
      <c r="D407" s="2179"/>
      <c r="E407" s="2178"/>
      <c r="F407" s="2178"/>
      <c r="G407" s="2356"/>
      <c r="H407" s="2356"/>
      <c r="I407" s="2353"/>
    </row>
    <row r="408" spans="1:15" s="2177" customFormat="1" ht="13.5" thickTop="1">
      <c r="A408" s="2562"/>
      <c r="B408" s="2563"/>
      <c r="C408" s="2564"/>
      <c r="D408" s="2166"/>
      <c r="E408" s="2165"/>
      <c r="F408" s="2524"/>
      <c r="G408" s="2356"/>
      <c r="H408" s="2356"/>
      <c r="I408" s="2353"/>
    </row>
    <row r="409" spans="1:15" s="2177" customFormat="1">
      <c r="A409" s="2565"/>
      <c r="B409" s="2566"/>
      <c r="C409" s="2567"/>
      <c r="D409" s="2171"/>
      <c r="E409" s="2170"/>
      <c r="F409" s="2525"/>
      <c r="G409" s="2356"/>
      <c r="H409" s="2356"/>
      <c r="I409" s="2353"/>
    </row>
    <row r="410" spans="1:15" s="2177" customFormat="1">
      <c r="A410" s="2565"/>
      <c r="B410" s="2566"/>
      <c r="C410" s="2567"/>
      <c r="D410" s="2171"/>
      <c r="E410" s="2170"/>
      <c r="F410" s="2525"/>
      <c r="G410" s="2356"/>
      <c r="H410" s="2356"/>
      <c r="I410" s="2353"/>
    </row>
    <row r="411" spans="1:15" s="2177" customFormat="1">
      <c r="A411" s="2565"/>
      <c r="B411" s="2566"/>
      <c r="C411" s="2567"/>
      <c r="D411" s="2171"/>
      <c r="E411" s="2170"/>
      <c r="F411" s="2525"/>
      <c r="G411" s="2356"/>
      <c r="H411" s="2356"/>
      <c r="I411" s="2353"/>
      <c r="J411" s="2374"/>
    </row>
    <row r="412" spans="1:15" s="2177" customFormat="1">
      <c r="A412" s="2565"/>
      <c r="B412" s="2566"/>
      <c r="C412" s="2567"/>
      <c r="D412" s="2171"/>
      <c r="E412" s="2170"/>
      <c r="F412" s="2525"/>
      <c r="G412" s="2356"/>
      <c r="H412" s="2356"/>
      <c r="I412" s="2353"/>
    </row>
    <row r="413" spans="1:15" s="2177" customFormat="1">
      <c r="A413" s="2565"/>
      <c r="B413" s="2568"/>
      <c r="C413" s="2567"/>
      <c r="D413" s="2171"/>
      <c r="E413" s="2170"/>
      <c r="F413" s="2525"/>
      <c r="G413" s="2356"/>
      <c r="H413" s="2369"/>
      <c r="I413" s="2353"/>
    </row>
    <row r="414" spans="1:15" s="2374" customFormat="1">
      <c r="A414" s="2569"/>
      <c r="B414" s="2566"/>
      <c r="C414" s="2567"/>
      <c r="D414" s="2171"/>
      <c r="E414" s="2170"/>
      <c r="F414" s="2525"/>
      <c r="G414" s="2570"/>
      <c r="H414" s="2371"/>
      <c r="I414" s="2353"/>
      <c r="J414" s="2177"/>
      <c r="K414" s="2177"/>
      <c r="L414" s="2177"/>
    </row>
    <row r="415" spans="1:15" s="2177" customFormat="1">
      <c r="A415" s="2565"/>
      <c r="B415" s="2566"/>
      <c r="C415" s="2567"/>
      <c r="D415" s="2171"/>
      <c r="E415" s="2170"/>
      <c r="F415" s="2525"/>
      <c r="G415" s="2570"/>
      <c r="H415" s="2371"/>
      <c r="I415" s="2353"/>
    </row>
    <row r="416" spans="1:15" s="2177" customFormat="1">
      <c r="A416" s="2565"/>
      <c r="B416" s="2568"/>
      <c r="C416" s="2567"/>
      <c r="D416" s="2171"/>
      <c r="E416" s="2170"/>
      <c r="F416" s="2525"/>
      <c r="G416" s="2372"/>
      <c r="H416" s="2372"/>
      <c r="I416" s="2373"/>
    </row>
    <row r="417" spans="1:12" s="2177" customFormat="1">
      <c r="A417" s="2565"/>
      <c r="B417" s="2566"/>
      <c r="C417" s="2567"/>
      <c r="D417" s="2171"/>
      <c r="E417" s="2170"/>
      <c r="F417" s="2525"/>
      <c r="G417" s="2356"/>
      <c r="H417" s="2356"/>
      <c r="I417" s="2353"/>
    </row>
    <row r="418" spans="1:12" s="2177" customFormat="1">
      <c r="A418" s="2565"/>
      <c r="B418" s="2566"/>
      <c r="C418" s="2567"/>
      <c r="D418" s="2171"/>
      <c r="E418" s="2170"/>
      <c r="F418" s="2525"/>
      <c r="G418" s="2356"/>
      <c r="H418" s="2356"/>
      <c r="I418" s="2353"/>
    </row>
    <row r="419" spans="1:12" s="2177" customFormat="1">
      <c r="A419" s="2565"/>
      <c r="B419" s="2566"/>
      <c r="C419" s="2567"/>
      <c r="D419" s="2171"/>
      <c r="E419" s="2170"/>
      <c r="F419" s="2525"/>
      <c r="G419" s="2356"/>
      <c r="H419" s="2356"/>
      <c r="I419" s="2353"/>
    </row>
    <row r="420" spans="1:12" s="2177" customFormat="1">
      <c r="A420" s="2565"/>
      <c r="B420" s="2571"/>
      <c r="C420" s="2567"/>
      <c r="D420" s="2171"/>
      <c r="E420" s="2170"/>
      <c r="F420" s="2525"/>
      <c r="G420" s="2356"/>
      <c r="H420" s="2356"/>
      <c r="I420" s="2353"/>
      <c r="L420" s="2374"/>
    </row>
    <row r="421" spans="1:12" s="2177" customFormat="1">
      <c r="A421" s="2565"/>
      <c r="B421" s="2571"/>
      <c r="C421" s="2567"/>
      <c r="D421" s="2171"/>
      <c r="E421" s="2170"/>
      <c r="F421" s="2525"/>
      <c r="G421" s="2356"/>
      <c r="H421" s="2356"/>
      <c r="I421" s="2353"/>
    </row>
    <row r="422" spans="1:12" s="2177" customFormat="1">
      <c r="A422" s="2565"/>
      <c r="B422" s="2571"/>
      <c r="C422" s="2567"/>
      <c r="D422" s="2171"/>
      <c r="E422" s="2170"/>
      <c r="F422" s="2525"/>
      <c r="G422" s="2356"/>
      <c r="H422" s="2356"/>
      <c r="I422" s="2353"/>
    </row>
    <row r="423" spans="1:12" s="2177" customFormat="1">
      <c r="A423" s="2565"/>
      <c r="B423" s="2566"/>
      <c r="C423" s="2567"/>
      <c r="D423" s="2171"/>
      <c r="E423" s="2170"/>
      <c r="F423" s="2525"/>
      <c r="G423" s="2356"/>
      <c r="H423" s="2356"/>
      <c r="I423" s="2353"/>
    </row>
    <row r="424" spans="1:12" s="2374" customFormat="1">
      <c r="A424" s="2569"/>
      <c r="B424" s="2566"/>
      <c r="C424" s="2567"/>
      <c r="D424" s="2171"/>
      <c r="E424" s="2170"/>
      <c r="F424" s="2525"/>
      <c r="G424" s="2356"/>
      <c r="H424" s="2356"/>
      <c r="I424" s="2353"/>
      <c r="J424" s="2177"/>
      <c r="K424" s="2177"/>
      <c r="L424" s="2177"/>
    </row>
    <row r="425" spans="1:12" s="2177" customFormat="1">
      <c r="A425" s="2565"/>
      <c r="B425" s="2568"/>
      <c r="C425" s="2567"/>
      <c r="D425" s="2171"/>
      <c r="E425" s="2170"/>
      <c r="F425" s="2525"/>
      <c r="G425" s="2356"/>
      <c r="H425" s="2356"/>
      <c r="I425" s="2353"/>
    </row>
    <row r="426" spans="1:12" s="2177" customFormat="1">
      <c r="A426" s="2565"/>
      <c r="B426" s="2568"/>
      <c r="C426" s="2567"/>
      <c r="D426" s="2171"/>
      <c r="E426" s="2170"/>
      <c r="F426" s="2525"/>
      <c r="G426" s="2356"/>
      <c r="H426" s="2356"/>
      <c r="I426" s="2353"/>
    </row>
    <row r="427" spans="1:12" s="2177" customFormat="1">
      <c r="A427" s="2565"/>
      <c r="B427" s="2566"/>
      <c r="C427" s="2567"/>
      <c r="D427" s="2171"/>
      <c r="E427" s="2170"/>
      <c r="F427" s="2525"/>
      <c r="G427" s="2356"/>
      <c r="H427" s="2356"/>
      <c r="I427" s="2353"/>
    </row>
    <row r="428" spans="1:12" s="2177" customFormat="1">
      <c r="A428" s="2565"/>
      <c r="B428" s="2568"/>
      <c r="C428" s="2567"/>
      <c r="D428" s="2171"/>
      <c r="E428" s="2170"/>
      <c r="F428" s="2525"/>
      <c r="G428" s="2356"/>
      <c r="H428" s="2356"/>
      <c r="I428" s="2353"/>
    </row>
    <row r="429" spans="1:12" s="2177" customFormat="1">
      <c r="A429" s="2565"/>
      <c r="B429" s="2566"/>
      <c r="C429" s="2567"/>
      <c r="D429" s="2171"/>
      <c r="E429" s="2525"/>
      <c r="F429" s="2525"/>
      <c r="G429" s="2356"/>
      <c r="H429" s="2356"/>
      <c r="I429" s="2353"/>
    </row>
    <row r="430" spans="1:12" s="2177" customFormat="1">
      <c r="A430" s="2565"/>
      <c r="B430" s="2568"/>
      <c r="C430" s="2567"/>
      <c r="D430" s="2171"/>
      <c r="E430" s="2525"/>
      <c r="F430" s="2525"/>
      <c r="G430" s="2356"/>
      <c r="H430" s="2356"/>
      <c r="I430" s="2353"/>
    </row>
    <row r="431" spans="1:12" s="2177" customFormat="1">
      <c r="A431" s="2565"/>
      <c r="B431" s="2566"/>
      <c r="C431" s="2567"/>
      <c r="D431" s="2171"/>
      <c r="E431" s="2525"/>
      <c r="F431" s="2525"/>
      <c r="G431" s="2356"/>
      <c r="H431" s="2356"/>
      <c r="I431" s="2353"/>
    </row>
    <row r="432" spans="1:12" s="2177" customFormat="1" ht="13.5" thickBot="1">
      <c r="A432" s="2173"/>
      <c r="B432" s="2572"/>
      <c r="C432" s="2175"/>
      <c r="D432" s="2573"/>
      <c r="E432" s="2574"/>
      <c r="F432" s="2575"/>
      <c r="G432" s="2356"/>
      <c r="H432" s="2356"/>
      <c r="I432" s="2353"/>
      <c r="K432" s="2374"/>
    </row>
    <row r="433" spans="1:12" s="2177" customFormat="1" ht="13.5" thickTop="1">
      <c r="B433" s="2576"/>
      <c r="C433" s="2161"/>
      <c r="D433" s="2577"/>
      <c r="E433" s="2578"/>
      <c r="F433" s="2578"/>
      <c r="G433" s="2356"/>
      <c r="H433" s="2356"/>
      <c r="I433" s="2353"/>
    </row>
    <row r="434" spans="1:12" s="2177" customFormat="1" ht="13.5" thickBot="1">
      <c r="B434" s="2561"/>
      <c r="C434" s="2178"/>
      <c r="D434" s="2179"/>
      <c r="E434" s="2178"/>
      <c r="F434" s="2178"/>
      <c r="G434" s="2356"/>
      <c r="H434" s="2356"/>
      <c r="I434" s="2353"/>
    </row>
    <row r="435" spans="1:12" s="2177" customFormat="1" ht="13.5" thickTop="1">
      <c r="A435" s="2562"/>
      <c r="B435" s="2563"/>
      <c r="C435" s="2564"/>
      <c r="D435" s="2166"/>
      <c r="E435" s="2165"/>
      <c r="F435" s="2524"/>
      <c r="G435" s="2356"/>
      <c r="H435" s="2356"/>
      <c r="I435" s="2353"/>
    </row>
    <row r="436" spans="1:12" s="2177" customFormat="1">
      <c r="A436" s="2565"/>
      <c r="B436" s="2566"/>
      <c r="C436" s="2567"/>
      <c r="D436" s="2171"/>
      <c r="E436" s="2170"/>
      <c r="F436" s="2525"/>
      <c r="G436" s="2356"/>
      <c r="H436" s="2356"/>
      <c r="I436" s="2353"/>
    </row>
    <row r="437" spans="1:12" s="2177" customFormat="1">
      <c r="A437" s="2565"/>
      <c r="B437" s="2566"/>
      <c r="C437" s="2567"/>
      <c r="D437" s="2171"/>
      <c r="E437" s="2170"/>
      <c r="F437" s="2525"/>
      <c r="G437" s="2170"/>
      <c r="H437" s="2369"/>
      <c r="I437" s="2353"/>
    </row>
    <row r="438" spans="1:12" s="2177" customFormat="1">
      <c r="A438" s="2565"/>
      <c r="B438" s="2566"/>
      <c r="C438" s="2567"/>
      <c r="D438" s="2171"/>
      <c r="E438" s="2170"/>
      <c r="F438" s="2525"/>
      <c r="G438" s="2170"/>
      <c r="H438" s="2371"/>
      <c r="I438" s="2353"/>
      <c r="J438" s="2374"/>
    </row>
    <row r="439" spans="1:12" s="2070" customFormat="1">
      <c r="A439" s="2068"/>
      <c r="B439" s="2566"/>
      <c r="C439" s="2567"/>
      <c r="D439" s="2171"/>
      <c r="E439" s="2170"/>
      <c r="F439" s="2525"/>
      <c r="G439" s="2170"/>
      <c r="H439" s="2371"/>
      <c r="I439" s="2353"/>
      <c r="J439" s="2177"/>
      <c r="K439" s="2177"/>
      <c r="L439" s="2177"/>
    </row>
    <row r="440" spans="1:12" s="2177" customFormat="1">
      <c r="A440" s="2565"/>
      <c r="B440" s="2568"/>
      <c r="C440" s="2567"/>
      <c r="D440" s="2171"/>
      <c r="E440" s="2170"/>
      <c r="F440" s="2525"/>
      <c r="G440" s="2170"/>
      <c r="H440" s="2372"/>
      <c r="I440" s="2373"/>
    </row>
    <row r="441" spans="1:12" s="2070" customFormat="1">
      <c r="A441" s="2068"/>
      <c r="B441" s="2566"/>
      <c r="C441" s="2567"/>
      <c r="D441" s="2171"/>
      <c r="E441" s="2170"/>
      <c r="F441" s="2525"/>
      <c r="G441" s="2170"/>
      <c r="H441" s="2356"/>
      <c r="I441" s="2353"/>
      <c r="J441" s="2177"/>
      <c r="K441" s="2177"/>
      <c r="L441" s="2177"/>
    </row>
    <row r="442" spans="1:12" s="2070" customFormat="1">
      <c r="A442" s="2068"/>
      <c r="B442" s="2566"/>
      <c r="C442" s="2567"/>
      <c r="D442" s="2171"/>
      <c r="E442" s="2170"/>
      <c r="F442" s="2525"/>
      <c r="G442" s="2170"/>
      <c r="H442" s="2356"/>
      <c r="I442" s="2353"/>
      <c r="J442" s="2177"/>
      <c r="K442" s="2177"/>
      <c r="L442" s="2177"/>
    </row>
    <row r="443" spans="1:12" s="2070" customFormat="1">
      <c r="A443" s="2068"/>
      <c r="B443" s="2568"/>
      <c r="C443" s="2567"/>
      <c r="D443" s="2171"/>
      <c r="E443" s="2170"/>
      <c r="F443" s="2525"/>
      <c r="G443" s="2356"/>
      <c r="H443" s="2356"/>
      <c r="I443" s="2353"/>
      <c r="J443" s="2177"/>
      <c r="K443" s="2177"/>
      <c r="L443" s="2177"/>
    </row>
    <row r="444" spans="1:12" s="2070" customFormat="1">
      <c r="A444" s="2068"/>
      <c r="B444" s="2566"/>
      <c r="C444" s="2567"/>
      <c r="D444" s="2171"/>
      <c r="E444" s="2170"/>
      <c r="F444" s="2525"/>
      <c r="G444" s="2356"/>
      <c r="H444" s="2356"/>
      <c r="I444" s="2353"/>
      <c r="J444" s="2177"/>
      <c r="K444" s="2177"/>
      <c r="L444" s="2177"/>
    </row>
    <row r="445" spans="1:12" s="2070" customFormat="1">
      <c r="A445" s="2068"/>
      <c r="B445" s="2566"/>
      <c r="C445" s="2567"/>
      <c r="D445" s="2171"/>
      <c r="E445" s="2170"/>
      <c r="F445" s="2525"/>
      <c r="G445" s="2356"/>
      <c r="H445" s="2356"/>
      <c r="I445" s="2353"/>
      <c r="J445" s="2177"/>
      <c r="K445" s="2177"/>
      <c r="L445" s="2177"/>
    </row>
    <row r="446" spans="1:12" s="2070" customFormat="1">
      <c r="A446" s="2068"/>
      <c r="B446" s="2566"/>
      <c r="C446" s="2567"/>
      <c r="D446" s="2171"/>
      <c r="E446" s="2170"/>
      <c r="F446" s="2525"/>
      <c r="G446" s="2356"/>
      <c r="H446" s="2356"/>
      <c r="I446" s="2353"/>
      <c r="J446" s="2177"/>
      <c r="K446" s="2177"/>
      <c r="L446" s="2177"/>
    </row>
    <row r="447" spans="1:12" s="2070" customFormat="1">
      <c r="A447" s="2068"/>
      <c r="B447" s="2568"/>
      <c r="C447" s="2567"/>
      <c r="D447" s="2171"/>
      <c r="E447" s="2170"/>
      <c r="F447" s="2525"/>
      <c r="G447" s="2356"/>
      <c r="H447" s="2356"/>
      <c r="I447" s="2353"/>
      <c r="J447" s="2177"/>
      <c r="K447" s="2177"/>
      <c r="L447" s="2177"/>
    </row>
    <row r="448" spans="1:12" s="2070" customFormat="1">
      <c r="A448" s="2068"/>
      <c r="B448" s="2169"/>
      <c r="C448" s="2567"/>
      <c r="D448" s="2171"/>
      <c r="E448" s="2170"/>
      <c r="F448" s="2525"/>
      <c r="G448" s="2356"/>
      <c r="H448" s="2356"/>
      <c r="I448" s="2353"/>
      <c r="J448" s="2177"/>
      <c r="K448" s="2177"/>
      <c r="L448" s="2374"/>
    </row>
    <row r="449" spans="1:12" s="2070" customFormat="1">
      <c r="A449" s="2068"/>
      <c r="B449" s="2571"/>
      <c r="C449" s="2567"/>
      <c r="D449" s="2171"/>
      <c r="E449" s="2170"/>
      <c r="F449" s="2525"/>
      <c r="G449" s="2356"/>
      <c r="H449" s="2356"/>
      <c r="I449" s="2353"/>
      <c r="J449" s="2374"/>
      <c r="K449" s="2177"/>
      <c r="L449" s="2177"/>
    </row>
    <row r="450" spans="1:12" s="2070" customFormat="1">
      <c r="A450" s="2068"/>
      <c r="B450" s="2566"/>
      <c r="C450" s="2567"/>
      <c r="D450" s="2579"/>
      <c r="E450" s="2170"/>
      <c r="F450" s="2525"/>
      <c r="G450" s="2356"/>
      <c r="H450" s="2356"/>
      <c r="I450" s="2353"/>
      <c r="J450" s="2177"/>
      <c r="K450" s="2177"/>
      <c r="L450" s="2177"/>
    </row>
    <row r="451" spans="1:12" s="2070" customFormat="1">
      <c r="A451" s="2068"/>
      <c r="B451" s="2568"/>
      <c r="C451" s="2567"/>
      <c r="D451" s="2171"/>
      <c r="E451" s="2170"/>
      <c r="F451" s="2525"/>
      <c r="G451" s="2356"/>
      <c r="H451" s="2356"/>
      <c r="I451" s="2353"/>
      <c r="J451" s="2177"/>
      <c r="K451" s="2177"/>
      <c r="L451" s="2177"/>
    </row>
    <row r="452" spans="1:12" s="2070" customFormat="1">
      <c r="A452" s="2068"/>
      <c r="B452" s="2580"/>
      <c r="C452" s="2567"/>
      <c r="D452" s="2171"/>
      <c r="E452" s="2170"/>
      <c r="F452" s="2525"/>
      <c r="G452" s="2356"/>
      <c r="H452" s="2356"/>
      <c r="I452" s="2353"/>
      <c r="J452" s="2177"/>
      <c r="K452" s="2177"/>
      <c r="L452" s="2177"/>
    </row>
    <row r="453" spans="1:12" s="2070" customFormat="1">
      <c r="A453" s="2068"/>
      <c r="B453" s="2568"/>
      <c r="C453" s="2567"/>
      <c r="D453" s="2171"/>
      <c r="E453" s="2170"/>
      <c r="F453" s="2525"/>
      <c r="G453" s="2356"/>
      <c r="H453" s="2356"/>
      <c r="I453" s="2353"/>
      <c r="J453" s="2177"/>
      <c r="K453" s="2177"/>
      <c r="L453" s="2177"/>
    </row>
    <row r="454" spans="1:12" s="2070" customFormat="1">
      <c r="A454" s="2068"/>
      <c r="B454" s="2566"/>
      <c r="C454" s="2567"/>
      <c r="D454" s="2171"/>
      <c r="E454" s="2170"/>
      <c r="F454" s="2525"/>
      <c r="G454" s="2356"/>
      <c r="H454" s="2356"/>
      <c r="I454" s="2353"/>
      <c r="J454" s="2177"/>
      <c r="K454" s="2177"/>
      <c r="L454" s="2177"/>
    </row>
    <row r="455" spans="1:12" s="2070" customFormat="1">
      <c r="A455" s="2068"/>
      <c r="B455" s="2566"/>
      <c r="C455" s="2567"/>
      <c r="D455" s="2171"/>
      <c r="E455" s="2170"/>
      <c r="F455" s="2525"/>
      <c r="G455" s="2356"/>
      <c r="H455" s="2356"/>
      <c r="I455" s="2353"/>
      <c r="J455" s="2177"/>
      <c r="K455" s="2177"/>
      <c r="L455" s="2177"/>
    </row>
    <row r="456" spans="1:12" s="2070" customFormat="1" ht="13.5" thickBot="1">
      <c r="A456" s="2099"/>
      <c r="B456" s="2572"/>
      <c r="C456" s="2175"/>
      <c r="D456" s="2573"/>
      <c r="E456" s="2574"/>
      <c r="F456" s="2575"/>
      <c r="G456" s="2356"/>
      <c r="H456" s="2356"/>
      <c r="I456" s="2353"/>
      <c r="J456" s="2177"/>
      <c r="K456" s="2177"/>
      <c r="L456" s="2177"/>
    </row>
    <row r="457" spans="1:12" s="2070" customFormat="1" ht="13.5" thickTop="1">
      <c r="B457" s="2576"/>
      <c r="C457" s="2161"/>
      <c r="D457" s="2577"/>
      <c r="E457" s="2578"/>
      <c r="F457" s="2578"/>
      <c r="G457" s="2356"/>
      <c r="H457" s="2356"/>
      <c r="I457" s="2353"/>
      <c r="J457" s="2177"/>
      <c r="K457" s="2177"/>
      <c r="L457" s="2177"/>
    </row>
    <row r="458" spans="1:12" s="2070" customFormat="1" ht="13.5" thickBot="1">
      <c r="B458" s="2561"/>
      <c r="C458" s="2178"/>
      <c r="D458" s="2179"/>
      <c r="E458" s="2178"/>
      <c r="F458" s="2178"/>
      <c r="G458" s="2356"/>
      <c r="H458" s="2356"/>
      <c r="I458" s="2353"/>
      <c r="J458" s="2177"/>
      <c r="K458" s="2177"/>
      <c r="L458" s="2177"/>
    </row>
    <row r="459" spans="1:12" s="2070" customFormat="1" ht="13.5" thickTop="1">
      <c r="A459" s="2246"/>
      <c r="B459" s="2563"/>
      <c r="C459" s="2564"/>
      <c r="D459" s="2166"/>
      <c r="E459" s="2165"/>
      <c r="F459" s="2524"/>
      <c r="G459" s="2563"/>
      <c r="H459" s="2564"/>
      <c r="I459" s="2166"/>
      <c r="J459" s="2165"/>
      <c r="K459" s="2177"/>
      <c r="L459" s="2177"/>
    </row>
    <row r="460" spans="1:12" s="2070" customFormat="1">
      <c r="A460" s="2068"/>
      <c r="B460" s="2566"/>
      <c r="C460" s="2567"/>
      <c r="D460" s="2171"/>
      <c r="E460" s="2170"/>
      <c r="F460" s="2525"/>
      <c r="G460" s="2566"/>
      <c r="H460" s="2567"/>
      <c r="I460" s="2171"/>
      <c r="J460" s="2170"/>
      <c r="K460" s="2374"/>
      <c r="L460" s="2177"/>
    </row>
    <row r="461" spans="1:12" s="2070" customFormat="1">
      <c r="A461" s="2068"/>
      <c r="B461" s="2566"/>
      <c r="C461" s="2567"/>
      <c r="D461" s="2171"/>
      <c r="E461" s="2170"/>
      <c r="F461" s="2525"/>
      <c r="G461" s="2566"/>
      <c r="H461" s="2567"/>
      <c r="I461" s="2171"/>
      <c r="J461" s="2170"/>
      <c r="K461" s="2177"/>
      <c r="L461" s="2177"/>
    </row>
    <row r="462" spans="1:12" s="2070" customFormat="1">
      <c r="A462" s="2068"/>
      <c r="B462" s="2566"/>
      <c r="C462" s="2567"/>
      <c r="D462" s="2171"/>
      <c r="E462" s="2170"/>
      <c r="F462" s="2525"/>
      <c r="G462" s="2566"/>
      <c r="H462" s="2567"/>
      <c r="I462" s="2171"/>
      <c r="J462" s="2170"/>
      <c r="K462" s="2177"/>
      <c r="L462" s="2177"/>
    </row>
    <row r="463" spans="1:12" s="2070" customFormat="1">
      <c r="A463" s="2068"/>
      <c r="B463" s="2566"/>
      <c r="C463" s="2567"/>
      <c r="D463" s="2171"/>
      <c r="E463" s="2170"/>
      <c r="F463" s="2525"/>
      <c r="G463" s="2566"/>
      <c r="H463" s="2567"/>
      <c r="I463" s="2171"/>
      <c r="J463" s="2170"/>
      <c r="K463" s="2177"/>
      <c r="L463" s="2177"/>
    </row>
    <row r="464" spans="1:12" s="2070" customFormat="1">
      <c r="A464" s="2068"/>
      <c r="B464" s="2568"/>
      <c r="C464" s="2567"/>
      <c r="D464" s="2171"/>
      <c r="E464" s="2170"/>
      <c r="F464" s="2525"/>
      <c r="G464" s="2568"/>
      <c r="H464" s="2567"/>
      <c r="I464" s="2171"/>
      <c r="J464" s="2170"/>
      <c r="K464" s="2177"/>
      <c r="L464" s="2177"/>
    </row>
    <row r="465" spans="1:12" s="2070" customFormat="1">
      <c r="A465" s="2068"/>
      <c r="B465" s="2566"/>
      <c r="C465" s="2567"/>
      <c r="D465" s="2171"/>
      <c r="E465" s="2170"/>
      <c r="F465" s="2525"/>
      <c r="G465" s="2566"/>
      <c r="H465" s="2567"/>
      <c r="I465" s="2171"/>
      <c r="J465" s="2170"/>
      <c r="K465" s="2177"/>
      <c r="L465" s="2177"/>
    </row>
    <row r="466" spans="1:12" s="2070" customFormat="1">
      <c r="A466" s="2068"/>
      <c r="B466" s="2566"/>
      <c r="C466" s="2567"/>
      <c r="D466" s="2171"/>
      <c r="E466" s="2170"/>
      <c r="F466" s="2525"/>
      <c r="G466" s="2566"/>
      <c r="H466" s="2567"/>
      <c r="I466" s="2171"/>
      <c r="J466" s="2170"/>
      <c r="K466" s="2177"/>
      <c r="L466" s="2177"/>
    </row>
    <row r="467" spans="1:12" s="2070" customFormat="1">
      <c r="A467" s="2068"/>
      <c r="B467" s="2568"/>
      <c r="C467" s="2567"/>
      <c r="D467" s="2171"/>
      <c r="E467" s="2170"/>
      <c r="F467" s="2525"/>
      <c r="G467" s="2568"/>
      <c r="H467" s="2567"/>
      <c r="I467" s="2171"/>
      <c r="J467" s="2170"/>
      <c r="K467" s="2177"/>
      <c r="L467" s="2177"/>
    </row>
    <row r="468" spans="1:12" s="2070" customFormat="1">
      <c r="A468" s="2068"/>
      <c r="B468" s="2566"/>
      <c r="C468" s="2567"/>
      <c r="D468" s="2171"/>
      <c r="E468" s="2170"/>
      <c r="F468" s="2525"/>
      <c r="G468" s="2566"/>
      <c r="H468" s="2567"/>
      <c r="I468" s="2171"/>
      <c r="J468" s="2170"/>
      <c r="K468" s="2177"/>
      <c r="L468" s="2177"/>
    </row>
    <row r="469" spans="1:12" s="2070" customFormat="1">
      <c r="A469" s="2068"/>
      <c r="B469" s="2566"/>
      <c r="C469" s="2567"/>
      <c r="D469" s="2171"/>
      <c r="E469" s="2170"/>
      <c r="F469" s="2525"/>
      <c r="G469" s="2356"/>
      <c r="H469" s="2356"/>
      <c r="I469" s="2353"/>
      <c r="J469" s="2177"/>
      <c r="K469" s="2177"/>
      <c r="L469" s="2177"/>
    </row>
    <row r="470" spans="1:12" s="2070" customFormat="1">
      <c r="A470" s="2068"/>
      <c r="B470" s="2568"/>
      <c r="C470" s="2567"/>
      <c r="D470" s="2171"/>
      <c r="E470" s="2170"/>
      <c r="F470" s="2525"/>
      <c r="G470" s="2356"/>
      <c r="H470" s="2356"/>
      <c r="I470" s="2353"/>
      <c r="J470" s="2177"/>
      <c r="K470" s="2177"/>
      <c r="L470" s="2177"/>
    </row>
    <row r="471" spans="1:12" s="2070" customFormat="1">
      <c r="A471" s="2068"/>
      <c r="B471" s="2169"/>
      <c r="C471" s="2567"/>
      <c r="D471" s="2171"/>
      <c r="E471" s="2170"/>
      <c r="F471" s="2525"/>
      <c r="G471" s="2356"/>
      <c r="H471" s="2356"/>
      <c r="I471" s="2353"/>
      <c r="J471" s="2177"/>
      <c r="K471" s="2177"/>
      <c r="L471" s="2177"/>
    </row>
    <row r="472" spans="1:12" s="2070" customFormat="1">
      <c r="A472" s="2068"/>
      <c r="B472" s="2169"/>
      <c r="C472" s="2567"/>
      <c r="D472" s="2171"/>
      <c r="E472" s="2170"/>
      <c r="F472" s="2525"/>
      <c r="G472" s="2356"/>
      <c r="H472" s="2356"/>
      <c r="I472" s="2353"/>
      <c r="J472" s="2177"/>
      <c r="K472" s="2177"/>
      <c r="L472" s="2177"/>
    </row>
    <row r="473" spans="1:12" s="2070" customFormat="1">
      <c r="A473" s="2068"/>
      <c r="B473" s="2571"/>
      <c r="C473" s="2567"/>
      <c r="D473" s="2171"/>
      <c r="E473" s="2170"/>
      <c r="F473" s="2525"/>
      <c r="G473" s="2356"/>
      <c r="H473" s="2356"/>
      <c r="I473" s="2353"/>
      <c r="J473" s="2177"/>
      <c r="K473" s="2177"/>
      <c r="L473" s="2177"/>
    </row>
    <row r="474" spans="1:12" s="2070" customFormat="1">
      <c r="A474" s="2068"/>
      <c r="B474" s="2566"/>
      <c r="C474" s="2567"/>
      <c r="D474" s="2171"/>
      <c r="E474" s="2170"/>
      <c r="F474" s="2525"/>
      <c r="G474" s="2356"/>
      <c r="H474" s="2356"/>
      <c r="I474" s="2353"/>
      <c r="J474" s="2177"/>
      <c r="K474" s="2177"/>
      <c r="L474" s="2177"/>
    </row>
    <row r="475" spans="1:12" s="2070" customFormat="1">
      <c r="A475" s="2068"/>
      <c r="B475" s="2566"/>
      <c r="C475" s="2567"/>
      <c r="D475" s="2171"/>
      <c r="E475" s="2170"/>
      <c r="F475" s="2525"/>
      <c r="G475" s="2356"/>
      <c r="H475" s="2369"/>
      <c r="I475" s="2353"/>
      <c r="J475" s="2177"/>
      <c r="K475" s="2177"/>
      <c r="L475" s="2374"/>
    </row>
    <row r="476" spans="1:12" s="2070" customFormat="1">
      <c r="A476" s="2068"/>
      <c r="B476" s="2568"/>
      <c r="C476" s="2567"/>
      <c r="D476" s="2171"/>
      <c r="E476" s="2170"/>
      <c r="F476" s="2525"/>
      <c r="G476" s="2570"/>
      <c r="H476" s="2371"/>
      <c r="I476" s="2353"/>
      <c r="J476" s="2177"/>
      <c r="K476" s="2177"/>
      <c r="L476" s="2177"/>
    </row>
    <row r="477" spans="1:12" s="2070" customFormat="1">
      <c r="A477" s="2068"/>
      <c r="B477" s="2568"/>
      <c r="C477" s="2567"/>
      <c r="D477" s="2171"/>
      <c r="E477" s="2170"/>
      <c r="F477" s="2525"/>
      <c r="G477" s="2570"/>
      <c r="H477" s="2371"/>
      <c r="I477" s="2353"/>
      <c r="J477" s="2374"/>
      <c r="K477" s="2177"/>
      <c r="L477" s="2177"/>
    </row>
    <row r="478" spans="1:12" s="2070" customFormat="1">
      <c r="A478" s="2068"/>
      <c r="B478" s="2566"/>
      <c r="C478" s="2567"/>
      <c r="D478" s="2579"/>
      <c r="E478" s="2170"/>
      <c r="F478" s="2525"/>
      <c r="G478" s="2372"/>
      <c r="H478" s="2372"/>
      <c r="I478" s="2373"/>
      <c r="J478" s="2177"/>
      <c r="K478" s="2177"/>
      <c r="L478" s="2177"/>
    </row>
    <row r="479" spans="1:12" s="2070" customFormat="1">
      <c r="A479" s="2068"/>
      <c r="B479" s="2568"/>
      <c r="C479" s="2567"/>
      <c r="D479" s="2171"/>
      <c r="E479" s="2170"/>
      <c r="F479" s="2525"/>
      <c r="G479" s="2356"/>
      <c r="H479" s="2356"/>
      <c r="I479" s="2353"/>
      <c r="J479" s="2177"/>
      <c r="K479" s="2177"/>
      <c r="L479" s="2177"/>
    </row>
    <row r="480" spans="1:12" s="2070" customFormat="1">
      <c r="A480" s="2068"/>
      <c r="B480" s="2580"/>
      <c r="C480" s="2567"/>
      <c r="D480" s="2171"/>
      <c r="E480" s="2170"/>
      <c r="F480" s="2525"/>
      <c r="G480" s="2356"/>
      <c r="H480" s="2356"/>
      <c r="I480" s="2353"/>
      <c r="J480" s="2177"/>
      <c r="K480" s="2177"/>
      <c r="L480" s="2177"/>
    </row>
    <row r="481" spans="1:12" s="2070" customFormat="1">
      <c r="A481" s="2068"/>
      <c r="B481" s="2568"/>
      <c r="C481" s="2567"/>
      <c r="D481" s="2171"/>
      <c r="E481" s="2170"/>
      <c r="F481" s="2525"/>
      <c r="G481" s="2356"/>
      <c r="H481" s="2356"/>
      <c r="I481" s="2353"/>
      <c r="J481" s="2177"/>
      <c r="K481" s="2177"/>
      <c r="L481" s="2177"/>
    </row>
    <row r="482" spans="1:12" s="2070" customFormat="1">
      <c r="A482" s="2068"/>
      <c r="B482" s="2566"/>
      <c r="C482" s="2567"/>
      <c r="D482" s="2171"/>
      <c r="E482" s="2170"/>
      <c r="F482" s="2525"/>
      <c r="G482" s="2356"/>
      <c r="H482" s="2356"/>
      <c r="I482" s="2353"/>
      <c r="J482" s="2177"/>
      <c r="K482" s="2177"/>
      <c r="L482" s="2177"/>
    </row>
    <row r="483" spans="1:12" s="2070" customFormat="1" ht="13.5" thickBot="1">
      <c r="A483" s="2099"/>
      <c r="B483" s="2572"/>
      <c r="C483" s="2175"/>
      <c r="D483" s="2573"/>
      <c r="E483" s="2574"/>
      <c r="F483" s="2575"/>
      <c r="G483" s="2356"/>
      <c r="H483" s="2356"/>
      <c r="I483" s="2353"/>
      <c r="J483" s="2177"/>
      <c r="K483" s="2177"/>
      <c r="L483" s="2177"/>
    </row>
    <row r="484" spans="1:12" s="2070" customFormat="1" ht="13.5" thickTop="1">
      <c r="B484" s="2576"/>
      <c r="C484" s="2161"/>
      <c r="D484" s="2577"/>
      <c r="E484" s="2578"/>
      <c r="F484" s="2578"/>
      <c r="G484" s="2356"/>
      <c r="H484" s="2356"/>
      <c r="I484" s="2353"/>
      <c r="J484" s="2177"/>
      <c r="K484" s="2177"/>
      <c r="L484" s="2177"/>
    </row>
    <row r="485" spans="1:12" s="2070" customFormat="1" ht="13.5" thickBot="1">
      <c r="B485" s="2561"/>
      <c r="C485" s="2178"/>
      <c r="D485" s="2179"/>
      <c r="E485" s="2178"/>
      <c r="F485" s="2178"/>
      <c r="G485" s="2356"/>
      <c r="H485" s="2356"/>
      <c r="I485" s="2353"/>
      <c r="J485" s="2177"/>
      <c r="K485" s="2177"/>
      <c r="L485" s="2177"/>
    </row>
    <row r="486" spans="1:12" s="2070" customFormat="1" ht="13.5" thickTop="1">
      <c r="A486" s="2246"/>
      <c r="B486" s="2563"/>
      <c r="C486" s="2564"/>
      <c r="D486" s="2166"/>
      <c r="E486" s="2165"/>
      <c r="F486" s="2524"/>
      <c r="G486" s="2356"/>
      <c r="H486" s="2356"/>
      <c r="I486" s="2353"/>
      <c r="J486" s="2177"/>
      <c r="K486" s="2177"/>
      <c r="L486" s="2177"/>
    </row>
    <row r="487" spans="1:12" s="2070" customFormat="1">
      <c r="A487" s="2068"/>
      <c r="B487" s="2566"/>
      <c r="C487" s="2567"/>
      <c r="D487" s="2171"/>
      <c r="E487" s="2170"/>
      <c r="F487" s="2525"/>
      <c r="G487" s="2356"/>
      <c r="H487" s="2356"/>
      <c r="I487" s="2353"/>
      <c r="J487" s="2177"/>
      <c r="K487" s="2374"/>
      <c r="L487" s="2374"/>
    </row>
    <row r="488" spans="1:12" s="2070" customFormat="1">
      <c r="A488" s="2068"/>
      <c r="B488" s="2566"/>
      <c r="C488" s="2567"/>
      <c r="D488" s="2171"/>
      <c r="E488" s="2170"/>
      <c r="F488" s="2525"/>
      <c r="G488" s="2356"/>
      <c r="H488" s="2356"/>
      <c r="I488" s="2353"/>
      <c r="J488" s="2177"/>
      <c r="K488" s="2177"/>
      <c r="L488" s="2177"/>
    </row>
    <row r="489" spans="1:12" s="2070" customFormat="1">
      <c r="A489" s="2068"/>
      <c r="B489" s="2566"/>
      <c r="C489" s="2567"/>
      <c r="D489" s="2171"/>
      <c r="E489" s="2170"/>
      <c r="F489" s="2525"/>
      <c r="G489" s="2356"/>
      <c r="H489" s="2356"/>
      <c r="I489" s="2353"/>
      <c r="J489" s="2177"/>
      <c r="K489" s="2177"/>
      <c r="L489" s="2177"/>
    </row>
    <row r="490" spans="1:12" s="2070" customFormat="1">
      <c r="A490" s="2068"/>
      <c r="B490" s="2566"/>
      <c r="C490" s="2567"/>
      <c r="D490" s="2171"/>
      <c r="E490" s="2170"/>
      <c r="F490" s="2525"/>
      <c r="G490" s="2356"/>
      <c r="H490" s="2356"/>
      <c r="I490" s="2353"/>
      <c r="J490" s="2177"/>
      <c r="K490" s="2177"/>
      <c r="L490" s="2177"/>
    </row>
    <row r="491" spans="1:12" s="2070" customFormat="1">
      <c r="A491" s="2068"/>
      <c r="B491" s="2566"/>
      <c r="C491" s="2567"/>
      <c r="D491" s="2171"/>
      <c r="E491" s="2170"/>
      <c r="F491" s="2525"/>
      <c r="G491" s="2356"/>
      <c r="H491" s="2356"/>
      <c r="I491" s="2353"/>
      <c r="J491" s="2177"/>
      <c r="K491" s="2177"/>
      <c r="L491" s="2177"/>
    </row>
    <row r="492" spans="1:12" s="2070" customFormat="1">
      <c r="A492" s="2068"/>
      <c r="B492" s="2566"/>
      <c r="C492" s="2567"/>
      <c r="D492" s="2171"/>
      <c r="E492" s="2170"/>
      <c r="F492" s="2525"/>
      <c r="G492" s="2356"/>
      <c r="H492" s="2356"/>
      <c r="I492" s="2353"/>
      <c r="J492" s="2177"/>
      <c r="K492" s="2177"/>
      <c r="L492" s="2177"/>
    </row>
    <row r="493" spans="1:12" s="2070" customFormat="1">
      <c r="A493" s="2068"/>
      <c r="B493" s="2566"/>
      <c r="C493" s="2567"/>
      <c r="D493" s="2171"/>
      <c r="E493" s="2170"/>
      <c r="F493" s="2525"/>
      <c r="G493" s="2356"/>
      <c r="H493" s="2356"/>
      <c r="I493" s="2353"/>
      <c r="J493" s="2177"/>
      <c r="K493" s="2177"/>
      <c r="L493" s="2177"/>
    </row>
    <row r="494" spans="1:12" s="2070" customFormat="1" ht="13.5" thickBot="1">
      <c r="A494" s="2099"/>
      <c r="B494" s="2174"/>
      <c r="C494" s="2175"/>
      <c r="D494" s="2176"/>
      <c r="E494" s="2574"/>
      <c r="F494" s="2575"/>
      <c r="G494" s="2356"/>
      <c r="H494" s="2356"/>
      <c r="I494" s="2353"/>
      <c r="J494" s="2177"/>
      <c r="K494" s="2177"/>
      <c r="L494" s="2177"/>
    </row>
    <row r="495" spans="1:12" s="2070" customFormat="1" ht="13.5" thickTop="1">
      <c r="B495" s="2177"/>
      <c r="C495" s="2161"/>
      <c r="D495" s="2162"/>
      <c r="E495" s="2578"/>
      <c r="F495" s="2578"/>
      <c r="G495" s="2356"/>
      <c r="H495" s="2356"/>
      <c r="I495" s="2353"/>
      <c r="J495" s="2177"/>
      <c r="K495" s="2177"/>
      <c r="L495" s="2177"/>
    </row>
    <row r="496" spans="1:12" s="2070" customFormat="1" ht="13.5" thickBot="1">
      <c r="B496" s="2561"/>
      <c r="C496" s="2178"/>
      <c r="D496" s="2179"/>
      <c r="E496" s="2178"/>
      <c r="F496" s="2178"/>
      <c r="G496" s="2356"/>
      <c r="H496" s="2356"/>
      <c r="I496" s="2353"/>
      <c r="J496" s="2177"/>
      <c r="K496" s="2177"/>
      <c r="L496" s="2177"/>
    </row>
    <row r="497" spans="1:12" s="2070" customFormat="1" ht="13.5" thickTop="1">
      <c r="A497" s="2246"/>
      <c r="B497" s="2563"/>
      <c r="C497" s="2564"/>
      <c r="D497" s="2166"/>
      <c r="E497" s="2165"/>
      <c r="F497" s="2524"/>
      <c r="G497" s="2356"/>
      <c r="H497" s="2356"/>
      <c r="I497" s="2353"/>
      <c r="J497" s="2177"/>
      <c r="K497" s="2177"/>
      <c r="L497" s="2374"/>
    </row>
    <row r="498" spans="1:12" s="2070" customFormat="1">
      <c r="A498" s="2068"/>
      <c r="B498" s="2566"/>
      <c r="C498" s="2567"/>
      <c r="D498" s="2171"/>
      <c r="E498" s="2170"/>
      <c r="F498" s="2525"/>
      <c r="G498" s="2356"/>
      <c r="H498" s="2356"/>
      <c r="I498" s="2353"/>
      <c r="J498" s="2177"/>
      <c r="K498" s="2177"/>
      <c r="L498" s="2177"/>
    </row>
    <row r="499" spans="1:12" s="2070" customFormat="1">
      <c r="A499" s="2068"/>
      <c r="B499" s="2566"/>
      <c r="C499" s="2567"/>
      <c r="D499" s="2171"/>
      <c r="E499" s="2170"/>
      <c r="F499" s="2525"/>
      <c r="G499" s="2356"/>
      <c r="H499" s="2356"/>
      <c r="I499" s="2353"/>
      <c r="J499" s="2177"/>
      <c r="K499" s="2374"/>
      <c r="L499" s="2177"/>
    </row>
    <row r="500" spans="1:12" s="2070" customFormat="1">
      <c r="A500" s="2068"/>
      <c r="B500" s="2566"/>
      <c r="C500" s="2567"/>
      <c r="D500" s="2171"/>
      <c r="E500" s="2170"/>
      <c r="F500" s="2525"/>
      <c r="G500" s="2356"/>
      <c r="H500" s="2356"/>
      <c r="I500" s="2353"/>
      <c r="J500" s="2177"/>
      <c r="K500" s="2177"/>
      <c r="L500" s="2177"/>
    </row>
    <row r="501" spans="1:12" s="2070" customFormat="1">
      <c r="A501" s="2068"/>
      <c r="B501" s="2566"/>
      <c r="C501" s="2567"/>
      <c r="D501" s="2171"/>
      <c r="E501" s="2170"/>
      <c r="F501" s="2525"/>
      <c r="G501" s="2356"/>
      <c r="H501" s="2356"/>
      <c r="I501" s="2353"/>
      <c r="J501" s="2177"/>
      <c r="K501" s="2177"/>
      <c r="L501" s="2177"/>
    </row>
    <row r="502" spans="1:12" s="2070" customFormat="1">
      <c r="A502" s="2068"/>
      <c r="B502" s="2568"/>
      <c r="C502" s="2567"/>
      <c r="D502" s="2171"/>
      <c r="E502" s="2170"/>
      <c r="F502" s="2525"/>
      <c r="G502" s="2356"/>
      <c r="H502" s="2356"/>
      <c r="I502" s="2353"/>
      <c r="J502" s="2177"/>
      <c r="K502" s="2177"/>
      <c r="L502" s="2177"/>
    </row>
    <row r="503" spans="1:12" s="2070" customFormat="1">
      <c r="A503" s="2068"/>
      <c r="B503" s="2566"/>
      <c r="C503" s="2567"/>
      <c r="D503" s="2171"/>
      <c r="E503" s="2170"/>
      <c r="F503" s="2525"/>
      <c r="G503" s="2356"/>
      <c r="H503" s="2356"/>
      <c r="I503" s="2353"/>
      <c r="J503" s="2177"/>
      <c r="K503" s="2177"/>
      <c r="L503" s="2177"/>
    </row>
    <row r="504" spans="1:12" s="2070" customFormat="1">
      <c r="A504" s="2068"/>
      <c r="B504" s="2566"/>
      <c r="C504" s="2567"/>
      <c r="D504" s="2171"/>
      <c r="E504" s="2170"/>
      <c r="F504" s="2525"/>
      <c r="G504" s="2356"/>
      <c r="H504" s="2369"/>
      <c r="I504" s="2353"/>
      <c r="J504" s="2177"/>
      <c r="K504" s="2177"/>
      <c r="L504" s="2177"/>
    </row>
    <row r="505" spans="1:12" s="2070" customFormat="1">
      <c r="A505" s="2068"/>
      <c r="B505" s="2568"/>
      <c r="C505" s="2567"/>
      <c r="D505" s="2171"/>
      <c r="E505" s="2170"/>
      <c r="F505" s="2525"/>
      <c r="G505" s="2570"/>
      <c r="H505" s="2371"/>
      <c r="I505" s="2353"/>
      <c r="J505" s="2177"/>
      <c r="K505" s="2177"/>
      <c r="L505" s="2177"/>
    </row>
    <row r="506" spans="1:12" s="2070" customFormat="1">
      <c r="A506" s="2068"/>
      <c r="B506" s="2566"/>
      <c r="C506" s="2567"/>
      <c r="D506" s="2171"/>
      <c r="E506" s="2170"/>
      <c r="F506" s="2525"/>
      <c r="G506" s="2570"/>
      <c r="H506" s="2371"/>
      <c r="I506" s="2353"/>
      <c r="J506" s="2177"/>
      <c r="K506" s="2177"/>
      <c r="L506" s="2177"/>
    </row>
    <row r="507" spans="1:12" s="2070" customFormat="1">
      <c r="A507" s="2068"/>
      <c r="B507" s="2566"/>
      <c r="C507" s="2567"/>
      <c r="D507" s="2171"/>
      <c r="E507" s="2170"/>
      <c r="F507" s="2525"/>
      <c r="G507" s="2372"/>
      <c r="H507" s="2372"/>
      <c r="I507" s="2373"/>
      <c r="J507" s="2374"/>
      <c r="K507" s="2177"/>
      <c r="L507" s="2177"/>
    </row>
    <row r="508" spans="1:12" s="2070" customFormat="1">
      <c r="A508" s="2068"/>
      <c r="B508" s="2568"/>
      <c r="C508" s="2567"/>
      <c r="D508" s="2171"/>
      <c r="E508" s="2170"/>
      <c r="F508" s="2525"/>
      <c r="G508" s="2356"/>
      <c r="H508" s="2356"/>
      <c r="I508" s="2353"/>
      <c r="J508" s="2177"/>
      <c r="K508" s="2177"/>
      <c r="L508" s="2177"/>
    </row>
    <row r="509" spans="1:12" s="2070" customFormat="1">
      <c r="A509" s="2068"/>
      <c r="B509" s="2169"/>
      <c r="C509" s="2567"/>
      <c r="D509" s="2171"/>
      <c r="E509" s="2170"/>
      <c r="F509" s="2525"/>
      <c r="G509" s="2356"/>
      <c r="H509" s="2356"/>
      <c r="I509" s="2353"/>
      <c r="J509" s="2177"/>
      <c r="K509" s="2374"/>
      <c r="L509" s="2177"/>
    </row>
    <row r="510" spans="1:12" s="2070" customFormat="1">
      <c r="A510" s="2068"/>
      <c r="B510" s="2169"/>
      <c r="C510" s="2567"/>
      <c r="D510" s="2171"/>
      <c r="E510" s="2170"/>
      <c r="F510" s="2525"/>
      <c r="G510" s="2356"/>
      <c r="H510" s="2356"/>
      <c r="I510" s="2353"/>
      <c r="J510" s="2177"/>
      <c r="K510" s="2177"/>
      <c r="L510" s="2177"/>
    </row>
    <row r="511" spans="1:12" s="2070" customFormat="1">
      <c r="A511" s="2068"/>
      <c r="B511" s="2169"/>
      <c r="C511" s="2567"/>
      <c r="D511" s="2171"/>
      <c r="E511" s="2170"/>
      <c r="F511" s="2525"/>
      <c r="G511" s="2356"/>
      <c r="H511" s="2356"/>
      <c r="I511" s="2353"/>
      <c r="J511" s="2177"/>
      <c r="K511" s="2177"/>
      <c r="L511" s="2177"/>
    </row>
    <row r="512" spans="1:12" s="2070" customFormat="1">
      <c r="A512" s="2068"/>
      <c r="B512" s="2169"/>
      <c r="C512" s="2567"/>
      <c r="D512" s="2171"/>
      <c r="E512" s="2170"/>
      <c r="F512" s="2525"/>
      <c r="G512" s="2356"/>
      <c r="H512" s="2356"/>
      <c r="I512" s="2353"/>
      <c r="J512" s="2177"/>
      <c r="K512" s="2177"/>
    </row>
    <row r="513" spans="1:12" s="2070" customFormat="1">
      <c r="A513" s="2068"/>
      <c r="B513" s="2571"/>
      <c r="C513" s="2567"/>
      <c r="D513" s="2171"/>
      <c r="E513" s="2170"/>
      <c r="F513" s="2525"/>
      <c r="G513" s="2356"/>
      <c r="H513" s="2356"/>
      <c r="I513" s="2353"/>
      <c r="J513" s="2177"/>
      <c r="K513" s="2177"/>
      <c r="L513" s="2177"/>
    </row>
    <row r="514" spans="1:12" s="2070" customFormat="1">
      <c r="A514" s="2068"/>
      <c r="B514" s="2566"/>
      <c r="C514" s="2567"/>
      <c r="D514" s="2171"/>
      <c r="E514" s="2170"/>
      <c r="F514" s="2525"/>
      <c r="G514" s="2356"/>
      <c r="H514" s="2356"/>
      <c r="I514" s="2353"/>
      <c r="J514" s="2177"/>
      <c r="K514" s="2177"/>
    </row>
    <row r="515" spans="1:12" s="2070" customFormat="1">
      <c r="A515" s="2068"/>
      <c r="B515" s="2566"/>
      <c r="C515" s="2567"/>
      <c r="D515" s="2171"/>
      <c r="E515" s="2170"/>
      <c r="F515" s="2525"/>
      <c r="G515" s="2356"/>
      <c r="H515" s="2356"/>
      <c r="I515" s="2353"/>
      <c r="J515" s="2177"/>
      <c r="K515" s="2177"/>
    </row>
    <row r="516" spans="1:12" s="2070" customFormat="1">
      <c r="A516" s="2068"/>
      <c r="B516" s="2568"/>
      <c r="C516" s="2567"/>
      <c r="D516" s="2171"/>
      <c r="E516" s="2170"/>
      <c r="F516" s="2525"/>
      <c r="G516" s="2356"/>
      <c r="H516" s="2356"/>
      <c r="I516" s="2353"/>
      <c r="J516" s="2177"/>
      <c r="K516" s="2177"/>
    </row>
    <row r="517" spans="1:12" s="2070" customFormat="1">
      <c r="A517" s="2068"/>
      <c r="B517" s="2568"/>
      <c r="C517" s="2567"/>
      <c r="D517" s="2171"/>
      <c r="E517" s="2170"/>
      <c r="F517" s="2525"/>
      <c r="G517" s="2356"/>
      <c r="H517" s="2356"/>
      <c r="I517" s="2353"/>
      <c r="J517" s="2177"/>
      <c r="K517" s="2177"/>
    </row>
    <row r="518" spans="1:12" s="2070" customFormat="1">
      <c r="A518" s="2068"/>
      <c r="B518" s="2566"/>
      <c r="C518" s="2567"/>
      <c r="D518" s="2579"/>
      <c r="E518" s="2170"/>
      <c r="F518" s="2525"/>
      <c r="G518" s="2356"/>
      <c r="H518" s="2356"/>
      <c r="I518" s="2353"/>
      <c r="J518" s="2177"/>
      <c r="K518" s="2177"/>
    </row>
    <row r="519" spans="1:12" s="2070" customFormat="1">
      <c r="A519" s="2068"/>
      <c r="B519" s="2568"/>
      <c r="C519" s="2567"/>
      <c r="D519" s="2171"/>
      <c r="E519" s="2170"/>
      <c r="F519" s="2525"/>
      <c r="G519" s="2356"/>
      <c r="H519" s="2356"/>
      <c r="I519" s="2353"/>
      <c r="J519" s="2177"/>
      <c r="K519" s="2177"/>
    </row>
    <row r="520" spans="1:12" s="2070" customFormat="1">
      <c r="A520" s="2068"/>
      <c r="B520" s="2580"/>
      <c r="C520" s="2567"/>
      <c r="D520" s="2171"/>
      <c r="E520" s="2170"/>
      <c r="F520" s="2525"/>
      <c r="G520" s="2356"/>
      <c r="H520" s="2356"/>
      <c r="I520" s="2353"/>
      <c r="J520" s="2177"/>
      <c r="K520" s="2177"/>
    </row>
    <row r="521" spans="1:12" s="2070" customFormat="1">
      <c r="A521" s="2068"/>
      <c r="B521" s="2568"/>
      <c r="C521" s="2567"/>
      <c r="D521" s="2171"/>
      <c r="E521" s="2170"/>
      <c r="F521" s="2525"/>
      <c r="G521" s="2356"/>
      <c r="H521" s="2356"/>
      <c r="I521" s="2353"/>
      <c r="J521" s="2177"/>
      <c r="K521" s="2177"/>
    </row>
    <row r="522" spans="1:12" s="2070" customFormat="1">
      <c r="A522" s="2068"/>
      <c r="B522" s="2566"/>
      <c r="C522" s="2567"/>
      <c r="D522" s="2171"/>
      <c r="E522" s="2170"/>
      <c r="F522" s="2525"/>
      <c r="G522" s="2356"/>
      <c r="H522" s="2356"/>
      <c r="I522" s="2353"/>
      <c r="J522" s="2177"/>
      <c r="K522" s="2177"/>
    </row>
    <row r="523" spans="1:12" s="2070" customFormat="1" ht="13.5" thickBot="1">
      <c r="A523" s="2099"/>
      <c r="B523" s="2572"/>
      <c r="C523" s="2175"/>
      <c r="D523" s="2573"/>
      <c r="E523" s="2574"/>
      <c r="F523" s="2575"/>
      <c r="G523" s="2356"/>
      <c r="H523" s="2356"/>
      <c r="I523" s="2353"/>
      <c r="J523" s="2177"/>
      <c r="K523" s="2177"/>
    </row>
    <row r="524" spans="1:12" s="2070" customFormat="1" ht="13.5" thickTop="1">
      <c r="B524" s="2576"/>
      <c r="C524" s="2161"/>
      <c r="D524" s="2577"/>
      <c r="E524" s="2578"/>
      <c r="F524" s="2578"/>
      <c r="G524" s="2356"/>
      <c r="H524" s="2356"/>
      <c r="I524" s="2353"/>
      <c r="J524" s="2177"/>
    </row>
    <row r="525" spans="1:12" s="2070" customFormat="1" ht="13.5" thickBot="1">
      <c r="B525" s="2561"/>
      <c r="C525" s="2178"/>
      <c r="D525" s="2179"/>
      <c r="E525" s="2178"/>
      <c r="F525" s="2178"/>
      <c r="G525" s="2356"/>
      <c r="H525" s="2356"/>
      <c r="I525" s="2353"/>
      <c r="J525" s="2177"/>
      <c r="K525" s="2177"/>
    </row>
    <row r="526" spans="1:12" s="2070" customFormat="1" ht="13.5" thickTop="1">
      <c r="A526" s="2246"/>
      <c r="B526" s="2563"/>
      <c r="C526" s="2564"/>
      <c r="D526" s="2166"/>
      <c r="E526" s="2165"/>
      <c r="F526" s="2524"/>
      <c r="G526" s="2356"/>
      <c r="H526" s="2356"/>
      <c r="I526" s="2353"/>
      <c r="J526" s="2177"/>
    </row>
    <row r="527" spans="1:12" s="2070" customFormat="1">
      <c r="A527" s="2068"/>
      <c r="B527" s="2566"/>
      <c r="C527" s="2567"/>
      <c r="D527" s="2171"/>
      <c r="E527" s="2170"/>
      <c r="F527" s="2525"/>
      <c r="G527" s="2356"/>
      <c r="H527" s="2356"/>
      <c r="I527" s="2353"/>
      <c r="J527" s="2177"/>
    </row>
    <row r="528" spans="1:12" s="2070" customFormat="1">
      <c r="A528" s="2068"/>
      <c r="B528" s="2566"/>
      <c r="C528" s="2567"/>
      <c r="D528" s="2171"/>
      <c r="E528" s="2170"/>
      <c r="F528" s="2525"/>
      <c r="G528" s="2356"/>
      <c r="H528" s="2356"/>
      <c r="I528" s="2353"/>
      <c r="J528" s="2177"/>
    </row>
    <row r="529" spans="1:10" s="2070" customFormat="1">
      <c r="A529" s="2068"/>
      <c r="B529" s="2566"/>
      <c r="C529" s="2567"/>
      <c r="D529" s="2171"/>
      <c r="E529" s="2170"/>
      <c r="F529" s="2525"/>
      <c r="G529" s="2356"/>
      <c r="H529" s="2356"/>
      <c r="I529" s="2353"/>
      <c r="J529" s="2177"/>
    </row>
    <row r="530" spans="1:10" s="2070" customFormat="1">
      <c r="A530" s="2068"/>
      <c r="B530" s="2566"/>
      <c r="C530" s="2567"/>
      <c r="D530" s="2171"/>
      <c r="E530" s="2170"/>
      <c r="F530" s="2525"/>
      <c r="G530" s="2356"/>
      <c r="H530" s="2356"/>
      <c r="I530" s="2353"/>
      <c r="J530" s="2177"/>
    </row>
    <row r="531" spans="1:10" s="2070" customFormat="1">
      <c r="A531" s="2068"/>
      <c r="B531" s="2568"/>
      <c r="C531" s="2567"/>
      <c r="D531" s="2171"/>
      <c r="E531" s="2170"/>
      <c r="F531" s="2525"/>
      <c r="G531" s="2356"/>
      <c r="H531" s="2356"/>
      <c r="I531" s="2353"/>
      <c r="J531" s="2177"/>
    </row>
    <row r="532" spans="1:10" s="2070" customFormat="1">
      <c r="A532" s="2068"/>
      <c r="B532" s="2566"/>
      <c r="C532" s="2567"/>
      <c r="D532" s="2171"/>
      <c r="E532" s="2170"/>
      <c r="F532" s="2525"/>
      <c r="G532" s="2356"/>
      <c r="H532" s="2356"/>
      <c r="I532" s="2353"/>
      <c r="J532" s="2177"/>
    </row>
    <row r="533" spans="1:10" s="2070" customFormat="1">
      <c r="A533" s="2068"/>
      <c r="B533" s="2566"/>
      <c r="C533" s="2567"/>
      <c r="D533" s="2171"/>
      <c r="E533" s="2170"/>
      <c r="F533" s="2525"/>
      <c r="G533" s="2356"/>
      <c r="H533" s="2369"/>
      <c r="I533" s="2353"/>
      <c r="J533" s="2374"/>
    </row>
    <row r="534" spans="1:10" s="2070" customFormat="1">
      <c r="A534" s="2068"/>
      <c r="B534" s="2568"/>
      <c r="C534" s="2567"/>
      <c r="D534" s="2171"/>
      <c r="E534" s="2170"/>
      <c r="F534" s="2525"/>
      <c r="G534" s="2570"/>
      <c r="H534" s="2371"/>
      <c r="I534" s="2353"/>
      <c r="J534" s="2177"/>
    </row>
    <row r="535" spans="1:10" s="2070" customFormat="1">
      <c r="A535" s="2068"/>
      <c r="B535" s="2566"/>
      <c r="C535" s="2567"/>
      <c r="D535" s="2171"/>
      <c r="E535" s="2170"/>
      <c r="F535" s="2525"/>
      <c r="G535" s="2570"/>
      <c r="H535" s="2371"/>
      <c r="I535" s="2353"/>
      <c r="J535" s="2177"/>
    </row>
    <row r="536" spans="1:10" s="2070" customFormat="1">
      <c r="A536" s="2068"/>
      <c r="B536" s="2566"/>
      <c r="C536" s="2567"/>
      <c r="D536" s="2171"/>
      <c r="E536" s="2170"/>
      <c r="F536" s="2525"/>
      <c r="G536" s="2372"/>
      <c r="H536" s="2372"/>
      <c r="I536" s="2373"/>
      <c r="J536" s="2177"/>
    </row>
    <row r="537" spans="1:10" s="2070" customFormat="1">
      <c r="A537" s="2068"/>
      <c r="B537" s="2568"/>
      <c r="C537" s="2567"/>
      <c r="D537" s="2171"/>
      <c r="E537" s="2170"/>
      <c r="F537" s="2525"/>
      <c r="G537" s="2356"/>
      <c r="H537" s="2356"/>
      <c r="I537" s="2353"/>
      <c r="J537" s="2177"/>
    </row>
    <row r="538" spans="1:10" s="2070" customFormat="1">
      <c r="A538" s="2068"/>
      <c r="B538" s="2169"/>
      <c r="C538" s="2567"/>
      <c r="D538" s="2171"/>
      <c r="E538" s="2170"/>
      <c r="F538" s="2525"/>
      <c r="G538" s="2356"/>
      <c r="H538" s="2356"/>
      <c r="I538" s="2353"/>
      <c r="J538" s="2177"/>
    </row>
    <row r="539" spans="1:10" s="2070" customFormat="1">
      <c r="A539" s="2068"/>
      <c r="B539" s="2169"/>
      <c r="C539" s="2567"/>
      <c r="D539" s="2171"/>
      <c r="E539" s="2170"/>
      <c r="F539" s="2525"/>
      <c r="G539" s="2356"/>
      <c r="H539" s="2356"/>
      <c r="I539" s="2353"/>
      <c r="J539" s="2177"/>
    </row>
    <row r="540" spans="1:10" s="2070" customFormat="1">
      <c r="A540" s="2068"/>
      <c r="B540" s="2169"/>
      <c r="C540" s="2567"/>
      <c r="D540" s="2171"/>
      <c r="E540" s="2170"/>
      <c r="F540" s="2525"/>
      <c r="G540" s="2356"/>
      <c r="H540" s="2356"/>
      <c r="I540" s="2353"/>
      <c r="J540" s="2177"/>
    </row>
    <row r="541" spans="1:10" s="2070" customFormat="1">
      <c r="A541" s="2068"/>
      <c r="B541" s="2169"/>
      <c r="C541" s="2567"/>
      <c r="D541" s="2171"/>
      <c r="E541" s="2170"/>
      <c r="F541" s="2525"/>
      <c r="G541" s="2356"/>
      <c r="H541" s="2356"/>
      <c r="I541" s="2353"/>
      <c r="J541" s="2177"/>
    </row>
    <row r="542" spans="1:10" s="2070" customFormat="1">
      <c r="A542" s="2068"/>
      <c r="B542" s="2571"/>
      <c r="C542" s="2567"/>
      <c r="D542" s="2171"/>
      <c r="E542" s="2170"/>
      <c r="F542" s="2525"/>
      <c r="G542" s="2356"/>
      <c r="H542" s="2356"/>
      <c r="I542" s="2353"/>
      <c r="J542" s="2177"/>
    </row>
    <row r="543" spans="1:10" s="2070" customFormat="1">
      <c r="A543" s="2068"/>
      <c r="B543" s="2566"/>
      <c r="C543" s="2567"/>
      <c r="D543" s="2171"/>
      <c r="E543" s="2170"/>
      <c r="F543" s="2525"/>
      <c r="G543" s="2356"/>
      <c r="H543" s="2356"/>
      <c r="I543" s="2353"/>
      <c r="J543" s="2177"/>
    </row>
    <row r="544" spans="1:10" s="2070" customFormat="1">
      <c r="A544" s="2068"/>
      <c r="B544" s="2566"/>
      <c r="C544" s="2567"/>
      <c r="D544" s="2171"/>
      <c r="E544" s="2170"/>
      <c r="F544" s="2525"/>
      <c r="G544" s="2356"/>
      <c r="H544" s="2356"/>
      <c r="I544" s="2353"/>
      <c r="J544" s="2177"/>
    </row>
    <row r="545" spans="1:10" s="2070" customFormat="1">
      <c r="A545" s="2068"/>
      <c r="B545" s="2568"/>
      <c r="C545" s="2567"/>
      <c r="D545" s="2171"/>
      <c r="E545" s="2170"/>
      <c r="F545" s="2525"/>
      <c r="G545" s="2356"/>
      <c r="H545" s="2356"/>
      <c r="I545" s="2353"/>
      <c r="J545" s="2374"/>
    </row>
    <row r="546" spans="1:10" s="2070" customFormat="1">
      <c r="A546" s="2068"/>
      <c r="B546" s="2568"/>
      <c r="C546" s="2567"/>
      <c r="D546" s="2171"/>
      <c r="E546" s="2170"/>
      <c r="F546" s="2525"/>
      <c r="G546" s="2356"/>
      <c r="H546" s="2356"/>
      <c r="I546" s="2353"/>
      <c r="J546" s="2177"/>
    </row>
    <row r="547" spans="1:10" s="2070" customFormat="1">
      <c r="A547" s="2068"/>
      <c r="B547" s="2566"/>
      <c r="C547" s="2567"/>
      <c r="D547" s="2579"/>
      <c r="E547" s="2170"/>
      <c r="F547" s="2525"/>
      <c r="G547" s="2356"/>
      <c r="H547" s="2356"/>
      <c r="I547" s="2353"/>
      <c r="J547" s="2177"/>
    </row>
    <row r="548" spans="1:10" s="2070" customFormat="1">
      <c r="A548" s="2068"/>
      <c r="B548" s="2568"/>
      <c r="C548" s="2567"/>
      <c r="D548" s="2171"/>
      <c r="E548" s="2170"/>
      <c r="F548" s="2525"/>
      <c r="G548" s="2356"/>
      <c r="H548" s="2356"/>
      <c r="I548" s="2353"/>
      <c r="J548" s="2177"/>
    </row>
    <row r="549" spans="1:10" s="2070" customFormat="1">
      <c r="A549" s="2068"/>
      <c r="B549" s="2580"/>
      <c r="C549" s="2567"/>
      <c r="D549" s="2171"/>
      <c r="E549" s="2170"/>
      <c r="F549" s="2525"/>
      <c r="G549" s="2356"/>
      <c r="H549" s="2356"/>
      <c r="I549" s="2353"/>
      <c r="J549" s="2177"/>
    </row>
    <row r="550" spans="1:10" s="2070" customFormat="1">
      <c r="A550" s="2068"/>
      <c r="B550" s="2568"/>
      <c r="C550" s="2567"/>
      <c r="D550" s="2171"/>
      <c r="E550" s="2170"/>
      <c r="F550" s="2525"/>
      <c r="G550" s="2356"/>
      <c r="H550" s="2356"/>
      <c r="I550" s="2353"/>
      <c r="J550" s="2177"/>
    </row>
    <row r="551" spans="1:10" s="2070" customFormat="1">
      <c r="A551" s="2068"/>
      <c r="B551" s="2566"/>
      <c r="C551" s="2567"/>
      <c r="D551" s="2171"/>
      <c r="E551" s="2170"/>
      <c r="F551" s="2525"/>
      <c r="G551" s="2356"/>
      <c r="H551" s="2356"/>
      <c r="I551" s="2353"/>
      <c r="J551" s="2177"/>
    </row>
    <row r="552" spans="1:10" s="2070" customFormat="1" ht="13.5" thickBot="1">
      <c r="A552" s="2099"/>
      <c r="B552" s="2572"/>
      <c r="C552" s="2175"/>
      <c r="D552" s="2573"/>
      <c r="E552" s="2574"/>
      <c r="F552" s="2575"/>
      <c r="G552" s="2356"/>
      <c r="H552" s="2356"/>
      <c r="I552" s="2353"/>
      <c r="J552" s="2177"/>
    </row>
    <row r="553" spans="1:10" s="2070" customFormat="1" ht="13.5" thickTop="1">
      <c r="B553" s="2576"/>
      <c r="C553" s="2161"/>
      <c r="D553" s="2577"/>
      <c r="E553" s="2578"/>
      <c r="F553" s="2578"/>
      <c r="G553" s="2356"/>
      <c r="H553" s="2356"/>
      <c r="I553" s="2353"/>
      <c r="J553" s="2177"/>
    </row>
    <row r="554" spans="1:10" s="2070" customFormat="1" ht="13.5" thickBot="1">
      <c r="B554" s="2561"/>
      <c r="C554" s="2178"/>
      <c r="D554" s="2179"/>
      <c r="E554" s="2178"/>
      <c r="F554" s="2178"/>
      <c r="G554" s="2356"/>
      <c r="H554" s="2356"/>
      <c r="I554" s="2353"/>
      <c r="J554" s="2177"/>
    </row>
    <row r="555" spans="1:10" s="2070" customFormat="1" ht="13.5" thickTop="1">
      <c r="A555" s="2246"/>
      <c r="B555" s="2563"/>
      <c r="C555" s="2564"/>
      <c r="D555" s="2166"/>
      <c r="E555" s="2165"/>
      <c r="F555" s="2524"/>
      <c r="G555" s="2356"/>
      <c r="H555" s="2356"/>
      <c r="I555" s="2353"/>
      <c r="J555" s="2374"/>
    </row>
    <row r="556" spans="1:10" s="2070" customFormat="1">
      <c r="A556" s="2068"/>
      <c r="B556" s="2566"/>
      <c r="C556" s="2567"/>
      <c r="D556" s="2171"/>
      <c r="E556" s="2170"/>
      <c r="F556" s="2525"/>
      <c r="G556" s="2356"/>
      <c r="H556" s="2356"/>
      <c r="I556" s="2353"/>
      <c r="J556" s="2177"/>
    </row>
    <row r="557" spans="1:10" s="2070" customFormat="1">
      <c r="A557" s="2068"/>
      <c r="B557" s="2566"/>
      <c r="C557" s="2567"/>
      <c r="D557" s="2171"/>
      <c r="E557" s="2170"/>
      <c r="F557" s="2525"/>
      <c r="G557" s="2356"/>
      <c r="H557" s="2356"/>
      <c r="I557" s="2353"/>
      <c r="J557" s="2177"/>
    </row>
    <row r="558" spans="1:10" s="2070" customFormat="1">
      <c r="A558" s="2068"/>
      <c r="B558" s="2566"/>
      <c r="C558" s="2567"/>
      <c r="D558" s="2171"/>
      <c r="E558" s="2170"/>
      <c r="F558" s="2525"/>
      <c r="G558" s="2356"/>
      <c r="H558" s="2356"/>
      <c r="I558" s="2353"/>
      <c r="J558" s="2177"/>
    </row>
    <row r="559" spans="1:10" s="2070" customFormat="1">
      <c r="A559" s="2068"/>
      <c r="B559" s="2566"/>
      <c r="C559" s="2567"/>
      <c r="D559" s="2171"/>
      <c r="E559" s="2170"/>
      <c r="F559" s="2525"/>
      <c r="G559" s="2356"/>
      <c r="H559" s="2369"/>
      <c r="I559" s="2353"/>
      <c r="J559" s="2177"/>
    </row>
    <row r="560" spans="1:10" s="2070" customFormat="1">
      <c r="A560" s="2068"/>
      <c r="B560" s="2580"/>
      <c r="C560" s="2567"/>
      <c r="D560" s="2171"/>
      <c r="E560" s="2170"/>
      <c r="F560" s="2525"/>
      <c r="G560" s="2570"/>
      <c r="H560" s="2371"/>
      <c r="I560" s="2353"/>
      <c r="J560" s="2177"/>
    </row>
    <row r="561" spans="1:10" s="2070" customFormat="1">
      <c r="A561" s="2068"/>
      <c r="B561" s="2566"/>
      <c r="C561" s="2567"/>
      <c r="D561" s="2171"/>
      <c r="E561" s="2170"/>
      <c r="F561" s="2525"/>
      <c r="G561" s="2570"/>
      <c r="H561" s="2371"/>
      <c r="I561" s="2353"/>
      <c r="J561" s="2177"/>
    </row>
    <row r="562" spans="1:10" s="2070" customFormat="1">
      <c r="A562" s="2068"/>
      <c r="B562" s="2568"/>
      <c r="C562" s="2567"/>
      <c r="D562" s="2171"/>
      <c r="E562" s="2170"/>
      <c r="F562" s="2525"/>
      <c r="G562" s="2372"/>
      <c r="H562" s="2372"/>
      <c r="I562" s="2373"/>
      <c r="J562" s="2177"/>
    </row>
    <row r="563" spans="1:10" s="2070" customFormat="1">
      <c r="A563" s="2068"/>
      <c r="B563" s="2566"/>
      <c r="C563" s="2567"/>
      <c r="D563" s="2171"/>
      <c r="E563" s="2170"/>
      <c r="F563" s="2525"/>
      <c r="G563" s="2356"/>
      <c r="H563" s="2356"/>
      <c r="I563" s="2353"/>
      <c r="J563" s="2177"/>
    </row>
    <row r="564" spans="1:10" s="2070" customFormat="1">
      <c r="A564" s="2068"/>
      <c r="B564" s="2566"/>
      <c r="C564" s="2567"/>
      <c r="D564" s="2171"/>
      <c r="E564" s="2170"/>
      <c r="F564" s="2525"/>
      <c r="G564" s="2356"/>
      <c r="H564" s="2356"/>
      <c r="I564" s="2353"/>
      <c r="J564" s="2177"/>
    </row>
    <row r="565" spans="1:10" s="2070" customFormat="1">
      <c r="A565" s="2068"/>
      <c r="B565" s="2566"/>
      <c r="C565" s="2567"/>
      <c r="D565" s="2171"/>
      <c r="E565" s="2170"/>
      <c r="F565" s="2525"/>
      <c r="G565" s="2356"/>
      <c r="H565" s="2356"/>
      <c r="I565" s="2353"/>
      <c r="J565" s="2177"/>
    </row>
    <row r="566" spans="1:10" s="2070" customFormat="1">
      <c r="A566" s="2068"/>
      <c r="B566" s="2566"/>
      <c r="C566" s="2567"/>
      <c r="D566" s="2171"/>
      <c r="E566" s="2170"/>
      <c r="F566" s="2525"/>
      <c r="G566" s="2356"/>
      <c r="H566" s="2356"/>
      <c r="I566" s="2353"/>
      <c r="J566" s="2177"/>
    </row>
    <row r="567" spans="1:10" s="2070" customFormat="1">
      <c r="A567" s="2068"/>
      <c r="B567" s="2568"/>
      <c r="C567" s="2567"/>
      <c r="D567" s="2171"/>
      <c r="E567" s="2170"/>
      <c r="F567" s="2525"/>
      <c r="G567" s="2356"/>
      <c r="H567" s="2356"/>
      <c r="I567" s="2353"/>
      <c r="J567" s="2177"/>
    </row>
    <row r="568" spans="1:10" s="2070" customFormat="1">
      <c r="A568" s="2068"/>
      <c r="B568" s="2169"/>
      <c r="C568" s="2567"/>
      <c r="D568" s="2171"/>
      <c r="E568" s="2170"/>
      <c r="F568" s="2525"/>
      <c r="G568" s="2356"/>
      <c r="H568" s="2356"/>
      <c r="I568" s="2353"/>
      <c r="J568" s="2177"/>
    </row>
    <row r="569" spans="1:10" s="2070" customFormat="1">
      <c r="A569" s="2068"/>
      <c r="B569" s="2169"/>
      <c r="C569" s="2567"/>
      <c r="D569" s="2171"/>
      <c r="E569" s="2170"/>
      <c r="F569" s="2525"/>
      <c r="G569" s="2356"/>
      <c r="H569" s="2356"/>
      <c r="I569" s="2353"/>
      <c r="J569" s="2177"/>
    </row>
    <row r="570" spans="1:10" s="2070" customFormat="1">
      <c r="A570" s="2068"/>
      <c r="B570" s="2571"/>
      <c r="C570" s="2567"/>
      <c r="D570" s="2171"/>
      <c r="E570" s="2170"/>
      <c r="F570" s="2525"/>
      <c r="G570" s="2356"/>
      <c r="H570" s="2356"/>
      <c r="I570" s="2353"/>
    </row>
    <row r="571" spans="1:10" s="2070" customFormat="1">
      <c r="A571" s="2068"/>
      <c r="B571" s="2568"/>
      <c r="C571" s="2567"/>
      <c r="D571" s="2171"/>
      <c r="E571" s="2170"/>
      <c r="F571" s="2525"/>
      <c r="G571" s="2356"/>
      <c r="H571" s="2369"/>
      <c r="I571" s="2353"/>
      <c r="J571" s="2177"/>
    </row>
    <row r="572" spans="1:10" s="2070" customFormat="1">
      <c r="A572" s="2068"/>
      <c r="B572" s="2566"/>
      <c r="C572" s="2567"/>
      <c r="D572" s="2579"/>
      <c r="E572" s="2170"/>
      <c r="F572" s="2525"/>
      <c r="G572" s="2570"/>
      <c r="H572" s="2371"/>
      <c r="I572" s="2353"/>
    </row>
    <row r="573" spans="1:10" s="2070" customFormat="1">
      <c r="A573" s="2068"/>
      <c r="B573" s="2568"/>
      <c r="C573" s="2567"/>
      <c r="D573" s="2171"/>
      <c r="E573" s="2170"/>
      <c r="F573" s="2525"/>
      <c r="G573" s="2570"/>
      <c r="H573" s="2371"/>
      <c r="I573" s="2353"/>
    </row>
    <row r="574" spans="1:10" s="2070" customFormat="1">
      <c r="A574" s="2068"/>
      <c r="B574" s="2580"/>
      <c r="C574" s="2567"/>
      <c r="D574" s="2171"/>
      <c r="E574" s="2170"/>
      <c r="F574" s="2525"/>
      <c r="G574" s="2372"/>
      <c r="H574" s="2372"/>
      <c r="I574" s="2373"/>
    </row>
    <row r="575" spans="1:10" s="2070" customFormat="1">
      <c r="A575" s="2068"/>
      <c r="B575" s="2566"/>
      <c r="C575" s="2567"/>
      <c r="D575" s="2171"/>
      <c r="E575" s="2170"/>
      <c r="F575" s="2525"/>
      <c r="G575" s="2356"/>
      <c r="H575" s="2356"/>
      <c r="I575" s="2353"/>
    </row>
    <row r="576" spans="1:10" s="2070" customFormat="1">
      <c r="A576" s="2068"/>
      <c r="B576" s="2566"/>
      <c r="C576" s="2567"/>
      <c r="D576" s="2171"/>
      <c r="E576" s="2170"/>
      <c r="F576" s="2525"/>
      <c r="G576" s="2356"/>
      <c r="H576" s="2356"/>
      <c r="I576" s="2353"/>
    </row>
    <row r="577" spans="1:9" s="2070" customFormat="1">
      <c r="A577" s="2068"/>
      <c r="B577" s="2566"/>
      <c r="C577" s="2567"/>
      <c r="D577" s="2171"/>
      <c r="E577" s="2170"/>
      <c r="F577" s="2525"/>
      <c r="G577" s="2356"/>
      <c r="H577" s="2356"/>
      <c r="I577" s="2353"/>
    </row>
    <row r="578" spans="1:9" s="2070" customFormat="1" ht="13.5" thickBot="1">
      <c r="A578" s="2099"/>
      <c r="B578" s="2572"/>
      <c r="C578" s="2175"/>
      <c r="D578" s="2573"/>
      <c r="E578" s="2574"/>
      <c r="F578" s="2575"/>
      <c r="G578" s="2356"/>
      <c r="H578" s="2356"/>
      <c r="I578" s="2353"/>
    </row>
    <row r="579" spans="1:9" s="2070" customFormat="1" ht="13.5" thickTop="1">
      <c r="B579" s="2576"/>
      <c r="C579" s="2161"/>
      <c r="D579" s="2577"/>
      <c r="E579" s="2578"/>
      <c r="F579" s="2578"/>
      <c r="G579" s="2356"/>
      <c r="H579" s="2356"/>
      <c r="I579" s="2353"/>
    </row>
    <row r="580" spans="1:9" s="2070" customFormat="1" ht="13.5" thickBot="1">
      <c r="B580" s="2160"/>
      <c r="C580" s="2178"/>
      <c r="D580" s="2179"/>
      <c r="E580" s="2178"/>
      <c r="F580" s="2178"/>
      <c r="G580" s="2356"/>
      <c r="H580" s="2356"/>
      <c r="I580" s="2353"/>
    </row>
    <row r="581" spans="1:9" s="2070" customFormat="1" ht="13.5" thickTop="1">
      <c r="A581" s="2246"/>
      <c r="B581" s="2164"/>
      <c r="C581" s="2165"/>
      <c r="D581" s="2166"/>
      <c r="E581" s="2165"/>
      <c r="F581" s="2524"/>
      <c r="G581" s="2356"/>
      <c r="H581" s="2369"/>
      <c r="I581" s="2353"/>
    </row>
    <row r="582" spans="1:9" s="2070" customFormat="1">
      <c r="A582" s="2068"/>
      <c r="B582" s="2169"/>
      <c r="C582" s="2170"/>
      <c r="D582" s="2171"/>
      <c r="E582" s="2170"/>
      <c r="F582" s="2525"/>
      <c r="G582" s="2570"/>
      <c r="H582" s="2371"/>
      <c r="I582" s="2353"/>
    </row>
    <row r="583" spans="1:9" s="2070" customFormat="1">
      <c r="A583" s="2068"/>
      <c r="B583" s="2169"/>
      <c r="C583" s="2170"/>
      <c r="D583" s="2171"/>
      <c r="E583" s="2170"/>
      <c r="F583" s="2525"/>
      <c r="G583" s="2581"/>
      <c r="H583" s="2371"/>
      <c r="I583" s="2353"/>
    </row>
    <row r="584" spans="1:9" s="2070" customFormat="1">
      <c r="A584" s="2068"/>
      <c r="B584" s="2169"/>
      <c r="C584" s="2170"/>
      <c r="D584" s="2171"/>
      <c r="E584" s="2170"/>
      <c r="F584" s="2525"/>
      <c r="G584" s="2372"/>
      <c r="H584" s="2372"/>
      <c r="I584" s="2373"/>
    </row>
    <row r="585" spans="1:9" s="2070" customFormat="1">
      <c r="A585" s="2068"/>
      <c r="B585" s="2169"/>
      <c r="C585" s="2170"/>
      <c r="D585" s="2171"/>
      <c r="E585" s="2170"/>
      <c r="F585" s="2525"/>
      <c r="G585" s="2356"/>
      <c r="H585" s="2356"/>
      <c r="I585" s="2353"/>
    </row>
    <row r="586" spans="1:9" s="2070" customFormat="1">
      <c r="A586" s="2068"/>
      <c r="B586" s="2169"/>
      <c r="C586" s="2170"/>
      <c r="D586" s="2171"/>
      <c r="E586" s="2170"/>
      <c r="F586" s="2525"/>
      <c r="G586" s="2356"/>
      <c r="H586" s="2356"/>
      <c r="I586" s="2353"/>
    </row>
    <row r="587" spans="1:9" s="2070" customFormat="1">
      <c r="A587" s="2068"/>
      <c r="B587" s="2169"/>
      <c r="C587" s="2170"/>
      <c r="D587" s="2171"/>
      <c r="E587" s="2170"/>
      <c r="F587" s="2525"/>
      <c r="G587" s="2356"/>
      <c r="H587" s="2356"/>
      <c r="I587" s="2353"/>
    </row>
    <row r="588" spans="1:9" s="2070" customFormat="1">
      <c r="A588" s="2068"/>
      <c r="B588" s="2169"/>
      <c r="C588" s="2170"/>
      <c r="D588" s="2171"/>
      <c r="E588" s="2170"/>
      <c r="F588" s="2525"/>
      <c r="G588" s="2356"/>
      <c r="H588" s="2356"/>
      <c r="I588" s="2353"/>
    </row>
    <row r="589" spans="1:9" s="2070" customFormat="1">
      <c r="A589" s="2068"/>
      <c r="B589" s="2169"/>
      <c r="C589" s="2170"/>
      <c r="D589" s="2171"/>
      <c r="E589" s="2170"/>
      <c r="F589" s="2525"/>
      <c r="G589" s="2356"/>
      <c r="H589" s="2356"/>
      <c r="I589" s="2353"/>
    </row>
    <row r="590" spans="1:9" s="2070" customFormat="1" ht="13.5" thickBot="1">
      <c r="A590" s="2099"/>
      <c r="B590" s="2174"/>
      <c r="C590" s="2175"/>
      <c r="D590" s="2176"/>
      <c r="E590" s="2574"/>
      <c r="F590" s="2575"/>
      <c r="G590" s="2356"/>
      <c r="H590" s="2356"/>
      <c r="I590" s="2353"/>
    </row>
    <row r="591" spans="1:9" s="2070" customFormat="1" ht="13.5" thickTop="1">
      <c r="B591" s="2177"/>
      <c r="C591" s="2161"/>
      <c r="D591" s="2162"/>
      <c r="E591" s="2578"/>
      <c r="F591" s="2578"/>
      <c r="G591" s="2356"/>
      <c r="H591" s="2356"/>
      <c r="I591" s="2353"/>
    </row>
    <row r="592" spans="1:9" s="2070" customFormat="1" ht="13.5" thickBot="1">
      <c r="B592" s="2160"/>
      <c r="C592" s="2178"/>
      <c r="D592" s="2179"/>
      <c r="E592" s="2178"/>
      <c r="F592" s="2178"/>
      <c r="G592" s="2356"/>
      <c r="H592" s="2356"/>
      <c r="I592" s="2353"/>
    </row>
    <row r="593" spans="1:11" s="2070" customFormat="1" ht="13.5" thickTop="1">
      <c r="A593" s="2246"/>
      <c r="B593" s="2164"/>
      <c r="C593" s="2165"/>
      <c r="D593" s="2166"/>
      <c r="E593" s="2165"/>
      <c r="F593" s="2524"/>
      <c r="G593" s="2356"/>
      <c r="H593" s="2356"/>
      <c r="I593" s="2353"/>
    </row>
    <row r="594" spans="1:11" s="2070" customFormat="1">
      <c r="A594" s="2068"/>
      <c r="B594" s="2169"/>
      <c r="C594" s="2170"/>
      <c r="D594" s="2171"/>
      <c r="E594" s="2170"/>
      <c r="F594" s="2525"/>
      <c r="G594" s="2356"/>
      <c r="H594" s="2356"/>
      <c r="I594" s="2353"/>
    </row>
    <row r="595" spans="1:11" s="2070" customFormat="1">
      <c r="A595" s="2068"/>
      <c r="B595" s="2169"/>
      <c r="C595" s="2170"/>
      <c r="D595" s="2171"/>
      <c r="E595" s="2170"/>
      <c r="F595" s="2525"/>
      <c r="G595" s="2356"/>
      <c r="H595" s="2356"/>
      <c r="I595" s="2353"/>
    </row>
    <row r="596" spans="1:11" s="2070" customFormat="1">
      <c r="A596" s="2068"/>
      <c r="B596" s="2169"/>
      <c r="C596" s="2170"/>
      <c r="D596" s="2171"/>
      <c r="E596" s="2170"/>
      <c r="F596" s="2525"/>
      <c r="G596" s="2356"/>
      <c r="H596" s="2356"/>
      <c r="I596" s="2353"/>
    </row>
    <row r="597" spans="1:11" s="2070" customFormat="1">
      <c r="A597" s="2068"/>
      <c r="B597" s="2169"/>
      <c r="C597" s="2170"/>
      <c r="D597" s="2171"/>
      <c r="E597" s="2170"/>
      <c r="F597" s="2525"/>
      <c r="G597" s="2356"/>
      <c r="H597" s="2369"/>
      <c r="I597" s="2353"/>
    </row>
    <row r="598" spans="1:11" s="2070" customFormat="1">
      <c r="A598" s="2068"/>
      <c r="B598" s="2169"/>
      <c r="C598" s="2170"/>
      <c r="D598" s="2171"/>
      <c r="E598" s="2170"/>
      <c r="F598" s="2525"/>
      <c r="G598" s="2570"/>
      <c r="H598" s="2371"/>
      <c r="I598" s="2353"/>
      <c r="J598" s="2354"/>
    </row>
    <row r="599" spans="1:11" s="2070" customFormat="1">
      <c r="A599" s="2068"/>
      <c r="B599" s="2169"/>
      <c r="C599" s="2170"/>
      <c r="D599" s="2171"/>
      <c r="E599" s="2170"/>
      <c r="F599" s="2525"/>
      <c r="G599" s="2225"/>
      <c r="H599" s="2225"/>
      <c r="I599" s="2354"/>
    </row>
    <row r="600" spans="1:11" s="2352" customFormat="1" ht="13.5" thickBot="1">
      <c r="A600" s="2099"/>
      <c r="B600" s="2174"/>
      <c r="C600" s="2188"/>
      <c r="D600" s="2573"/>
      <c r="E600" s="2574"/>
      <c r="F600" s="2575"/>
      <c r="G600" s="2244"/>
      <c r="H600" s="2244"/>
      <c r="I600" s="2357"/>
    </row>
    <row r="601" spans="1:11" s="2352" customFormat="1" ht="13.5" thickTop="1">
      <c r="A601" s="2070"/>
      <c r="B601" s="2177"/>
      <c r="C601" s="2187"/>
      <c r="D601" s="2577"/>
      <c r="E601" s="2578"/>
      <c r="F601" s="2187"/>
      <c r="G601" s="2244"/>
      <c r="H601" s="2244"/>
      <c r="I601" s="2357"/>
    </row>
    <row r="602" spans="1:11" s="2352" customFormat="1" ht="13.5" thickBot="1">
      <c r="A602" s="2070"/>
      <c r="B602" s="2160"/>
      <c r="C602" s="2178"/>
      <c r="D602" s="2179"/>
      <c r="E602" s="2178"/>
      <c r="F602" s="2178"/>
      <c r="G602" s="2244"/>
      <c r="H602" s="2244"/>
      <c r="I602" s="2357"/>
    </row>
    <row r="603" spans="1:11" s="2352" customFormat="1" ht="14.25" thickTop="1" thickBot="1">
      <c r="A603" s="2246"/>
      <c r="B603" s="2164"/>
      <c r="C603" s="2165"/>
      <c r="D603" s="2166"/>
      <c r="E603" s="2165"/>
      <c r="F603" s="2524"/>
      <c r="G603" s="2582"/>
      <c r="H603" s="2583"/>
      <c r="I603" s="2472"/>
      <c r="J603" s="2472"/>
      <c r="K603" s="2472"/>
    </row>
    <row r="604" spans="1:11" s="2352" customFormat="1" ht="14.25" thickTop="1" thickBot="1">
      <c r="A604" s="2068"/>
      <c r="B604" s="2169"/>
      <c r="C604" s="2170"/>
      <c r="D604" s="2171"/>
      <c r="E604" s="2170"/>
      <c r="F604" s="2525"/>
      <c r="G604" s="2584"/>
      <c r="H604" s="2585"/>
      <c r="I604" s="2586"/>
      <c r="J604" s="2587"/>
      <c r="K604" s="2588"/>
    </row>
    <row r="605" spans="1:11" s="2352" customFormat="1" ht="14.25" thickTop="1" thickBot="1">
      <c r="A605" s="2068"/>
      <c r="B605" s="2169"/>
      <c r="C605" s="2170"/>
      <c r="D605" s="2171"/>
      <c r="E605" s="2170"/>
      <c r="F605" s="2525"/>
      <c r="G605" s="2483"/>
      <c r="H605" s="2589"/>
      <c r="I605" s="2590"/>
      <c r="J605" s="2591"/>
      <c r="K605" s="2588"/>
    </row>
    <row r="606" spans="1:11" s="2352" customFormat="1" ht="14.25" thickTop="1" thickBot="1">
      <c r="A606" s="2068"/>
      <c r="B606" s="2169"/>
      <c r="C606" s="2170"/>
      <c r="D606" s="2171"/>
      <c r="E606" s="2170"/>
      <c r="F606" s="2525"/>
      <c r="G606" s="2483"/>
      <c r="H606" s="2589"/>
      <c r="I606" s="2590"/>
      <c r="J606" s="2591"/>
      <c r="K606" s="2588"/>
    </row>
    <row r="607" spans="1:11" s="2352" customFormat="1" ht="14.25" thickTop="1" thickBot="1">
      <c r="A607" s="2068"/>
      <c r="B607" s="2169"/>
      <c r="C607" s="2170"/>
      <c r="D607" s="2171"/>
      <c r="E607" s="2170"/>
      <c r="F607" s="2525"/>
      <c r="G607" s="2483"/>
      <c r="H607" s="2589"/>
      <c r="I607" s="2590"/>
      <c r="J607" s="2591"/>
      <c r="K607" s="2588"/>
    </row>
    <row r="608" spans="1:11" s="2352" customFormat="1" ht="14.25" thickTop="1" thickBot="1">
      <c r="A608" s="2068"/>
      <c r="B608" s="2169"/>
      <c r="C608" s="2170"/>
      <c r="D608" s="2171"/>
      <c r="E608" s="2170"/>
      <c r="F608" s="2525"/>
      <c r="G608" s="2483"/>
      <c r="H608" s="2589"/>
      <c r="I608" s="2590"/>
      <c r="J608" s="2431"/>
      <c r="K608" s="2588"/>
    </row>
    <row r="609" spans="1:12" s="2352" customFormat="1" ht="14.25" thickTop="1" thickBot="1">
      <c r="A609" s="2068"/>
      <c r="B609" s="2169"/>
      <c r="C609" s="2170"/>
      <c r="D609" s="2171"/>
      <c r="E609" s="2172"/>
      <c r="F609" s="2525"/>
      <c r="G609" s="2483"/>
      <c r="H609" s="2589"/>
      <c r="I609" s="2590"/>
      <c r="J609" s="2431"/>
      <c r="K609" s="2588"/>
    </row>
    <row r="610" spans="1:12" s="2352" customFormat="1" ht="14.25" thickTop="1" thickBot="1">
      <c r="A610" s="2068"/>
      <c r="B610" s="2169"/>
      <c r="C610" s="2170"/>
      <c r="D610" s="2171"/>
      <c r="E610" s="2172"/>
      <c r="F610" s="2525"/>
      <c r="G610" s="2483"/>
      <c r="H610" s="2589"/>
      <c r="I610" s="2590"/>
      <c r="J610" s="2431"/>
      <c r="K610" s="2588"/>
    </row>
    <row r="611" spans="1:12" s="2352" customFormat="1" ht="13.5" thickTop="1">
      <c r="A611" s="2068"/>
      <c r="B611" s="2169"/>
      <c r="C611" s="2170"/>
      <c r="D611" s="2171"/>
      <c r="E611" s="2172"/>
      <c r="F611" s="2525"/>
      <c r="G611" s="2483"/>
      <c r="H611" s="2589"/>
      <c r="I611" s="2590"/>
      <c r="J611" s="2431"/>
      <c r="K611" s="2588"/>
    </row>
    <row r="612" spans="1:12" s="2352" customFormat="1" ht="13.5" thickBot="1">
      <c r="A612" s="2068"/>
      <c r="B612" s="2169"/>
      <c r="C612" s="2170"/>
      <c r="D612" s="2171"/>
      <c r="E612" s="2172"/>
      <c r="F612" s="2525"/>
      <c r="G612" s="2489"/>
      <c r="H612" s="2592"/>
      <c r="I612" s="2593"/>
      <c r="J612" s="2594"/>
      <c r="K612" s="2492"/>
    </row>
    <row r="613" spans="1:12" s="2352" customFormat="1" ht="13.5" thickTop="1">
      <c r="A613" s="2068"/>
      <c r="B613" s="2571"/>
      <c r="C613" s="2170"/>
      <c r="D613" s="2171"/>
      <c r="E613" s="2172"/>
      <c r="F613" s="2525"/>
      <c r="G613" s="8"/>
      <c r="H613" s="8"/>
      <c r="I613" s="8"/>
      <c r="J613" s="8"/>
      <c r="K613" s="8"/>
    </row>
    <row r="614" spans="1:12" s="2352" customFormat="1">
      <c r="A614" s="2068"/>
      <c r="B614" s="2571"/>
      <c r="C614" s="2170"/>
      <c r="D614" s="2171"/>
      <c r="E614" s="2172"/>
      <c r="F614" s="2525"/>
      <c r="G614" s="2244"/>
      <c r="H614" s="2244"/>
      <c r="I614" s="2357"/>
    </row>
    <row r="615" spans="1:12" s="2352" customFormat="1">
      <c r="A615" s="2068"/>
      <c r="B615" s="2169"/>
      <c r="C615" s="2170"/>
      <c r="D615" s="2171"/>
      <c r="E615" s="2170"/>
      <c r="F615" s="2525"/>
      <c r="G615" s="2244"/>
      <c r="H615" s="2244"/>
      <c r="I615" s="2357"/>
    </row>
    <row r="616" spans="1:12" s="2070" customFormat="1" ht="13.5" thickBot="1">
      <c r="A616" s="2099"/>
      <c r="B616" s="2595"/>
      <c r="C616" s="2596"/>
      <c r="D616" s="2597"/>
      <c r="E616" s="2598"/>
      <c r="F616" s="2599"/>
      <c r="G616" s="2225"/>
      <c r="H616" s="2225"/>
      <c r="I616" s="2354"/>
    </row>
    <row r="617" spans="1:12" s="2352" customFormat="1" ht="13.5" thickTop="1">
      <c r="A617" s="2070"/>
      <c r="B617" s="5217"/>
      <c r="C617" s="5218"/>
      <c r="D617" s="5218"/>
      <c r="E617" s="5218"/>
      <c r="F617" s="5218"/>
      <c r="G617" s="2225"/>
      <c r="H617" s="2225"/>
      <c r="I617" s="2354"/>
      <c r="J617" s="2070"/>
      <c r="K617" s="2070"/>
      <c r="L617" s="2070"/>
    </row>
    <row r="618" spans="1:12" s="2352" customFormat="1">
      <c r="A618" s="2070"/>
      <c r="B618" s="2600"/>
      <c r="C618" s="2072"/>
      <c r="D618" s="2094"/>
      <c r="E618" s="2093"/>
      <c r="F618" s="2093"/>
      <c r="G618" s="2225"/>
      <c r="H618" s="2225"/>
      <c r="I618" s="2354"/>
      <c r="J618" s="2070"/>
      <c r="K618" s="2070"/>
      <c r="L618" s="2070"/>
    </row>
    <row r="619" spans="1:12" s="2352" customFormat="1">
      <c r="A619" s="2070"/>
      <c r="B619" s="2600"/>
      <c r="C619" s="2472"/>
      <c r="D619" s="2472"/>
      <c r="E619" s="2472"/>
      <c r="F619" s="2472"/>
      <c r="G619" s="2225"/>
      <c r="H619" s="2225"/>
      <c r="I619" s="2354"/>
      <c r="J619" s="2070"/>
      <c r="K619" s="2070"/>
      <c r="L619" s="2070"/>
    </row>
    <row r="620" spans="1:12" s="2352" customFormat="1" ht="13.5" thickBot="1">
      <c r="A620" s="2070"/>
      <c r="B620" s="2505"/>
      <c r="C620" s="2472"/>
      <c r="D620" s="2472"/>
      <c r="E620" s="2472"/>
      <c r="F620" s="2472"/>
      <c r="G620" s="2225"/>
      <c r="H620" s="2225"/>
      <c r="I620" s="2354"/>
      <c r="J620" s="2070"/>
      <c r="K620" s="2070"/>
      <c r="L620" s="2070"/>
    </row>
    <row r="621" spans="1:12" s="2352" customFormat="1" ht="13.5" thickTop="1">
      <c r="A621" s="2070"/>
      <c r="B621" s="2478"/>
      <c r="C621" s="2601"/>
      <c r="D621" s="2602"/>
      <c r="E621" s="2603"/>
      <c r="F621" s="2604"/>
      <c r="G621" s="2225"/>
      <c r="H621" s="2225"/>
      <c r="I621" s="2354"/>
      <c r="J621" s="2070"/>
      <c r="K621" s="2070"/>
      <c r="L621" s="2070"/>
    </row>
    <row r="622" spans="1:12" s="2352" customFormat="1">
      <c r="A622" s="2070"/>
      <c r="B622" s="2483"/>
      <c r="C622" s="2605"/>
      <c r="D622" s="2415"/>
      <c r="E622" s="2606"/>
      <c r="F622" s="2607"/>
      <c r="G622" s="2225"/>
      <c r="H622" s="2225"/>
      <c r="I622" s="2354"/>
      <c r="J622" s="2070"/>
      <c r="K622" s="2070"/>
      <c r="L622" s="2070"/>
    </row>
    <row r="623" spans="1:12" s="2352" customFormat="1" ht="13.5" thickBot="1">
      <c r="A623" s="2070"/>
      <c r="B623" s="2489"/>
      <c r="C623" s="2608"/>
      <c r="D623" s="2608"/>
      <c r="E623" s="2609"/>
      <c r="F623" s="2610"/>
      <c r="G623" s="2225"/>
      <c r="H623" s="2225"/>
      <c r="I623" s="2354"/>
      <c r="J623" s="2070"/>
      <c r="K623" s="2070"/>
      <c r="L623" s="2070"/>
    </row>
    <row r="624" spans="1:12" s="2352" customFormat="1" ht="13.5" thickTop="1">
      <c r="A624" s="2070"/>
      <c r="B624" s="2600"/>
      <c r="C624" s="2472"/>
      <c r="D624" s="2472"/>
      <c r="E624" s="2472"/>
      <c r="F624" s="2472"/>
      <c r="G624" s="2225"/>
      <c r="H624" s="2225"/>
      <c r="I624" s="2354"/>
      <c r="J624" s="2070"/>
      <c r="K624" s="2070"/>
      <c r="L624" s="2070"/>
    </row>
    <row r="625" spans="1:12" s="2352" customFormat="1" ht="13.5" thickBot="1">
      <c r="A625" s="2070"/>
      <c r="B625" s="2505"/>
      <c r="C625" s="2472"/>
      <c r="D625" s="2472"/>
      <c r="E625" s="2472"/>
      <c r="F625" s="2472"/>
      <c r="G625" s="2225"/>
      <c r="H625" s="2225"/>
      <c r="I625" s="2354"/>
      <c r="J625" s="2070"/>
      <c r="K625" s="2070"/>
      <c r="L625" s="2070"/>
    </row>
    <row r="626" spans="1:12" s="2352" customFormat="1" ht="13.5" thickTop="1">
      <c r="A626" s="2070"/>
      <c r="B626" s="2478"/>
      <c r="C626" s="2601"/>
      <c r="D626" s="2602"/>
      <c r="E626" s="2603"/>
      <c r="F626" s="2604"/>
      <c r="G626" s="2225"/>
      <c r="H626" s="2225"/>
      <c r="I626" s="2354"/>
      <c r="J626" s="2070"/>
      <c r="K626" s="2070"/>
      <c r="L626" s="2070"/>
    </row>
    <row r="627" spans="1:12" s="2352" customFormat="1">
      <c r="A627" s="2070"/>
      <c r="B627" s="2483"/>
      <c r="C627" s="2605"/>
      <c r="D627" s="2415"/>
      <c r="E627" s="2606"/>
      <c r="F627" s="2607"/>
      <c r="G627" s="2225"/>
      <c r="H627" s="2225"/>
      <c r="I627" s="2354"/>
      <c r="J627" s="2070"/>
      <c r="K627" s="2070"/>
      <c r="L627" s="2070"/>
    </row>
    <row r="628" spans="1:12" s="2352" customFormat="1" ht="13.5" thickBot="1">
      <c r="A628" s="2070"/>
      <c r="B628" s="2489"/>
      <c r="C628" s="2608"/>
      <c r="D628" s="2608"/>
      <c r="E628" s="2609"/>
      <c r="F628" s="2610"/>
      <c r="G628" s="2225"/>
      <c r="H628" s="2225"/>
      <c r="I628" s="2354"/>
      <c r="J628" s="2070"/>
      <c r="K628" s="2070"/>
      <c r="L628" s="2070"/>
    </row>
    <row r="629" spans="1:12" s="2352" customFormat="1" ht="13.5" thickTop="1">
      <c r="A629" s="2070"/>
      <c r="B629" s="2600"/>
      <c r="C629" s="2472"/>
      <c r="D629" s="2472"/>
      <c r="E629" s="2472"/>
      <c r="F629" s="2472"/>
      <c r="G629" s="2225"/>
      <c r="H629" s="2225"/>
      <c r="I629" s="2354"/>
      <c r="J629" s="2070"/>
      <c r="K629" s="2070"/>
      <c r="L629" s="2070"/>
    </row>
    <row r="630" spans="1:12" s="2352" customFormat="1" ht="13.5" thickBot="1">
      <c r="A630" s="2070"/>
      <c r="B630" s="2505"/>
      <c r="C630" s="2472"/>
      <c r="D630" s="2472"/>
      <c r="E630" s="2472"/>
      <c r="F630" s="2472"/>
      <c r="G630" s="2225"/>
      <c r="H630" s="2225"/>
      <c r="I630" s="2354"/>
      <c r="J630" s="2070"/>
      <c r="K630" s="2070"/>
      <c r="L630" s="2070"/>
    </row>
    <row r="631" spans="1:12" s="2352" customFormat="1" ht="13.5" thickTop="1">
      <c r="A631" s="2070"/>
      <c r="B631" s="2478"/>
      <c r="C631" s="2601"/>
      <c r="D631" s="2602"/>
      <c r="E631" s="2603"/>
      <c r="F631" s="2604"/>
      <c r="G631" s="2225"/>
      <c r="H631" s="2225"/>
      <c r="I631" s="2354"/>
      <c r="J631" s="2070"/>
      <c r="K631" s="2070"/>
      <c r="L631" s="2070"/>
    </row>
    <row r="632" spans="1:12" s="2352" customFormat="1">
      <c r="A632" s="2070"/>
      <c r="B632" s="2483"/>
      <c r="C632" s="2605"/>
      <c r="D632" s="2415"/>
      <c r="E632" s="2606"/>
      <c r="F632" s="2607"/>
      <c r="G632" s="2225"/>
      <c r="H632" s="2225"/>
      <c r="I632" s="2354"/>
      <c r="J632" s="2070"/>
      <c r="K632" s="2070"/>
      <c r="L632" s="2070"/>
    </row>
    <row r="633" spans="1:12" s="2352" customFormat="1">
      <c r="A633" s="2070"/>
      <c r="B633" s="2483"/>
      <c r="C633" s="2611"/>
      <c r="D633" s="2415"/>
      <c r="E633" s="2606"/>
      <c r="F633" s="2607"/>
      <c r="G633" s="2225"/>
      <c r="H633" s="2225"/>
      <c r="I633" s="2354"/>
      <c r="J633" s="2070"/>
      <c r="K633" s="2070"/>
      <c r="L633" s="2070"/>
    </row>
    <row r="634" spans="1:12" s="2352" customFormat="1" ht="13.5" thickBot="1">
      <c r="A634" s="2070"/>
      <c r="B634" s="2489"/>
      <c r="C634" s="2608"/>
      <c r="D634" s="2608"/>
      <c r="E634" s="2609"/>
      <c r="F634" s="2610"/>
      <c r="G634" s="2225"/>
      <c r="H634" s="2225"/>
      <c r="I634" s="2354"/>
      <c r="J634" s="2070"/>
      <c r="K634" s="2070"/>
      <c r="L634" s="2070"/>
    </row>
    <row r="635" spans="1:12" s="2352" customFormat="1" ht="14.25" thickTop="1" thickBot="1">
      <c r="A635" s="2070"/>
      <c r="B635" s="2505"/>
      <c r="C635" s="2472"/>
      <c r="D635" s="2472"/>
      <c r="E635" s="2472"/>
      <c r="F635" s="2472"/>
      <c r="G635" s="2225"/>
      <c r="H635" s="2225"/>
      <c r="I635" s="2354"/>
      <c r="J635" s="2070"/>
      <c r="K635" s="2070"/>
      <c r="L635" s="2070"/>
    </row>
    <row r="636" spans="1:12" s="2352" customFormat="1" ht="13.5" thickTop="1">
      <c r="A636" s="2070"/>
      <c r="B636" s="2478"/>
      <c r="C636" s="2601"/>
      <c r="D636" s="2602"/>
      <c r="E636" s="2603"/>
      <c r="F636" s="2604"/>
      <c r="G636" s="2225"/>
      <c r="H636" s="2225"/>
      <c r="I636" s="2354"/>
      <c r="J636" s="2070"/>
      <c r="K636" s="2070"/>
      <c r="L636" s="2070"/>
    </row>
    <row r="637" spans="1:12" s="2352" customFormat="1">
      <c r="A637" s="2070"/>
      <c r="B637" s="2483"/>
      <c r="C637" s="2605"/>
      <c r="D637" s="2415"/>
      <c r="E637" s="2606"/>
      <c r="F637" s="2607"/>
      <c r="G637" s="2225"/>
      <c r="H637" s="2225"/>
      <c r="I637" s="2354"/>
      <c r="J637" s="2070"/>
      <c r="K637" s="2070"/>
      <c r="L637" s="2070"/>
    </row>
    <row r="638" spans="1:12" s="2352" customFormat="1">
      <c r="A638" s="2070"/>
      <c r="B638" s="2483"/>
      <c r="C638" s="2611"/>
      <c r="D638" s="2415"/>
      <c r="E638" s="2606"/>
      <c r="F638" s="2607"/>
      <c r="G638" s="2225"/>
      <c r="H638" s="2225"/>
      <c r="I638" s="2354"/>
      <c r="J638" s="2070"/>
      <c r="K638" s="2070"/>
      <c r="L638" s="2070"/>
    </row>
    <row r="639" spans="1:12" s="2352" customFormat="1" ht="13.5" thickBot="1">
      <c r="A639" s="2070"/>
      <c r="B639" s="2489"/>
      <c r="C639" s="2608"/>
      <c r="D639" s="2608"/>
      <c r="E639" s="2609"/>
      <c r="F639" s="2610"/>
      <c r="G639" s="2225"/>
      <c r="H639" s="2225"/>
      <c r="I639" s="2354"/>
      <c r="J639" s="2070"/>
      <c r="K639" s="2070"/>
      <c r="L639" s="2070"/>
    </row>
    <row r="640" spans="1:12" s="2352" customFormat="1" ht="13.5" thickTop="1">
      <c r="A640" s="2070"/>
      <c r="B640" s="2600"/>
      <c r="C640" s="2472"/>
      <c r="D640" s="2472"/>
      <c r="E640" s="2472"/>
      <c r="F640" s="2472"/>
      <c r="G640" s="2225"/>
      <c r="H640" s="2225"/>
      <c r="I640" s="2354"/>
      <c r="J640" s="2070"/>
      <c r="K640" s="2070"/>
      <c r="L640" s="2070"/>
    </row>
    <row r="641" spans="1:12" s="2352" customFormat="1">
      <c r="A641" s="2070"/>
      <c r="B641" s="2070"/>
      <c r="C641" s="2093"/>
      <c r="D641" s="2094"/>
      <c r="E641" s="2093"/>
      <c r="F641" s="2093"/>
      <c r="G641" s="2225"/>
      <c r="H641" s="2225"/>
      <c r="I641" s="2354"/>
      <c r="J641" s="2070"/>
      <c r="K641" s="2070"/>
      <c r="L641" s="2070"/>
    </row>
    <row r="642" spans="1:12" s="2352" customFormat="1">
      <c r="A642" s="2070"/>
      <c r="B642" s="2031"/>
      <c r="C642" s="8"/>
      <c r="D642" s="8"/>
      <c r="E642" s="8"/>
      <c r="F642" s="8"/>
      <c r="G642" s="2225"/>
      <c r="H642" s="2225"/>
      <c r="I642" s="2354"/>
      <c r="J642" s="2070"/>
      <c r="K642" s="2070"/>
      <c r="L642" s="2070"/>
    </row>
    <row r="643" spans="1:12" s="2352" customFormat="1">
      <c r="A643" s="2070"/>
      <c r="B643" s="8"/>
      <c r="C643" s="8"/>
      <c r="D643" s="8"/>
      <c r="E643" s="8"/>
      <c r="F643" s="8"/>
      <c r="G643" s="2225"/>
      <c r="H643" s="2225"/>
      <c r="I643" s="2354"/>
      <c r="J643" s="2070"/>
      <c r="K643" s="2070"/>
      <c r="L643" s="2070"/>
    </row>
    <row r="644" spans="1:12" s="2352" customFormat="1">
      <c r="A644" s="2070"/>
      <c r="B644" s="1267"/>
      <c r="C644" s="8"/>
      <c r="D644" s="8"/>
      <c r="E644" s="8"/>
      <c r="F644" s="8"/>
      <c r="G644" s="2225"/>
      <c r="H644" s="2225"/>
      <c r="I644" s="2354"/>
      <c r="J644" s="2070"/>
      <c r="K644" s="2070"/>
      <c r="L644" s="2070"/>
    </row>
    <row r="645" spans="1:12" s="2352" customFormat="1" ht="13.5" thickBot="1">
      <c r="A645" s="2070"/>
      <c r="B645" s="1267"/>
      <c r="C645" s="2385"/>
      <c r="D645" s="1413"/>
      <c r="E645" s="8"/>
      <c r="F645" s="2385"/>
      <c r="G645" s="2225"/>
      <c r="H645" s="2225"/>
      <c r="I645" s="2354"/>
      <c r="J645" s="2070"/>
      <c r="K645" s="2070"/>
      <c r="L645" s="2070"/>
    </row>
    <row r="646" spans="1:12" s="2352" customFormat="1" ht="13.5" thickBot="1">
      <c r="A646" s="2070"/>
      <c r="B646" s="2386"/>
      <c r="C646" s="2387"/>
      <c r="D646" s="2388"/>
      <c r="E646" s="2388"/>
      <c r="F646" s="2389"/>
      <c r="G646" s="2225"/>
      <c r="H646" s="2225"/>
      <c r="I646" s="2354"/>
      <c r="J646" s="2070"/>
      <c r="K646" s="2070"/>
    </row>
    <row r="647" spans="1:12" s="2352" customFormat="1" ht="13.5" thickTop="1">
      <c r="A647" s="2070"/>
      <c r="B647" s="2390"/>
      <c r="C647" s="2391"/>
      <c r="D647" s="2392"/>
      <c r="E647" s="2393"/>
      <c r="F647" s="2394"/>
      <c r="G647" s="2225"/>
      <c r="H647" s="2225"/>
      <c r="I647" s="2354"/>
      <c r="J647" s="2070"/>
      <c r="K647" s="2070"/>
    </row>
    <row r="648" spans="1:12" s="2352" customFormat="1">
      <c r="A648" s="2070"/>
      <c r="B648" s="2395"/>
      <c r="C648" s="2391"/>
      <c r="D648" s="2392"/>
      <c r="E648" s="2393"/>
      <c r="F648" s="2394"/>
      <c r="G648" s="2225"/>
      <c r="H648" s="2225"/>
      <c r="I648" s="2354"/>
      <c r="J648" s="2070"/>
      <c r="K648" s="2070"/>
    </row>
    <row r="649" spans="1:12" s="2352" customFormat="1">
      <c r="A649" s="2070"/>
      <c r="B649" s="2396"/>
      <c r="C649" s="2397"/>
      <c r="D649" s="2398"/>
      <c r="E649" s="2399"/>
      <c r="F649" s="2400"/>
      <c r="G649" s="2225"/>
      <c r="H649" s="2225"/>
      <c r="I649" s="2354"/>
      <c r="J649" s="2070"/>
      <c r="K649" s="2070"/>
    </row>
    <row r="650" spans="1:12" s="2352" customFormat="1">
      <c r="A650" s="2070"/>
      <c r="B650" s="2396"/>
      <c r="C650" s="2397"/>
      <c r="D650" s="2398"/>
      <c r="E650" s="2399"/>
      <c r="F650" s="2400"/>
      <c r="G650" s="2225"/>
      <c r="H650" s="2225"/>
      <c r="I650" s="2354"/>
      <c r="J650" s="2070"/>
      <c r="K650" s="2070"/>
    </row>
    <row r="651" spans="1:12" s="2352" customFormat="1">
      <c r="A651" s="2070"/>
      <c r="B651" s="2396"/>
      <c r="C651" s="2397"/>
      <c r="D651" s="2398"/>
      <c r="E651" s="2399"/>
      <c r="F651" s="2400"/>
      <c r="G651" s="2225"/>
      <c r="H651" s="2225"/>
      <c r="I651" s="2354"/>
      <c r="J651" s="2070"/>
      <c r="K651" s="2070"/>
    </row>
    <row r="652" spans="1:12" s="2352" customFormat="1">
      <c r="A652" s="2070"/>
      <c r="B652" s="2396"/>
      <c r="C652" s="2397"/>
      <c r="D652" s="2398"/>
      <c r="E652" s="2399"/>
      <c r="F652" s="2400"/>
      <c r="G652" s="2225"/>
      <c r="H652" s="2225"/>
      <c r="I652" s="2354"/>
      <c r="J652" s="2070"/>
      <c r="K652" s="2070"/>
    </row>
    <row r="653" spans="1:12" s="2352" customFormat="1">
      <c r="A653" s="2070"/>
      <c r="B653" s="2396"/>
      <c r="C653" s="2397"/>
      <c r="D653" s="2398"/>
      <c r="E653" s="2399"/>
      <c r="F653" s="2400"/>
      <c r="G653" s="2225"/>
      <c r="H653" s="2225"/>
      <c r="I653" s="2354"/>
      <c r="J653" s="2070"/>
      <c r="K653" s="2070"/>
    </row>
    <row r="654" spans="1:12" s="2352" customFormat="1">
      <c r="A654" s="2070"/>
      <c r="B654" s="2395"/>
      <c r="C654" s="2391"/>
      <c r="D654" s="2392"/>
      <c r="E654" s="2393"/>
      <c r="F654" s="2400"/>
      <c r="G654" s="2225"/>
      <c r="H654" s="2225"/>
      <c r="I654" s="2354"/>
      <c r="J654" s="2070"/>
      <c r="K654" s="2070"/>
    </row>
    <row r="655" spans="1:12" s="2352" customFormat="1">
      <c r="A655" s="2070"/>
      <c r="B655" s="2396"/>
      <c r="C655" s="2397"/>
      <c r="D655" s="2398"/>
      <c r="E655" s="2399"/>
      <c r="F655" s="2400"/>
      <c r="G655" s="2225"/>
      <c r="H655" s="2225"/>
      <c r="I655" s="2354"/>
      <c r="J655" s="2070"/>
      <c r="K655" s="2070"/>
    </row>
    <row r="656" spans="1:12" s="2352" customFormat="1">
      <c r="A656" s="2070"/>
      <c r="B656" s="2401"/>
      <c r="C656" s="2402"/>
      <c r="D656" s="2403"/>
      <c r="E656" s="2404"/>
      <c r="F656" s="2400"/>
      <c r="G656" s="2225"/>
      <c r="H656" s="2225"/>
      <c r="I656" s="2354"/>
      <c r="J656" s="2070"/>
      <c r="K656" s="2070"/>
    </row>
    <row r="657" spans="1:11" s="2352" customFormat="1">
      <c r="A657" s="2070"/>
      <c r="B657" s="2396"/>
      <c r="C657" s="2397"/>
      <c r="D657" s="2398"/>
      <c r="E657" s="2399"/>
      <c r="F657" s="2400"/>
      <c r="G657" s="2225"/>
      <c r="H657" s="2225"/>
      <c r="I657" s="2354"/>
      <c r="J657" s="2070"/>
      <c r="K657" s="2070"/>
    </row>
    <row r="658" spans="1:11" s="2352" customFormat="1">
      <c r="A658" s="2070"/>
      <c r="B658" s="2395"/>
      <c r="C658" s="2391"/>
      <c r="D658" s="2392"/>
      <c r="E658" s="2393"/>
      <c r="F658" s="2400"/>
      <c r="G658" s="2225"/>
      <c r="H658" s="2225"/>
      <c r="I658" s="2354"/>
      <c r="J658" s="2070"/>
    </row>
    <row r="659" spans="1:11" s="2352" customFormat="1">
      <c r="A659" s="2070"/>
      <c r="B659" s="2401"/>
      <c r="C659" s="2402"/>
      <c r="D659" s="2403"/>
      <c r="E659" s="2404"/>
      <c r="F659" s="2400"/>
      <c r="G659" s="2225"/>
      <c r="H659" s="2225"/>
      <c r="I659" s="2354"/>
      <c r="J659" s="2070"/>
    </row>
    <row r="660" spans="1:11" s="2352" customFormat="1" ht="13.5" thickBot="1">
      <c r="A660" s="2070"/>
      <c r="B660" s="2405"/>
      <c r="C660" s="2406"/>
      <c r="D660" s="2407"/>
      <c r="E660" s="2408"/>
      <c r="F660" s="2409"/>
      <c r="G660" s="2225"/>
      <c r="H660" s="2225"/>
      <c r="I660" s="2354"/>
      <c r="J660" s="2070"/>
    </row>
    <row r="661" spans="1:11" s="2352" customFormat="1" ht="13.5" thickBot="1">
      <c r="A661" s="2070"/>
      <c r="B661" s="2410"/>
      <c r="C661" s="5214"/>
      <c r="D661" s="5215"/>
      <c r="E661" s="5216"/>
      <c r="F661" s="2411"/>
      <c r="G661" s="2225"/>
      <c r="H661" s="2225"/>
      <c r="I661" s="2354"/>
      <c r="J661" s="2070"/>
    </row>
    <row r="662" spans="1:11" s="2352" customFormat="1">
      <c r="A662" s="2070"/>
      <c r="B662" s="8"/>
      <c r="C662" s="8"/>
      <c r="D662" s="8"/>
      <c r="E662" s="8"/>
      <c r="F662" s="8"/>
      <c r="G662" s="2225"/>
      <c r="H662" s="2225"/>
      <c r="I662" s="2354"/>
      <c r="J662" s="2070"/>
    </row>
    <row r="663" spans="1:11" s="2352" customFormat="1">
      <c r="A663" s="2070"/>
      <c r="B663" s="8"/>
      <c r="C663" s="8"/>
      <c r="D663" s="8"/>
      <c r="E663" s="8"/>
      <c r="F663" s="8"/>
      <c r="G663" s="2225"/>
      <c r="H663" s="2225"/>
      <c r="I663" s="2354"/>
      <c r="J663" s="2070"/>
    </row>
    <row r="664" spans="1:11" s="2352" customFormat="1" ht="13.5" thickBot="1">
      <c r="A664" s="2070"/>
      <c r="B664" s="1910"/>
      <c r="C664" s="8"/>
      <c r="D664" s="8"/>
      <c r="E664" s="8"/>
      <c r="F664" s="8"/>
      <c r="G664" s="2225"/>
      <c r="H664" s="2225"/>
      <c r="I664" s="2354"/>
      <c r="J664" s="2070"/>
    </row>
    <row r="665" spans="1:11" s="2352" customFormat="1" ht="13.5" thickBot="1">
      <c r="A665" s="2070"/>
      <c r="B665" s="2612"/>
      <c r="C665" s="2613"/>
      <c r="D665" s="2613"/>
      <c r="E665" s="2613"/>
      <c r="F665" s="2613"/>
      <c r="G665" s="2225"/>
      <c r="H665" s="2225"/>
      <c r="I665" s="2354"/>
      <c r="J665" s="2070"/>
    </row>
    <row r="666" spans="1:11" s="2352" customFormat="1">
      <c r="A666" s="2070"/>
      <c r="B666" s="2395"/>
      <c r="C666" s="2391"/>
      <c r="D666" s="2392"/>
      <c r="E666" s="2393"/>
      <c r="F666" s="2394"/>
      <c r="G666" s="2225"/>
      <c r="H666" s="2225"/>
      <c r="I666" s="2354"/>
      <c r="J666" s="2070"/>
    </row>
    <row r="667" spans="1:11" s="2352" customFormat="1" ht="13.5" thickBot="1">
      <c r="A667" s="2070"/>
      <c r="B667" s="2396"/>
      <c r="C667" s="2397"/>
      <c r="D667" s="2398"/>
      <c r="E667" s="2399"/>
      <c r="F667" s="2400"/>
      <c r="G667" s="2225"/>
      <c r="H667" s="2225"/>
      <c r="I667" s="2354"/>
      <c r="J667" s="2070"/>
    </row>
    <row r="668" spans="1:11" s="2352" customFormat="1" ht="13.5" thickBot="1">
      <c r="A668" s="2070"/>
      <c r="B668" s="2396"/>
      <c r="C668" s="2614"/>
      <c r="D668" s="2398"/>
      <c r="E668" s="2399"/>
      <c r="F668" s="2400"/>
      <c r="G668" s="2225"/>
      <c r="H668" s="2225"/>
      <c r="I668" s="2354"/>
      <c r="J668" s="2070"/>
    </row>
    <row r="669" spans="1:11" s="2352" customFormat="1">
      <c r="A669" s="2070"/>
      <c r="B669" s="2396"/>
      <c r="C669" s="2397"/>
      <c r="D669" s="2398"/>
      <c r="E669" s="2399"/>
      <c r="F669" s="2400"/>
      <c r="G669" s="2225"/>
      <c r="H669" s="2225"/>
      <c r="I669" s="2354"/>
      <c r="J669" s="2070"/>
    </row>
    <row r="670" spans="1:11" s="2352" customFormat="1">
      <c r="A670" s="2070"/>
      <c r="B670" s="2396"/>
      <c r="C670" s="2397"/>
      <c r="D670" s="2398"/>
      <c r="E670" s="2399"/>
      <c r="F670" s="2400"/>
      <c r="G670" s="2225"/>
      <c r="H670" s="2225"/>
      <c r="I670" s="2354"/>
      <c r="J670" s="2070"/>
    </row>
    <row r="671" spans="1:11" s="2352" customFormat="1">
      <c r="A671" s="2070"/>
      <c r="B671" s="2396"/>
      <c r="C671" s="2397"/>
      <c r="D671" s="2398"/>
      <c r="E671" s="2399"/>
      <c r="F671" s="2400"/>
      <c r="G671" s="2225"/>
      <c r="H671" s="2225"/>
      <c r="I671" s="2354"/>
      <c r="J671" s="2070"/>
    </row>
    <row r="672" spans="1:11" s="2352" customFormat="1">
      <c r="A672" s="2070"/>
      <c r="B672" s="2395"/>
      <c r="C672" s="2391"/>
      <c r="D672" s="2392"/>
      <c r="E672" s="2393"/>
      <c r="F672" s="2400"/>
      <c r="G672" s="2225"/>
      <c r="H672" s="2225"/>
      <c r="I672" s="2354"/>
      <c r="J672" s="2070"/>
    </row>
    <row r="673" spans="1:10" s="2352" customFormat="1">
      <c r="A673" s="2070"/>
      <c r="B673" s="2396"/>
      <c r="C673" s="2397"/>
      <c r="D673" s="2398"/>
      <c r="E673" s="2399"/>
      <c r="F673" s="2400"/>
      <c r="G673" s="1593"/>
      <c r="H673" s="2225"/>
      <c r="I673" s="2354"/>
      <c r="J673" s="2070"/>
    </row>
    <row r="674" spans="1:10" s="2352" customFormat="1">
      <c r="A674" s="2070"/>
      <c r="B674" s="2401"/>
      <c r="C674" s="2402"/>
      <c r="D674" s="2403"/>
      <c r="E674" s="2404"/>
      <c r="F674" s="2400"/>
      <c r="G674" s="1593"/>
      <c r="H674" s="2225"/>
      <c r="I674" s="2354"/>
      <c r="J674" s="2070"/>
    </row>
    <row r="675" spans="1:10" s="2352" customFormat="1">
      <c r="A675" s="2070"/>
      <c r="B675" s="2396"/>
      <c r="C675" s="2397"/>
      <c r="D675" s="2398"/>
      <c r="E675" s="2399"/>
      <c r="F675" s="2400"/>
      <c r="G675" s="1593"/>
      <c r="H675" s="2225"/>
      <c r="I675" s="2354"/>
      <c r="J675" s="2070"/>
    </row>
    <row r="676" spans="1:10" s="2352" customFormat="1">
      <c r="A676" s="2070"/>
      <c r="B676" s="2395"/>
      <c r="C676" s="2391"/>
      <c r="D676" s="2392"/>
      <c r="E676" s="2393"/>
      <c r="F676" s="2400"/>
      <c r="G676" s="1593"/>
      <c r="H676" s="2225"/>
      <c r="I676" s="2354"/>
      <c r="J676" s="2070"/>
    </row>
    <row r="677" spans="1:10" s="2352" customFormat="1">
      <c r="A677" s="2070"/>
      <c r="B677" s="2401"/>
      <c r="C677" s="2402"/>
      <c r="D677" s="2403"/>
      <c r="E677" s="2404"/>
      <c r="F677" s="2400"/>
      <c r="G677" s="2225"/>
      <c r="H677" s="2225"/>
      <c r="I677" s="2354"/>
      <c r="J677" s="2070"/>
    </row>
    <row r="678" spans="1:10" s="2352" customFormat="1" ht="13.5" thickBot="1">
      <c r="A678" s="2070"/>
      <c r="B678" s="2405"/>
      <c r="C678" s="2406"/>
      <c r="D678" s="2407"/>
      <c r="E678" s="2408"/>
      <c r="F678" s="2409"/>
      <c r="G678" s="2225"/>
      <c r="H678" s="2225"/>
      <c r="I678" s="2354"/>
      <c r="J678" s="2070"/>
    </row>
    <row r="679" spans="1:10" s="2352" customFormat="1" ht="13.5" thickBot="1">
      <c r="A679" s="2070"/>
      <c r="B679" s="2410"/>
      <c r="C679" s="5214"/>
      <c r="D679" s="5215"/>
      <c r="E679" s="5216"/>
      <c r="F679" s="2411"/>
      <c r="G679" s="2225"/>
      <c r="H679" s="2225"/>
      <c r="I679" s="2354"/>
      <c r="J679" s="2070"/>
    </row>
    <row r="680" spans="1:10" s="2352" customFormat="1">
      <c r="A680" s="2070"/>
      <c r="B680" s="2070"/>
      <c r="C680" s="2093"/>
      <c r="D680" s="2094"/>
      <c r="E680" s="2093"/>
      <c r="F680" s="2093"/>
      <c r="G680" s="2225"/>
      <c r="H680" s="2225"/>
      <c r="I680" s="2354"/>
      <c r="J680" s="2070"/>
    </row>
    <row r="681" spans="1:10" s="2352" customFormat="1">
      <c r="A681" s="2070"/>
      <c r="B681" s="2147"/>
      <c r="C681" s="2093"/>
      <c r="D681" s="2094"/>
      <c r="E681" s="2093"/>
      <c r="F681" s="2093"/>
      <c r="G681" s="2225"/>
      <c r="H681" s="2225"/>
      <c r="I681" s="2354"/>
      <c r="J681" s="2070"/>
    </row>
    <row r="682" spans="1:10" s="2352" customFormat="1">
      <c r="A682" s="2070"/>
      <c r="B682" s="2070"/>
      <c r="C682" s="2093"/>
      <c r="D682" s="2094"/>
      <c r="E682" s="2093"/>
      <c r="F682" s="2093"/>
      <c r="G682" s="2225"/>
      <c r="H682" s="2225"/>
      <c r="I682" s="2354"/>
      <c r="J682" s="2070"/>
    </row>
    <row r="683" spans="1:10" s="2352" customFormat="1" ht="13.5" thickBot="1">
      <c r="A683" s="2070"/>
      <c r="B683" s="2615"/>
      <c r="C683" s="2616"/>
      <c r="D683" s="2472"/>
      <c r="E683" s="2472"/>
      <c r="F683" s="2472"/>
      <c r="G683" s="2225"/>
      <c r="H683" s="2225"/>
      <c r="I683" s="2354"/>
      <c r="J683" s="2070"/>
    </row>
    <row r="684" spans="1:10" s="2352" customFormat="1" ht="13.5" thickTop="1">
      <c r="A684" s="2070"/>
      <c r="B684" s="2478"/>
      <c r="C684" s="2601"/>
      <c r="D684" s="2602"/>
      <c r="E684" s="2603"/>
      <c r="F684" s="2604"/>
      <c r="G684" s="2225"/>
      <c r="H684" s="2225"/>
      <c r="I684" s="2354"/>
      <c r="J684" s="2070"/>
    </row>
    <row r="685" spans="1:10" s="2352" customFormat="1">
      <c r="A685" s="2070"/>
      <c r="B685" s="2483"/>
      <c r="C685" s="2605"/>
      <c r="D685" s="2415"/>
      <c r="E685" s="2606"/>
      <c r="F685" s="2607"/>
      <c r="G685" s="2225"/>
      <c r="H685" s="2225"/>
      <c r="I685" s="2354"/>
      <c r="J685" s="2070"/>
    </row>
    <row r="686" spans="1:10" s="2352" customFormat="1" ht="13.5" thickBot="1">
      <c r="A686" s="2070"/>
      <c r="B686" s="2489"/>
      <c r="C686" s="2608"/>
      <c r="D686" s="2608"/>
      <c r="E686" s="2609"/>
      <c r="F686" s="2610"/>
      <c r="G686" s="2225"/>
      <c r="H686" s="2225"/>
      <c r="I686" s="2354"/>
      <c r="J686" s="2070"/>
    </row>
    <row r="687" spans="1:10" s="2352" customFormat="1" ht="13.5" thickTop="1">
      <c r="A687" s="2070"/>
      <c r="B687" s="2600"/>
      <c r="C687" s="2472"/>
      <c r="D687" s="2472"/>
      <c r="E687" s="2472"/>
      <c r="F687" s="2472"/>
      <c r="G687" s="2225"/>
      <c r="H687" s="2225"/>
      <c r="I687" s="2354"/>
      <c r="J687" s="2070"/>
    </row>
    <row r="688" spans="1:10" s="2352" customFormat="1" ht="13.5" thickBot="1">
      <c r="A688" s="2070"/>
      <c r="B688" s="2615"/>
      <c r="C688" s="2616"/>
      <c r="D688" s="2472"/>
      <c r="E688" s="2472"/>
      <c r="F688" s="2472"/>
      <c r="G688" s="2225"/>
      <c r="H688" s="2225"/>
      <c r="I688" s="2354"/>
      <c r="J688" s="2070"/>
    </row>
    <row r="689" spans="1:10" s="2352" customFormat="1" ht="13.5" thickTop="1">
      <c r="A689" s="2070"/>
      <c r="B689" s="2478"/>
      <c r="C689" s="2601"/>
      <c r="D689" s="2602"/>
      <c r="E689" s="2603"/>
      <c r="F689" s="2604"/>
      <c r="G689" s="2225"/>
      <c r="H689" s="2225"/>
      <c r="I689" s="2354"/>
      <c r="J689" s="2070"/>
    </row>
    <row r="690" spans="1:10" s="2352" customFormat="1">
      <c r="A690" s="2070"/>
      <c r="B690" s="2483"/>
      <c r="C690" s="2605"/>
      <c r="D690" s="2415"/>
      <c r="E690" s="2606"/>
      <c r="F690" s="2607"/>
      <c r="G690" s="2225"/>
      <c r="H690" s="2225"/>
      <c r="I690" s="2354"/>
      <c r="J690" s="2070"/>
    </row>
    <row r="691" spans="1:10" s="2352" customFormat="1" ht="13.5" thickBot="1">
      <c r="A691" s="2070"/>
      <c r="B691" s="2489"/>
      <c r="C691" s="2608"/>
      <c r="D691" s="2608"/>
      <c r="E691" s="2609"/>
      <c r="F691" s="2610"/>
      <c r="G691" s="2225"/>
      <c r="H691" s="2225"/>
      <c r="I691" s="2354"/>
      <c r="J691" s="2070"/>
    </row>
    <row r="692" spans="1:10" s="2352" customFormat="1" ht="13.5" thickTop="1">
      <c r="A692" s="2070"/>
      <c r="B692" s="2600"/>
      <c r="C692" s="2472"/>
      <c r="D692" s="2472"/>
      <c r="E692" s="2472"/>
      <c r="F692" s="2472"/>
      <c r="G692" s="2225"/>
      <c r="H692" s="2225"/>
      <c r="I692" s="2354"/>
      <c r="J692" s="2070"/>
    </row>
    <row r="693" spans="1:10" s="2352" customFormat="1">
      <c r="A693" s="2070"/>
      <c r="B693" s="2600"/>
      <c r="C693" s="2472"/>
      <c r="D693" s="2472"/>
      <c r="E693" s="2472"/>
      <c r="F693" s="2472"/>
      <c r="G693" s="2225"/>
      <c r="H693" s="2225"/>
      <c r="I693" s="2354"/>
      <c r="J693" s="2070"/>
    </row>
    <row r="694" spans="1:10" s="2352" customFormat="1" ht="13.5" thickBot="1">
      <c r="A694" s="2070"/>
      <c r="B694" s="2617"/>
      <c r="C694" s="2472"/>
      <c r="D694" s="2472"/>
      <c r="E694" s="2472"/>
      <c r="F694" s="2472"/>
      <c r="G694" s="2225"/>
      <c r="H694" s="2225"/>
      <c r="I694" s="2354"/>
      <c r="J694" s="2070"/>
    </row>
    <row r="695" spans="1:10" s="2352" customFormat="1" ht="13.5" thickTop="1">
      <c r="A695" s="2070"/>
      <c r="B695" s="2478"/>
      <c r="C695" s="2601"/>
      <c r="D695" s="2602"/>
      <c r="E695" s="2603"/>
      <c r="F695" s="2604"/>
      <c r="G695" s="2225"/>
      <c r="H695" s="2225"/>
      <c r="I695" s="2354"/>
      <c r="J695" s="2070"/>
    </row>
    <row r="696" spans="1:10" s="2352" customFormat="1">
      <c r="A696" s="2070"/>
      <c r="B696" s="2483"/>
      <c r="C696" s="2605"/>
      <c r="D696" s="2415"/>
      <c r="E696" s="2606"/>
      <c r="F696" s="2607"/>
      <c r="G696" s="2225"/>
      <c r="H696" s="2225"/>
      <c r="I696" s="2354"/>
      <c r="J696" s="2070"/>
    </row>
    <row r="697" spans="1:10" s="2352" customFormat="1">
      <c r="A697" s="2070"/>
      <c r="B697" s="2483"/>
      <c r="C697" s="2611"/>
      <c r="D697" s="2415"/>
      <c r="E697" s="2606"/>
      <c r="F697" s="2607"/>
      <c r="G697" s="2225"/>
      <c r="H697" s="2225"/>
      <c r="I697" s="2354"/>
      <c r="J697" s="2070"/>
    </row>
    <row r="698" spans="1:10" s="2352" customFormat="1" ht="13.5" thickBot="1">
      <c r="A698" s="2070"/>
      <c r="B698" s="2489"/>
      <c r="C698" s="2608"/>
      <c r="D698" s="2608"/>
      <c r="E698" s="2609"/>
      <c r="F698" s="2610"/>
      <c r="G698" s="2225"/>
      <c r="H698" s="2225"/>
      <c r="I698" s="2354"/>
      <c r="J698" s="2070"/>
    </row>
    <row r="699" spans="1:10" s="2352" customFormat="1" ht="13.5" thickTop="1">
      <c r="A699" s="2070"/>
      <c r="B699" s="2070"/>
      <c r="C699" s="2093"/>
      <c r="D699" s="2094"/>
      <c r="E699" s="2093"/>
      <c r="F699" s="2093"/>
      <c r="G699" s="2225"/>
      <c r="H699" s="2225"/>
      <c r="I699" s="2354"/>
      <c r="J699" s="2070"/>
    </row>
    <row r="700" spans="1:10" s="2352" customFormat="1">
      <c r="A700" s="2070"/>
      <c r="B700" s="2070"/>
      <c r="C700" s="2093"/>
      <c r="D700" s="2094"/>
      <c r="E700" s="2093"/>
      <c r="F700" s="2093"/>
      <c r="G700" s="1593"/>
      <c r="H700" s="2225"/>
      <c r="I700" s="2354"/>
      <c r="J700" s="2070"/>
    </row>
    <row r="701" spans="1:10" s="2352" customFormat="1">
      <c r="A701" s="2070"/>
      <c r="B701" s="2241"/>
      <c r="C701" s="2093"/>
      <c r="D701" s="2094"/>
      <c r="E701" s="2093"/>
      <c r="F701" s="2093"/>
      <c r="G701" s="1593"/>
      <c r="H701" s="2225"/>
      <c r="I701" s="2354"/>
      <c r="J701" s="2070"/>
    </row>
    <row r="702" spans="1:10" s="2352" customFormat="1">
      <c r="A702" s="2070"/>
      <c r="B702" s="2070"/>
      <c r="C702" s="2093"/>
      <c r="D702" s="2094"/>
      <c r="E702" s="2093"/>
      <c r="F702" s="2093"/>
      <c r="G702" s="2225"/>
      <c r="H702" s="2225"/>
      <c r="I702" s="2354"/>
      <c r="J702" s="2070"/>
    </row>
    <row r="703" spans="1:10" s="2352" customFormat="1" ht="13.5" thickBot="1">
      <c r="A703" s="2070"/>
      <c r="B703" s="2617"/>
      <c r="C703" s="2472"/>
      <c r="D703" s="2472"/>
      <c r="E703" s="2472"/>
      <c r="F703" s="2472"/>
      <c r="G703" s="2225"/>
      <c r="H703" s="2225"/>
      <c r="I703" s="2354"/>
      <c r="J703" s="2070"/>
    </row>
    <row r="704" spans="1:10" s="2352" customFormat="1" ht="13.5" thickTop="1">
      <c r="A704" s="2070"/>
      <c r="B704" s="2478"/>
      <c r="C704" s="2601"/>
      <c r="D704" s="2602"/>
      <c r="E704" s="2603"/>
      <c r="F704" s="2604"/>
      <c r="G704" s="2225"/>
      <c r="H704" s="2225"/>
      <c r="I704" s="2354"/>
      <c r="J704" s="2070"/>
    </row>
    <row r="705" spans="1:10" s="2352" customFormat="1">
      <c r="A705" s="2070"/>
      <c r="B705" s="2483"/>
      <c r="C705" s="2605"/>
      <c r="D705" s="2415"/>
      <c r="E705" s="2606"/>
      <c r="F705" s="2607"/>
      <c r="G705" s="2225"/>
      <c r="H705" s="2225"/>
      <c r="I705" s="2354"/>
      <c r="J705" s="2070"/>
    </row>
    <row r="706" spans="1:10" s="2352" customFormat="1" ht="13.5" thickBot="1">
      <c r="A706" s="2070"/>
      <c r="B706" s="2489"/>
      <c r="C706" s="2608"/>
      <c r="D706" s="2608"/>
      <c r="E706" s="2609"/>
      <c r="F706" s="2610"/>
      <c r="G706" s="2225"/>
      <c r="H706" s="2225"/>
      <c r="I706" s="2354"/>
      <c r="J706" s="2070"/>
    </row>
    <row r="707" spans="1:10" s="2352" customFormat="1" ht="13.5" thickTop="1">
      <c r="A707" s="2070"/>
      <c r="B707" s="2600"/>
      <c r="C707" s="2472"/>
      <c r="D707" s="2472"/>
      <c r="E707" s="2472"/>
      <c r="F707" s="2472"/>
      <c r="G707" s="2225"/>
      <c r="H707" s="2225"/>
      <c r="I707" s="2354"/>
      <c r="J707" s="2070"/>
    </row>
    <row r="708" spans="1:10" s="2352" customFormat="1" ht="13.5" thickBot="1">
      <c r="A708" s="2070"/>
      <c r="B708" s="2617"/>
      <c r="C708" s="2472"/>
      <c r="D708" s="2472"/>
      <c r="E708" s="2472"/>
      <c r="F708" s="2472"/>
      <c r="G708" s="2225"/>
      <c r="H708" s="2225"/>
      <c r="I708" s="2354"/>
      <c r="J708" s="2070"/>
    </row>
    <row r="709" spans="1:10" s="2352" customFormat="1" ht="13.5" thickTop="1">
      <c r="A709" s="2070"/>
      <c r="B709" s="2478"/>
      <c r="C709" s="2601"/>
      <c r="D709" s="2602"/>
      <c r="E709" s="2603"/>
      <c r="F709" s="2604"/>
      <c r="G709" s="2225"/>
      <c r="H709" s="2225"/>
      <c r="I709" s="2354"/>
      <c r="J709" s="2070"/>
    </row>
    <row r="710" spans="1:10" s="2352" customFormat="1">
      <c r="A710" s="2070"/>
      <c r="B710" s="2483"/>
      <c r="C710" s="2605"/>
      <c r="D710" s="2415"/>
      <c r="E710" s="2606"/>
      <c r="F710" s="2607"/>
      <c r="G710" s="1593"/>
      <c r="H710" s="2225"/>
      <c r="I710" s="2354"/>
      <c r="J710" s="2070"/>
    </row>
    <row r="711" spans="1:10" s="2352" customFormat="1">
      <c r="A711" s="2070"/>
      <c r="B711" s="2483"/>
      <c r="C711" s="2611"/>
      <c r="D711" s="2415"/>
      <c r="E711" s="2606"/>
      <c r="F711" s="2607"/>
      <c r="G711" s="1593"/>
      <c r="H711" s="2225"/>
      <c r="I711" s="2354"/>
      <c r="J711" s="2070"/>
    </row>
    <row r="712" spans="1:10" s="2352" customFormat="1" ht="13.5" thickBot="1">
      <c r="A712" s="2070"/>
      <c r="B712" s="2489"/>
      <c r="C712" s="2608"/>
      <c r="D712" s="2608"/>
      <c r="E712" s="2609"/>
      <c r="F712" s="2610"/>
      <c r="G712" s="2225"/>
      <c r="H712" s="2225"/>
      <c r="I712" s="2354"/>
      <c r="J712" s="2070"/>
    </row>
    <row r="713" spans="1:10" s="2352" customFormat="1" ht="13.5" thickTop="1">
      <c r="A713" s="2070"/>
      <c r="B713" s="2070"/>
      <c r="C713" s="2093"/>
      <c r="D713" s="2094"/>
      <c r="E713" s="2093"/>
      <c r="F713" s="2093"/>
      <c r="G713" s="2225"/>
      <c r="H713" s="2225"/>
      <c r="I713" s="2354"/>
      <c r="J713" s="2070"/>
    </row>
    <row r="714" spans="1:10" s="2352" customFormat="1">
      <c r="A714" s="2070"/>
      <c r="B714" s="2241"/>
      <c r="C714" s="2093"/>
      <c r="D714" s="2094"/>
      <c r="E714" s="2093"/>
      <c r="F714" s="2093"/>
      <c r="G714" s="2225"/>
      <c r="H714" s="2225"/>
      <c r="I714" s="2354"/>
      <c r="J714" s="2070"/>
    </row>
    <row r="715" spans="1:10" s="2352" customFormat="1">
      <c r="A715" s="2070"/>
      <c r="B715" s="2070"/>
      <c r="C715" s="2093"/>
      <c r="D715" s="2094"/>
      <c r="E715" s="2093"/>
      <c r="F715" s="2093"/>
      <c r="G715" s="2225"/>
      <c r="H715" s="2225"/>
      <c r="I715" s="2354"/>
      <c r="J715" s="2070"/>
    </row>
    <row r="716" spans="1:10" s="2352" customFormat="1" ht="13.5" thickBot="1">
      <c r="A716" s="2070"/>
      <c r="B716" s="2617"/>
      <c r="C716" s="2472"/>
      <c r="D716" s="2472"/>
      <c r="E716" s="2472"/>
      <c r="F716" s="2472"/>
      <c r="G716" s="2225"/>
      <c r="H716" s="2225"/>
      <c r="I716" s="2354"/>
      <c r="J716" s="2070"/>
    </row>
    <row r="717" spans="1:10" s="2352" customFormat="1" ht="13.5" thickTop="1">
      <c r="A717" s="2070"/>
      <c r="B717" s="2478"/>
      <c r="C717" s="2601"/>
      <c r="D717" s="2602"/>
      <c r="E717" s="2603"/>
      <c r="F717" s="2604"/>
      <c r="G717" s="2225"/>
      <c r="H717" s="2225"/>
      <c r="I717" s="2354"/>
      <c r="J717" s="2070"/>
    </row>
    <row r="718" spans="1:10" s="2352" customFormat="1">
      <c r="A718" s="2070"/>
      <c r="B718" s="2483"/>
      <c r="C718" s="2605"/>
      <c r="D718" s="2415"/>
      <c r="E718" s="2606"/>
      <c r="F718" s="2607"/>
      <c r="G718" s="2225"/>
      <c r="H718" s="2225"/>
      <c r="I718" s="2354"/>
      <c r="J718" s="2070"/>
    </row>
    <row r="719" spans="1:10" s="2352" customFormat="1" ht="13.5" thickBot="1">
      <c r="A719" s="2070"/>
      <c r="B719" s="2489"/>
      <c r="C719" s="2608"/>
      <c r="D719" s="2608"/>
      <c r="E719" s="2609"/>
      <c r="F719" s="2610"/>
      <c r="G719" s="2225"/>
      <c r="H719" s="2225"/>
      <c r="I719" s="2354"/>
      <c r="J719" s="2070"/>
    </row>
    <row r="720" spans="1:10" s="2352" customFormat="1" ht="13.5" thickTop="1">
      <c r="A720" s="2070"/>
      <c r="B720" s="2600"/>
      <c r="C720" s="2472"/>
      <c r="D720" s="2472"/>
      <c r="E720" s="2472"/>
      <c r="F720" s="2472"/>
      <c r="G720" s="2225"/>
      <c r="H720" s="2225"/>
      <c r="I720" s="2354"/>
      <c r="J720" s="2070"/>
    </row>
    <row r="721" spans="1:10" s="2352" customFormat="1" ht="13.5" thickBot="1">
      <c r="A721" s="2070"/>
      <c r="B721" s="2617"/>
      <c r="C721" s="2472"/>
      <c r="D721" s="2472"/>
      <c r="E721" s="2472"/>
      <c r="F721" s="2472"/>
      <c r="G721" s="2225"/>
      <c r="H721" s="2225"/>
      <c r="I721" s="2354"/>
      <c r="J721" s="2070"/>
    </row>
    <row r="722" spans="1:10" s="2352" customFormat="1" ht="13.5" thickTop="1">
      <c r="A722" s="2070"/>
      <c r="B722" s="2478"/>
      <c r="C722" s="2601"/>
      <c r="D722" s="2602"/>
      <c r="E722" s="2603"/>
      <c r="F722" s="2604"/>
      <c r="G722" s="2225"/>
      <c r="H722" s="2225"/>
      <c r="I722" s="2354"/>
      <c r="J722" s="2070"/>
    </row>
    <row r="723" spans="1:10" s="2352" customFormat="1">
      <c r="A723" s="2070"/>
      <c r="B723" s="2483"/>
      <c r="C723" s="2605"/>
      <c r="D723" s="2415"/>
      <c r="E723" s="2606"/>
      <c r="F723" s="2607"/>
      <c r="G723" s="2225"/>
      <c r="H723" s="2225"/>
      <c r="I723" s="2354"/>
      <c r="J723" s="2070"/>
    </row>
    <row r="724" spans="1:10" s="2352" customFormat="1">
      <c r="A724" s="2070"/>
      <c r="B724" s="2483"/>
      <c r="C724" s="2611"/>
      <c r="D724" s="2415"/>
      <c r="E724" s="2606"/>
      <c r="F724" s="2607"/>
      <c r="G724" s="2225"/>
      <c r="H724" s="2225"/>
      <c r="I724" s="2354"/>
      <c r="J724" s="2070"/>
    </row>
    <row r="725" spans="1:10" s="2352" customFormat="1" ht="13.5" thickBot="1">
      <c r="A725" s="2070"/>
      <c r="B725" s="2489"/>
      <c r="C725" s="2608"/>
      <c r="D725" s="2608"/>
      <c r="E725" s="2609"/>
      <c r="F725" s="2610"/>
      <c r="G725" s="2225"/>
      <c r="H725" s="2225"/>
      <c r="I725" s="2354"/>
      <c r="J725" s="2070"/>
    </row>
    <row r="726" spans="1:10" s="2070" customFormat="1" ht="13.5" thickTop="1">
      <c r="C726" s="2072"/>
      <c r="D726" s="2148"/>
      <c r="E726" s="2072"/>
      <c r="F726" s="2072"/>
      <c r="G726" s="2225"/>
      <c r="H726" s="2225"/>
      <c r="I726" s="2354"/>
    </row>
    <row r="727" spans="1:10" s="2070" customFormat="1">
      <c r="C727" s="2093"/>
      <c r="D727" s="2094"/>
      <c r="E727" s="2093"/>
      <c r="F727" s="2093"/>
      <c r="G727" s="2225"/>
      <c r="H727" s="2225"/>
      <c r="I727" s="2354"/>
    </row>
    <row r="728" spans="1:10" s="2070" customFormat="1">
      <c r="C728" s="2093"/>
      <c r="D728" s="2094"/>
      <c r="E728" s="2093"/>
      <c r="F728" s="2093"/>
      <c r="G728" s="2225"/>
      <c r="H728" s="2225"/>
      <c r="I728" s="2354"/>
    </row>
    <row r="729" spans="1:10" s="2070" customFormat="1">
      <c r="C729" s="2093"/>
      <c r="D729" s="2094"/>
      <c r="E729" s="2072"/>
      <c r="F729" s="2072"/>
      <c r="G729" s="2225"/>
      <c r="H729" s="2225"/>
      <c r="I729" s="2354"/>
    </row>
    <row r="730" spans="1:10" s="2070" customFormat="1">
      <c r="B730" s="2618"/>
      <c r="C730" s="2619"/>
      <c r="D730" s="2620"/>
      <c r="E730" s="2621"/>
      <c r="F730" s="2622"/>
      <c r="G730" s="2225"/>
      <c r="H730" s="2225"/>
      <c r="I730" s="2354"/>
    </row>
    <row r="731" spans="1:10" s="2070" customFormat="1">
      <c r="B731" s="2618"/>
      <c r="C731" s="2619"/>
      <c r="D731" s="2620"/>
      <c r="E731" s="2621"/>
      <c r="F731" s="2622"/>
      <c r="G731" s="2225"/>
      <c r="H731" s="2225"/>
      <c r="I731" s="2354"/>
    </row>
    <row r="732" spans="1:10" s="2070" customFormat="1">
      <c r="B732" s="2623"/>
      <c r="C732" s="2624"/>
      <c r="D732" s="2625"/>
      <c r="E732" s="2626"/>
      <c r="F732" s="2627"/>
      <c r="G732" s="2225"/>
      <c r="H732" s="2225"/>
      <c r="I732" s="2354"/>
    </row>
    <row r="733" spans="1:10" s="2070" customFormat="1">
      <c r="B733" s="2582"/>
      <c r="C733" s="2628"/>
      <c r="D733" s="2629"/>
      <c r="E733" s="2630"/>
      <c r="F733" s="2236"/>
      <c r="G733" s="2225"/>
      <c r="H733" s="2225"/>
      <c r="I733" s="2354"/>
    </row>
    <row r="734" spans="1:10" s="2070" customFormat="1">
      <c r="B734" s="2631"/>
      <c r="C734" s="2628"/>
      <c r="D734" s="2629"/>
      <c r="E734" s="2630"/>
      <c r="F734" s="2243"/>
      <c r="G734" s="2225"/>
      <c r="H734" s="2225"/>
      <c r="I734" s="2354"/>
    </row>
    <row r="735" spans="1:10" s="2070" customFormat="1">
      <c r="B735" s="2582"/>
      <c r="C735" s="2628"/>
      <c r="D735" s="2629"/>
      <c r="E735" s="2630"/>
      <c r="F735" s="2243"/>
      <c r="G735" s="2225"/>
      <c r="H735" s="2225"/>
      <c r="I735" s="2354"/>
    </row>
    <row r="736" spans="1:10" s="2070" customFormat="1">
      <c r="B736" s="2631"/>
      <c r="C736" s="2628"/>
      <c r="D736" s="2629"/>
      <c r="E736" s="2630"/>
      <c r="F736" s="2236"/>
      <c r="G736" s="2225"/>
      <c r="H736" s="2225"/>
      <c r="I736" s="2354"/>
    </row>
    <row r="737" spans="2:9" s="2070" customFormat="1">
      <c r="B737" s="2631"/>
      <c r="C737" s="2628"/>
      <c r="D737" s="2629"/>
      <c r="E737" s="2630"/>
      <c r="F737" s="2236"/>
      <c r="G737" s="2225"/>
      <c r="H737" s="2225"/>
      <c r="I737" s="2354"/>
    </row>
    <row r="738" spans="2:9" s="2070" customFormat="1">
      <c r="B738" s="2631"/>
      <c r="C738" s="2628"/>
      <c r="D738" s="2629"/>
      <c r="E738" s="2630"/>
      <c r="F738" s="2236"/>
      <c r="G738" s="2225"/>
      <c r="H738" s="2225"/>
      <c r="I738" s="2354"/>
    </row>
    <row r="739" spans="2:9" s="2070" customFormat="1">
      <c r="B739" s="2631"/>
      <c r="C739" s="2628"/>
      <c r="D739" s="2629"/>
      <c r="E739" s="2630"/>
      <c r="F739" s="2243"/>
      <c r="G739" s="2225"/>
      <c r="H739" s="2225"/>
      <c r="I739" s="2354"/>
    </row>
    <row r="740" spans="2:9" s="2070" customFormat="1">
      <c r="B740" s="2582"/>
      <c r="C740" s="2628"/>
      <c r="D740" s="2629"/>
      <c r="E740" s="2630"/>
      <c r="F740" s="2243"/>
      <c r="G740" s="2225"/>
      <c r="H740" s="2225"/>
      <c r="I740" s="2354"/>
    </row>
    <row r="741" spans="2:9" s="2070" customFormat="1">
      <c r="B741" s="2631"/>
      <c r="C741" s="2628"/>
      <c r="D741" s="2629"/>
      <c r="E741" s="2630"/>
      <c r="F741" s="2236"/>
      <c r="G741" s="2225"/>
      <c r="H741" s="2225"/>
      <c r="I741" s="2354"/>
    </row>
    <row r="742" spans="2:9" s="2070" customFormat="1">
      <c r="B742" s="2631"/>
      <c r="C742" s="2628"/>
      <c r="D742" s="2629"/>
      <c r="E742" s="2630"/>
      <c r="F742" s="2236"/>
      <c r="G742" s="2225"/>
      <c r="H742" s="2225"/>
      <c r="I742" s="2354"/>
    </row>
    <row r="743" spans="2:9" s="2070" customFormat="1">
      <c r="B743" s="2631"/>
      <c r="C743" s="2628"/>
      <c r="D743" s="2629"/>
      <c r="E743" s="2630"/>
      <c r="F743" s="2236"/>
      <c r="G743" s="2225"/>
      <c r="H743" s="2225"/>
      <c r="I743" s="2354"/>
    </row>
    <row r="744" spans="2:9" s="2070" customFormat="1">
      <c r="B744" s="2631"/>
      <c r="C744" s="2628"/>
      <c r="D744" s="2629"/>
      <c r="E744" s="2630"/>
      <c r="F744" s="2243"/>
      <c r="G744" s="2225"/>
      <c r="H744" s="2225"/>
      <c r="I744" s="2354"/>
    </row>
    <row r="745" spans="2:9" s="2070" customFormat="1">
      <c r="B745" s="2582"/>
      <c r="C745" s="2628"/>
      <c r="D745" s="2629"/>
      <c r="E745" s="2630"/>
      <c r="F745" s="2236"/>
      <c r="G745" s="2225"/>
      <c r="H745" s="2225"/>
      <c r="I745" s="2354"/>
    </row>
    <row r="746" spans="2:9" s="2070" customFormat="1">
      <c r="B746" s="2631"/>
      <c r="C746" s="2628"/>
      <c r="D746" s="2629"/>
      <c r="E746" s="2630"/>
      <c r="F746" s="2243"/>
      <c r="G746" s="2225"/>
      <c r="H746" s="2225"/>
      <c r="I746" s="2354"/>
    </row>
    <row r="747" spans="2:9" s="2070" customFormat="1">
      <c r="B747" s="2582"/>
      <c r="C747" s="2628"/>
      <c r="D747" s="2629"/>
      <c r="E747" s="2630"/>
      <c r="F747" s="2243"/>
      <c r="G747" s="2225"/>
      <c r="H747" s="2225"/>
      <c r="I747" s="2354"/>
    </row>
    <row r="748" spans="2:9" s="2070" customFormat="1">
      <c r="B748" s="2631"/>
      <c r="C748" s="2628"/>
      <c r="D748" s="2629"/>
      <c r="E748" s="2630"/>
      <c r="F748" s="2236"/>
      <c r="G748" s="2225"/>
      <c r="H748" s="2225"/>
      <c r="I748" s="2354"/>
    </row>
    <row r="749" spans="2:9" s="2070" customFormat="1">
      <c r="B749" s="2631"/>
      <c r="C749" s="2628"/>
      <c r="D749" s="2629"/>
      <c r="E749" s="2630"/>
      <c r="F749" s="2236"/>
      <c r="G749" s="2225"/>
      <c r="H749" s="2225"/>
      <c r="I749" s="2354"/>
    </row>
    <row r="750" spans="2:9" s="2070" customFormat="1">
      <c r="B750" s="2631"/>
      <c r="C750" s="2628"/>
      <c r="D750" s="2629"/>
      <c r="E750" s="2630"/>
      <c r="F750" s="2236"/>
      <c r="G750" s="2225"/>
      <c r="H750" s="2225"/>
      <c r="I750" s="2354"/>
    </row>
    <row r="751" spans="2:9" s="2070" customFormat="1">
      <c r="B751" s="2631"/>
      <c r="C751" s="2628"/>
      <c r="D751" s="2629"/>
      <c r="E751" s="2630"/>
      <c r="F751" s="2236"/>
      <c r="G751" s="2225"/>
      <c r="H751" s="2225"/>
      <c r="I751" s="2354"/>
    </row>
    <row r="752" spans="2:9" s="2070" customFormat="1">
      <c r="B752" s="2632"/>
      <c r="C752" s="2633"/>
      <c r="D752" s="2629"/>
      <c r="E752" s="2630"/>
      <c r="F752" s="2243"/>
      <c r="G752" s="2225"/>
      <c r="H752" s="2225"/>
      <c r="I752" s="2354"/>
    </row>
    <row r="753" spans="1:12" s="2352" customFormat="1">
      <c r="A753" s="2070"/>
      <c r="B753" s="1908"/>
      <c r="C753" s="2634"/>
      <c r="D753" s="2635"/>
      <c r="E753" s="2636"/>
      <c r="F753" s="2637"/>
      <c r="G753" s="2225"/>
      <c r="H753" s="2225"/>
      <c r="I753" s="2354"/>
      <c r="J753" s="2070"/>
      <c r="K753" s="2070"/>
      <c r="L753" s="2070"/>
    </row>
    <row r="754" spans="1:12" s="2352" customFormat="1">
      <c r="A754" s="2070"/>
      <c r="B754" s="2070"/>
      <c r="C754" s="2072"/>
      <c r="D754" s="2094"/>
      <c r="E754" s="2093"/>
      <c r="F754" s="2093"/>
      <c r="G754" s="2225"/>
      <c r="H754" s="2225"/>
      <c r="I754" s="2354"/>
      <c r="J754" s="2070"/>
      <c r="K754" s="2070"/>
      <c r="L754" s="2070"/>
    </row>
    <row r="755" spans="1:12" s="2070" customFormat="1">
      <c r="B755" s="2618"/>
      <c r="C755" s="2072"/>
      <c r="D755" s="2094"/>
      <c r="E755" s="2093"/>
      <c r="F755" s="2093"/>
      <c r="G755" s="2225"/>
      <c r="H755" s="2225"/>
      <c r="I755" s="2354"/>
    </row>
    <row r="756" spans="1:12" s="2070" customFormat="1">
      <c r="B756" s="2618"/>
      <c r="C756" s="2072"/>
      <c r="D756" s="2094"/>
      <c r="E756" s="2093"/>
      <c r="F756" s="2093"/>
      <c r="G756" s="2225"/>
      <c r="H756" s="2225"/>
      <c r="I756" s="2354"/>
    </row>
    <row r="757" spans="1:12" s="2070" customFormat="1">
      <c r="B757" s="2259"/>
      <c r="C757" s="2109"/>
      <c r="D757" s="2146"/>
      <c r="E757" s="2109"/>
      <c r="F757" s="2638"/>
      <c r="G757" s="2225"/>
      <c r="H757" s="2225"/>
      <c r="I757" s="2354"/>
    </row>
    <row r="758" spans="1:12" s="2070" customFormat="1">
      <c r="B758" s="2107"/>
      <c r="C758" s="2052"/>
      <c r="D758" s="2146"/>
      <c r="E758" s="2052"/>
      <c r="F758" s="2639"/>
      <c r="G758" s="2225"/>
      <c r="H758" s="2225"/>
      <c r="I758" s="2354"/>
    </row>
    <row r="759" spans="1:12" s="2070" customFormat="1">
      <c r="B759" s="2107"/>
      <c r="C759" s="2052"/>
      <c r="D759" s="2146"/>
      <c r="E759" s="2052"/>
      <c r="F759" s="2639"/>
      <c r="G759" s="2225"/>
      <c r="H759" s="2225"/>
      <c r="I759" s="2354"/>
    </row>
    <row r="760" spans="1:12" s="2070" customFormat="1">
      <c r="B760" s="2107"/>
      <c r="C760" s="2052"/>
      <c r="D760" s="2146"/>
      <c r="E760" s="2052"/>
      <c r="F760" s="2639"/>
      <c r="G760" s="2225"/>
      <c r="H760" s="2225"/>
      <c r="I760" s="2354"/>
    </row>
    <row r="761" spans="1:12" s="2070" customFormat="1">
      <c r="B761" s="8"/>
      <c r="C761" s="8"/>
      <c r="D761" s="8"/>
      <c r="E761" s="2636"/>
      <c r="F761" s="2637"/>
      <c r="G761" s="2225"/>
      <c r="H761" s="2225"/>
      <c r="I761" s="2354"/>
    </row>
    <row r="762" spans="1:12" s="2070" customFormat="1">
      <c r="B762" s="8"/>
      <c r="C762" s="8"/>
      <c r="D762" s="8"/>
      <c r="E762" s="8"/>
      <c r="F762" s="2640"/>
      <c r="G762" s="2225"/>
      <c r="H762" s="2225"/>
      <c r="I762" s="2354"/>
    </row>
    <row r="763" spans="1:12" s="2070" customFormat="1">
      <c r="B763" s="2641"/>
      <c r="C763" s="2642"/>
      <c r="D763" s="2643"/>
      <c r="E763" s="2642"/>
      <c r="F763" s="2642"/>
      <c r="G763" s="2225"/>
      <c r="H763" s="2225"/>
      <c r="I763" s="2354"/>
    </row>
    <row r="764" spans="1:12" s="2070" customFormat="1">
      <c r="B764" s="2107"/>
      <c r="C764" s="2052"/>
      <c r="D764" s="2146"/>
      <c r="E764" s="2052"/>
      <c r="F764" s="2639"/>
      <c r="G764" s="2225"/>
      <c r="H764" s="2225"/>
      <c r="I764" s="2354"/>
    </row>
    <row r="765" spans="1:12" s="2070" customFormat="1">
      <c r="B765" s="2107"/>
      <c r="C765" s="2052"/>
      <c r="D765" s="2146"/>
      <c r="E765" s="2052"/>
      <c r="F765" s="2639"/>
      <c r="G765" s="2225"/>
      <c r="H765" s="2225"/>
      <c r="I765" s="2354"/>
    </row>
    <row r="766" spans="1:12" s="2070" customFormat="1">
      <c r="B766" s="2107"/>
      <c r="C766" s="2109"/>
      <c r="D766" s="2146"/>
      <c r="E766" s="2440"/>
      <c r="F766" s="2637"/>
      <c r="G766" s="2225"/>
      <c r="H766" s="2225"/>
      <c r="I766" s="2354"/>
    </row>
    <row r="767" spans="1:12" s="2070" customFormat="1">
      <c r="C767" s="2093"/>
      <c r="D767" s="2094"/>
      <c r="E767" s="2093"/>
      <c r="F767" s="2093"/>
      <c r="G767" s="2225"/>
      <c r="H767" s="2225"/>
      <c r="I767" s="2354"/>
    </row>
    <row r="768" spans="1:12" s="2070" customFormat="1">
      <c r="C768" s="2093"/>
      <c r="D768" s="2094"/>
      <c r="E768" s="2093"/>
      <c r="F768" s="2093"/>
      <c r="G768" s="2225"/>
      <c r="H768" s="2225"/>
      <c r="I768" s="2354"/>
    </row>
    <row r="769" spans="1:11" s="2070" customFormat="1" ht="13.5" thickBot="1">
      <c r="B769" s="2644"/>
      <c r="C769" s="2645"/>
      <c r="D769" s="2643"/>
      <c r="E769" s="2642"/>
      <c r="F769" s="2642"/>
      <c r="G769" s="2225"/>
      <c r="H769" s="2225"/>
      <c r="I769" s="2354"/>
    </row>
    <row r="770" spans="1:11" s="2070" customFormat="1" ht="13.5" thickTop="1">
      <c r="B770" s="2080"/>
      <c r="C770" s="2048"/>
      <c r="D770" s="2145"/>
      <c r="E770" s="2048"/>
      <c r="F770" s="199"/>
      <c r="G770" s="2225"/>
      <c r="H770" s="2225"/>
      <c r="I770" s="2354"/>
    </row>
    <row r="771" spans="1:11" s="2070" customFormat="1">
      <c r="B771" s="2082"/>
      <c r="C771" s="2052"/>
      <c r="D771" s="2146"/>
      <c r="E771" s="2052"/>
      <c r="F771" s="204"/>
      <c r="G771" s="2225"/>
      <c r="H771" s="2225"/>
      <c r="I771" s="2354"/>
    </row>
    <row r="772" spans="1:11" s="2070" customFormat="1">
      <c r="B772" s="2082"/>
      <c r="C772" s="2052"/>
      <c r="D772" s="2146"/>
      <c r="E772" s="2052"/>
      <c r="F772" s="204"/>
      <c r="G772" s="2225"/>
      <c r="H772" s="2225"/>
      <c r="I772" s="2354"/>
    </row>
    <row r="773" spans="1:11" s="2070" customFormat="1" ht="13.5" thickBot="1">
      <c r="B773" s="2100"/>
      <c r="C773" s="2101"/>
      <c r="D773" s="2105"/>
      <c r="E773" s="2440"/>
      <c r="F773" s="2637"/>
      <c r="G773" s="2225"/>
      <c r="H773" s="2225"/>
      <c r="I773" s="2354"/>
    </row>
    <row r="774" spans="1:11" s="2070" customFormat="1" ht="13.5" thickTop="1">
      <c r="C774" s="2093"/>
      <c r="D774" s="2094"/>
      <c r="E774" s="2093"/>
      <c r="F774" s="2093"/>
      <c r="G774" s="2225"/>
      <c r="H774" s="2225"/>
      <c r="I774" s="2354"/>
    </row>
    <row r="775" spans="1:11" s="2070" customFormat="1" ht="13.5" thickBot="1">
      <c r="B775" s="2644"/>
      <c r="C775" s="2645"/>
      <c r="D775" s="2643"/>
      <c r="E775" s="2642"/>
      <c r="F775" s="2642"/>
      <c r="G775" s="2225"/>
      <c r="H775" s="2225"/>
      <c r="I775" s="2354"/>
    </row>
    <row r="776" spans="1:11" s="2070" customFormat="1" ht="13.5" thickTop="1">
      <c r="B776" s="2080"/>
      <c r="C776" s="2048"/>
      <c r="D776" s="2145"/>
      <c r="E776" s="2048"/>
      <c r="F776" s="199"/>
      <c r="G776" s="2225"/>
      <c r="H776" s="2225"/>
      <c r="I776" s="2354"/>
    </row>
    <row r="777" spans="1:11" s="2070" customFormat="1">
      <c r="B777" s="2082"/>
      <c r="C777" s="2052"/>
      <c r="D777" s="2146"/>
      <c r="E777" s="2052"/>
      <c r="F777" s="204"/>
      <c r="G777" s="2225"/>
      <c r="H777" s="2225"/>
      <c r="I777" s="2354"/>
    </row>
    <row r="778" spans="1:11" s="2070" customFormat="1">
      <c r="B778" s="2082"/>
      <c r="C778" s="2052"/>
      <c r="D778" s="2146"/>
      <c r="E778" s="2052"/>
      <c r="F778" s="204"/>
      <c r="G778" s="2225"/>
      <c r="H778" s="2225"/>
      <c r="I778" s="2354"/>
    </row>
    <row r="779" spans="1:11" s="2070" customFormat="1" ht="13.5" thickBot="1">
      <c r="B779" s="2100"/>
      <c r="C779" s="2101"/>
      <c r="D779" s="2105"/>
      <c r="E779" s="2440"/>
      <c r="F779" s="2637"/>
      <c r="G779" s="2225"/>
      <c r="H779" s="2225"/>
      <c r="I779" s="2354"/>
    </row>
    <row r="780" spans="1:11" s="2070" customFormat="1" ht="13.5" thickTop="1">
      <c r="A780" s="2646"/>
      <c r="B780" s="5197"/>
      <c r="C780" s="5197"/>
      <c r="D780" s="5197"/>
      <c r="E780" s="5197"/>
      <c r="F780" s="5197"/>
      <c r="G780" s="2225"/>
      <c r="H780" s="2225"/>
      <c r="I780" s="2354"/>
    </row>
    <row r="781" spans="1:11" s="2070" customFormat="1">
      <c r="B781" s="2647"/>
      <c r="C781" s="2648"/>
      <c r="D781" s="2648"/>
      <c r="E781" s="2648"/>
      <c r="F781" s="2648"/>
      <c r="G781" s="2225"/>
      <c r="H781" s="2225"/>
      <c r="I781" s="2354"/>
    </row>
    <row r="782" spans="1:11" s="2352" customFormat="1">
      <c r="A782" s="2070"/>
      <c r="B782" s="2649"/>
      <c r="C782" s="2650"/>
      <c r="D782" s="2094"/>
      <c r="E782" s="2093"/>
      <c r="F782" s="2093"/>
      <c r="G782" s="2244"/>
      <c r="H782" s="2244"/>
      <c r="I782" s="2357"/>
    </row>
    <row r="783" spans="1:11" s="2352" customFormat="1">
      <c r="A783" s="2651"/>
      <c r="B783" s="2082"/>
      <c r="C783" s="2234"/>
      <c r="D783" s="2235"/>
      <c r="E783" s="2652"/>
      <c r="F783" s="2653"/>
      <c r="G783" s="2244"/>
      <c r="H783" s="2357"/>
      <c r="K783" s="2244"/>
    </row>
    <row r="784" spans="1:11" s="2352" customFormat="1">
      <c r="A784" s="2651"/>
      <c r="B784" s="2654"/>
      <c r="C784" s="2234"/>
      <c r="D784" s="2235"/>
      <c r="E784" s="2652"/>
      <c r="F784" s="2653"/>
      <c r="G784" s="2244"/>
      <c r="H784" s="2357"/>
      <c r="K784" s="2244"/>
    </row>
    <row r="785" spans="1:11" s="2352" customFormat="1">
      <c r="A785" s="2651"/>
      <c r="B785" s="2082"/>
      <c r="C785" s="2234"/>
      <c r="D785" s="2235"/>
      <c r="E785" s="2655"/>
      <c r="F785" s="2653"/>
      <c r="H785" s="2357"/>
    </row>
    <row r="786" spans="1:11" s="2352" customFormat="1">
      <c r="A786" s="2651"/>
      <c r="B786" s="2082"/>
      <c r="C786" s="2234"/>
      <c r="D786" s="2235"/>
      <c r="E786" s="2653"/>
      <c r="F786" s="2653"/>
      <c r="H786" s="2357"/>
    </row>
    <row r="787" spans="1:11" s="2352" customFormat="1">
      <c r="A787" s="2651"/>
      <c r="B787" s="2107"/>
      <c r="C787" s="2234"/>
      <c r="D787" s="2235"/>
      <c r="E787" s="2653"/>
      <c r="F787" s="2653"/>
      <c r="G787" s="2244"/>
      <c r="H787" s="2244"/>
      <c r="I787" s="2357"/>
      <c r="K787" s="2656"/>
    </row>
    <row r="788" spans="1:11" s="2352" customFormat="1">
      <c r="A788" s="2651"/>
      <c r="B788" s="2107"/>
      <c r="C788" s="2234"/>
      <c r="D788" s="2235"/>
      <c r="E788" s="2653"/>
      <c r="F788" s="2653"/>
      <c r="G788" s="2244"/>
      <c r="H788" s="2244"/>
      <c r="I788" s="2357"/>
      <c r="K788" s="2656"/>
    </row>
    <row r="789" spans="1:11" s="2352" customFormat="1">
      <c r="A789" s="2651"/>
      <c r="B789" s="2107"/>
      <c r="C789" s="2234"/>
      <c r="D789" s="2235"/>
      <c r="E789" s="2653"/>
      <c r="F789" s="2653"/>
      <c r="G789" s="2244"/>
      <c r="H789" s="2244"/>
      <c r="I789" s="2357"/>
      <c r="K789" s="2244"/>
    </row>
    <row r="790" spans="1:11" s="2352" customFormat="1">
      <c r="A790" s="2651"/>
      <c r="B790" s="2107"/>
      <c r="C790" s="2234"/>
      <c r="D790" s="2235"/>
      <c r="E790" s="2653"/>
      <c r="F790" s="2653"/>
      <c r="G790" s="2244"/>
      <c r="I790" s="2357"/>
      <c r="K790" s="2244"/>
    </row>
    <row r="791" spans="1:11" s="2352" customFormat="1">
      <c r="A791" s="2651"/>
      <c r="B791" s="2107"/>
      <c r="C791" s="2234"/>
      <c r="D791" s="2235"/>
      <c r="E791" s="2653"/>
      <c r="F791" s="2653"/>
      <c r="G791" s="2244"/>
      <c r="H791" s="2244"/>
      <c r="I791" s="2357"/>
      <c r="K791" s="2244"/>
    </row>
    <row r="792" spans="1:11" s="2352" customFormat="1">
      <c r="A792" s="2651"/>
      <c r="B792" s="2107"/>
      <c r="C792" s="2234"/>
      <c r="D792" s="2235"/>
      <c r="E792" s="2653"/>
      <c r="F792" s="2653"/>
      <c r="G792" s="2244"/>
      <c r="H792" s="2244"/>
      <c r="I792" s="2357"/>
    </row>
    <row r="793" spans="1:11" s="2352" customFormat="1">
      <c r="A793" s="2651"/>
      <c r="B793" s="2107"/>
      <c r="C793" s="2234"/>
      <c r="D793" s="2235"/>
      <c r="E793" s="2653"/>
      <c r="F793" s="2653"/>
      <c r="G793" s="2244"/>
      <c r="H793" s="2357"/>
      <c r="K793" s="2244"/>
    </row>
    <row r="794" spans="1:11" s="2352" customFormat="1">
      <c r="A794" s="2651"/>
      <c r="B794" s="2107"/>
      <c r="C794" s="2234"/>
      <c r="D794" s="2235"/>
      <c r="E794" s="2653"/>
      <c r="F794" s="2653"/>
      <c r="G794" s="2244"/>
      <c r="H794" s="2244"/>
      <c r="I794" s="2357"/>
      <c r="K794" s="2244"/>
    </row>
    <row r="795" spans="1:11" s="2352" customFormat="1">
      <c r="A795" s="2651"/>
      <c r="B795" s="2657"/>
      <c r="C795" s="2658"/>
      <c r="D795" s="2658"/>
      <c r="E795" s="2658"/>
      <c r="F795" s="2516"/>
      <c r="G795" s="2244"/>
      <c r="H795" s="2244"/>
      <c r="I795" s="2357"/>
    </row>
    <row r="796" spans="1:11" s="2352" customFormat="1">
      <c r="A796" s="2070"/>
      <c r="B796" s="2659"/>
      <c r="C796" s="2660"/>
      <c r="D796" s="2660"/>
      <c r="E796" s="2660"/>
      <c r="F796" s="2538"/>
      <c r="G796" s="2244"/>
      <c r="H796" s="2244"/>
      <c r="I796" s="2357"/>
    </row>
    <row r="797" spans="1:11" s="2352" customFormat="1">
      <c r="A797" s="2070"/>
      <c r="B797" s="2659"/>
      <c r="C797" s="2660"/>
      <c r="D797" s="2660"/>
      <c r="E797" s="2660"/>
      <c r="F797" s="2538"/>
      <c r="G797" s="2244"/>
      <c r="H797" s="2244"/>
      <c r="I797" s="2357"/>
    </row>
    <row r="798" spans="1:11" s="2070" customFormat="1">
      <c r="B798" s="2025"/>
      <c r="C798" s="2412"/>
      <c r="D798" s="2413"/>
      <c r="E798" s="2413"/>
      <c r="F798" s="2413"/>
      <c r="G798" s="2225"/>
      <c r="H798" s="2225"/>
      <c r="I798" s="2354"/>
    </row>
    <row r="799" spans="1:11" s="2070" customFormat="1">
      <c r="B799" s="2661"/>
      <c r="C799" s="2414"/>
      <c r="D799" s="2415"/>
      <c r="E799" s="2414"/>
      <c r="F799" s="2414"/>
      <c r="G799" s="2225"/>
      <c r="H799" s="2225"/>
      <c r="I799" s="2354"/>
    </row>
    <row r="800" spans="1:11" s="2070" customFormat="1">
      <c r="B800" s="2661"/>
      <c r="C800" s="2414"/>
      <c r="D800" s="2415"/>
      <c r="E800" s="2414"/>
      <c r="F800" s="2414"/>
      <c r="G800" s="2225"/>
      <c r="H800" s="2225"/>
      <c r="I800" s="2354"/>
    </row>
    <row r="801" spans="1:9" s="2070" customFormat="1">
      <c r="B801" s="2661"/>
      <c r="C801" s="2662"/>
      <c r="D801" s="2415"/>
      <c r="E801" s="2416"/>
      <c r="F801" s="2414"/>
      <c r="G801" s="2225"/>
      <c r="H801" s="2225"/>
      <c r="I801" s="2354"/>
    </row>
    <row r="802" spans="1:9" s="2070" customFormat="1">
      <c r="B802" s="2663"/>
      <c r="C802" s="2661"/>
      <c r="D802" s="2664"/>
      <c r="E802" s="2259"/>
      <c r="F802" s="2516"/>
      <c r="G802" s="2225"/>
      <c r="H802" s="2225"/>
      <c r="I802" s="2354"/>
    </row>
    <row r="803" spans="1:9" s="2352" customFormat="1">
      <c r="A803" s="2070"/>
      <c r="B803" s="2659"/>
      <c r="C803" s="2660"/>
      <c r="D803" s="2660"/>
      <c r="E803" s="2660"/>
      <c r="F803" s="2538"/>
      <c r="G803" s="2244"/>
      <c r="H803" s="2244"/>
      <c r="I803" s="2357"/>
    </row>
    <row r="804" spans="1:9" s="2665" customFormat="1">
      <c r="B804" s="2560"/>
      <c r="C804" s="2161"/>
      <c r="D804" s="2162"/>
      <c r="E804" s="2161"/>
      <c r="F804" s="2161"/>
    </row>
    <row r="805" spans="1:9" s="2665" customFormat="1">
      <c r="B805" s="2666"/>
      <c r="C805" s="2666"/>
      <c r="D805" s="2666"/>
      <c r="E805" s="2666"/>
      <c r="F805" s="2667"/>
    </row>
    <row r="806" spans="1:9" s="2665" customFormat="1">
      <c r="B806" s="2668"/>
      <c r="C806" s="2669"/>
      <c r="D806" s="2597"/>
      <c r="E806" s="2669"/>
      <c r="F806" s="2670"/>
    </row>
    <row r="807" spans="1:9" s="2665" customFormat="1">
      <c r="B807" s="2671"/>
      <c r="C807" s="2672"/>
      <c r="D807" s="2673"/>
      <c r="E807" s="2672"/>
      <c r="F807" s="2674"/>
    </row>
    <row r="808" spans="1:9" s="2665" customFormat="1">
      <c r="B808" s="2675"/>
      <c r="C808" s="2672"/>
      <c r="D808" s="2673"/>
      <c r="E808" s="2672"/>
      <c r="F808" s="2674"/>
    </row>
    <row r="809" spans="1:9" s="2665" customFormat="1">
      <c r="B809" s="2675"/>
      <c r="C809" s="2672"/>
      <c r="D809" s="2673"/>
      <c r="E809" s="2672"/>
      <c r="F809" s="2674"/>
    </row>
    <row r="810" spans="1:9" s="2665" customFormat="1">
      <c r="B810" s="2676"/>
      <c r="C810" s="2672"/>
      <c r="D810" s="2673"/>
      <c r="E810" s="2672"/>
      <c r="F810" s="2674"/>
    </row>
    <row r="811" spans="1:9" s="2665" customFormat="1">
      <c r="B811" s="2671"/>
      <c r="C811" s="2677"/>
      <c r="D811" s="2673"/>
      <c r="E811" s="2678"/>
      <c r="F811" s="2679"/>
    </row>
    <row r="812" spans="1:9" s="2665" customFormat="1">
      <c r="B812" s="2680"/>
      <c r="C812" s="2681"/>
      <c r="D812" s="2682"/>
      <c r="E812" s="2683"/>
      <c r="F812" s="2435"/>
    </row>
    <row r="813" spans="1:9" s="2070" customFormat="1">
      <c r="B813" s="2684"/>
      <c r="C813" s="2648"/>
      <c r="D813" s="2648"/>
      <c r="E813" s="2685"/>
      <c r="F813" s="2686"/>
      <c r="G813" s="2225"/>
      <c r="H813" s="2225"/>
      <c r="I813" s="2354"/>
    </row>
    <row r="814" spans="1:9" s="2070" customFormat="1">
      <c r="B814" s="2684"/>
      <c r="C814" s="2648"/>
      <c r="D814" s="2648"/>
      <c r="E814" s="2685"/>
      <c r="F814" s="2686"/>
      <c r="G814" s="2225"/>
      <c r="H814" s="2225"/>
      <c r="I814" s="2354"/>
    </row>
    <row r="815" spans="1:9" s="8" customFormat="1">
      <c r="B815" s="2417"/>
      <c r="C815" s="2418"/>
      <c r="D815" s="2418"/>
      <c r="E815" s="2418"/>
      <c r="F815" s="2418"/>
    </row>
    <row r="816" spans="1:9" s="8" customFormat="1">
      <c r="B816" s="2687"/>
      <c r="C816" s="2688"/>
      <c r="D816" s="2688"/>
      <c r="E816" s="2688"/>
      <c r="F816" s="2688"/>
    </row>
    <row r="817" spans="1:10" s="8" customFormat="1">
      <c r="B817" s="40"/>
      <c r="C817" s="2689"/>
      <c r="D817" s="2690"/>
      <c r="E817" s="2689"/>
      <c r="F817" s="2689"/>
    </row>
    <row r="818" spans="1:10" s="8" customFormat="1">
      <c r="B818" s="40"/>
      <c r="C818" s="2689"/>
      <c r="D818" s="2690"/>
      <c r="E818" s="2689"/>
      <c r="F818" s="2689"/>
    </row>
    <row r="819" spans="1:10" s="8" customFormat="1">
      <c r="B819" s="40"/>
      <c r="C819" s="2689"/>
      <c r="D819" s="2690"/>
      <c r="E819" s="2689"/>
      <c r="F819" s="2689"/>
    </row>
    <row r="820" spans="1:10" s="8" customFormat="1">
      <c r="B820" s="40"/>
      <c r="C820" s="2689"/>
      <c r="D820" s="2690"/>
      <c r="E820" s="2689"/>
      <c r="F820" s="2689"/>
    </row>
    <row r="821" spans="1:10" s="8" customFormat="1">
      <c r="B821" s="2691"/>
      <c r="C821" s="2692"/>
      <c r="D821" s="2693"/>
      <c r="E821" s="2694"/>
      <c r="F821" s="2694"/>
    </row>
    <row r="822" spans="1:10" s="8" customFormat="1">
      <c r="B822" s="2695"/>
      <c r="C822" s="2696"/>
      <c r="D822" s="2697"/>
      <c r="E822" s="2695"/>
      <c r="F822" s="2698"/>
    </row>
    <row r="823" spans="1:10" s="8" customFormat="1">
      <c r="B823" s="2695"/>
      <c r="C823" s="2699"/>
      <c r="D823" s="2697"/>
      <c r="E823" s="2695"/>
      <c r="F823" s="2686"/>
    </row>
    <row r="824" spans="1:10" s="2070" customFormat="1" ht="13.5" thickBot="1">
      <c r="A824" s="8"/>
      <c r="B824" s="1738"/>
      <c r="C824" s="2700"/>
      <c r="D824" s="2648"/>
      <c r="E824" s="2701"/>
      <c r="F824" s="2686"/>
      <c r="G824" s="2225"/>
      <c r="H824" s="2225"/>
      <c r="I824" s="2354"/>
    </row>
    <row r="825" spans="1:10" s="2070" customFormat="1" ht="13.5" thickTop="1">
      <c r="A825" s="8"/>
      <c r="B825" s="2702"/>
      <c r="C825" s="2703"/>
      <c r="D825" s="2145"/>
      <c r="E825" s="2703"/>
      <c r="F825" s="2524"/>
      <c r="G825" s="2225"/>
      <c r="H825" s="2225"/>
      <c r="I825" s="2354"/>
    </row>
    <row r="826" spans="1:10" s="2070" customFormat="1">
      <c r="A826" s="8"/>
      <c r="B826" s="2704"/>
      <c r="C826" s="2249"/>
      <c r="D826" s="2146"/>
      <c r="E826" s="2249"/>
      <c r="F826" s="2525"/>
      <c r="G826" s="2225"/>
      <c r="H826" s="2225"/>
      <c r="I826" s="2354"/>
    </row>
    <row r="827" spans="1:10" s="2070" customFormat="1">
      <c r="A827" s="8"/>
      <c r="B827" s="2704"/>
      <c r="C827" s="2249"/>
      <c r="D827" s="2146"/>
      <c r="E827" s="2249"/>
      <c r="F827" s="2525"/>
      <c r="G827" s="2225"/>
      <c r="H827" s="2225"/>
      <c r="I827" s="2354"/>
    </row>
    <row r="828" spans="1:10" s="2070" customFormat="1">
      <c r="A828" s="8"/>
      <c r="B828" s="2704"/>
      <c r="C828" s="2249"/>
      <c r="D828" s="2146"/>
      <c r="E828" s="2249"/>
      <c r="F828" s="2525"/>
      <c r="G828" s="2225"/>
      <c r="H828" s="2225"/>
      <c r="I828" s="2354"/>
    </row>
    <row r="829" spans="1:10" s="2070" customFormat="1" ht="13.5" thickBot="1">
      <c r="A829" s="8"/>
      <c r="B829" s="2705"/>
      <c r="C829" s="2706"/>
      <c r="D829" s="2705"/>
      <c r="E829" s="2707"/>
      <c r="F829" s="2708"/>
      <c r="G829" s="2225"/>
      <c r="H829" s="2225"/>
      <c r="I829" s="2354"/>
    </row>
    <row r="830" spans="1:10" s="2070" customFormat="1" ht="13.5" thickTop="1">
      <c r="A830" s="8"/>
      <c r="B830" s="2709"/>
      <c r="C830" s="2710"/>
      <c r="D830" s="2145"/>
      <c r="E830" s="2711"/>
      <c r="F830" s="2712"/>
      <c r="G830" s="2225"/>
      <c r="H830" s="2225"/>
      <c r="I830" s="2354"/>
    </row>
    <row r="831" spans="1:10" s="2070" customFormat="1">
      <c r="A831" s="8"/>
      <c r="B831" s="2713"/>
      <c r="C831" s="2714"/>
      <c r="D831" s="2148"/>
      <c r="E831" s="2149"/>
      <c r="F831" s="2686"/>
      <c r="G831" s="2225"/>
      <c r="H831" s="2225"/>
      <c r="I831" s="2354"/>
    </row>
    <row r="832" spans="1:10" s="2352" customFormat="1">
      <c r="A832" s="8"/>
      <c r="B832" s="2505"/>
      <c r="C832" s="2583"/>
      <c r="D832" s="2472"/>
      <c r="E832" s="2472"/>
      <c r="F832" s="2472"/>
      <c r="G832" s="2244"/>
      <c r="H832" s="2244"/>
      <c r="I832" s="2244"/>
      <c r="J832" s="2357"/>
    </row>
    <row r="833" spans="1:10" s="2352" customFormat="1">
      <c r="A833" s="2070"/>
      <c r="B833" s="2715"/>
      <c r="C833" s="2589"/>
      <c r="D833" s="2716"/>
      <c r="E833" s="2717"/>
      <c r="F833" s="2718"/>
      <c r="G833" s="2244"/>
      <c r="H833" s="2244"/>
      <c r="I833" s="2244"/>
      <c r="J833" s="2357"/>
    </row>
    <row r="834" spans="1:10" s="2352" customFormat="1">
      <c r="A834" s="2070"/>
      <c r="B834" s="2675"/>
      <c r="C834" s="2589"/>
      <c r="D834" s="2716"/>
      <c r="E834" s="2717"/>
      <c r="F834" s="2718"/>
      <c r="G834" s="2244"/>
      <c r="H834" s="2244"/>
      <c r="I834" s="2244"/>
      <c r="J834" s="2357"/>
    </row>
    <row r="835" spans="1:10" s="2352" customFormat="1">
      <c r="A835" s="2070"/>
      <c r="B835" s="2427"/>
      <c r="C835" s="2589"/>
      <c r="D835" s="2716"/>
      <c r="E835" s="2717"/>
      <c r="F835" s="2718"/>
      <c r="G835" s="2244"/>
      <c r="H835" s="2244"/>
      <c r="I835" s="2244"/>
      <c r="J835" s="2357"/>
    </row>
    <row r="836" spans="1:10" s="2352" customFormat="1">
      <c r="A836" s="2070"/>
      <c r="B836" s="2605"/>
      <c r="C836" s="2589"/>
      <c r="D836" s="2719"/>
      <c r="E836" s="2717"/>
      <c r="F836" s="2718"/>
      <c r="G836" s="2244"/>
      <c r="H836" s="2244"/>
      <c r="I836" s="2244"/>
      <c r="J836" s="2357"/>
    </row>
    <row r="837" spans="1:10" s="2352" customFormat="1">
      <c r="A837" s="2070"/>
      <c r="B837" s="2605"/>
      <c r="C837" s="2589"/>
      <c r="D837" s="2719"/>
      <c r="E837" s="2717"/>
      <c r="F837" s="2720"/>
      <c r="G837" s="2244"/>
      <c r="H837" s="2244"/>
      <c r="I837" s="2244"/>
      <c r="J837" s="2357"/>
    </row>
    <row r="838" spans="1:10" s="2352" customFormat="1">
      <c r="A838" s="2070"/>
      <c r="B838" s="2721"/>
      <c r="C838" s="2589"/>
      <c r="D838" s="2719"/>
      <c r="E838" s="2722"/>
      <c r="F838" s="2720"/>
      <c r="G838" s="2244"/>
      <c r="H838" s="2244"/>
      <c r="I838" s="2244"/>
      <c r="J838" s="2357"/>
    </row>
    <row r="839" spans="1:10" s="2352" customFormat="1" ht="13.5" thickBot="1">
      <c r="A839" s="2070"/>
      <c r="B839" s="2723"/>
      <c r="C839" s="2724"/>
      <c r="D839" s="2719"/>
      <c r="E839" s="2725"/>
      <c r="F839" s="2492"/>
      <c r="G839" s="2244"/>
      <c r="H839" s="2244"/>
      <c r="I839" s="2244"/>
      <c r="J839" s="2357"/>
    </row>
    <row r="840" spans="1:10" s="2352" customFormat="1" ht="13.5" thickTop="1">
      <c r="A840" s="2070"/>
      <c r="B840" s="2147"/>
      <c r="C840" s="2726"/>
      <c r="D840" s="2727"/>
      <c r="E840" s="2250"/>
      <c r="F840" s="2475"/>
      <c r="G840" s="2244"/>
      <c r="H840" s="2244"/>
      <c r="I840" s="2244"/>
      <c r="J840" s="2357"/>
    </row>
    <row r="841" spans="1:10" s="2352" customFormat="1">
      <c r="A841" s="2070"/>
      <c r="B841" s="2147"/>
      <c r="C841" s="2250"/>
      <c r="D841" s="2728"/>
      <c r="E841" s="2250"/>
      <c r="F841" s="2250"/>
      <c r="G841" s="2244"/>
      <c r="H841" s="2244"/>
      <c r="I841" s="2244"/>
      <c r="J841" s="2357"/>
    </row>
    <row r="842" spans="1:10" s="2352" customFormat="1">
      <c r="A842" s="2070"/>
      <c r="B842" s="2147"/>
      <c r="C842" s="2250"/>
      <c r="D842" s="2728"/>
      <c r="E842" s="2250"/>
      <c r="F842" s="2250"/>
      <c r="G842" s="2244"/>
      <c r="H842" s="2244"/>
      <c r="I842" s="2244"/>
      <c r="J842" s="2357"/>
    </row>
    <row r="843" spans="1:10" s="2352" customFormat="1">
      <c r="A843" s="2070"/>
      <c r="B843" s="2147"/>
      <c r="C843" s="2093"/>
      <c r="D843" s="2094"/>
      <c r="E843" s="2093"/>
      <c r="F843" s="2093"/>
      <c r="G843" s="2244"/>
      <c r="H843" s="2244"/>
      <c r="I843" s="2244"/>
      <c r="J843" s="2357"/>
    </row>
    <row r="844" spans="1:10" s="2352" customFormat="1">
      <c r="A844" s="2070"/>
      <c r="B844" s="2729"/>
      <c r="C844" s="2589"/>
      <c r="D844" s="2730"/>
      <c r="E844" s="2717"/>
      <c r="F844" s="2718"/>
      <c r="G844" s="2244"/>
      <c r="H844" s="2244"/>
      <c r="I844" s="2244"/>
      <c r="J844" s="2357"/>
    </row>
    <row r="845" spans="1:10" s="2352" customFormat="1">
      <c r="A845" s="2070"/>
      <c r="B845" s="2731"/>
      <c r="C845" s="2589"/>
      <c r="D845" s="2716"/>
      <c r="E845" s="2717"/>
      <c r="F845" s="2718"/>
      <c r="G845" s="2244"/>
      <c r="H845" s="2244"/>
      <c r="I845" s="2244"/>
      <c r="J845" s="2357"/>
    </row>
    <row r="846" spans="1:10" s="2352" customFormat="1" ht="13.5" thickBot="1">
      <c r="A846" s="2070"/>
      <c r="B846" s="2605"/>
      <c r="C846" s="2589"/>
      <c r="D846" s="2719"/>
      <c r="E846" s="2732"/>
      <c r="F846" s="2492"/>
      <c r="G846" s="2244"/>
      <c r="H846" s="2244"/>
      <c r="I846" s="2244"/>
      <c r="J846" s="2357"/>
    </row>
    <row r="847" spans="1:10" s="2352" customFormat="1" ht="13.5" thickTop="1">
      <c r="A847" s="2070"/>
      <c r="B847" s="2472"/>
      <c r="C847" s="2583"/>
      <c r="D847" s="2727"/>
      <c r="E847" s="2250"/>
      <c r="F847" s="2250"/>
      <c r="G847" s="2244"/>
      <c r="H847" s="2244"/>
      <c r="I847" s="2244"/>
      <c r="J847" s="2357"/>
    </row>
    <row r="848" spans="1:10" s="8" customFormat="1" ht="13.5" thickBot="1">
      <c r="B848" s="2733"/>
      <c r="C848" s="2734"/>
      <c r="D848" s="2735"/>
      <c r="E848" s="2736"/>
      <c r="F848" s="2250"/>
    </row>
    <row r="849" spans="1:9" s="8" customFormat="1" ht="13.5" thickBot="1">
      <c r="B849" s="2737"/>
      <c r="C849" s="2738"/>
      <c r="D849" s="2739"/>
      <c r="E849" s="2739"/>
      <c r="F849" s="2740"/>
    </row>
    <row r="850" spans="1:9" s="8" customFormat="1" ht="13.5" thickTop="1">
      <c r="B850" s="2741"/>
      <c r="C850" s="2742"/>
      <c r="D850" s="2743"/>
      <c r="E850" s="2744"/>
      <c r="F850" s="2745"/>
    </row>
    <row r="851" spans="1:9" s="8" customFormat="1">
      <c r="B851" s="2746"/>
      <c r="C851" s="2742"/>
      <c r="D851" s="2743"/>
      <c r="E851" s="2744"/>
      <c r="F851" s="2745"/>
    </row>
    <row r="852" spans="1:9" s="8" customFormat="1">
      <c r="B852" s="2747"/>
      <c r="C852" s="2748"/>
      <c r="D852" s="2749"/>
      <c r="E852" s="2750"/>
      <c r="F852" s="2751"/>
    </row>
    <row r="853" spans="1:9" s="8" customFormat="1">
      <c r="B853" s="2747"/>
      <c r="C853" s="2748"/>
      <c r="D853" s="2749"/>
      <c r="E853" s="2750"/>
      <c r="F853" s="2751"/>
    </row>
    <row r="854" spans="1:9" s="8" customFormat="1">
      <c r="B854" s="2746"/>
      <c r="C854" s="2742"/>
      <c r="D854" s="2743"/>
      <c r="E854" s="2744"/>
      <c r="F854" s="2745"/>
    </row>
    <row r="855" spans="1:9" s="8" customFormat="1">
      <c r="B855" s="2747"/>
      <c r="C855" s="2748"/>
      <c r="D855" s="2749"/>
      <c r="E855" s="2750"/>
      <c r="F855" s="2751"/>
    </row>
    <row r="856" spans="1:9" s="8" customFormat="1">
      <c r="B856" s="2746"/>
      <c r="C856" s="2742"/>
      <c r="D856" s="2743"/>
      <c r="E856" s="2744"/>
      <c r="F856" s="2745"/>
    </row>
    <row r="857" spans="1:9" s="8" customFormat="1">
      <c r="B857" s="2747"/>
      <c r="C857" s="2748"/>
      <c r="D857" s="2749"/>
      <c r="E857" s="2750"/>
      <c r="F857" s="2751"/>
    </row>
    <row r="858" spans="1:9" s="8" customFormat="1">
      <c r="B858" s="2747"/>
      <c r="C858" s="2748"/>
      <c r="D858" s="2749"/>
      <c r="E858" s="2750"/>
      <c r="F858" s="2751"/>
    </row>
    <row r="859" spans="1:9" s="8" customFormat="1" ht="13.5" thickBot="1">
      <c r="B859" s="2752"/>
      <c r="C859" s="2753"/>
      <c r="D859" s="2754"/>
      <c r="E859" s="2755"/>
      <c r="F859" s="2756"/>
    </row>
    <row r="860" spans="1:9" s="8" customFormat="1" ht="13.5" thickBot="1">
      <c r="B860" s="2757"/>
      <c r="C860" s="5221"/>
      <c r="D860" s="5222"/>
      <c r="E860" s="5223"/>
      <c r="F860" s="2758"/>
    </row>
    <row r="861" spans="1:9" s="8" customFormat="1">
      <c r="B861" s="2757"/>
      <c r="C861" s="2733"/>
      <c r="D861" s="2733"/>
      <c r="E861" s="2733"/>
      <c r="F861" s="2149"/>
    </row>
    <row r="862" spans="1:9" s="2352" customFormat="1" ht="13.5" thickBot="1">
      <c r="A862" s="8"/>
      <c r="B862" s="2147"/>
      <c r="C862" s="2102"/>
      <c r="D862" s="2103"/>
      <c r="E862" s="2072"/>
      <c r="F862" s="2149"/>
      <c r="G862" s="2227"/>
      <c r="H862" s="2244"/>
      <c r="I862" s="2357"/>
    </row>
    <row r="863" spans="1:9" s="2352" customFormat="1" ht="13.5" thickTop="1">
      <c r="A863" s="8"/>
      <c r="B863" s="2759"/>
      <c r="C863" s="2106"/>
      <c r="D863" s="2081"/>
      <c r="E863" s="2760"/>
      <c r="F863" s="2511"/>
      <c r="G863" s="2227"/>
      <c r="H863" s="2244"/>
      <c r="I863" s="2357"/>
    </row>
    <row r="864" spans="1:9" s="2352" customFormat="1">
      <c r="A864" s="8"/>
      <c r="B864" s="2107"/>
      <c r="C864" s="2108"/>
      <c r="D864" s="2083"/>
      <c r="E864" s="2109"/>
      <c r="F864" s="2132"/>
      <c r="G864" s="2227"/>
      <c r="H864" s="2244"/>
      <c r="I864" s="2357"/>
    </row>
    <row r="865" spans="1:9" s="2352" customFormat="1">
      <c r="A865" s="8"/>
      <c r="B865" s="2107"/>
      <c r="C865" s="2108"/>
      <c r="D865" s="2083"/>
      <c r="E865" s="2109"/>
      <c r="F865" s="2132"/>
      <c r="G865" s="2227"/>
      <c r="H865" s="2244"/>
      <c r="I865" s="2357"/>
    </row>
    <row r="866" spans="1:9" s="2352" customFormat="1">
      <c r="A866" s="8"/>
      <c r="B866" s="2110"/>
      <c r="C866" s="2108"/>
      <c r="D866" s="2083"/>
      <c r="E866" s="2111"/>
      <c r="F866" s="2516"/>
      <c r="G866" s="2227"/>
      <c r="H866" s="2244"/>
      <c r="I866" s="2357"/>
    </row>
    <row r="867" spans="1:9" s="2352" customFormat="1">
      <c r="A867" s="8"/>
      <c r="B867" s="2110"/>
      <c r="C867" s="2112"/>
      <c r="D867" s="2083"/>
      <c r="E867" s="2111"/>
      <c r="F867" s="2516"/>
      <c r="G867" s="2227"/>
      <c r="H867" s="2244"/>
      <c r="I867" s="2357"/>
    </row>
    <row r="868" spans="1:9" s="2352" customFormat="1" ht="13.5" thickBot="1">
      <c r="A868" s="8"/>
      <c r="B868" s="2114"/>
      <c r="C868" s="2115"/>
      <c r="D868" s="2091"/>
      <c r="E868" s="2113"/>
      <c r="F868" s="2516"/>
      <c r="G868" s="2227"/>
      <c r="H868" s="2244"/>
      <c r="I868" s="2357"/>
    </row>
    <row r="869" spans="1:9" s="2352" customFormat="1" ht="13.5" thickTop="1">
      <c r="A869" s="8"/>
      <c r="B869" s="2070"/>
      <c r="C869" s="2102"/>
      <c r="D869" s="2103"/>
      <c r="E869" s="2116"/>
      <c r="F869" s="2149"/>
      <c r="G869" s="2227"/>
      <c r="H869" s="2244"/>
      <c r="I869" s="2357"/>
    </row>
    <row r="870" spans="1:9" s="2070" customFormat="1">
      <c r="B870" s="2419"/>
      <c r="C870" s="2419"/>
      <c r="D870" s="2761"/>
      <c r="E870" s="2762"/>
      <c r="F870" s="2763"/>
      <c r="G870" s="2225"/>
      <c r="H870" s="2225"/>
      <c r="I870" s="2354"/>
    </row>
    <row r="871" spans="1:9" s="2070" customFormat="1" ht="13.5" thickBot="1">
      <c r="B871" s="2427"/>
      <c r="C871" s="2764"/>
      <c r="D871" s="2764"/>
      <c r="E871" s="2764"/>
      <c r="F871" s="2764"/>
      <c r="G871" s="2225"/>
      <c r="H871" s="2225"/>
      <c r="I871" s="2354"/>
    </row>
    <row r="872" spans="1:9" s="2070" customFormat="1" ht="13.5" thickTop="1">
      <c r="B872" s="2765"/>
      <c r="C872" s="2766"/>
      <c r="D872" s="2166"/>
      <c r="E872" s="2767"/>
      <c r="F872" s="2768"/>
      <c r="G872" s="2225"/>
      <c r="H872" s="2225"/>
      <c r="I872" s="2354"/>
    </row>
    <row r="873" spans="1:9" s="2070" customFormat="1">
      <c r="B873" s="2769"/>
      <c r="C873" s="2770"/>
      <c r="D873" s="2771"/>
      <c r="E873" s="2772"/>
      <c r="F873" s="2773"/>
      <c r="G873" s="2225"/>
      <c r="H873" s="2225"/>
      <c r="I873" s="2354"/>
    </row>
    <row r="874" spans="1:9" s="2070" customFormat="1" ht="13.5" thickBot="1">
      <c r="B874" s="2774"/>
      <c r="C874" s="2427"/>
      <c r="D874" s="2439"/>
      <c r="E874" s="2113"/>
      <c r="F874" s="2516"/>
      <c r="G874" s="2225"/>
      <c r="H874" s="2225"/>
      <c r="I874" s="2354"/>
    </row>
    <row r="875" spans="1:9" s="2070" customFormat="1" ht="13.5" thickTop="1">
      <c r="B875" s="2775"/>
      <c r="C875" s="2776"/>
      <c r="D875" s="2777"/>
      <c r="E875" s="2778"/>
      <c r="F875" s="2779"/>
      <c r="G875" s="2225"/>
      <c r="H875" s="2225"/>
      <c r="I875" s="2354"/>
    </row>
    <row r="876" spans="1:9" s="2070" customFormat="1">
      <c r="B876" s="2775"/>
      <c r="C876" s="2776"/>
      <c r="D876" s="2777"/>
      <c r="E876" s="2778"/>
      <c r="F876" s="2779"/>
      <c r="G876" s="2225"/>
      <c r="H876" s="2225"/>
      <c r="I876" s="2354"/>
    </row>
    <row r="877" spans="1:9" s="2070" customFormat="1" ht="13.5" thickBot="1">
      <c r="B877" s="2780"/>
      <c r="C877" s="2781"/>
      <c r="D877" s="2735"/>
      <c r="E877" s="2736"/>
      <c r="F877" s="2781"/>
      <c r="G877" s="2225"/>
      <c r="H877" s="2225"/>
      <c r="I877" s="2354"/>
    </row>
    <row r="878" spans="1:9" s="2070" customFormat="1" ht="13.5" thickBot="1">
      <c r="B878" s="2386"/>
      <c r="C878" s="2387"/>
      <c r="D878" s="2388"/>
      <c r="E878" s="2388"/>
      <c r="F878" s="2389"/>
      <c r="G878" s="2225"/>
      <c r="H878" s="2225"/>
      <c r="I878" s="2354"/>
    </row>
    <row r="879" spans="1:9" s="2070" customFormat="1" ht="13.5" thickTop="1">
      <c r="B879" s="2390"/>
      <c r="C879" s="2391"/>
      <c r="D879" s="2392"/>
      <c r="E879" s="2393"/>
      <c r="F879" s="2394"/>
      <c r="G879" s="2225"/>
      <c r="H879" s="2225"/>
      <c r="I879" s="2354"/>
    </row>
    <row r="880" spans="1:9" s="2070" customFormat="1">
      <c r="B880" s="2782"/>
      <c r="C880" s="2783"/>
      <c r="D880" s="2784"/>
      <c r="E880" s="2428"/>
      <c r="F880" s="2428"/>
      <c r="G880" s="2225"/>
      <c r="H880" s="2225"/>
      <c r="I880" s="2354"/>
    </row>
    <row r="881" spans="2:9" s="2070" customFormat="1">
      <c r="B881" s="2785"/>
      <c r="C881" s="2786"/>
      <c r="D881" s="2784"/>
      <c r="E881" s="2428"/>
      <c r="F881" s="2428"/>
      <c r="G881" s="2225"/>
      <c r="H881" s="2225"/>
      <c r="I881" s="2354"/>
    </row>
    <row r="882" spans="2:9" s="2070" customFormat="1">
      <c r="B882" s="2785"/>
      <c r="C882" s="2786"/>
      <c r="D882" s="2784"/>
      <c r="E882" s="2428"/>
      <c r="F882" s="2428"/>
      <c r="G882" s="2225"/>
      <c r="H882" s="2225"/>
      <c r="I882" s="2354"/>
    </row>
    <row r="883" spans="2:9" s="2070" customFormat="1">
      <c r="B883" s="2785"/>
      <c r="C883" s="2786"/>
      <c r="D883" s="2784"/>
      <c r="E883" s="2428"/>
      <c r="F883" s="2428"/>
      <c r="G883" s="2225"/>
      <c r="H883" s="2225"/>
      <c r="I883" s="2354"/>
    </row>
    <row r="884" spans="2:9" s="2070" customFormat="1">
      <c r="B884" s="2785"/>
      <c r="C884" s="2786"/>
      <c r="D884" s="2784"/>
      <c r="E884" s="2428"/>
      <c r="F884" s="2428"/>
      <c r="G884" s="2225"/>
      <c r="H884" s="2225"/>
      <c r="I884" s="2354"/>
    </row>
    <row r="885" spans="2:9" s="2070" customFormat="1">
      <c r="B885" s="2785"/>
      <c r="C885" s="2786"/>
      <c r="D885" s="2784"/>
      <c r="E885" s="2428"/>
      <c r="F885" s="2428"/>
      <c r="G885" s="2225"/>
      <c r="H885" s="2225"/>
      <c r="I885" s="2354"/>
    </row>
    <row r="886" spans="2:9" s="2070" customFormat="1">
      <c r="B886" s="2787"/>
      <c r="C886" s="2787"/>
      <c r="D886" s="2784"/>
      <c r="E886" s="2451"/>
      <c r="F886" s="2788"/>
      <c r="G886" s="2225"/>
      <c r="H886" s="2225"/>
      <c r="I886" s="2354"/>
    </row>
    <row r="887" spans="2:9" s="2070" customFormat="1">
      <c r="B887" s="2789"/>
      <c r="C887" s="2790"/>
      <c r="D887" s="2788"/>
      <c r="E887" s="2450"/>
      <c r="F887" s="2450"/>
      <c r="G887" s="2225"/>
      <c r="H887" s="2225"/>
      <c r="I887" s="2354"/>
    </row>
    <row r="888" spans="2:9" s="2070" customFormat="1" ht="13.5" thickBot="1">
      <c r="B888" s="2791"/>
      <c r="C888" s="2792"/>
      <c r="D888" s="2793"/>
      <c r="E888" s="2794"/>
      <c r="F888" s="2795"/>
      <c r="G888" s="2225"/>
      <c r="H888" s="2225"/>
      <c r="I888" s="2354"/>
    </row>
    <row r="889" spans="2:9" s="2070" customFormat="1" ht="13.5" thickBot="1">
      <c r="B889" s="2410"/>
      <c r="C889" s="5214"/>
      <c r="D889" s="5215"/>
      <c r="E889" s="5216"/>
      <c r="F889" s="2516"/>
      <c r="G889" s="2225"/>
      <c r="H889" s="2225"/>
      <c r="I889" s="2354"/>
    </row>
    <row r="890" spans="2:9" s="2070" customFormat="1">
      <c r="B890" s="2775"/>
      <c r="C890" s="2776"/>
      <c r="D890" s="2777"/>
      <c r="E890" s="2778"/>
      <c r="F890" s="2779"/>
      <c r="G890" s="2225"/>
      <c r="H890" s="2225"/>
      <c r="I890" s="2354"/>
    </row>
    <row r="891" spans="2:9" s="2070" customFormat="1" ht="13.5" thickBot="1">
      <c r="B891" s="2780"/>
      <c r="C891" s="2781"/>
      <c r="D891" s="2735"/>
      <c r="E891" s="2736"/>
      <c r="F891" s="2781"/>
      <c r="G891" s="2225"/>
      <c r="H891" s="2225"/>
      <c r="I891" s="2354"/>
    </row>
    <row r="892" spans="2:9" s="2070" customFormat="1" ht="13.5" thickBot="1">
      <c r="B892" s="2386"/>
      <c r="C892" s="2387"/>
      <c r="D892" s="2388"/>
      <c r="E892" s="2388"/>
      <c r="F892" s="2389"/>
      <c r="G892" s="2225"/>
      <c r="H892" s="2225"/>
      <c r="I892" s="2354"/>
    </row>
    <row r="893" spans="2:9" s="2070" customFormat="1" ht="13.5" thickTop="1">
      <c r="B893" s="2396"/>
      <c r="C893" s="2397"/>
      <c r="D893" s="2398"/>
      <c r="E893" s="2399"/>
      <c r="F893" s="2400"/>
      <c r="G893" s="2225"/>
      <c r="H893" s="2225"/>
      <c r="I893" s="2354"/>
    </row>
    <row r="894" spans="2:9" s="2070" customFormat="1">
      <c r="B894" s="2396"/>
      <c r="C894" s="3126"/>
      <c r="D894" s="2398"/>
      <c r="E894" s="3127"/>
      <c r="F894" s="3128"/>
      <c r="G894" s="2225"/>
      <c r="H894" s="2225"/>
      <c r="I894" s="2354"/>
    </row>
    <row r="895" spans="2:9" s="2070" customFormat="1">
      <c r="B895" s="2396"/>
      <c r="C895" s="3126"/>
      <c r="D895" s="2398"/>
      <c r="E895" s="3127"/>
      <c r="F895" s="3128"/>
      <c r="G895" s="2225"/>
      <c r="H895" s="2225"/>
      <c r="I895" s="2354"/>
    </row>
    <row r="896" spans="2:9" s="2070" customFormat="1">
      <c r="B896" s="2396"/>
      <c r="C896" s="3126"/>
      <c r="D896" s="2398"/>
      <c r="E896" s="3127"/>
      <c r="F896" s="3128"/>
      <c r="G896" s="2225"/>
      <c r="H896" s="2225"/>
      <c r="I896" s="2354"/>
    </row>
    <row r="897" spans="1:10" s="2070" customFormat="1">
      <c r="B897" s="2401"/>
      <c r="C897" s="3129"/>
      <c r="D897" s="2403"/>
      <c r="E897" s="3130"/>
      <c r="F897" s="3128"/>
      <c r="G897" s="2225"/>
      <c r="H897" s="2225"/>
      <c r="I897" s="2354"/>
    </row>
    <row r="898" spans="1:10" s="2070" customFormat="1">
      <c r="B898" s="2396"/>
      <c r="C898" s="3126"/>
      <c r="D898" s="2398"/>
      <c r="E898" s="3127"/>
      <c r="F898" s="3128"/>
      <c r="G898" s="2225"/>
      <c r="H898" s="2225"/>
      <c r="I898" s="2354"/>
    </row>
    <row r="899" spans="1:10" s="2070" customFormat="1">
      <c r="B899" s="2396"/>
      <c r="C899" s="3126"/>
      <c r="D899" s="2398"/>
      <c r="E899" s="3127"/>
      <c r="F899" s="3128"/>
      <c r="G899" s="2225"/>
      <c r="H899" s="2225"/>
      <c r="I899" s="2354"/>
    </row>
    <row r="900" spans="1:10" s="2070" customFormat="1">
      <c r="B900" s="2796"/>
      <c r="C900" s="2509"/>
      <c r="D900" s="2509"/>
      <c r="E900" s="2509"/>
      <c r="F900" s="3131"/>
      <c r="G900" s="2225"/>
      <c r="H900" s="2225"/>
      <c r="I900" s="2354"/>
    </row>
    <row r="901" spans="1:10" s="2070" customFormat="1" ht="13.5" thickBot="1">
      <c r="B901" s="2405"/>
      <c r="C901" s="3132"/>
      <c r="D901" s="2407"/>
      <c r="E901" s="3133"/>
      <c r="F901" s="3134"/>
      <c r="G901" s="2225"/>
      <c r="H901" s="2225"/>
      <c r="I901" s="2354"/>
    </row>
    <row r="902" spans="1:10" s="2070" customFormat="1" ht="13.5" thickBot="1">
      <c r="B902" s="2395"/>
      <c r="C902" s="3135"/>
      <c r="D902" s="2392"/>
      <c r="E902" s="2393"/>
      <c r="F902" s="3136"/>
      <c r="G902" s="2225"/>
      <c r="H902" s="2225"/>
      <c r="I902" s="2354"/>
    </row>
    <row r="903" spans="1:10" s="2070" customFormat="1" ht="13.5" thickBot="1">
      <c r="B903" s="2797"/>
      <c r="C903" s="5224"/>
      <c r="D903" s="5225"/>
      <c r="E903" s="5226"/>
      <c r="F903" s="2516"/>
      <c r="G903" s="2225"/>
      <c r="H903" s="2225"/>
      <c r="I903" s="2354"/>
    </row>
    <row r="904" spans="1:10" s="2070" customFormat="1">
      <c r="B904" s="2410"/>
      <c r="C904" s="2780"/>
      <c r="D904" s="2780"/>
      <c r="E904" s="2780"/>
      <c r="F904" s="2798"/>
      <c r="G904" s="2225"/>
      <c r="H904" s="2225"/>
      <c r="I904" s="2354"/>
    </row>
    <row r="905" spans="1:10" s="8" customFormat="1">
      <c r="B905" s="2776"/>
      <c r="C905" s="2421"/>
      <c r="D905" s="2421"/>
      <c r="E905" s="2799"/>
      <c r="F905" s="2798"/>
    </row>
    <row r="906" spans="1:10" s="2070" customFormat="1">
      <c r="A906" s="2068"/>
      <c r="B906" s="2800"/>
      <c r="C906" s="2801"/>
      <c r="D906" s="2146"/>
      <c r="E906" s="2111"/>
      <c r="F906" s="2802"/>
      <c r="G906" s="2225"/>
      <c r="H906" s="2225"/>
      <c r="I906" s="2354"/>
    </row>
    <row r="907" spans="1:10" s="2070" customFormat="1">
      <c r="A907" s="2068"/>
      <c r="B907" s="2137"/>
      <c r="C907" s="2801"/>
      <c r="D907" s="2146"/>
      <c r="E907" s="2111"/>
      <c r="F907" s="2803"/>
      <c r="G907" s="2225"/>
      <c r="H907" s="2225"/>
      <c r="I907" s="2354"/>
    </row>
    <row r="908" spans="1:10" s="2070" customFormat="1">
      <c r="A908" s="2068"/>
      <c r="B908" s="2137"/>
      <c r="C908" s="2801"/>
      <c r="D908" s="2146"/>
      <c r="E908" s="2111"/>
      <c r="F908" s="2803"/>
      <c r="G908" s="2225"/>
      <c r="H908" s="2225"/>
      <c r="I908" s="2354"/>
    </row>
    <row r="909" spans="1:10" s="2070" customFormat="1">
      <c r="A909" s="2068"/>
      <c r="B909" s="2137"/>
      <c r="C909" s="2801"/>
      <c r="D909" s="2146"/>
      <c r="E909" s="2111"/>
      <c r="F909" s="2803"/>
      <c r="G909" s="2225"/>
      <c r="H909" s="2225"/>
      <c r="I909" s="2354"/>
      <c r="J909" s="2225"/>
    </row>
    <row r="910" spans="1:10" s="2070" customFormat="1">
      <c r="A910" s="2068"/>
      <c r="B910" s="2137"/>
      <c r="C910" s="2801"/>
      <c r="D910" s="2146"/>
      <c r="E910" s="2111"/>
      <c r="F910" s="2804"/>
      <c r="G910" s="2225"/>
      <c r="H910" s="2225"/>
      <c r="I910" s="2354"/>
      <c r="J910" s="2225"/>
    </row>
    <row r="911" spans="1:10" s="2070" customFormat="1" ht="13.5" thickBot="1">
      <c r="A911" s="2099"/>
      <c r="B911" s="2805"/>
      <c r="C911" s="2806"/>
      <c r="D911" s="2807"/>
      <c r="E911" s="2143"/>
      <c r="F911" s="2808"/>
      <c r="G911" s="2225"/>
      <c r="H911" s="2225"/>
      <c r="I911" s="2354"/>
    </row>
    <row r="912" spans="1:10" s="2070" customFormat="1" ht="13.5" thickTop="1">
      <c r="B912" s="2684"/>
      <c r="C912" s="2648"/>
      <c r="D912" s="2648"/>
      <c r="E912" s="2685"/>
      <c r="F912" s="2686"/>
      <c r="G912" s="2225"/>
      <c r="H912" s="2225"/>
      <c r="I912" s="2354"/>
    </row>
    <row r="913" spans="1:9" s="2352" customFormat="1">
      <c r="A913" s="2070"/>
      <c r="B913" s="2147"/>
      <c r="C913" s="2093"/>
      <c r="D913" s="2094"/>
      <c r="E913" s="2093"/>
      <c r="F913" s="2093"/>
      <c r="G913" s="2244"/>
      <c r="H913" s="2244"/>
      <c r="I913" s="2357"/>
    </row>
    <row r="914" spans="1:9" s="2352" customFormat="1">
      <c r="A914" s="2070"/>
      <c r="B914" s="2107"/>
      <c r="C914" s="2234"/>
      <c r="D914" s="2235"/>
      <c r="E914" s="2606"/>
      <c r="F914" s="2653"/>
      <c r="G914" s="2244"/>
      <c r="H914" s="2244"/>
      <c r="I914" s="2357"/>
    </row>
    <row r="915" spans="1:9" s="2352" customFormat="1">
      <c r="A915" s="2070"/>
      <c r="B915" s="2243"/>
      <c r="C915" s="2234"/>
      <c r="D915" s="2235"/>
      <c r="E915" s="2606"/>
      <c r="F915" s="2653"/>
      <c r="G915" s="2244"/>
      <c r="H915" s="2244"/>
      <c r="I915" s="2357"/>
    </row>
    <row r="916" spans="1:9" s="2352" customFormat="1">
      <c r="A916" s="2070"/>
      <c r="B916" s="2243"/>
      <c r="C916" s="2234"/>
      <c r="D916" s="2235"/>
      <c r="E916" s="2606"/>
      <c r="F916" s="2653"/>
      <c r="G916" s="2244"/>
      <c r="H916" s="2244"/>
      <c r="I916" s="2357"/>
    </row>
    <row r="917" spans="1:9" s="2352" customFormat="1">
      <c r="A917" s="2070"/>
      <c r="B917" s="2107"/>
      <c r="C917" s="2109"/>
      <c r="D917" s="2146"/>
      <c r="E917" s="2652"/>
      <c r="F917" s="2653"/>
      <c r="G917" s="2244"/>
      <c r="H917" s="2244"/>
      <c r="I917" s="2357"/>
    </row>
    <row r="918" spans="1:9" s="2352" customFormat="1">
      <c r="A918" s="2070"/>
      <c r="B918" s="2107"/>
      <c r="C918" s="2109"/>
      <c r="D918" s="2146"/>
      <c r="E918" s="2809"/>
      <c r="F918" s="2732"/>
      <c r="G918" s="2244"/>
      <c r="H918" s="2244"/>
      <c r="I918" s="2357"/>
    </row>
    <row r="919" spans="1:9" s="2352" customFormat="1">
      <c r="A919" s="2070"/>
      <c r="B919" s="2652"/>
      <c r="C919" s="2234"/>
      <c r="D919" s="2235"/>
      <c r="E919" s="2111"/>
      <c r="F919" s="2516"/>
      <c r="G919" s="2244"/>
      <c r="H919" s="2244"/>
      <c r="I919" s="2357"/>
    </row>
    <row r="920" spans="1:9" s="2352" customFormat="1">
      <c r="A920" s="2070"/>
      <c r="B920" s="2810"/>
      <c r="C920" s="2811"/>
      <c r="D920" s="1909"/>
      <c r="E920" s="2149"/>
      <c r="F920" s="2812"/>
      <c r="G920" s="2244"/>
      <c r="H920" s="2244"/>
      <c r="I920" s="2357"/>
    </row>
    <row r="921" spans="1:9" s="2352" customFormat="1">
      <c r="A921" s="2070"/>
      <c r="B921" s="2659"/>
      <c r="C921" s="2660"/>
      <c r="D921" s="2660"/>
      <c r="E921" s="2660"/>
      <c r="F921" s="2538"/>
      <c r="G921" s="2244"/>
      <c r="H921" s="2244"/>
      <c r="I921" s="2357"/>
    </row>
    <row r="922" spans="1:9" s="2070" customFormat="1">
      <c r="B922" s="2813"/>
      <c r="C922" s="2814"/>
      <c r="D922" s="2814"/>
      <c r="E922" s="2814"/>
      <c r="F922" s="2814"/>
      <c r="G922" s="2225"/>
    </row>
    <row r="923" spans="1:9" s="2070" customFormat="1">
      <c r="B923" s="2815"/>
      <c r="C923" s="2814"/>
      <c r="D923" s="2814"/>
      <c r="E923" s="2814"/>
      <c r="F923" s="2814"/>
      <c r="G923" s="2225"/>
    </row>
    <row r="924" spans="1:9" s="2070" customFormat="1">
      <c r="B924" s="2815"/>
      <c r="C924" s="2814"/>
      <c r="D924" s="2816"/>
      <c r="E924" s="2814"/>
      <c r="F924" s="2814"/>
      <c r="G924" s="2225"/>
    </row>
    <row r="925" spans="1:9" s="2070" customFormat="1">
      <c r="B925" s="2815"/>
      <c r="C925" s="2814"/>
      <c r="D925" s="2816"/>
      <c r="E925" s="2814"/>
      <c r="F925" s="2814"/>
      <c r="G925" s="2225"/>
    </row>
    <row r="926" spans="1:9" s="2070" customFormat="1">
      <c r="B926" s="2815"/>
      <c r="C926" s="2814"/>
      <c r="D926" s="2816"/>
      <c r="E926" s="2814"/>
      <c r="F926" s="2814"/>
      <c r="G926" s="2225"/>
    </row>
    <row r="927" spans="1:9" s="2070" customFormat="1">
      <c r="B927" s="2815"/>
      <c r="C927" s="2814"/>
      <c r="D927" s="2816"/>
      <c r="E927" s="2814"/>
      <c r="F927" s="2814"/>
      <c r="G927" s="2225"/>
    </row>
    <row r="928" spans="1:9" s="2070" customFormat="1">
      <c r="B928" s="2815"/>
      <c r="C928" s="2814"/>
      <c r="D928" s="2816"/>
      <c r="E928" s="2814"/>
      <c r="F928" s="2814"/>
      <c r="G928" s="2225"/>
    </row>
    <row r="929" spans="2:9" s="2070" customFormat="1">
      <c r="B929" s="2815"/>
      <c r="C929" s="2814"/>
      <c r="D929" s="2816"/>
      <c r="E929" s="2814"/>
      <c r="F929" s="2814"/>
      <c r="G929" s="2225"/>
      <c r="H929" s="2225"/>
      <c r="I929" s="2354"/>
    </row>
    <row r="930" spans="2:9" s="2070" customFormat="1">
      <c r="B930" s="2815"/>
      <c r="C930" s="5211"/>
      <c r="D930" s="5211"/>
      <c r="E930" s="5211"/>
      <c r="F930" s="2817"/>
      <c r="G930" s="2225"/>
      <c r="H930" s="2225"/>
      <c r="I930" s="2354"/>
    </row>
    <row r="931" spans="2:9" s="2070" customFormat="1">
      <c r="B931" s="2818"/>
      <c r="C931" s="5211"/>
      <c r="D931" s="5211"/>
      <c r="E931" s="5211"/>
      <c r="F931" s="2817"/>
      <c r="G931" s="2225"/>
      <c r="H931" s="2225"/>
      <c r="I931" s="2354"/>
    </row>
    <row r="932" spans="2:9" s="2070" customFormat="1">
      <c r="B932" s="2819"/>
      <c r="C932" s="2820"/>
      <c r="D932" s="2820"/>
      <c r="E932" s="2820"/>
      <c r="F932" s="2538"/>
      <c r="G932" s="2225"/>
      <c r="H932" s="2225"/>
      <c r="I932" s="2354"/>
    </row>
    <row r="933" spans="2:9" s="2070" customFormat="1">
      <c r="B933" s="2819"/>
      <c r="C933" s="2820"/>
      <c r="D933" s="2820"/>
      <c r="E933" s="2820"/>
      <c r="F933" s="2538"/>
      <c r="G933" s="2225"/>
      <c r="H933" s="2225"/>
      <c r="I933" s="2354"/>
    </row>
    <row r="934" spans="2:9" s="2070" customFormat="1">
      <c r="B934" s="2819"/>
      <c r="C934" s="2820"/>
      <c r="D934" s="2820"/>
      <c r="E934" s="2820"/>
      <c r="F934" s="2538"/>
      <c r="G934" s="2225"/>
      <c r="H934" s="2225"/>
      <c r="I934" s="2354"/>
    </row>
    <row r="935" spans="2:9" s="2070" customFormat="1">
      <c r="B935" s="2821"/>
      <c r="C935" s="2822"/>
      <c r="D935" s="2822"/>
      <c r="E935" s="2822"/>
      <c r="F935" s="2822"/>
      <c r="G935" s="2225"/>
      <c r="H935" s="2225"/>
      <c r="I935" s="2354"/>
    </row>
    <row r="936" spans="2:9" s="2070" customFormat="1">
      <c r="B936" s="2823"/>
      <c r="C936" s="2822"/>
      <c r="D936" s="2822"/>
      <c r="E936" s="2822"/>
      <c r="F936" s="2822"/>
      <c r="G936" s="2225"/>
      <c r="H936" s="2225"/>
      <c r="I936" s="2354"/>
    </row>
    <row r="937" spans="2:9" s="2070" customFormat="1">
      <c r="B937" s="2815"/>
      <c r="C937" s="2814"/>
      <c r="D937" s="2816"/>
      <c r="E937" s="2814"/>
      <c r="F937" s="2814"/>
      <c r="G937" s="2225"/>
      <c r="H937" s="2225"/>
      <c r="I937" s="2354"/>
    </row>
    <row r="938" spans="2:9" s="2070" customFormat="1">
      <c r="B938" s="2815"/>
      <c r="C938" s="2814"/>
      <c r="D938" s="2816"/>
      <c r="E938" s="2814"/>
      <c r="F938" s="2814"/>
      <c r="G938" s="2225"/>
      <c r="H938" s="2225"/>
      <c r="I938" s="2354"/>
    </row>
    <row r="939" spans="2:9" s="2070" customFormat="1">
      <c r="B939" s="2815"/>
      <c r="C939" s="2814"/>
      <c r="D939" s="2816"/>
      <c r="E939" s="2814"/>
      <c r="F939" s="2814"/>
      <c r="G939" s="2225"/>
      <c r="H939" s="2225"/>
      <c r="I939" s="2354"/>
    </row>
    <row r="940" spans="2:9" s="2070" customFormat="1">
      <c r="B940" s="2815"/>
      <c r="C940" s="5211"/>
      <c r="D940" s="5211"/>
      <c r="E940" s="5211"/>
      <c r="F940" s="2824"/>
      <c r="G940" s="2225"/>
      <c r="H940" s="2225"/>
      <c r="I940" s="2354"/>
    </row>
    <row r="941" spans="2:9" s="2070" customFormat="1">
      <c r="B941" s="2818"/>
      <c r="C941" s="5211"/>
      <c r="D941" s="5211"/>
      <c r="E941" s="5211"/>
      <c r="F941" s="2824"/>
      <c r="G941" s="2225"/>
      <c r="H941" s="2225"/>
      <c r="I941" s="2354"/>
    </row>
    <row r="942" spans="2:9" s="2070" customFormat="1">
      <c r="B942" s="2243"/>
      <c r="C942" s="5211"/>
      <c r="D942" s="5211"/>
      <c r="E942" s="5211"/>
      <c r="F942" s="2817"/>
      <c r="G942" s="2225"/>
      <c r="H942" s="2225"/>
      <c r="I942" s="2354"/>
    </row>
    <row r="943" spans="2:9" s="2070" customFormat="1">
      <c r="B943" s="2819"/>
      <c r="C943" s="2820"/>
      <c r="D943" s="2820"/>
      <c r="E943" s="2820"/>
      <c r="F943" s="2538"/>
      <c r="G943" s="2225"/>
      <c r="H943" s="2225"/>
      <c r="I943" s="2354"/>
    </row>
    <row r="944" spans="2:9" s="2070" customFormat="1">
      <c r="B944" s="2819"/>
      <c r="C944" s="2820"/>
      <c r="D944" s="2820"/>
      <c r="E944" s="2820"/>
      <c r="F944" s="2538"/>
      <c r="G944" s="2225"/>
      <c r="H944" s="2225"/>
      <c r="I944" s="2354"/>
    </row>
    <row r="945" spans="1:16" s="2352" customFormat="1" ht="13.5" thickBot="1">
      <c r="A945" s="2070"/>
      <c r="B945" s="2104"/>
      <c r="C945" s="2102"/>
      <c r="D945" s="2103"/>
      <c r="E945" s="2072"/>
      <c r="F945" s="2149"/>
      <c r="G945" s="2227"/>
      <c r="H945" s="2244"/>
      <c r="I945" s="2244"/>
      <c r="J945" s="2357"/>
    </row>
    <row r="946" spans="1:16" s="2352" customFormat="1" ht="13.5" thickTop="1">
      <c r="A946" s="2070"/>
      <c r="B946" s="2080"/>
      <c r="C946" s="2106"/>
      <c r="D946" s="2081"/>
      <c r="E946" s="2048"/>
      <c r="F946" s="2511"/>
      <c r="G946" s="2227"/>
      <c r="H946" s="2244"/>
      <c r="I946" s="2244"/>
      <c r="J946" s="2357"/>
    </row>
    <row r="947" spans="1:16" s="2352" customFormat="1">
      <c r="A947" s="2070"/>
      <c r="B947" s="2082"/>
      <c r="C947" s="2108"/>
      <c r="D947" s="2083"/>
      <c r="E947" s="2052"/>
      <c r="F947" s="2132"/>
      <c r="G947" s="2227"/>
      <c r="H947" s="2244"/>
      <c r="I947" s="2244"/>
      <c r="J947" s="2357"/>
    </row>
    <row r="948" spans="1:16" s="2352" customFormat="1" ht="13.5" thickBot="1">
      <c r="A948" s="2070"/>
      <c r="B948" s="2100"/>
      <c r="C948" s="2115"/>
      <c r="D948" s="2091"/>
      <c r="E948" s="2092"/>
      <c r="F948" s="2533"/>
      <c r="G948" s="2227"/>
      <c r="H948" s="2244"/>
      <c r="I948" s="2244"/>
      <c r="J948" s="2357"/>
    </row>
    <row r="949" spans="1:16" s="2070" customFormat="1" ht="13.5" thickTop="1">
      <c r="B949" s="2819"/>
      <c r="C949" s="2820"/>
      <c r="D949" s="2820"/>
      <c r="E949" s="2820"/>
      <c r="F949" s="2538"/>
      <c r="G949" s="2225"/>
      <c r="H949" s="2225"/>
      <c r="I949" s="2354"/>
    </row>
    <row r="950" spans="1:16" s="2070" customFormat="1">
      <c r="B950" s="2819"/>
      <c r="C950" s="2820"/>
      <c r="D950" s="2820"/>
      <c r="E950" s="2820"/>
      <c r="F950" s="2538"/>
      <c r="G950" s="2225"/>
      <c r="H950" s="2225"/>
      <c r="I950" s="2354"/>
    </row>
    <row r="951" spans="1:16" s="2070" customFormat="1">
      <c r="B951" s="2819"/>
      <c r="C951" s="2820"/>
      <c r="D951" s="2820"/>
      <c r="E951" s="2820"/>
      <c r="F951" s="2538"/>
      <c r="G951" s="2225"/>
      <c r="H951" s="2225"/>
      <c r="I951" s="2354"/>
    </row>
    <row r="952" spans="1:16" s="2352" customFormat="1" ht="13.5" thickBot="1">
      <c r="A952" s="2070"/>
      <c r="B952" s="2104"/>
      <c r="C952" s="2102"/>
      <c r="D952" s="2103"/>
      <c r="E952" s="2072"/>
      <c r="F952" s="2149"/>
      <c r="G952" s="2227"/>
      <c r="H952" s="2244"/>
      <c r="I952" s="2244"/>
      <c r="J952" s="2357"/>
    </row>
    <row r="953" spans="1:16" s="2827" customFormat="1" ht="13.5" thickTop="1">
      <c r="A953" s="2352"/>
      <c r="B953" s="2825"/>
      <c r="C953" s="2826"/>
      <c r="D953" s="2826"/>
      <c r="E953" s="2826"/>
      <c r="F953" s="2826"/>
      <c r="G953" s="2352"/>
      <c r="K953" s="2352"/>
      <c r="L953" s="2352"/>
      <c r="M953" s="2352"/>
      <c r="N953" s="2352"/>
      <c r="O953" s="2352"/>
      <c r="P953" s="2352"/>
    </row>
    <row r="954" spans="1:16" s="2827" customFormat="1">
      <c r="A954" s="2352"/>
      <c r="B954" s="2825"/>
      <c r="C954" s="2828"/>
      <c r="D954" s="2829"/>
      <c r="E954" s="2830"/>
      <c r="F954" s="2830"/>
      <c r="G954" s="2352"/>
      <c r="K954" s="2352"/>
      <c r="L954" s="2352"/>
      <c r="M954" s="2352"/>
      <c r="N954" s="2352"/>
      <c r="O954" s="2352"/>
      <c r="P954" s="2352"/>
    </row>
    <row r="955" spans="1:16" s="2827" customFormat="1">
      <c r="A955" s="2352"/>
      <c r="B955" s="2825"/>
      <c r="C955" s="2828"/>
      <c r="D955" s="2829"/>
      <c r="E955" s="2830"/>
      <c r="F955" s="2830"/>
      <c r="G955" s="2352"/>
      <c r="K955" s="2352"/>
      <c r="L955" s="2352"/>
      <c r="M955" s="2352"/>
      <c r="N955" s="2352"/>
      <c r="O955" s="2352"/>
      <c r="P955" s="2352"/>
    </row>
    <row r="956" spans="1:16" s="2352" customFormat="1">
      <c r="B956" s="2825"/>
      <c r="C956" s="2828"/>
      <c r="D956" s="2829"/>
      <c r="E956" s="2830"/>
      <c r="F956" s="2830"/>
      <c r="H956" s="2827"/>
      <c r="I956" s="2827"/>
      <c r="J956" s="2827"/>
    </row>
    <row r="957" spans="1:16" s="2827" customFormat="1">
      <c r="A957" s="2352"/>
      <c r="B957" s="2068"/>
      <c r="C957" s="2828"/>
      <c r="D957" s="2829"/>
      <c r="E957" s="2831"/>
      <c r="F957" s="2830"/>
      <c r="G957" s="2352"/>
      <c r="K957" s="2352"/>
      <c r="L957" s="2352"/>
      <c r="M957" s="2352"/>
      <c r="N957" s="2352"/>
      <c r="O957" s="2352"/>
      <c r="P957" s="2352"/>
    </row>
    <row r="958" spans="1:16" s="2352" customFormat="1">
      <c r="B958" s="2825"/>
      <c r="C958" s="2828"/>
      <c r="D958" s="2829"/>
      <c r="E958" s="2830"/>
      <c r="F958" s="2830"/>
      <c r="H958" s="2827"/>
      <c r="I958" s="2827"/>
      <c r="J958" s="2827"/>
    </row>
    <row r="959" spans="1:16" s="2352" customFormat="1">
      <c r="B959" s="2825"/>
      <c r="C959" s="2825"/>
      <c r="D959" s="2832"/>
      <c r="E959" s="2833"/>
      <c r="F959" s="2834"/>
      <c r="H959" s="2827"/>
      <c r="I959" s="2827"/>
      <c r="J959" s="2827"/>
    </row>
    <row r="960" spans="1:16" s="2352" customFormat="1">
      <c r="B960" s="2833"/>
      <c r="C960" s="2357"/>
      <c r="D960" s="2826"/>
      <c r="E960" s="2825"/>
      <c r="F960" s="2825"/>
      <c r="H960" s="2827"/>
      <c r="I960" s="2827"/>
      <c r="J960" s="2827"/>
    </row>
    <row r="961" spans="1:10" s="2352" customFormat="1">
      <c r="B961" s="2833"/>
      <c r="C961" s="2835"/>
      <c r="D961" s="2826"/>
      <c r="E961" s="2833"/>
      <c r="F961" s="2836"/>
      <c r="H961" s="2827"/>
      <c r="I961" s="2827"/>
      <c r="J961" s="2827"/>
    </row>
    <row r="962" spans="1:10" s="2352" customFormat="1">
      <c r="B962" s="2837"/>
      <c r="C962" s="2838"/>
      <c r="D962" s="2839"/>
      <c r="E962" s="2837"/>
      <c r="F962" s="2538"/>
      <c r="H962" s="2827"/>
      <c r="I962" s="2827"/>
      <c r="J962" s="2827"/>
    </row>
    <row r="963" spans="1:10" s="2070" customFormat="1">
      <c r="B963" s="2819"/>
      <c r="C963" s="2820"/>
      <c r="D963" s="2820"/>
      <c r="E963" s="2820"/>
      <c r="F963" s="2538"/>
      <c r="G963" s="2225"/>
      <c r="H963" s="2225"/>
      <c r="I963" s="2354"/>
    </row>
    <row r="964" spans="1:10" s="8" customFormat="1">
      <c r="A964" s="2840"/>
      <c r="B964" s="2841"/>
      <c r="C964" s="2236"/>
      <c r="D964" s="2235"/>
      <c r="E964" s="2236"/>
      <c r="F964" s="2236"/>
    </row>
    <row r="965" spans="1:10" s="8" customFormat="1">
      <c r="A965" s="2840"/>
      <c r="B965" s="2842"/>
      <c r="C965" s="2236"/>
      <c r="D965" s="2235"/>
      <c r="E965" s="2236"/>
      <c r="F965" s="2236"/>
    </row>
    <row r="966" spans="1:10" s="8" customFormat="1">
      <c r="A966" s="2840"/>
      <c r="B966" s="2842"/>
      <c r="C966" s="2236"/>
      <c r="D966" s="2235"/>
      <c r="E966" s="2236"/>
      <c r="F966" s="2236"/>
    </row>
    <row r="967" spans="1:10" s="8" customFormat="1">
      <c r="A967" s="2840"/>
      <c r="B967" s="2842"/>
      <c r="C967" s="2236"/>
      <c r="D967" s="2235"/>
      <c r="E967" s="2236"/>
      <c r="F967" s="2236"/>
    </row>
    <row r="968" spans="1:10" s="8" customFormat="1">
      <c r="A968" s="2840"/>
      <c r="B968" s="2843"/>
      <c r="C968" s="2844"/>
      <c r="D968" s="2658"/>
      <c r="E968" s="2844"/>
      <c r="F968" s="2844"/>
    </row>
    <row r="969" spans="1:10" s="8" customFormat="1">
      <c r="A969" s="2840"/>
      <c r="B969" s="2243"/>
      <c r="C969" s="2845"/>
      <c r="D969" s="2235"/>
      <c r="E969" s="2845"/>
      <c r="F969" s="2845"/>
    </row>
    <row r="970" spans="1:10" s="8" customFormat="1">
      <c r="A970" s="2840"/>
      <c r="B970" s="2243"/>
      <c r="C970" s="2845"/>
      <c r="D970" s="2235"/>
      <c r="E970" s="2845"/>
      <c r="F970" s="2845"/>
    </row>
    <row r="971" spans="1:10" s="8" customFormat="1">
      <c r="A971" s="2840"/>
      <c r="B971" s="2243"/>
      <c r="C971" s="2845"/>
      <c r="D971" s="2235"/>
      <c r="E971" s="2845"/>
      <c r="F971" s="2845"/>
    </row>
    <row r="972" spans="1:10" s="8" customFormat="1">
      <c r="A972" s="2840"/>
      <c r="B972" s="2243"/>
      <c r="C972" s="2845"/>
      <c r="D972" s="2235"/>
      <c r="E972" s="2845"/>
      <c r="F972" s="2845"/>
    </row>
    <row r="973" spans="1:10" s="8" customFormat="1">
      <c r="B973" s="2243"/>
      <c r="C973" s="2845"/>
      <c r="D973" s="2235"/>
      <c r="E973" s="2845"/>
      <c r="F973" s="2845"/>
    </row>
    <row r="974" spans="1:10" s="8" customFormat="1">
      <c r="B974" s="2243"/>
      <c r="C974" s="2236"/>
      <c r="D974" s="2235"/>
      <c r="E974" s="2300"/>
      <c r="F974" s="2844"/>
    </row>
    <row r="975" spans="1:10" s="8" customFormat="1">
      <c r="B975" s="2440"/>
      <c r="C975" s="2236"/>
      <c r="D975" s="2235"/>
      <c r="E975" s="2236"/>
      <c r="F975" s="2236"/>
    </row>
    <row r="976" spans="1:10" s="8" customFormat="1">
      <c r="A976" s="2840"/>
      <c r="B976" s="2440"/>
      <c r="C976" s="2236"/>
      <c r="D976" s="2235"/>
      <c r="E976" s="2236"/>
      <c r="F976" s="2637"/>
    </row>
    <row r="977" spans="1:6" s="8" customFormat="1">
      <c r="A977" s="2840"/>
      <c r="B977" s="2842"/>
      <c r="C977" s="2236"/>
      <c r="D977" s="2235"/>
      <c r="E977" s="2236"/>
      <c r="F977" s="2236"/>
    </row>
    <row r="978" spans="1:6" s="8" customFormat="1">
      <c r="A978" s="2840"/>
      <c r="B978" s="2842"/>
      <c r="C978" s="2236"/>
      <c r="D978" s="2235"/>
      <c r="E978" s="2236"/>
      <c r="F978" s="2236"/>
    </row>
    <row r="979" spans="1:6" s="8" customFormat="1">
      <c r="A979" s="2840"/>
      <c r="B979" s="2842"/>
      <c r="C979" s="2236"/>
      <c r="D979" s="2235"/>
      <c r="E979" s="2236"/>
      <c r="F979" s="2236"/>
    </row>
    <row r="980" spans="1:6" s="8" customFormat="1">
      <c r="A980" s="2840"/>
      <c r="B980" s="2243"/>
      <c r="C980" s="2845"/>
      <c r="D980" s="2235"/>
      <c r="E980" s="2845"/>
      <c r="F980" s="2845"/>
    </row>
    <row r="981" spans="1:6" s="8" customFormat="1">
      <c r="A981" s="2840"/>
      <c r="B981" s="2243"/>
      <c r="C981" s="2845"/>
      <c r="D981" s="2235"/>
      <c r="E981" s="2845"/>
      <c r="F981" s="2845"/>
    </row>
    <row r="982" spans="1:6" s="8" customFormat="1">
      <c r="A982" s="2840"/>
      <c r="B982" s="2243"/>
      <c r="C982" s="2845"/>
      <c r="D982" s="2235"/>
      <c r="E982" s="2845"/>
      <c r="F982" s="2845"/>
    </row>
    <row r="983" spans="1:6" s="8" customFormat="1">
      <c r="A983" s="2840"/>
      <c r="B983" s="2842"/>
      <c r="C983" s="2236"/>
      <c r="D983" s="2235"/>
      <c r="E983" s="2236"/>
      <c r="F983" s="2637"/>
    </row>
    <row r="984" spans="1:6" s="8" customFormat="1">
      <c r="A984" s="2840"/>
      <c r="B984" s="2842"/>
      <c r="C984" s="2236"/>
      <c r="D984" s="2235"/>
      <c r="E984" s="2236"/>
      <c r="F984" s="2236"/>
    </row>
    <row r="985" spans="1:6" s="8" customFormat="1">
      <c r="A985" s="2840"/>
      <c r="B985" s="2243"/>
      <c r="C985" s="2846"/>
      <c r="D985" s="2235"/>
      <c r="E985" s="2236"/>
      <c r="F985" s="2845"/>
    </row>
    <row r="986" spans="1:6" s="8" customFormat="1">
      <c r="A986" s="2840"/>
      <c r="B986" s="2842"/>
      <c r="C986" s="2236"/>
      <c r="D986" s="2235"/>
      <c r="E986" s="2236"/>
      <c r="F986" s="2637"/>
    </row>
    <row r="987" spans="1:6" s="8" customFormat="1">
      <c r="A987" s="2840"/>
      <c r="B987" s="2842"/>
      <c r="C987" s="2236"/>
      <c r="D987" s="2235"/>
      <c r="E987" s="2236"/>
      <c r="F987" s="2236"/>
    </row>
    <row r="988" spans="1:6" s="8" customFormat="1">
      <c r="A988" s="2840"/>
      <c r="B988" s="2842"/>
      <c r="C988" s="2236"/>
      <c r="D988" s="2235"/>
      <c r="E988" s="2236"/>
      <c r="F988" s="2236"/>
    </row>
    <row r="989" spans="1:6" s="8" customFormat="1">
      <c r="A989" s="2840"/>
      <c r="B989" s="2243"/>
      <c r="C989" s="2236"/>
      <c r="D989" s="2235"/>
      <c r="E989" s="2236"/>
      <c r="F989" s="2845"/>
    </row>
    <row r="990" spans="1:6" s="8" customFormat="1">
      <c r="A990" s="2840"/>
      <c r="B990" s="2243"/>
      <c r="C990" s="2236"/>
      <c r="D990" s="2235"/>
      <c r="E990" s="2236"/>
      <c r="F990" s="2845"/>
    </row>
    <row r="991" spans="1:6" s="8" customFormat="1">
      <c r="A991" s="2840"/>
      <c r="B991" s="2847"/>
      <c r="C991" s="2236"/>
      <c r="D991" s="2235"/>
      <c r="E991" s="2848"/>
      <c r="F991" s="2848"/>
    </row>
    <row r="992" spans="1:6" s="8" customFormat="1">
      <c r="A992" s="2840"/>
      <c r="B992" s="2243"/>
      <c r="C992" s="2236"/>
      <c r="D992" s="2235"/>
      <c r="E992" s="2236"/>
      <c r="F992" s="2848"/>
    </row>
    <row r="993" spans="1:16" s="8" customFormat="1">
      <c r="A993" s="2840"/>
      <c r="B993" s="2243"/>
      <c r="C993" s="2236"/>
      <c r="D993" s="2235"/>
      <c r="E993" s="2236"/>
      <c r="F993" s="2848"/>
    </row>
    <row r="994" spans="1:16" s="8" customFormat="1">
      <c r="A994" s="2840"/>
      <c r="B994" s="2842"/>
      <c r="C994" s="2236"/>
      <c r="D994" s="2235"/>
      <c r="E994" s="2236"/>
      <c r="F994" s="2637"/>
    </row>
    <row r="995" spans="1:16" s="8" customFormat="1">
      <c r="A995" s="2840"/>
      <c r="B995" s="2842"/>
      <c r="C995" s="2236"/>
      <c r="D995" s="2235"/>
      <c r="E995" s="2236"/>
      <c r="F995" s="2236"/>
    </row>
    <row r="996" spans="1:16" s="8" customFormat="1">
      <c r="A996" s="2840"/>
      <c r="B996" s="2440"/>
      <c r="C996" s="2236"/>
      <c r="D996" s="2235"/>
      <c r="E996" s="2236"/>
      <c r="F996" s="2637"/>
    </row>
    <row r="997" spans="1:16" s="8" customFormat="1">
      <c r="A997" s="2840"/>
      <c r="B997" s="2842"/>
      <c r="C997" s="2236"/>
      <c r="D997" s="2235"/>
      <c r="E997" s="2236"/>
      <c r="F997" s="2236"/>
    </row>
    <row r="998" spans="1:16" s="8" customFormat="1">
      <c r="A998" s="2840"/>
      <c r="B998" s="2440"/>
      <c r="C998" s="2236"/>
      <c r="D998" s="2235"/>
      <c r="E998" s="2236"/>
      <c r="F998" s="2836"/>
    </row>
    <row r="999" spans="1:16" s="2070" customFormat="1">
      <c r="B999" s="2819"/>
      <c r="C999" s="2820"/>
      <c r="D999" s="2820"/>
      <c r="E999" s="2820"/>
      <c r="F999" s="2538"/>
      <c r="G999" s="2225"/>
      <c r="H999" s="2225"/>
      <c r="I999" s="2354"/>
    </row>
    <row r="1000" spans="1:16" s="2827" customFormat="1">
      <c r="A1000" s="2352"/>
      <c r="B1000" s="2849"/>
      <c r="C1000" s="2849"/>
      <c r="D1000" s="2849"/>
      <c r="E1000" s="2849"/>
      <c r="F1000" s="2849"/>
      <c r="G1000" s="2352"/>
      <c r="K1000" s="2352"/>
      <c r="L1000" s="2352"/>
      <c r="M1000" s="2352"/>
      <c r="N1000" s="2352"/>
      <c r="O1000" s="2352"/>
      <c r="P1000" s="2352"/>
    </row>
    <row r="1001" spans="1:16" s="2827" customFormat="1">
      <c r="A1001" s="2352"/>
      <c r="B1001" s="2825"/>
      <c r="C1001" s="2826"/>
      <c r="D1001" s="2826"/>
      <c r="E1001" s="2826"/>
      <c r="F1001" s="2826"/>
      <c r="G1001" s="2352"/>
      <c r="K1001" s="2352"/>
      <c r="L1001" s="2352"/>
      <c r="M1001" s="2352"/>
      <c r="N1001" s="2352"/>
      <c r="O1001" s="2352"/>
      <c r="P1001" s="2352"/>
    </row>
    <row r="1002" spans="1:16" s="2827" customFormat="1">
      <c r="A1002" s="2352"/>
      <c r="B1002" s="2825"/>
      <c r="C1002" s="2828"/>
      <c r="D1002" s="2829"/>
      <c r="E1002" s="2830"/>
      <c r="F1002" s="2830"/>
      <c r="G1002" s="2352"/>
      <c r="K1002" s="2352"/>
      <c r="L1002" s="2352"/>
      <c r="M1002" s="2352"/>
      <c r="N1002" s="2352"/>
      <c r="O1002" s="2352"/>
      <c r="P1002" s="2352"/>
    </row>
    <row r="1003" spans="1:16" s="2827" customFormat="1">
      <c r="A1003" s="2352"/>
      <c r="B1003" s="2825"/>
      <c r="C1003" s="2828"/>
      <c r="D1003" s="2829"/>
      <c r="E1003" s="2830"/>
      <c r="F1003" s="2830"/>
      <c r="G1003" s="2352"/>
      <c r="K1003" s="2352"/>
      <c r="L1003" s="2352"/>
      <c r="M1003" s="2352"/>
      <c r="N1003" s="2352"/>
      <c r="O1003" s="2352"/>
      <c r="P1003" s="2352"/>
    </row>
    <row r="1004" spans="1:16" s="2352" customFormat="1">
      <c r="B1004" s="2825"/>
      <c r="C1004" s="2828"/>
      <c r="D1004" s="2829"/>
      <c r="E1004" s="2830"/>
      <c r="F1004" s="2830"/>
      <c r="H1004" s="2827"/>
      <c r="I1004" s="2827"/>
      <c r="J1004" s="2827"/>
    </row>
    <row r="1005" spans="1:16" s="2827" customFormat="1">
      <c r="A1005" s="2352"/>
      <c r="B1005" s="2068"/>
      <c r="C1005" s="2828"/>
      <c r="D1005" s="2829"/>
      <c r="E1005" s="2831"/>
      <c r="F1005" s="2830"/>
      <c r="G1005" s="2352"/>
      <c r="K1005" s="2352"/>
      <c r="L1005" s="2352"/>
      <c r="M1005" s="2352"/>
      <c r="N1005" s="2352"/>
      <c r="O1005" s="2352"/>
      <c r="P1005" s="2352"/>
    </row>
    <row r="1006" spans="1:16" s="2352" customFormat="1">
      <c r="B1006" s="2825"/>
      <c r="C1006" s="2828"/>
      <c r="D1006" s="2829"/>
      <c r="E1006" s="2830"/>
      <c r="F1006" s="2830"/>
      <c r="H1006" s="2827"/>
      <c r="I1006" s="2827"/>
      <c r="J1006" s="2827"/>
    </row>
    <row r="1007" spans="1:16" s="2352" customFormat="1">
      <c r="B1007" s="2825"/>
      <c r="C1007" s="2825"/>
      <c r="D1007" s="2832"/>
      <c r="E1007" s="2833"/>
      <c r="F1007" s="2834"/>
      <c r="H1007" s="2827"/>
      <c r="I1007" s="2827"/>
      <c r="J1007" s="2827"/>
    </row>
    <row r="1008" spans="1:16" s="2352" customFormat="1">
      <c r="B1008" s="2833"/>
      <c r="C1008" s="2835"/>
      <c r="D1008" s="2826"/>
      <c r="E1008" s="2825"/>
      <c r="F1008" s="2825"/>
      <c r="H1008" s="2827"/>
      <c r="I1008" s="2827"/>
      <c r="J1008" s="2827"/>
    </row>
    <row r="1009" spans="1:16" s="2352" customFormat="1">
      <c r="B1009" s="2825"/>
      <c r="C1009" s="2825"/>
      <c r="D1009" s="2825"/>
      <c r="E1009" s="2833"/>
      <c r="F1009" s="2836"/>
      <c r="H1009" s="2827"/>
      <c r="I1009" s="2827"/>
      <c r="J1009" s="2827"/>
    </row>
    <row r="1010" spans="1:16" s="2352" customFormat="1">
      <c r="B1010" s="2825"/>
      <c r="C1010" s="2825"/>
      <c r="D1010" s="2825"/>
      <c r="E1010" s="2833"/>
      <c r="F1010" s="2836"/>
      <c r="H1010" s="2827"/>
      <c r="I1010" s="2827"/>
      <c r="J1010" s="2827"/>
    </row>
    <row r="1011" spans="1:16" s="2352" customFormat="1">
      <c r="B1011" s="2849"/>
      <c r="C1011" s="2849"/>
      <c r="D1011" s="2849"/>
      <c r="E1011" s="2849"/>
      <c r="F1011" s="2849"/>
      <c r="H1011" s="2827"/>
      <c r="I1011" s="2827"/>
      <c r="J1011" s="2827"/>
    </row>
    <row r="1012" spans="1:16" s="2352" customFormat="1">
      <c r="B1012" s="2825"/>
      <c r="C1012" s="2826"/>
      <c r="D1012" s="2826"/>
      <c r="E1012" s="2826"/>
      <c r="F1012" s="2826"/>
      <c r="H1012" s="2827"/>
      <c r="I1012" s="2827"/>
      <c r="J1012" s="2827"/>
    </row>
    <row r="1013" spans="1:16" s="2352" customFormat="1">
      <c r="B1013" s="2825"/>
      <c r="C1013" s="2850"/>
      <c r="D1013" s="2829"/>
      <c r="E1013" s="2851"/>
      <c r="F1013" s="2828"/>
      <c r="H1013" s="2827"/>
      <c r="I1013" s="2827"/>
      <c r="J1013" s="2827"/>
    </row>
    <row r="1014" spans="1:16" s="2352" customFormat="1">
      <c r="B1014" s="2825"/>
      <c r="C1014" s="2850"/>
      <c r="D1014" s="2829"/>
      <c r="E1014" s="2851"/>
      <c r="F1014" s="2828"/>
      <c r="H1014" s="2827"/>
      <c r="I1014" s="2827"/>
      <c r="J1014" s="2827"/>
    </row>
    <row r="1015" spans="1:16" s="2352" customFormat="1">
      <c r="B1015" s="2825"/>
      <c r="C1015" s="2850"/>
      <c r="D1015" s="2829"/>
      <c r="E1015" s="2851"/>
      <c r="F1015" s="2828"/>
      <c r="H1015" s="2827"/>
      <c r="I1015" s="2827"/>
      <c r="J1015" s="2827"/>
    </row>
    <row r="1016" spans="1:16" s="2827" customFormat="1">
      <c r="A1016" s="2352"/>
      <c r="B1016" s="2068"/>
      <c r="C1016" s="2828"/>
      <c r="D1016" s="2829"/>
      <c r="E1016" s="2831"/>
      <c r="F1016" s="2830"/>
      <c r="G1016" s="2352"/>
      <c r="K1016" s="2352"/>
      <c r="L1016" s="2352"/>
      <c r="M1016" s="2352"/>
      <c r="N1016" s="2352"/>
      <c r="O1016" s="2352"/>
      <c r="P1016" s="2352"/>
    </row>
    <row r="1017" spans="1:16" s="2352" customFormat="1">
      <c r="B1017" s="2825"/>
      <c r="C1017" s="2828"/>
      <c r="D1017" s="2829"/>
      <c r="E1017" s="2830"/>
      <c r="F1017" s="2830"/>
      <c r="H1017" s="2827"/>
      <c r="I1017" s="2827"/>
      <c r="J1017" s="2827"/>
    </row>
    <row r="1018" spans="1:16" s="2352" customFormat="1">
      <c r="B1018" s="2825"/>
      <c r="C1018" s="2825"/>
      <c r="D1018" s="2832"/>
      <c r="E1018" s="2833"/>
      <c r="F1018" s="2834"/>
      <c r="H1018" s="2827"/>
      <c r="I1018" s="2827"/>
      <c r="J1018" s="2827"/>
    </row>
    <row r="1019" spans="1:16" s="2352" customFormat="1">
      <c r="B1019" s="2833"/>
      <c r="C1019" s="2835"/>
      <c r="D1019" s="2825"/>
      <c r="E1019" s="2825"/>
      <c r="F1019" s="2825"/>
      <c r="H1019" s="2827"/>
      <c r="I1019" s="2827"/>
      <c r="J1019" s="2827"/>
    </row>
    <row r="1020" spans="1:16" s="2352" customFormat="1">
      <c r="B1020" s="2825"/>
      <c r="C1020" s="2825"/>
      <c r="D1020" s="2825"/>
      <c r="E1020" s="2833"/>
      <c r="F1020" s="2836"/>
      <c r="H1020" s="2827"/>
      <c r="I1020" s="2827"/>
      <c r="J1020" s="2827"/>
    </row>
    <row r="1021" spans="1:16" s="2070" customFormat="1" ht="13.5" thickBot="1">
      <c r="B1021" s="2684"/>
      <c r="C1021" s="2700"/>
      <c r="D1021" s="2648"/>
      <c r="E1021" s="2701"/>
      <c r="F1021" s="2686"/>
      <c r="G1021" s="2225"/>
      <c r="H1021" s="2225"/>
      <c r="I1021" s="2354"/>
    </row>
    <row r="1022" spans="1:16" s="2070" customFormat="1" ht="13.5" thickTop="1">
      <c r="A1022" s="2246"/>
      <c r="B1022" s="2702"/>
      <c r="C1022" s="2703"/>
      <c r="D1022" s="2145"/>
      <c r="E1022" s="2703"/>
      <c r="F1022" s="2524"/>
      <c r="G1022" s="2225"/>
      <c r="H1022" s="2225"/>
      <c r="I1022" s="2354"/>
    </row>
    <row r="1023" spans="1:16" s="2070" customFormat="1">
      <c r="A1023" s="2068"/>
      <c r="B1023" s="2704"/>
      <c r="C1023" s="2249"/>
      <c r="D1023" s="2146"/>
      <c r="E1023" s="2249"/>
      <c r="F1023" s="2525"/>
      <c r="G1023" s="2225"/>
      <c r="H1023" s="2225"/>
      <c r="I1023" s="2354"/>
    </row>
    <row r="1024" spans="1:16" s="2070" customFormat="1">
      <c r="A1024" s="2068"/>
      <c r="B1024" s="2704"/>
      <c r="C1024" s="2249"/>
      <c r="D1024" s="2146"/>
      <c r="E1024" s="2249"/>
      <c r="F1024" s="2525"/>
      <c r="G1024" s="2225"/>
      <c r="H1024" s="2225"/>
      <c r="I1024" s="2354"/>
    </row>
    <row r="1025" spans="1:12" s="2070" customFormat="1">
      <c r="A1025" s="2068"/>
      <c r="B1025" s="2704"/>
      <c r="C1025" s="2249"/>
      <c r="D1025" s="2146"/>
      <c r="E1025" s="2249"/>
      <c r="F1025" s="2525"/>
      <c r="G1025" s="2225"/>
      <c r="H1025" s="2225"/>
      <c r="I1025" s="2354"/>
    </row>
    <row r="1026" spans="1:12" s="2070" customFormat="1">
      <c r="A1026" s="2068"/>
      <c r="B1026" s="2704"/>
      <c r="C1026" s="2249"/>
      <c r="D1026" s="2146"/>
      <c r="E1026" s="2249"/>
      <c r="F1026" s="2525"/>
      <c r="G1026" s="2225"/>
      <c r="H1026" s="2225"/>
      <c r="I1026" s="2354"/>
    </row>
    <row r="1027" spans="1:12" s="2070" customFormat="1" ht="13.5" thickBot="1">
      <c r="A1027" s="2099"/>
      <c r="B1027" s="2705"/>
      <c r="C1027" s="2706"/>
      <c r="D1027" s="2705"/>
      <c r="E1027" s="2707"/>
      <c r="F1027" s="2708"/>
      <c r="G1027" s="2225"/>
      <c r="H1027" s="2225"/>
      <c r="I1027" s="2354"/>
    </row>
    <row r="1028" spans="1:12" s="2070" customFormat="1" ht="13.5" thickTop="1">
      <c r="A1028" s="2246"/>
      <c r="B1028" s="2852"/>
      <c r="C1028" s="2853"/>
      <c r="D1028" s="2145"/>
      <c r="E1028" s="2711"/>
      <c r="F1028" s="2854"/>
      <c r="G1028" s="2225"/>
      <c r="H1028" s="2225"/>
      <c r="I1028" s="2354"/>
    </row>
    <row r="1029" spans="1:12" s="2070" customFormat="1">
      <c r="A1029" s="2068"/>
      <c r="B1029" s="2800"/>
      <c r="C1029" s="2249"/>
      <c r="D1029" s="2146"/>
      <c r="E1029" s="2817"/>
      <c r="F1029" s="2855"/>
      <c r="G1029" s="2225"/>
      <c r="H1029" s="2225"/>
      <c r="I1029" s="2354"/>
    </row>
    <row r="1030" spans="1:12" s="2070" customFormat="1">
      <c r="A1030" s="2068"/>
      <c r="B1030" s="2800"/>
      <c r="C1030" s="2249"/>
      <c r="D1030" s="2146"/>
      <c r="E1030" s="2817"/>
      <c r="F1030" s="2855"/>
      <c r="G1030" s="2225"/>
      <c r="H1030" s="2225"/>
      <c r="I1030" s="2354"/>
    </row>
    <row r="1031" spans="1:12" s="2070" customFormat="1">
      <c r="A1031" s="2068"/>
      <c r="B1031" s="2800"/>
      <c r="C1031" s="2249"/>
      <c r="D1031" s="2146"/>
      <c r="E1031" s="2817"/>
      <c r="F1031" s="2855"/>
      <c r="G1031" s="2225"/>
      <c r="H1031" s="2225"/>
      <c r="I1031" s="2354"/>
    </row>
    <row r="1032" spans="1:12" s="2070" customFormat="1">
      <c r="A1032" s="2068"/>
      <c r="B1032" s="2800"/>
      <c r="C1032" s="2249"/>
      <c r="D1032" s="2146"/>
      <c r="E1032" s="2817"/>
      <c r="F1032" s="2855"/>
      <c r="G1032" s="2225"/>
      <c r="H1032" s="2225"/>
      <c r="I1032" s="2354"/>
      <c r="J1032" s="2856"/>
    </row>
    <row r="1033" spans="1:12" s="2070" customFormat="1">
      <c r="A1033" s="2068"/>
      <c r="B1033" s="2800"/>
      <c r="C1033" s="2249"/>
      <c r="D1033" s="2146"/>
      <c r="E1033" s="2817"/>
      <c r="F1033" s="2855"/>
      <c r="G1033" s="2225"/>
      <c r="H1033" s="2225"/>
      <c r="I1033" s="2354"/>
    </row>
    <row r="1034" spans="1:12" s="2070" customFormat="1">
      <c r="A1034" s="2068"/>
      <c r="B1034" s="2137"/>
      <c r="C1034" s="2249"/>
      <c r="D1034" s="2146"/>
      <c r="E1034" s="2817"/>
      <c r="F1034" s="2855"/>
      <c r="G1034" s="2225"/>
      <c r="H1034" s="2225"/>
      <c r="I1034" s="2354"/>
    </row>
    <row r="1035" spans="1:12" s="2070" customFormat="1">
      <c r="A1035" s="2068"/>
      <c r="B1035" s="2800"/>
      <c r="C1035" s="2249"/>
      <c r="D1035" s="2146"/>
      <c r="E1035" s="2817"/>
      <c r="F1035" s="2855"/>
      <c r="G1035" s="2225"/>
      <c r="H1035" s="2225"/>
      <c r="I1035" s="2354"/>
      <c r="J1035" s="2225"/>
    </row>
    <row r="1036" spans="1:12" s="2070" customFormat="1">
      <c r="A1036" s="2068"/>
      <c r="B1036" s="2800"/>
      <c r="C1036" s="2249"/>
      <c r="D1036" s="2146"/>
      <c r="E1036" s="2817"/>
      <c r="F1036" s="2855"/>
      <c r="G1036" s="2225"/>
      <c r="H1036" s="2225"/>
      <c r="I1036" s="2354"/>
      <c r="J1036" s="2225"/>
    </row>
    <row r="1037" spans="1:12" s="2070" customFormat="1">
      <c r="A1037" s="2068"/>
      <c r="B1037" s="2800"/>
      <c r="C1037" s="2249"/>
      <c r="D1037" s="2146"/>
      <c r="E1037" s="2817"/>
      <c r="F1037" s="2855"/>
      <c r="G1037" s="2225"/>
      <c r="H1037" s="2225"/>
      <c r="I1037" s="2354"/>
      <c r="J1037" s="2225"/>
    </row>
    <row r="1038" spans="1:12" s="2070" customFormat="1">
      <c r="A1038" s="2068"/>
      <c r="B1038" s="2800"/>
      <c r="C1038" s="2249"/>
      <c r="D1038" s="2146"/>
      <c r="E1038" s="2817"/>
      <c r="F1038" s="2855"/>
      <c r="G1038" s="2225"/>
      <c r="H1038" s="2225"/>
      <c r="I1038" s="2354"/>
      <c r="J1038" s="2225"/>
    </row>
    <row r="1039" spans="1:12" s="2070" customFormat="1">
      <c r="A1039" s="2068"/>
      <c r="B1039" s="2800"/>
      <c r="C1039" s="2249"/>
      <c r="D1039" s="2146"/>
      <c r="E1039" s="2817"/>
      <c r="F1039" s="2855"/>
      <c r="G1039" s="2225"/>
      <c r="H1039" s="2225"/>
      <c r="I1039" s="2354"/>
    </row>
    <row r="1040" spans="1:12" s="2070" customFormat="1">
      <c r="A1040" s="2068"/>
      <c r="B1040" s="2800"/>
      <c r="C1040" s="2249"/>
      <c r="D1040" s="2146"/>
      <c r="E1040" s="2817"/>
      <c r="F1040" s="2855"/>
      <c r="G1040" s="2225"/>
      <c r="H1040" s="2225"/>
      <c r="I1040" s="2354"/>
      <c r="K1040" s="2225"/>
      <c r="L1040" s="2225"/>
    </row>
    <row r="1041" spans="1:12" s="2070" customFormat="1">
      <c r="A1041" s="2068"/>
      <c r="B1041" s="2800"/>
      <c r="C1041" s="2249"/>
      <c r="D1041" s="2146"/>
      <c r="E1041" s="2817"/>
      <c r="F1041" s="2855"/>
      <c r="G1041" s="2225"/>
      <c r="H1041" s="2225"/>
      <c r="I1041" s="2354"/>
      <c r="K1041" s="2225"/>
      <c r="L1041" s="2225"/>
    </row>
    <row r="1042" spans="1:12" s="2070" customFormat="1">
      <c r="A1042" s="2068"/>
      <c r="B1042" s="2800"/>
      <c r="C1042" s="2249"/>
      <c r="D1042" s="2146"/>
      <c r="E1042" s="2817"/>
      <c r="F1042" s="2855"/>
      <c r="G1042" s="2225"/>
      <c r="H1042" s="2225"/>
      <c r="I1042" s="2354"/>
      <c r="J1042" s="2225"/>
      <c r="K1042" s="2225"/>
      <c r="L1042" s="2225"/>
    </row>
    <row r="1043" spans="1:12" s="2070" customFormat="1">
      <c r="A1043" s="2068"/>
      <c r="B1043" s="2800"/>
      <c r="C1043" s="2249"/>
      <c r="D1043" s="2146"/>
      <c r="E1043" s="2817"/>
      <c r="F1043" s="2855"/>
      <c r="G1043" s="2225"/>
      <c r="H1043" s="2225"/>
      <c r="I1043" s="2354"/>
      <c r="K1043" s="2225"/>
      <c r="L1043" s="2225"/>
    </row>
    <row r="1044" spans="1:12" s="2070" customFormat="1">
      <c r="A1044" s="2068"/>
      <c r="B1044" s="2800"/>
      <c r="C1044" s="2249"/>
      <c r="D1044" s="2146"/>
      <c r="E1044" s="2817"/>
      <c r="F1044" s="2855"/>
      <c r="G1044" s="2225"/>
      <c r="H1044" s="2225"/>
      <c r="I1044" s="2354"/>
    </row>
    <row r="1045" spans="1:12" s="2070" customFormat="1">
      <c r="A1045" s="2068"/>
      <c r="B1045" s="2800"/>
      <c r="C1045" s="2249"/>
      <c r="D1045" s="2146"/>
      <c r="E1045" s="2817"/>
      <c r="F1045" s="2855"/>
      <c r="G1045" s="2225"/>
      <c r="H1045" s="2225"/>
      <c r="I1045" s="2354"/>
    </row>
    <row r="1046" spans="1:12" s="2070" customFormat="1">
      <c r="A1046" s="2068"/>
      <c r="B1046" s="2800"/>
      <c r="C1046" s="2249"/>
      <c r="D1046" s="2146"/>
      <c r="E1046" s="2817"/>
      <c r="F1046" s="2855"/>
      <c r="G1046" s="2225"/>
      <c r="H1046" s="2225"/>
      <c r="I1046" s="2354"/>
      <c r="K1046" s="2225"/>
    </row>
    <row r="1047" spans="1:12" s="2070" customFormat="1">
      <c r="A1047" s="2068"/>
      <c r="B1047" s="2800"/>
      <c r="C1047" s="2249"/>
      <c r="D1047" s="2146"/>
      <c r="E1047" s="2817"/>
      <c r="F1047" s="2855"/>
      <c r="G1047" s="2225"/>
      <c r="H1047" s="2225"/>
      <c r="I1047" s="2354"/>
      <c r="K1047" s="2225"/>
    </row>
    <row r="1048" spans="1:12" s="2070" customFormat="1" ht="13.5" thickBot="1">
      <c r="A1048" s="2099"/>
      <c r="B1048" s="2857"/>
      <c r="C1048" s="2858"/>
      <c r="D1048" s="2105"/>
      <c r="E1048" s="2859"/>
      <c r="F1048" s="2860"/>
      <c r="G1048" s="2225"/>
      <c r="H1048" s="2225"/>
      <c r="I1048" s="2354"/>
    </row>
    <row r="1049" spans="1:12" s="2070" customFormat="1" ht="13.5" thickTop="1">
      <c r="B1049" s="2648"/>
      <c r="C1049" s="2861"/>
      <c r="D1049" s="2648"/>
      <c r="E1049" s="2861"/>
      <c r="F1049" s="2861"/>
      <c r="G1049" s="2225"/>
      <c r="H1049" s="2225"/>
      <c r="I1049" s="2354"/>
    </row>
    <row r="1050" spans="1:12" s="2070" customFormat="1" ht="13.5" thickBot="1">
      <c r="B1050" s="2684"/>
      <c r="C1050" s="2700"/>
      <c r="D1050" s="2648"/>
      <c r="E1050" s="2701"/>
      <c r="F1050" s="2686"/>
      <c r="G1050" s="2225"/>
      <c r="H1050" s="2225"/>
      <c r="I1050" s="2354"/>
    </row>
    <row r="1051" spans="1:12" s="2070" customFormat="1" ht="13.5" thickTop="1">
      <c r="A1051" s="2246"/>
      <c r="B1051" s="2862"/>
      <c r="C1051" s="2703"/>
      <c r="D1051" s="2145"/>
      <c r="E1051" s="2703"/>
      <c r="F1051" s="2524"/>
      <c r="G1051" s="2225"/>
      <c r="H1051" s="2225"/>
      <c r="I1051" s="2354"/>
    </row>
    <row r="1052" spans="1:12" s="2070" customFormat="1">
      <c r="A1052" s="2863"/>
      <c r="B1052" s="2704"/>
      <c r="C1052" s="2864"/>
      <c r="D1052" s="2865"/>
      <c r="E1052" s="2864"/>
      <c r="F1052" s="2525"/>
      <c r="G1052" s="2225"/>
      <c r="H1052" s="2225"/>
      <c r="I1052" s="2354"/>
    </row>
    <row r="1053" spans="1:12" s="2070" customFormat="1">
      <c r="A1053" s="2068"/>
      <c r="B1053" s="2704"/>
      <c r="C1053" s="2249"/>
      <c r="D1053" s="2146"/>
      <c r="E1053" s="2249"/>
      <c r="F1053" s="2525"/>
      <c r="G1053" s="2225"/>
      <c r="H1053" s="2225"/>
      <c r="I1053" s="2354"/>
    </row>
    <row r="1054" spans="1:12" s="2070" customFormat="1">
      <c r="A1054" s="2068"/>
      <c r="B1054" s="2704"/>
      <c r="C1054" s="2249"/>
      <c r="D1054" s="2146"/>
      <c r="E1054" s="2249"/>
      <c r="F1054" s="2525"/>
      <c r="G1054" s="2225"/>
      <c r="H1054" s="2225"/>
      <c r="I1054" s="2354"/>
    </row>
    <row r="1055" spans="1:12" s="2070" customFormat="1">
      <c r="A1055" s="2068"/>
      <c r="B1055" s="2704"/>
      <c r="C1055" s="2249"/>
      <c r="D1055" s="2146"/>
      <c r="E1055" s="2249"/>
      <c r="F1055" s="2525"/>
      <c r="G1055" s="2225"/>
      <c r="H1055" s="2225"/>
      <c r="I1055" s="2354"/>
    </row>
    <row r="1056" spans="1:12" s="2070" customFormat="1">
      <c r="A1056" s="2068"/>
      <c r="B1056" s="2704"/>
      <c r="C1056" s="2249"/>
      <c r="D1056" s="2146"/>
      <c r="E1056" s="2249"/>
      <c r="F1056" s="2525"/>
      <c r="G1056" s="2225"/>
      <c r="H1056" s="2225"/>
      <c r="I1056" s="2354"/>
    </row>
    <row r="1057" spans="1:9" s="2070" customFormat="1">
      <c r="A1057" s="2261"/>
      <c r="B1057" s="8"/>
      <c r="C1057" s="2866"/>
      <c r="D1057" s="2264"/>
      <c r="E1057" s="2866"/>
      <c r="F1057" s="2867"/>
      <c r="G1057" s="2225"/>
      <c r="H1057" s="2225"/>
      <c r="I1057" s="2354"/>
    </row>
    <row r="1058" spans="1:9" s="2070" customFormat="1" ht="13.5" thickBot="1">
      <c r="A1058" s="2099"/>
      <c r="B1058" s="2705"/>
      <c r="C1058" s="2706"/>
      <c r="D1058" s="2705"/>
      <c r="E1058" s="2707"/>
      <c r="F1058" s="2708"/>
      <c r="G1058" s="2225"/>
      <c r="H1058" s="2225"/>
      <c r="I1058" s="2354"/>
    </row>
    <row r="1059" spans="1:9" s="2070" customFormat="1" ht="13.5" thickTop="1">
      <c r="A1059" s="2246"/>
      <c r="B1059" s="2868"/>
      <c r="C1059" s="2760"/>
      <c r="D1059" s="2145"/>
      <c r="E1059" s="2711"/>
      <c r="F1059" s="2869"/>
      <c r="G1059" s="2225"/>
      <c r="H1059" s="2225"/>
      <c r="I1059" s="2354"/>
    </row>
    <row r="1060" spans="1:9" s="2070" customFormat="1">
      <c r="A1060" s="2863"/>
      <c r="B1060" s="2137"/>
      <c r="C1060" s="2870"/>
      <c r="D1060" s="2865"/>
      <c r="E1060" s="2871"/>
      <c r="F1060" s="2872"/>
      <c r="G1060" s="2225"/>
      <c r="H1060" s="2225"/>
      <c r="I1060" s="2354"/>
    </row>
    <row r="1061" spans="1:9" s="2070" customFormat="1">
      <c r="A1061" s="2068"/>
      <c r="B1061" s="2137"/>
      <c r="C1061" s="2109"/>
      <c r="D1061" s="2146"/>
      <c r="E1061" s="2817"/>
      <c r="F1061" s="2804"/>
      <c r="G1061" s="2225"/>
      <c r="H1061" s="2225"/>
      <c r="I1061" s="2354"/>
    </row>
    <row r="1062" spans="1:9" s="2070" customFormat="1">
      <c r="A1062" s="2068"/>
      <c r="B1062" s="2137"/>
      <c r="C1062" s="2870"/>
      <c r="D1062" s="2146"/>
      <c r="E1062" s="2817"/>
      <c r="F1062" s="2872"/>
      <c r="G1062" s="2225"/>
      <c r="H1062" s="2225"/>
      <c r="I1062" s="2354"/>
    </row>
    <row r="1063" spans="1:9" s="2070" customFormat="1">
      <c r="A1063" s="2068"/>
      <c r="B1063" s="2137"/>
      <c r="C1063" s="2109"/>
      <c r="D1063" s="2146"/>
      <c r="E1063" s="2817"/>
      <c r="F1063" s="2804"/>
      <c r="G1063" s="2225"/>
      <c r="H1063" s="2225"/>
      <c r="I1063" s="2354"/>
    </row>
    <row r="1064" spans="1:9" s="2070" customFormat="1">
      <c r="A1064" s="2261"/>
      <c r="B1064" s="2137"/>
      <c r="C1064" s="2870"/>
      <c r="D1064" s="2264"/>
      <c r="E1064" s="2059"/>
      <c r="F1064" s="2872"/>
      <c r="G1064" s="2225"/>
      <c r="H1064" s="2225"/>
      <c r="I1064" s="2354"/>
    </row>
    <row r="1065" spans="1:9" s="2070" customFormat="1">
      <c r="A1065" s="2261"/>
      <c r="B1065" s="2873"/>
      <c r="C1065" s="2263"/>
      <c r="D1065" s="2264"/>
      <c r="E1065" s="2874"/>
      <c r="F1065" s="2875"/>
      <c r="G1065" s="2225"/>
      <c r="H1065" s="2225"/>
      <c r="I1065" s="2354"/>
    </row>
    <row r="1066" spans="1:9" s="2070" customFormat="1" ht="13.5" thickBot="1">
      <c r="A1066" s="2099"/>
      <c r="B1066" s="2805"/>
      <c r="C1066" s="2876"/>
      <c r="D1066" s="2105"/>
      <c r="E1066" s="2143"/>
      <c r="F1066" s="2877"/>
      <c r="G1066" s="2225"/>
      <c r="H1066" s="2225"/>
      <c r="I1066" s="2354"/>
    </row>
    <row r="1067" spans="1:9" s="2070" customFormat="1" ht="13.5" thickTop="1">
      <c r="C1067" s="2093"/>
      <c r="D1067" s="2094"/>
      <c r="E1067" s="2093"/>
      <c r="F1067" s="2093"/>
      <c r="G1067" s="2225"/>
      <c r="H1067" s="2225"/>
      <c r="I1067" s="2354"/>
    </row>
    <row r="1068" spans="1:9" s="2070" customFormat="1" ht="13.5" thickBot="1">
      <c r="B1068" s="2684"/>
      <c r="C1068" s="2093"/>
      <c r="D1068" s="2094"/>
      <c r="E1068" s="2093"/>
      <c r="F1068" s="2093"/>
      <c r="G1068" s="2225"/>
      <c r="H1068" s="2225"/>
      <c r="I1068" s="2354"/>
    </row>
    <row r="1069" spans="1:9" s="2070" customFormat="1" ht="13.5" thickTop="1">
      <c r="A1069" s="2246"/>
      <c r="B1069" s="2759"/>
      <c r="C1069" s="2760"/>
      <c r="D1069" s="2145"/>
      <c r="E1069" s="2760"/>
      <c r="F1069" s="2524"/>
      <c r="G1069" s="2225"/>
      <c r="H1069" s="2225"/>
      <c r="I1069" s="2354"/>
    </row>
    <row r="1070" spans="1:9" s="2070" customFormat="1">
      <c r="A1070" s="2068"/>
      <c r="B1070" s="2107"/>
      <c r="C1070" s="2109"/>
      <c r="D1070" s="2146"/>
      <c r="E1070" s="2109"/>
      <c r="F1070" s="2525"/>
      <c r="G1070" s="2225"/>
      <c r="H1070" s="2225"/>
      <c r="I1070" s="2354"/>
    </row>
    <row r="1071" spans="1:9" s="2070" customFormat="1">
      <c r="A1071" s="2068"/>
      <c r="B1071" s="2107"/>
      <c r="C1071" s="2109"/>
      <c r="D1071" s="2146"/>
      <c r="E1071" s="2109"/>
      <c r="F1071" s="2525"/>
      <c r="G1071" s="2225"/>
      <c r="H1071" s="2225"/>
      <c r="I1071" s="2354"/>
    </row>
    <row r="1072" spans="1:9" s="2070" customFormat="1">
      <c r="A1072" s="2068"/>
      <c r="B1072" s="2107"/>
      <c r="C1072" s="2109"/>
      <c r="D1072" s="2146"/>
      <c r="E1072" s="2109"/>
      <c r="F1072" s="2525"/>
      <c r="G1072" s="2225"/>
      <c r="H1072" s="2225"/>
      <c r="I1072" s="2354"/>
    </row>
    <row r="1073" spans="1:9" s="2070" customFormat="1">
      <c r="A1073" s="2068"/>
      <c r="B1073" s="2107"/>
      <c r="C1073" s="2109"/>
      <c r="D1073" s="2146"/>
      <c r="E1073" s="2109"/>
      <c r="F1073" s="2525"/>
      <c r="G1073" s="2225"/>
      <c r="H1073" s="2225"/>
      <c r="I1073" s="2354"/>
    </row>
    <row r="1074" spans="1:9" s="2070" customFormat="1">
      <c r="A1074" s="2068"/>
      <c r="B1074" s="2107"/>
      <c r="C1074" s="2109"/>
      <c r="D1074" s="2146"/>
      <c r="E1074" s="2109"/>
      <c r="F1074" s="2525"/>
      <c r="G1074" s="2225"/>
      <c r="H1074" s="2225"/>
      <c r="I1074" s="2354"/>
    </row>
    <row r="1075" spans="1:9" s="2070" customFormat="1">
      <c r="A1075" s="2068"/>
      <c r="B1075" s="2107"/>
      <c r="C1075" s="2109"/>
      <c r="D1075" s="2146"/>
      <c r="E1075" s="2109"/>
      <c r="F1075" s="2525"/>
      <c r="G1075" s="2225"/>
      <c r="H1075" s="2225"/>
      <c r="I1075" s="2354"/>
    </row>
    <row r="1076" spans="1:9" s="2070" customFormat="1">
      <c r="A1076" s="2068"/>
      <c r="B1076" s="2107"/>
      <c r="C1076" s="2109"/>
      <c r="D1076" s="2146"/>
      <c r="E1076" s="2109"/>
      <c r="F1076" s="2525"/>
      <c r="G1076" s="2225"/>
      <c r="H1076" s="2225"/>
      <c r="I1076" s="2354"/>
    </row>
    <row r="1077" spans="1:9" s="2070" customFormat="1" ht="13.5" thickBot="1">
      <c r="A1077" s="2099"/>
      <c r="B1077" s="2114"/>
      <c r="C1077" s="2101"/>
      <c r="D1077" s="2105"/>
      <c r="E1077" s="2707"/>
      <c r="F1077" s="2878"/>
      <c r="G1077" s="2225"/>
      <c r="H1077" s="2225"/>
      <c r="I1077" s="2354"/>
    </row>
    <row r="1078" spans="1:9" s="2070" customFormat="1" ht="14.25" thickTop="1" thickBot="1">
      <c r="A1078" s="2879"/>
      <c r="B1078" s="2880"/>
      <c r="C1078" s="2881"/>
      <c r="D1078" s="2882"/>
      <c r="E1078" s="2883"/>
      <c r="F1078" s="2884"/>
      <c r="G1078" s="2225"/>
      <c r="H1078" s="2225"/>
      <c r="I1078" s="2354"/>
    </row>
    <row r="1079" spans="1:9" s="2070" customFormat="1" ht="13.5" thickTop="1">
      <c r="C1079" s="2093"/>
      <c r="D1079" s="2094"/>
      <c r="E1079" s="2093"/>
      <c r="F1079" s="2093"/>
      <c r="G1079" s="2225"/>
      <c r="H1079" s="2225"/>
      <c r="I1079" s="2354"/>
    </row>
    <row r="1080" spans="1:9" s="2070" customFormat="1">
      <c r="C1080" s="2093"/>
      <c r="D1080" s="2094"/>
      <c r="E1080" s="2093"/>
      <c r="F1080" s="2093"/>
      <c r="G1080" s="2225"/>
      <c r="H1080" s="2225"/>
      <c r="I1080" s="2354"/>
    </row>
    <row r="1081" spans="1:9" s="2070" customFormat="1" ht="13.5" thickBot="1">
      <c r="B1081" s="2420"/>
      <c r="C1081" s="2421"/>
      <c r="D1081" s="2421"/>
      <c r="E1081" s="2421"/>
      <c r="F1081" s="2421"/>
      <c r="G1081" s="2225"/>
      <c r="H1081" s="2225"/>
      <c r="I1081" s="2354"/>
    </row>
    <row r="1082" spans="1:9" s="2070" customFormat="1" ht="13.5" thickTop="1">
      <c r="A1082" s="2246"/>
      <c r="B1082" s="2422"/>
      <c r="C1082" s="2423"/>
      <c r="D1082" s="2423"/>
      <c r="E1082" s="2423"/>
      <c r="F1082" s="2424"/>
      <c r="G1082" s="2225"/>
      <c r="H1082" s="2225"/>
      <c r="I1082" s="2354"/>
    </row>
    <row r="1083" spans="1:9" s="2070" customFormat="1">
      <c r="A1083" s="2068"/>
      <c r="B1083" s="2243"/>
      <c r="C1083" s="2234"/>
      <c r="D1083" s="2235"/>
      <c r="E1083" s="2425"/>
      <c r="F1083" s="2426"/>
      <c r="G1083" s="2225"/>
      <c r="H1083" s="2225"/>
      <c r="I1083" s="2354"/>
    </row>
    <row r="1084" spans="1:9" s="2070" customFormat="1">
      <c r="A1084" s="2068"/>
      <c r="B1084" s="2427"/>
      <c r="C1084" s="2428"/>
      <c r="D1084" s="2429"/>
      <c r="E1084" s="2428"/>
      <c r="F1084" s="2430"/>
      <c r="G1084" s="2225"/>
      <c r="H1084" s="2225"/>
      <c r="I1084" s="2354"/>
    </row>
    <row r="1085" spans="1:9" s="2070" customFormat="1">
      <c r="A1085" s="2068"/>
      <c r="B1085" s="2427"/>
      <c r="C1085" s="2428"/>
      <c r="D1085" s="2429"/>
      <c r="E1085" s="2428"/>
      <c r="F1085" s="2430"/>
      <c r="G1085" s="2225"/>
      <c r="H1085" s="2225"/>
      <c r="I1085" s="2354"/>
    </row>
    <row r="1086" spans="1:9" s="2070" customFormat="1">
      <c r="A1086" s="2068"/>
      <c r="B1086" s="2243"/>
      <c r="C1086" s="2234"/>
      <c r="D1086" s="2235"/>
      <c r="E1086" s="2425"/>
      <c r="F1086" s="2426"/>
      <c r="G1086" s="2225"/>
      <c r="H1086" s="2225"/>
      <c r="I1086" s="2354"/>
    </row>
    <row r="1087" spans="1:9" s="2070" customFormat="1">
      <c r="A1087" s="2068"/>
      <c r="B1087" s="2243"/>
      <c r="C1087" s="2234"/>
      <c r="D1087" s="2235"/>
      <c r="E1087" s="2431"/>
      <c r="F1087" s="2426"/>
      <c r="G1087" s="2225"/>
      <c r="H1087" s="2225"/>
      <c r="I1087" s="2354"/>
    </row>
    <row r="1088" spans="1:9" s="2070" customFormat="1">
      <c r="A1088" s="2068"/>
      <c r="B1088" s="2432"/>
      <c r="C1088" s="2433"/>
      <c r="D1088" s="2434"/>
      <c r="E1088" s="2435"/>
      <c r="F1088" s="2436"/>
      <c r="G1088" s="2225"/>
      <c r="H1088" s="2225"/>
      <c r="I1088" s="2354"/>
    </row>
    <row r="1089" spans="1:23" s="2070" customFormat="1">
      <c r="A1089" s="2068"/>
      <c r="B1089" s="2437"/>
      <c r="C1089" s="2438"/>
      <c r="D1089" s="2439"/>
      <c r="E1089" s="2440"/>
      <c r="F1089" s="2441"/>
      <c r="G1089" s="2225"/>
      <c r="H1089" s="2225"/>
      <c r="I1089" s="2354"/>
    </row>
    <row r="1090" spans="1:23" s="2070" customFormat="1" ht="13.5" thickBot="1">
      <c r="A1090" s="2099"/>
      <c r="B1090" s="2442"/>
      <c r="C1090" s="2238"/>
      <c r="D1090" s="2238"/>
      <c r="E1090" s="2443"/>
      <c r="F1090" s="2444"/>
      <c r="G1090" s="2225"/>
      <c r="H1090" s="2225"/>
      <c r="I1090" s="2354"/>
    </row>
    <row r="1091" spans="1:23" s="2070" customFormat="1" ht="13.5" thickTop="1">
      <c r="A1091" s="2043"/>
      <c r="B1091" s="2885"/>
      <c r="C1091" s="2885"/>
      <c r="D1091" s="2886"/>
      <c r="E1091" s="2887"/>
      <c r="F1091" s="2888"/>
      <c r="G1091" s="2225"/>
      <c r="H1091" s="2225"/>
      <c r="I1091" s="2354"/>
    </row>
    <row r="1092" spans="1:23" s="2070" customFormat="1">
      <c r="C1092" s="2093"/>
      <c r="D1092" s="2094"/>
      <c r="E1092" s="2093"/>
      <c r="F1092" s="2093"/>
      <c r="G1092" s="2225"/>
      <c r="H1092" s="2225"/>
      <c r="I1092" s="2354"/>
    </row>
    <row r="1093" spans="1:23" s="2070" customFormat="1" ht="13.5" thickBot="1">
      <c r="B1093" s="2147"/>
      <c r="C1093" s="2093"/>
      <c r="D1093" s="2094"/>
      <c r="E1093" s="2093"/>
      <c r="F1093" s="2093"/>
      <c r="G1093" s="2225"/>
      <c r="H1093" s="2225"/>
      <c r="I1093" s="2354"/>
      <c r="Q1093" s="2148"/>
      <c r="R1093" s="2148"/>
      <c r="S1093" s="2148"/>
      <c r="T1093" s="2148"/>
      <c r="U1093" s="2148"/>
      <c r="V1093" s="2148"/>
    </row>
    <row r="1094" spans="1:23" s="2070" customFormat="1" ht="13.5" thickTop="1">
      <c r="A1094" s="2246"/>
      <c r="B1094" s="2702"/>
      <c r="C1094" s="2048"/>
      <c r="D1094" s="2145"/>
      <c r="E1094" s="2048"/>
      <c r="F1094" s="2524"/>
      <c r="G1094" s="2225"/>
      <c r="H1094" s="2225"/>
      <c r="I1094" s="2354"/>
      <c r="O1094" s="2648"/>
      <c r="Q1094" s="2225"/>
      <c r="R1094" s="2225"/>
      <c r="S1094" s="2225"/>
      <c r="T1094" s="2225"/>
      <c r="U1094" s="2225"/>
      <c r="V1094" s="2225"/>
      <c r="W1094" s="2648"/>
    </row>
    <row r="1095" spans="1:23" s="2070" customFormat="1">
      <c r="A1095" s="2068"/>
      <c r="B1095" s="2704"/>
      <c r="C1095" s="2052"/>
      <c r="D1095" s="2146"/>
      <c r="E1095" s="2052"/>
      <c r="F1095" s="2525"/>
      <c r="G1095" s="2225"/>
      <c r="H1095" s="2225"/>
      <c r="I1095" s="2354"/>
      <c r="O1095" s="2648"/>
      <c r="Q1095" s="2225"/>
      <c r="R1095" s="2225"/>
      <c r="S1095" s="2225"/>
      <c r="T1095" s="2225"/>
      <c r="U1095" s="2225"/>
      <c r="V1095" s="2225"/>
      <c r="W1095" s="2648"/>
    </row>
    <row r="1096" spans="1:23" s="2070" customFormat="1">
      <c r="A1096" s="2068"/>
      <c r="B1096" s="2704"/>
      <c r="C1096" s="2052"/>
      <c r="D1096" s="2146"/>
      <c r="E1096" s="2052"/>
      <c r="F1096" s="2525"/>
      <c r="G1096" s="2225"/>
      <c r="H1096" s="2225"/>
      <c r="I1096" s="2354"/>
    </row>
    <row r="1097" spans="1:23" s="2070" customFormat="1">
      <c r="A1097" s="2068"/>
      <c r="B1097" s="2107"/>
      <c r="C1097" s="2052"/>
      <c r="D1097" s="2146"/>
      <c r="E1097" s="2052"/>
      <c r="F1097" s="2525"/>
      <c r="G1097" s="2225"/>
      <c r="H1097" s="2225"/>
      <c r="I1097" s="2354"/>
      <c r="S1097" s="2648"/>
    </row>
    <row r="1098" spans="1:23" s="2070" customFormat="1">
      <c r="A1098" s="2068"/>
      <c r="B1098" s="2107"/>
      <c r="C1098" s="2052"/>
      <c r="D1098" s="2146"/>
      <c r="E1098" s="2052"/>
      <c r="F1098" s="2525"/>
      <c r="G1098" s="2225"/>
      <c r="H1098" s="2225"/>
      <c r="I1098" s="2354"/>
      <c r="S1098" s="2648"/>
    </row>
    <row r="1099" spans="1:23" s="2070" customFormat="1">
      <c r="A1099" s="2068"/>
      <c r="B1099" s="2704"/>
      <c r="C1099" s="2052"/>
      <c r="D1099" s="2146"/>
      <c r="E1099" s="2052"/>
      <c r="F1099" s="2525"/>
      <c r="G1099" s="2225"/>
      <c r="H1099" s="2225"/>
      <c r="I1099" s="2354"/>
    </row>
    <row r="1100" spans="1:23" s="2070" customFormat="1">
      <c r="A1100" s="2068"/>
      <c r="B1100" s="2107"/>
      <c r="C1100" s="2052"/>
      <c r="D1100" s="2146"/>
      <c r="E1100" s="2052"/>
      <c r="F1100" s="2525"/>
      <c r="G1100" s="2225"/>
      <c r="H1100" s="2225"/>
      <c r="I1100" s="2354"/>
    </row>
    <row r="1101" spans="1:23" s="2070" customFormat="1" ht="13.5" thickBot="1">
      <c r="A1101" s="2099"/>
      <c r="B1101" s="2114"/>
      <c r="C1101" s="2101"/>
      <c r="D1101" s="2105"/>
      <c r="E1101" s="2707"/>
      <c r="F1101" s="2878"/>
      <c r="G1101" s="2225"/>
      <c r="H1101" s="2225"/>
      <c r="I1101" s="2354"/>
    </row>
    <row r="1102" spans="1:23" s="2070" customFormat="1" ht="13.5" thickTop="1">
      <c r="A1102" s="2246"/>
      <c r="B1102" s="2889"/>
      <c r="C1102" s="2048"/>
      <c r="D1102" s="2145"/>
      <c r="E1102" s="2711"/>
      <c r="F1102" s="2869"/>
      <c r="G1102" s="2225"/>
      <c r="H1102" s="2225"/>
      <c r="I1102" s="2354"/>
    </row>
    <row r="1103" spans="1:23" s="2070" customFormat="1" ht="13.5" thickBot="1">
      <c r="A1103" s="2099"/>
      <c r="B1103" s="2805"/>
      <c r="C1103" s="2890"/>
      <c r="D1103" s="2105"/>
      <c r="E1103" s="2143"/>
      <c r="F1103" s="2808"/>
      <c r="G1103" s="2225"/>
      <c r="H1103" s="2225"/>
      <c r="I1103" s="2354"/>
    </row>
    <row r="1104" spans="1:23" s="2070" customFormat="1" ht="13.5" thickTop="1">
      <c r="C1104" s="2093"/>
      <c r="D1104" s="2094"/>
      <c r="E1104" s="2093"/>
      <c r="F1104" s="2093"/>
      <c r="G1104" s="2225"/>
      <c r="H1104" s="2225"/>
      <c r="I1104" s="2354"/>
      <c r="J1104" s="2354"/>
    </row>
    <row r="1105" spans="1:10" s="2352" customFormat="1">
      <c r="A1105" s="2070"/>
      <c r="B1105" s="2472"/>
      <c r="C1105" s="2583"/>
      <c r="D1105" s="2727"/>
      <c r="E1105" s="2250"/>
      <c r="F1105" s="2250"/>
      <c r="G1105" s="2244"/>
      <c r="H1105" s="2244"/>
      <c r="I1105" s="2244"/>
      <c r="J1105" s="2357"/>
    </row>
    <row r="1106" spans="1:10" s="2352" customFormat="1">
      <c r="A1106" s="2070"/>
      <c r="B1106" s="659"/>
      <c r="C1106" s="2093"/>
      <c r="D1106" s="2094"/>
      <c r="E1106" s="2093"/>
      <c r="F1106" s="2093"/>
      <c r="G1106" s="2244"/>
      <c r="H1106" s="2244"/>
      <c r="I1106" s="2357"/>
    </row>
    <row r="1107" spans="1:10" s="2352" customFormat="1">
      <c r="A1107" s="2070"/>
      <c r="B1107" s="2259"/>
      <c r="C1107" s="2234"/>
      <c r="D1107" s="2235"/>
      <c r="E1107" s="2845"/>
      <c r="F1107" s="2653"/>
      <c r="G1107" s="2244"/>
      <c r="H1107" s="2244"/>
      <c r="I1107" s="2357"/>
    </row>
    <row r="1108" spans="1:10" s="2352" customFormat="1">
      <c r="A1108" s="2070"/>
      <c r="B1108" s="2107"/>
      <c r="C1108" s="2234"/>
      <c r="D1108" s="2235"/>
      <c r="E1108" s="2845"/>
      <c r="F1108" s="2653"/>
      <c r="G1108" s="2244"/>
      <c r="H1108" s="2244"/>
      <c r="I1108" s="2357"/>
    </row>
    <row r="1109" spans="1:10" s="2352" customFormat="1">
      <c r="A1109" s="2070"/>
      <c r="B1109" s="2107"/>
      <c r="C1109" s="2234"/>
      <c r="D1109" s="2235"/>
      <c r="E1109" s="2845"/>
      <c r="F1109" s="2653"/>
      <c r="G1109" s="2244"/>
      <c r="H1109" s="2244"/>
      <c r="I1109" s="2357"/>
    </row>
    <row r="1110" spans="1:10" s="2352" customFormat="1">
      <c r="A1110" s="2070"/>
      <c r="B1110" s="2107"/>
      <c r="C1110" s="2234"/>
      <c r="D1110" s="2235"/>
      <c r="E1110" s="2845"/>
      <c r="F1110" s="2653"/>
      <c r="G1110" s="2244"/>
      <c r="H1110" s="2244"/>
      <c r="I1110" s="2357"/>
    </row>
    <row r="1111" spans="1:10" s="2352" customFormat="1">
      <c r="A1111" s="2070"/>
      <c r="B1111" s="2107"/>
      <c r="C1111" s="2234"/>
      <c r="D1111" s="2235"/>
      <c r="E1111" s="2652"/>
      <c r="F1111" s="2653"/>
      <c r="G1111" s="2244"/>
      <c r="H1111" s="2244"/>
      <c r="I1111" s="2357"/>
    </row>
    <row r="1112" spans="1:10" s="2352" customFormat="1">
      <c r="A1112" s="2070"/>
      <c r="B1112" s="2243"/>
      <c r="C1112" s="2234"/>
      <c r="D1112" s="2235"/>
      <c r="E1112" s="2652"/>
      <c r="F1112" s="2653"/>
      <c r="G1112" s="2244"/>
      <c r="H1112" s="2244"/>
      <c r="I1112" s="2357"/>
    </row>
    <row r="1113" spans="1:10" s="2352" customFormat="1">
      <c r="A1113" s="2070"/>
      <c r="B1113" s="2243"/>
      <c r="C1113" s="2234"/>
      <c r="D1113" s="2235"/>
      <c r="E1113" s="2653"/>
      <c r="F1113" s="2653"/>
      <c r="G1113" s="2244"/>
      <c r="H1113" s="2244"/>
      <c r="I1113" s="2357"/>
    </row>
    <row r="1114" spans="1:10" s="2352" customFormat="1">
      <c r="A1114" s="2070"/>
      <c r="B1114" s="2107"/>
      <c r="C1114" s="2109"/>
      <c r="D1114" s="2146"/>
      <c r="E1114" s="2652"/>
      <c r="F1114" s="2653"/>
      <c r="G1114" s="2244"/>
      <c r="H1114" s="2244"/>
      <c r="I1114" s="2357"/>
    </row>
    <row r="1115" spans="1:10" s="2352" customFormat="1" ht="13.5" thickBot="1">
      <c r="A1115" s="2070"/>
      <c r="B1115" s="2070"/>
      <c r="C1115" s="2093"/>
      <c r="D1115" s="2891"/>
      <c r="E1115" s="2892"/>
      <c r="F1115" s="2893"/>
      <c r="G1115" s="2244"/>
      <c r="H1115" s="2244"/>
      <c r="I1115" s="2357"/>
    </row>
    <row r="1116" spans="1:10" s="2070" customFormat="1" ht="13.5" thickTop="1">
      <c r="B1116" s="2684"/>
      <c r="C1116" s="2093"/>
      <c r="D1116" s="2094"/>
      <c r="E1116" s="2093"/>
      <c r="F1116" s="2093"/>
      <c r="G1116" s="2225"/>
      <c r="H1116" s="2225"/>
      <c r="I1116" s="2354"/>
      <c r="J1116" s="2225"/>
    </row>
    <row r="1117" spans="1:10" s="2070" customFormat="1" ht="13.5" thickBot="1">
      <c r="B1117" s="2684"/>
      <c r="C1117" s="2700"/>
      <c r="D1117" s="2648"/>
      <c r="E1117" s="2701"/>
      <c r="F1117" s="2686"/>
      <c r="G1117" s="2225"/>
      <c r="H1117" s="2225"/>
      <c r="I1117" s="2354"/>
      <c r="J1117" s="2225"/>
    </row>
    <row r="1118" spans="1:10" s="2070" customFormat="1" ht="13.5" thickTop="1">
      <c r="A1118" s="2246"/>
      <c r="B1118" s="2702"/>
      <c r="C1118" s="2703"/>
      <c r="D1118" s="2145"/>
      <c r="E1118" s="2703"/>
      <c r="F1118" s="2524"/>
      <c r="G1118" s="2225"/>
      <c r="H1118" s="2225"/>
      <c r="I1118" s="2354"/>
      <c r="J1118" s="2225"/>
    </row>
    <row r="1119" spans="1:10" s="2070" customFormat="1">
      <c r="A1119" s="2068"/>
      <c r="B1119" s="2704"/>
      <c r="C1119" s="2249"/>
      <c r="D1119" s="2146"/>
      <c r="E1119" s="2249"/>
      <c r="F1119" s="2525"/>
      <c r="G1119" s="2225"/>
      <c r="H1119" s="2225"/>
      <c r="I1119" s="2354"/>
      <c r="J1119" s="2225"/>
    </row>
    <row r="1120" spans="1:10" s="2070" customFormat="1">
      <c r="A1120" s="2068"/>
      <c r="B1120" s="2704"/>
      <c r="C1120" s="2249"/>
      <c r="D1120" s="2146"/>
      <c r="E1120" s="2249"/>
      <c r="F1120" s="2525"/>
      <c r="G1120" s="2225"/>
      <c r="H1120" s="2225"/>
      <c r="I1120" s="2354"/>
    </row>
    <row r="1121" spans="1:9" s="2070" customFormat="1">
      <c r="A1121" s="2068"/>
      <c r="B1121" s="2704"/>
      <c r="C1121" s="2249"/>
      <c r="D1121" s="2146"/>
      <c r="E1121" s="2249"/>
      <c r="F1121" s="2525"/>
      <c r="G1121" s="2225"/>
      <c r="H1121" s="2225"/>
      <c r="I1121" s="2354"/>
    </row>
    <row r="1122" spans="1:9" s="2070" customFormat="1">
      <c r="A1122" s="2261"/>
      <c r="B1122" s="2894"/>
      <c r="C1122" s="2895"/>
      <c r="D1122" s="2894"/>
      <c r="E1122" s="2896"/>
      <c r="F1122" s="2897"/>
      <c r="G1122" s="2225"/>
      <c r="H1122" s="2225"/>
      <c r="I1122" s="2354"/>
    </row>
    <row r="1123" spans="1:9" s="2070" customFormat="1" ht="13.5" thickBot="1">
      <c r="A1123" s="2099"/>
      <c r="B1123" s="2805"/>
      <c r="C1123" s="2101"/>
      <c r="D1123" s="2105"/>
      <c r="E1123" s="2143"/>
      <c r="F1123" s="2898"/>
      <c r="G1123" s="2225"/>
      <c r="H1123" s="2225"/>
      <c r="I1123" s="2354"/>
    </row>
    <row r="1124" spans="1:9" s="2070" customFormat="1" ht="13.5" thickTop="1">
      <c r="C1124" s="2093"/>
      <c r="D1124" s="2094"/>
      <c r="E1124" s="2093"/>
      <c r="F1124" s="2093"/>
      <c r="G1124" s="2225"/>
      <c r="H1124" s="2225"/>
      <c r="I1124" s="2354"/>
    </row>
    <row r="1125" spans="1:9" s="2070" customFormat="1" ht="13.5" thickBot="1">
      <c r="B1125" s="2684"/>
      <c r="C1125" s="2700"/>
      <c r="D1125" s="2648"/>
      <c r="E1125" s="2701"/>
      <c r="F1125" s="2686"/>
      <c r="G1125" s="2225"/>
      <c r="H1125" s="2225"/>
      <c r="I1125" s="2354"/>
    </row>
    <row r="1126" spans="1:9" s="2070" customFormat="1" ht="13.5" thickTop="1">
      <c r="A1126" s="2246"/>
      <c r="B1126" s="2702"/>
      <c r="C1126" s="2703"/>
      <c r="D1126" s="2145"/>
      <c r="E1126" s="2703"/>
      <c r="F1126" s="2524"/>
      <c r="G1126" s="2225"/>
      <c r="H1126" s="2225"/>
      <c r="I1126" s="2354"/>
    </row>
    <row r="1127" spans="1:9" s="2070" customFormat="1">
      <c r="A1127" s="2068"/>
      <c r="B1127" s="2704"/>
      <c r="C1127" s="2249"/>
      <c r="D1127" s="2146"/>
      <c r="E1127" s="2249"/>
      <c r="F1127" s="2525"/>
      <c r="G1127" s="2225"/>
      <c r="H1127" s="2225"/>
      <c r="I1127" s="2354"/>
    </row>
    <row r="1128" spans="1:9" s="2070" customFormat="1">
      <c r="A1128" s="2068"/>
      <c r="B1128" s="2704"/>
      <c r="C1128" s="2249"/>
      <c r="D1128" s="2146"/>
      <c r="E1128" s="2249"/>
      <c r="F1128" s="2525"/>
      <c r="G1128" s="2225"/>
      <c r="H1128" s="2225"/>
      <c r="I1128" s="2354"/>
    </row>
    <row r="1129" spans="1:9" s="2070" customFormat="1">
      <c r="A1129" s="2068"/>
      <c r="B1129" s="2704"/>
      <c r="C1129" s="2249"/>
      <c r="D1129" s="2146"/>
      <c r="E1129" s="2249"/>
      <c r="F1129" s="2525"/>
      <c r="G1129" s="2225"/>
      <c r="H1129" s="2225"/>
      <c r="I1129" s="2354"/>
    </row>
    <row r="1130" spans="1:9" s="2070" customFormat="1" ht="13.5" thickBot="1">
      <c r="A1130" s="2099"/>
      <c r="B1130" s="2705"/>
      <c r="C1130" s="2706"/>
      <c r="E1130" s="2707"/>
      <c r="F1130" s="2708"/>
      <c r="G1130" s="2225"/>
      <c r="H1130" s="2225"/>
      <c r="I1130" s="2354"/>
    </row>
    <row r="1131" spans="1:9" s="2070" customFormat="1" ht="13.5" thickTop="1">
      <c r="B1131" s="2899"/>
      <c r="C1131" s="2900"/>
      <c r="D1131" s="2901"/>
      <c r="E1131" s="2093"/>
      <c r="F1131" s="2093"/>
      <c r="G1131" s="2225"/>
      <c r="H1131" s="2225"/>
      <c r="I1131" s="2354"/>
    </row>
    <row r="1132" spans="1:9" s="2070" customFormat="1" ht="13.5" thickBot="1">
      <c r="B1132" s="2684"/>
      <c r="C1132" s="2700"/>
      <c r="D1132" s="2648"/>
      <c r="E1132" s="2701"/>
      <c r="F1132" s="2686"/>
      <c r="G1132" s="2225"/>
      <c r="H1132" s="2225"/>
      <c r="I1132" s="2354"/>
    </row>
    <row r="1133" spans="1:9" s="2070" customFormat="1" ht="13.5" thickTop="1">
      <c r="A1133" s="2246"/>
      <c r="B1133" s="2702"/>
      <c r="C1133" s="2703"/>
      <c r="D1133" s="2145"/>
      <c r="E1133" s="2703"/>
      <c r="F1133" s="2524"/>
      <c r="G1133" s="2225"/>
      <c r="H1133" s="2225"/>
      <c r="I1133" s="2354"/>
    </row>
    <row r="1134" spans="1:9" s="2070" customFormat="1">
      <c r="A1134" s="2068"/>
      <c r="B1134" s="2704"/>
      <c r="C1134" s="2249"/>
      <c r="D1134" s="2146"/>
      <c r="E1134" s="2249"/>
      <c r="F1134" s="2525"/>
      <c r="G1134" s="2225"/>
      <c r="H1134" s="2225"/>
      <c r="I1134" s="2354"/>
    </row>
    <row r="1135" spans="1:9" s="2070" customFormat="1">
      <c r="A1135" s="2068"/>
      <c r="B1135" s="2704"/>
      <c r="C1135" s="2249"/>
      <c r="D1135" s="2146"/>
      <c r="E1135" s="2249"/>
      <c r="F1135" s="2525"/>
      <c r="G1135" s="2225"/>
      <c r="H1135" s="2225"/>
      <c r="I1135" s="2354"/>
    </row>
    <row r="1136" spans="1:9" s="2070" customFormat="1">
      <c r="A1136" s="2068"/>
      <c r="B1136" s="2704"/>
      <c r="C1136" s="2249"/>
      <c r="D1136" s="2146"/>
      <c r="E1136" s="2249"/>
      <c r="F1136" s="2525"/>
      <c r="G1136" s="2225"/>
      <c r="H1136" s="2225"/>
      <c r="I1136" s="2354"/>
    </row>
    <row r="1137" spans="1:13" s="2070" customFormat="1" ht="13.5" thickBot="1">
      <c r="A1137" s="2099"/>
      <c r="B1137" s="2705"/>
      <c r="C1137" s="2706"/>
      <c r="D1137" s="2705"/>
      <c r="E1137" s="2707"/>
      <c r="F1137" s="2708"/>
      <c r="G1137" s="2225"/>
      <c r="H1137" s="2225"/>
      <c r="I1137" s="2354"/>
    </row>
    <row r="1138" spans="1:13" s="2070" customFormat="1" ht="13.5" thickTop="1">
      <c r="C1138" s="2093"/>
      <c r="D1138" s="2094"/>
      <c r="E1138" s="2093"/>
      <c r="F1138" s="2093"/>
      <c r="G1138" s="2225"/>
      <c r="H1138" s="2225"/>
      <c r="I1138" s="2354"/>
      <c r="J1138" s="2225"/>
    </row>
    <row r="1139" spans="1:13" s="2070" customFormat="1">
      <c r="C1139" s="2093"/>
      <c r="D1139" s="2094"/>
      <c r="E1139" s="2093"/>
      <c r="F1139" s="2093"/>
      <c r="G1139" s="2225"/>
      <c r="H1139" s="2225"/>
      <c r="I1139" s="2354"/>
    </row>
    <row r="1140" spans="1:13" s="2070" customFormat="1">
      <c r="B1140" s="2684"/>
      <c r="C1140" s="2093"/>
      <c r="D1140" s="2094"/>
      <c r="E1140" s="2093"/>
      <c r="F1140" s="2093"/>
      <c r="G1140" s="2225"/>
      <c r="H1140" s="2225"/>
      <c r="I1140" s="2354"/>
    </row>
    <row r="1141" spans="1:13" s="2070" customFormat="1" ht="13.5" thickBot="1">
      <c r="B1141" s="2684"/>
      <c r="C1141" s="2700"/>
      <c r="D1141" s="2648"/>
      <c r="E1141" s="2701"/>
      <c r="F1141" s="2686"/>
      <c r="G1141" s="2225"/>
      <c r="H1141" s="2225"/>
      <c r="I1141" s="2354"/>
    </row>
    <row r="1142" spans="1:13" s="2070" customFormat="1" ht="13.5" thickTop="1">
      <c r="A1142" s="2246"/>
      <c r="B1142" s="2702"/>
      <c r="C1142" s="2703"/>
      <c r="D1142" s="2145"/>
      <c r="E1142" s="2703"/>
      <c r="F1142" s="2524"/>
      <c r="G1142" s="2225"/>
      <c r="H1142" s="2225"/>
      <c r="I1142" s="2354"/>
    </row>
    <row r="1143" spans="1:13" s="2070" customFormat="1">
      <c r="A1143" s="2068"/>
      <c r="B1143" s="2704"/>
      <c r="C1143" s="2249"/>
      <c r="D1143" s="2146"/>
      <c r="E1143" s="2249"/>
      <c r="F1143" s="2525"/>
      <c r="G1143" s="2225"/>
      <c r="H1143" s="2225"/>
      <c r="I1143" s="2354"/>
    </row>
    <row r="1144" spans="1:13" s="2070" customFormat="1">
      <c r="A1144" s="2068"/>
      <c r="B1144" s="2704"/>
      <c r="C1144" s="2249"/>
      <c r="D1144" s="2146"/>
      <c r="E1144" s="2249"/>
      <c r="F1144" s="2525"/>
      <c r="G1144" s="2225"/>
      <c r="H1144" s="2225"/>
      <c r="I1144" s="2354"/>
    </row>
    <row r="1145" spans="1:13" s="2070" customFormat="1">
      <c r="A1145" s="2068"/>
      <c r="B1145" s="2704"/>
      <c r="C1145" s="2249"/>
      <c r="D1145" s="2146"/>
      <c r="E1145" s="2249"/>
      <c r="F1145" s="2525"/>
      <c r="G1145" s="2225"/>
      <c r="H1145" s="2225"/>
      <c r="I1145" s="2354"/>
    </row>
    <row r="1146" spans="1:13" s="2070" customFormat="1" ht="13.5" thickBot="1">
      <c r="A1146" s="2099"/>
      <c r="B1146" s="2705"/>
      <c r="C1146" s="2706"/>
      <c r="D1146" s="2705"/>
      <c r="E1146" s="2707"/>
      <c r="F1146" s="2708"/>
      <c r="G1146" s="2225"/>
      <c r="H1146" s="2225"/>
      <c r="I1146" s="2354"/>
    </row>
    <row r="1147" spans="1:13" s="2070" customFormat="1" ht="13.5" thickTop="1">
      <c r="A1147" s="2246"/>
      <c r="B1147" s="2889"/>
      <c r="C1147" s="2760"/>
      <c r="D1147" s="2145"/>
      <c r="E1147" s="2711"/>
      <c r="F1147" s="2902"/>
      <c r="G1147" s="2225"/>
      <c r="H1147" s="2225"/>
      <c r="I1147" s="2225"/>
    </row>
    <row r="1148" spans="1:13" s="2070" customFormat="1">
      <c r="A1148" s="2261"/>
      <c r="B1148" s="2873"/>
      <c r="C1148" s="2263"/>
      <c r="D1148" s="2264"/>
      <c r="E1148" s="2059"/>
      <c r="F1148" s="2903"/>
      <c r="G1148" s="2225"/>
      <c r="H1148" s="2225"/>
      <c r="I1148" s="2354"/>
    </row>
    <row r="1149" spans="1:13" s="2070" customFormat="1">
      <c r="A1149" s="2261"/>
      <c r="B1149" s="2873"/>
      <c r="C1149" s="2263"/>
      <c r="D1149" s="2264"/>
      <c r="E1149" s="2059"/>
      <c r="F1149" s="2903"/>
      <c r="G1149" s="2225"/>
      <c r="H1149" s="2225"/>
      <c r="I1149" s="2354"/>
      <c r="K1149" s="2225"/>
    </row>
    <row r="1150" spans="1:13" s="2070" customFormat="1" ht="13.5" thickBot="1">
      <c r="A1150" s="2099"/>
      <c r="B1150" s="2805"/>
      <c r="C1150" s="2904"/>
      <c r="D1150" s="2105"/>
      <c r="E1150" s="2859"/>
      <c r="F1150" s="2905"/>
      <c r="G1150" s="2225"/>
      <c r="H1150" s="2225"/>
      <c r="I1150" s="2354"/>
      <c r="K1150" s="2225"/>
      <c r="L1150" s="2225"/>
      <c r="M1150" s="2225"/>
    </row>
    <row r="1151" spans="1:13" s="2070" customFormat="1" ht="13.5" thickTop="1">
      <c r="C1151" s="2093"/>
      <c r="D1151" s="2094"/>
      <c r="E1151" s="2093"/>
      <c r="F1151" s="2093"/>
      <c r="G1151" s="2225"/>
      <c r="H1151" s="2225"/>
      <c r="I1151" s="2354"/>
      <c r="K1151" s="2225"/>
      <c r="L1151" s="2225"/>
      <c r="M1151" s="2225"/>
    </row>
    <row r="1152" spans="1:13" s="2070" customFormat="1">
      <c r="B1152" s="2684"/>
      <c r="C1152" s="2093"/>
      <c r="D1152" s="2094"/>
      <c r="E1152" s="2093"/>
      <c r="F1152" s="2093"/>
      <c r="G1152" s="2225"/>
      <c r="H1152" s="2225"/>
      <c r="I1152" s="2354"/>
      <c r="M1152" s="2225"/>
    </row>
    <row r="1153" spans="1:9" s="2070" customFormat="1">
      <c r="C1153" s="2093"/>
      <c r="D1153" s="2094"/>
      <c r="E1153" s="2093"/>
      <c r="F1153" s="2093"/>
      <c r="G1153" s="2225"/>
      <c r="H1153" s="2225"/>
      <c r="I1153" s="2354"/>
    </row>
    <row r="1154" spans="1:9" s="2070" customFormat="1" ht="13.5" thickBot="1">
      <c r="B1154" s="2684"/>
      <c r="C1154" s="2700"/>
      <c r="D1154" s="2648"/>
      <c r="E1154" s="2701"/>
      <c r="F1154" s="2686"/>
      <c r="G1154" s="2225"/>
      <c r="H1154" s="2225"/>
      <c r="I1154" s="2354"/>
    </row>
    <row r="1155" spans="1:9" s="2070" customFormat="1" ht="13.5" thickTop="1">
      <c r="A1155" s="2246"/>
      <c r="B1155" s="2702"/>
      <c r="C1155" s="2703"/>
      <c r="D1155" s="2145"/>
      <c r="E1155" s="2703"/>
      <c r="F1155" s="2524"/>
      <c r="G1155" s="2225"/>
      <c r="H1155" s="2225"/>
      <c r="I1155" s="2354"/>
    </row>
    <row r="1156" spans="1:9" s="2070" customFormat="1">
      <c r="A1156" s="2068"/>
      <c r="B1156" s="2704"/>
      <c r="C1156" s="2249"/>
      <c r="D1156" s="2146"/>
      <c r="E1156" s="2249"/>
      <c r="F1156" s="2525"/>
      <c r="G1156" s="2225"/>
      <c r="H1156" s="2225"/>
      <c r="I1156" s="2354"/>
    </row>
    <row r="1157" spans="1:9" s="2070" customFormat="1">
      <c r="A1157" s="2068"/>
      <c r="B1157" s="2704"/>
      <c r="C1157" s="2249"/>
      <c r="D1157" s="2146"/>
      <c r="E1157" s="2249"/>
      <c r="F1157" s="2525"/>
      <c r="G1157" s="2225"/>
      <c r="H1157" s="2225"/>
      <c r="I1157" s="2354"/>
    </row>
    <row r="1158" spans="1:9" s="2070" customFormat="1">
      <c r="A1158" s="2068"/>
      <c r="B1158" s="2704"/>
      <c r="C1158" s="2249"/>
      <c r="D1158" s="2146"/>
      <c r="E1158" s="2249"/>
      <c r="F1158" s="2525"/>
      <c r="G1158" s="2225"/>
      <c r="H1158" s="2225"/>
      <c r="I1158" s="2354"/>
    </row>
    <row r="1159" spans="1:9" s="2070" customFormat="1" ht="13.5" thickBot="1">
      <c r="A1159" s="2099"/>
      <c r="B1159" s="2705"/>
      <c r="C1159" s="2706"/>
      <c r="D1159" s="2705"/>
      <c r="E1159" s="2707"/>
      <c r="F1159" s="2708"/>
      <c r="G1159" s="2225"/>
      <c r="H1159" s="2225"/>
      <c r="I1159" s="2354"/>
    </row>
    <row r="1160" spans="1:9" s="2070" customFormat="1" ht="14.25" thickTop="1" thickBot="1">
      <c r="A1160" s="2879"/>
      <c r="B1160" s="2880"/>
      <c r="C1160" s="2881"/>
      <c r="D1160" s="2882"/>
      <c r="E1160" s="2906"/>
      <c r="F1160" s="2905"/>
      <c r="G1160" s="2225"/>
      <c r="H1160" s="2225"/>
      <c r="I1160" s="2354"/>
    </row>
    <row r="1161" spans="1:9" s="2070" customFormat="1" ht="13.5" thickTop="1">
      <c r="C1161" s="2093"/>
      <c r="D1161" s="2094"/>
      <c r="E1161" s="2093"/>
      <c r="F1161" s="2093"/>
      <c r="G1161" s="2225"/>
      <c r="H1161" s="2225"/>
      <c r="I1161" s="2354"/>
    </row>
    <row r="1162" spans="1:9" s="2070" customFormat="1">
      <c r="B1162" s="2684"/>
      <c r="C1162" s="2093"/>
      <c r="D1162" s="2094"/>
      <c r="E1162" s="2093"/>
      <c r="F1162" s="2093"/>
      <c r="G1162" s="2225"/>
      <c r="H1162" s="2225"/>
      <c r="I1162" s="2354"/>
    </row>
    <row r="1163" spans="1:9" s="2070" customFormat="1">
      <c r="C1163" s="2093"/>
      <c r="D1163" s="2094"/>
      <c r="E1163" s="2093"/>
      <c r="F1163" s="2093"/>
      <c r="G1163" s="2225"/>
      <c r="H1163" s="2225"/>
      <c r="I1163" s="2354"/>
    </row>
    <row r="1164" spans="1:9" s="2070" customFormat="1" ht="13.5" thickBot="1">
      <c r="B1164" s="2684"/>
      <c r="C1164" s="2700"/>
      <c r="D1164" s="2648"/>
      <c r="E1164" s="2701"/>
      <c r="F1164" s="2686"/>
      <c r="G1164" s="2225"/>
      <c r="H1164" s="2225"/>
      <c r="I1164" s="2354"/>
    </row>
    <row r="1165" spans="1:9" s="2070" customFormat="1" ht="13.5" thickTop="1">
      <c r="A1165" s="2246"/>
      <c r="B1165" s="2702"/>
      <c r="C1165" s="2703"/>
      <c r="D1165" s="2145"/>
      <c r="E1165" s="2703"/>
      <c r="F1165" s="2524"/>
      <c r="G1165" s="2225"/>
      <c r="H1165" s="2225"/>
      <c r="I1165" s="2354"/>
    </row>
    <row r="1166" spans="1:9" s="2070" customFormat="1">
      <c r="A1166" s="2068"/>
      <c r="B1166" s="2704"/>
      <c r="C1166" s="2249"/>
      <c r="D1166" s="2146"/>
      <c r="E1166" s="2249"/>
      <c r="F1166" s="2525"/>
      <c r="G1166" s="2225"/>
      <c r="H1166" s="2225"/>
      <c r="I1166" s="2354"/>
    </row>
    <row r="1167" spans="1:9" s="2070" customFormat="1">
      <c r="A1167" s="2068"/>
      <c r="B1167" s="2704"/>
      <c r="C1167" s="2249"/>
      <c r="D1167" s="2146"/>
      <c r="E1167" s="2249"/>
      <c r="F1167" s="2525"/>
      <c r="G1167" s="2225"/>
      <c r="H1167" s="2225"/>
      <c r="I1167" s="2354"/>
    </row>
    <row r="1168" spans="1:9" s="2070" customFormat="1">
      <c r="A1168" s="2068"/>
      <c r="B1168" s="2704"/>
      <c r="C1168" s="2249"/>
      <c r="D1168" s="2146"/>
      <c r="E1168" s="2249"/>
      <c r="F1168" s="2525"/>
      <c r="G1168" s="2225"/>
      <c r="H1168" s="2225"/>
      <c r="I1168" s="2354"/>
    </row>
    <row r="1169" spans="1:11" s="2070" customFormat="1" ht="13.5" thickBot="1">
      <c r="A1169" s="2261"/>
      <c r="B1169" s="2894"/>
      <c r="C1169" s="2895"/>
      <c r="D1169" s="2894"/>
      <c r="E1169" s="2896"/>
      <c r="F1169" s="2897"/>
      <c r="G1169" s="2225"/>
      <c r="H1169" s="2225"/>
      <c r="I1169" s="2354"/>
    </row>
    <row r="1170" spans="1:11" s="2070" customFormat="1" ht="14.25" thickTop="1" thickBot="1">
      <c r="A1170" s="2879"/>
      <c r="B1170" s="2880"/>
      <c r="C1170" s="2881"/>
      <c r="D1170" s="2882"/>
      <c r="E1170" s="2906"/>
      <c r="F1170" s="2907"/>
      <c r="G1170" s="2225"/>
      <c r="H1170" s="2225"/>
      <c r="I1170" s="2354"/>
    </row>
    <row r="1171" spans="1:11" s="2070" customFormat="1" ht="13.5" thickTop="1">
      <c r="C1171" s="2093"/>
      <c r="D1171" s="2094"/>
      <c r="E1171" s="2093"/>
      <c r="F1171" s="2093"/>
      <c r="G1171" s="2225"/>
      <c r="H1171" s="2225"/>
      <c r="I1171" s="2354"/>
    </row>
    <row r="1172" spans="1:11" s="2070" customFormat="1" ht="13.5" thickBot="1">
      <c r="B1172" s="2147"/>
      <c r="C1172" s="2093"/>
      <c r="D1172" s="2094"/>
      <c r="E1172" s="2093"/>
      <c r="F1172" s="2093"/>
      <c r="G1172" s="2225"/>
      <c r="H1172" s="2225"/>
      <c r="I1172" s="2354"/>
    </row>
    <row r="1173" spans="1:11" s="2070" customFormat="1" ht="13.5" thickTop="1">
      <c r="A1173" s="2246"/>
      <c r="B1173" s="2759"/>
      <c r="C1173" s="2760"/>
      <c r="D1173" s="2145"/>
      <c r="E1173" s="2760"/>
      <c r="F1173" s="2524"/>
      <c r="G1173" s="2225"/>
      <c r="H1173" s="2225"/>
      <c r="I1173" s="2354"/>
    </row>
    <row r="1174" spans="1:11" s="2070" customFormat="1">
      <c r="A1174" s="2068"/>
      <c r="B1174" s="2107"/>
      <c r="C1174" s="2109"/>
      <c r="D1174" s="2146"/>
      <c r="E1174" s="2109"/>
      <c r="F1174" s="2525"/>
      <c r="G1174" s="2225"/>
      <c r="H1174" s="2225"/>
      <c r="I1174" s="2354"/>
    </row>
    <row r="1175" spans="1:11" s="2070" customFormat="1">
      <c r="A1175" s="2068"/>
      <c r="B1175" s="2107"/>
      <c r="C1175" s="2109"/>
      <c r="D1175" s="2146"/>
      <c r="E1175" s="2109"/>
      <c r="F1175" s="2525"/>
      <c r="G1175" s="2225"/>
      <c r="H1175" s="2225"/>
      <c r="I1175" s="2354"/>
    </row>
    <row r="1176" spans="1:11" s="2070" customFormat="1">
      <c r="A1176" s="2068"/>
      <c r="B1176" s="2107"/>
      <c r="C1176" s="2109"/>
      <c r="D1176" s="2146"/>
      <c r="E1176" s="2109"/>
      <c r="F1176" s="2525"/>
      <c r="G1176" s="2225"/>
      <c r="H1176" s="2225"/>
      <c r="I1176" s="2354"/>
      <c r="K1176" s="2225"/>
    </row>
    <row r="1177" spans="1:11" s="2070" customFormat="1" ht="13.5" thickBot="1">
      <c r="A1177" s="2099"/>
      <c r="B1177" s="2114"/>
      <c r="C1177" s="2101"/>
      <c r="D1177" s="2105"/>
      <c r="E1177" s="2707"/>
      <c r="F1177" s="2908"/>
      <c r="G1177" s="2225"/>
      <c r="H1177" s="2225"/>
      <c r="I1177" s="2354"/>
    </row>
    <row r="1178" spans="1:11" s="2070" customFormat="1" ht="14.25" thickTop="1" thickBot="1">
      <c r="A1178" s="2879"/>
      <c r="B1178" s="2909"/>
      <c r="C1178" s="2881"/>
      <c r="D1178" s="2910"/>
      <c r="E1178" s="2883"/>
      <c r="F1178" s="2911"/>
      <c r="G1178" s="2225"/>
      <c r="H1178" s="2225"/>
      <c r="I1178" s="2354"/>
    </row>
    <row r="1179" spans="1:11" s="2070" customFormat="1" ht="13.5" thickTop="1">
      <c r="C1179" s="2093"/>
      <c r="D1179" s="2094"/>
      <c r="E1179" s="2093"/>
      <c r="F1179" s="2093"/>
      <c r="G1179" s="2225"/>
      <c r="H1179" s="2225"/>
      <c r="I1179" s="2354"/>
    </row>
    <row r="1180" spans="1:11" s="2070" customFormat="1">
      <c r="C1180" s="2093"/>
      <c r="D1180" s="2094"/>
      <c r="E1180" s="2093"/>
      <c r="F1180" s="2093"/>
      <c r="G1180" s="2225"/>
      <c r="H1180" s="2225"/>
      <c r="I1180" s="2354"/>
    </row>
    <row r="1181" spans="1:11" s="2070" customFormat="1" ht="13.5" thickBot="1">
      <c r="A1181" s="2117"/>
      <c r="B1181" s="5212"/>
      <c r="C1181" s="5212"/>
      <c r="D1181" s="5212"/>
      <c r="E1181" s="5212"/>
      <c r="F1181" s="5212"/>
      <c r="G1181" s="2225"/>
      <c r="H1181" s="2225"/>
      <c r="I1181" s="2354"/>
    </row>
    <row r="1182" spans="1:11" s="2070" customFormat="1" ht="13.5" thickTop="1">
      <c r="A1182" s="2912"/>
      <c r="B1182" s="2913"/>
      <c r="C1182" s="2914"/>
      <c r="D1182" s="2914"/>
      <c r="E1182" s="2915"/>
      <c r="F1182" s="2916"/>
      <c r="G1182" s="2225"/>
      <c r="H1182" s="2225"/>
      <c r="I1182" s="2354"/>
    </row>
    <row r="1183" spans="1:11" s="2070" customFormat="1">
      <c r="A1183" s="2136"/>
      <c r="B1183" s="2917"/>
      <c r="C1183" s="2918"/>
      <c r="D1183" s="2919"/>
      <c r="E1183" s="2920"/>
      <c r="F1183" s="2921"/>
      <c r="G1183" s="2225"/>
      <c r="H1183" s="2225"/>
      <c r="I1183" s="2354"/>
    </row>
    <row r="1184" spans="1:11" s="2070" customFormat="1">
      <c r="A1184" s="2136"/>
      <c r="B1184" s="2064"/>
      <c r="C1184" s="2918"/>
      <c r="D1184" s="2919"/>
      <c r="E1184" s="2920"/>
      <c r="F1184" s="2921"/>
      <c r="G1184" s="2225"/>
      <c r="H1184" s="2225"/>
      <c r="I1184" s="2354"/>
    </row>
    <row r="1185" spans="1:9" s="2070" customFormat="1">
      <c r="A1185" s="2136"/>
      <c r="B1185" s="2064"/>
      <c r="C1185" s="2918"/>
      <c r="D1185" s="2919"/>
      <c r="E1185" s="2920"/>
      <c r="F1185" s="2921"/>
      <c r="G1185" s="2225"/>
      <c r="H1185" s="2225"/>
      <c r="I1185" s="2354"/>
    </row>
    <row r="1186" spans="1:9" s="2070" customFormat="1">
      <c r="A1186" s="2136"/>
      <c r="B1186" s="2064"/>
      <c r="C1186" s="2918"/>
      <c r="D1186" s="2066"/>
      <c r="E1186" s="2920"/>
      <c r="F1186" s="2921"/>
      <c r="G1186" s="2225"/>
      <c r="H1186" s="2225"/>
      <c r="I1186" s="2354"/>
    </row>
    <row r="1187" spans="1:9" s="2070" customFormat="1">
      <c r="A1187" s="2136"/>
      <c r="B1187" s="2064"/>
      <c r="C1187" s="2918"/>
      <c r="D1187" s="2919"/>
      <c r="E1187" s="2920"/>
      <c r="F1187" s="2922"/>
      <c r="G1187" s="2225"/>
      <c r="H1187" s="2225"/>
      <c r="I1187" s="2354"/>
    </row>
    <row r="1188" spans="1:9" s="2070" customFormat="1">
      <c r="A1188" s="2136"/>
      <c r="B1188" s="2064"/>
      <c r="C1188" s="2918"/>
      <c r="D1188" s="2066"/>
      <c r="E1188" s="2920"/>
      <c r="F1188" s="2922"/>
      <c r="G1188" s="2225"/>
      <c r="H1188" s="2225"/>
      <c r="I1188" s="2354"/>
    </row>
    <row r="1189" spans="1:9" s="2070" customFormat="1">
      <c r="A1189" s="2136"/>
      <c r="B1189" s="2064"/>
      <c r="C1189" s="2064"/>
      <c r="D1189" s="2064"/>
      <c r="E1189" s="2923"/>
      <c r="F1189" s="2924"/>
      <c r="G1189" s="2225"/>
      <c r="H1189" s="2225"/>
      <c r="I1189" s="2354"/>
    </row>
    <row r="1190" spans="1:9" s="2070" customFormat="1">
      <c r="A1190" s="2136"/>
      <c r="B1190" s="2925"/>
      <c r="C1190" s="2926"/>
      <c r="D1190" s="2925"/>
      <c r="E1190" s="2925"/>
      <c r="F1190" s="2927"/>
      <c r="G1190" s="2225"/>
      <c r="H1190" s="2225"/>
      <c r="I1190" s="2354"/>
    </row>
    <row r="1191" spans="1:9" s="2070" customFormat="1">
      <c r="A1191" s="2136"/>
      <c r="B1191" s="2923"/>
      <c r="C1191" s="2918"/>
      <c r="D1191" s="2064"/>
      <c r="E1191" s="2923"/>
      <c r="F1191" s="2924"/>
      <c r="G1191" s="2225"/>
      <c r="H1191" s="2225"/>
      <c r="I1191" s="2354"/>
    </row>
    <row r="1192" spans="1:9" s="2070" customFormat="1">
      <c r="A1192" s="2136"/>
      <c r="B1192" s="2928"/>
      <c r="C1192" s="2926"/>
      <c r="D1192" s="2064"/>
      <c r="E1192" s="2064"/>
      <c r="F1192" s="2929"/>
      <c r="G1192" s="2225"/>
      <c r="H1192" s="2225"/>
      <c r="I1192" s="2354"/>
    </row>
    <row r="1193" spans="1:9" s="2070" customFormat="1">
      <c r="A1193" s="2136"/>
      <c r="B1193" s="2064"/>
      <c r="C1193" s="2064"/>
      <c r="D1193" s="2064"/>
      <c r="E1193" s="2923"/>
      <c r="F1193" s="2924"/>
      <c r="G1193" s="2225"/>
      <c r="H1193" s="2225"/>
      <c r="I1193" s="2354"/>
    </row>
    <row r="1194" spans="1:9" s="2070" customFormat="1">
      <c r="A1194" s="2136"/>
      <c r="B1194" s="2062"/>
      <c r="C1194" s="2064"/>
      <c r="D1194" s="2064"/>
      <c r="E1194" s="2923"/>
      <c r="F1194" s="2924"/>
      <c r="G1194" s="2225"/>
      <c r="H1194" s="2225"/>
      <c r="I1194" s="2354"/>
    </row>
    <row r="1195" spans="1:9" s="2070" customFormat="1">
      <c r="A1195" s="2136"/>
      <c r="B1195" s="2917"/>
      <c r="C1195" s="2918"/>
      <c r="D1195" s="2919"/>
      <c r="E1195" s="2920"/>
      <c r="F1195" s="2929"/>
      <c r="G1195" s="2225"/>
      <c r="H1195" s="2225"/>
      <c r="I1195" s="2354"/>
    </row>
    <row r="1196" spans="1:9" s="2070" customFormat="1">
      <c r="A1196" s="2136"/>
      <c r="B1196" s="2923"/>
      <c r="C1196" s="2064"/>
      <c r="D1196" s="2066"/>
      <c r="E1196" s="2923"/>
      <c r="F1196" s="2924"/>
      <c r="G1196" s="2225"/>
      <c r="H1196" s="2225"/>
      <c r="I1196" s="2354"/>
    </row>
    <row r="1197" spans="1:9" s="2070" customFormat="1" ht="13.5" thickBot="1">
      <c r="A1197" s="2139"/>
      <c r="B1197" s="2930"/>
      <c r="C1197" s="2931"/>
      <c r="D1197" s="2932"/>
      <c r="E1197" s="2933"/>
      <c r="F1197" s="2934"/>
      <c r="G1197" s="2225"/>
      <c r="H1197" s="2225"/>
      <c r="I1197" s="2354"/>
    </row>
    <row r="1198" spans="1:9" s="2070" customFormat="1" ht="13.5" thickTop="1">
      <c r="A1198" s="2117"/>
      <c r="B1198" s="2117"/>
      <c r="C1198" s="2935"/>
      <c r="D1198" s="2936"/>
      <c r="E1198" s="2935"/>
      <c r="F1198" s="2935"/>
      <c r="G1198" s="2225"/>
      <c r="H1198" s="2225"/>
      <c r="I1198" s="2354"/>
    </row>
    <row r="1199" spans="1:9" s="2070" customFormat="1">
      <c r="C1199" s="2093"/>
      <c r="D1199" s="2094"/>
      <c r="E1199" s="2093"/>
      <c r="F1199" s="2093"/>
      <c r="G1199" s="2225"/>
      <c r="H1199" s="2225"/>
      <c r="I1199" s="2354"/>
    </row>
    <row r="1200" spans="1:9" s="2070" customFormat="1" ht="13.5" thickBot="1">
      <c r="B1200" s="2147"/>
      <c r="C1200" s="2093"/>
      <c r="D1200" s="2094"/>
      <c r="E1200" s="2093"/>
      <c r="F1200" s="2093"/>
      <c r="G1200" s="2225"/>
      <c r="H1200" s="2225"/>
      <c r="I1200" s="2354"/>
    </row>
    <row r="1201" spans="1:9" s="2070" customFormat="1" ht="13.5" thickTop="1">
      <c r="A1201" s="2246"/>
      <c r="B1201" s="2422"/>
      <c r="C1201" s="2048"/>
      <c r="D1201" s="2145"/>
      <c r="E1201" s="2048"/>
      <c r="F1201" s="2524"/>
      <c r="G1201" s="2937"/>
      <c r="H1201" s="2225"/>
      <c r="I1201" s="2354"/>
    </row>
    <row r="1202" spans="1:9" s="2070" customFormat="1">
      <c r="A1202" s="2068"/>
      <c r="B1202" s="2107"/>
      <c r="C1202" s="2052"/>
      <c r="D1202" s="2146"/>
      <c r="E1202" s="2052"/>
      <c r="F1202" s="2525"/>
      <c r="G1202" s="2225"/>
      <c r="H1202" s="2225"/>
      <c r="I1202" s="2354"/>
    </row>
    <row r="1203" spans="1:9" s="2070" customFormat="1" ht="13.5" thickBot="1">
      <c r="A1203" s="2099"/>
      <c r="B1203" s="2114"/>
      <c r="C1203" s="2101"/>
      <c r="D1203" s="2105"/>
      <c r="E1203" s="2707"/>
      <c r="F1203" s="2908"/>
      <c r="G1203" s="2225"/>
      <c r="H1203" s="2225"/>
      <c r="I1203" s="2354"/>
    </row>
    <row r="1204" spans="1:9" s="2070" customFormat="1" ht="14.25" thickTop="1" thickBot="1">
      <c r="A1204" s="2879"/>
      <c r="B1204" s="2909"/>
      <c r="C1204" s="2881"/>
      <c r="D1204" s="2910"/>
      <c r="E1204" s="2883"/>
      <c r="F1204" s="2911"/>
      <c r="G1204" s="2225"/>
      <c r="H1204" s="2225"/>
      <c r="I1204" s="2354"/>
    </row>
    <row r="1205" spans="1:9" s="2070" customFormat="1" ht="13.5" thickTop="1">
      <c r="C1205" s="2093"/>
      <c r="D1205" s="2094"/>
      <c r="E1205" s="2093"/>
      <c r="F1205" s="2093"/>
      <c r="G1205" s="2225"/>
      <c r="H1205" s="2225"/>
      <c r="I1205" s="2354"/>
    </row>
    <row r="1206" spans="1:9" s="2070" customFormat="1" ht="13.5" thickBot="1">
      <c r="B1206" s="2147"/>
      <c r="C1206" s="2093"/>
      <c r="D1206" s="2094"/>
      <c r="E1206" s="2093"/>
      <c r="F1206" s="2093"/>
      <c r="G1206" s="2225"/>
      <c r="H1206" s="2225"/>
      <c r="I1206" s="2354"/>
    </row>
    <row r="1207" spans="1:9" s="2070" customFormat="1" ht="13.5" thickTop="1">
      <c r="A1207" s="2246"/>
      <c r="B1207" s="2422"/>
      <c r="C1207" s="2760"/>
      <c r="D1207" s="2145"/>
      <c r="E1207" s="2760"/>
      <c r="F1207" s="2524"/>
      <c r="G1207" s="2225"/>
      <c r="H1207" s="2225"/>
      <c r="I1207" s="2354"/>
    </row>
    <row r="1208" spans="1:9" s="2070" customFormat="1">
      <c r="A1208" s="2863"/>
      <c r="B1208" s="2445"/>
      <c r="C1208" s="2152"/>
      <c r="D1208" s="2865"/>
      <c r="E1208" s="2152"/>
      <c r="F1208" s="2938"/>
      <c r="G1208" s="2225"/>
      <c r="H1208" s="2225"/>
      <c r="I1208" s="2354"/>
    </row>
    <row r="1209" spans="1:9" s="2070" customFormat="1">
      <c r="A1209" s="2068"/>
      <c r="B1209" s="2107"/>
      <c r="C1209" s="2052"/>
      <c r="D1209" s="2146"/>
      <c r="E1209" s="2052"/>
      <c r="F1209" s="2525"/>
      <c r="G1209" s="2225"/>
      <c r="H1209" s="2225"/>
      <c r="I1209" s="2354"/>
    </row>
    <row r="1210" spans="1:9" s="2070" customFormat="1" ht="13.5" thickBot="1">
      <c r="A1210" s="2099"/>
      <c r="B1210" s="2114"/>
      <c r="C1210" s="2101"/>
      <c r="D1210" s="2105"/>
      <c r="E1210" s="2707"/>
      <c r="F1210" s="2908"/>
      <c r="G1210" s="2225"/>
      <c r="H1210" s="2225"/>
      <c r="I1210" s="2354"/>
    </row>
    <row r="1211" spans="1:9" s="2070" customFormat="1" ht="14.25" thickTop="1" thickBot="1">
      <c r="A1211" s="2879"/>
      <c r="B1211" s="2909"/>
      <c r="C1211" s="2881"/>
      <c r="D1211" s="2910"/>
      <c r="E1211" s="2883"/>
      <c r="F1211" s="2911"/>
      <c r="G1211" s="2225"/>
      <c r="H1211" s="2225"/>
      <c r="I1211" s="2354"/>
    </row>
    <row r="1212" spans="1:9" s="2070" customFormat="1" ht="14.25" thickTop="1" thickBot="1">
      <c r="C1212" s="2093"/>
      <c r="D1212" s="2094"/>
      <c r="E1212" s="2093"/>
      <c r="F1212" s="2911"/>
      <c r="G1212" s="2225"/>
      <c r="H1212" s="2225"/>
      <c r="I1212" s="2354"/>
    </row>
    <row r="1213" spans="1:9" s="2070" customFormat="1" ht="13.5" thickTop="1">
      <c r="C1213" s="2093"/>
      <c r="D1213" s="2094"/>
      <c r="E1213" s="2093"/>
      <c r="F1213" s="2093"/>
      <c r="G1213" s="2225"/>
      <c r="H1213" s="2225"/>
      <c r="I1213" s="2354"/>
    </row>
    <row r="1214" spans="1:9" s="2070" customFormat="1" ht="13.5" thickBot="1">
      <c r="C1214" s="2093"/>
      <c r="D1214" s="2094"/>
      <c r="E1214" s="2093"/>
      <c r="F1214" s="2093"/>
      <c r="G1214" s="2225"/>
      <c r="H1214" s="2225"/>
      <c r="I1214" s="2354"/>
    </row>
    <row r="1215" spans="1:9" s="2070" customFormat="1" ht="13.5" thickTop="1">
      <c r="A1215" s="2478"/>
      <c r="B1215" s="2446"/>
      <c r="C1215" s="2423"/>
      <c r="D1215" s="2423"/>
      <c r="E1215" s="2423"/>
      <c r="F1215" s="2424"/>
      <c r="G1215" s="2225"/>
      <c r="H1215" s="2225"/>
      <c r="I1215" s="2354"/>
    </row>
    <row r="1216" spans="1:9" s="2070" customFormat="1">
      <c r="A1216" s="2483"/>
      <c r="B1216" s="2447"/>
      <c r="C1216" s="2448"/>
      <c r="D1216" s="2429"/>
      <c r="E1216" s="2449"/>
      <c r="F1216" s="2430"/>
      <c r="G1216" s="2225"/>
      <c r="H1216" s="2225"/>
      <c r="I1216" s="2354"/>
    </row>
    <row r="1217" spans="1:9" s="2070" customFormat="1">
      <c r="A1217" s="2483"/>
      <c r="B1217" s="2427"/>
      <c r="C1217" s="2428"/>
      <c r="D1217" s="2429"/>
      <c r="E1217" s="2428"/>
      <c r="F1217" s="2430"/>
      <c r="G1217" s="2225"/>
      <c r="H1217" s="2225"/>
      <c r="I1217" s="2354"/>
    </row>
    <row r="1218" spans="1:9" s="2070" customFormat="1">
      <c r="A1218" s="2483"/>
      <c r="B1218" s="2427"/>
      <c r="C1218" s="2428"/>
      <c r="D1218" s="2429"/>
      <c r="E1218" s="2428"/>
      <c r="F1218" s="2430"/>
      <c r="G1218" s="2937"/>
      <c r="H1218" s="2225"/>
      <c r="I1218" s="2354"/>
    </row>
    <row r="1219" spans="1:9" s="2070" customFormat="1">
      <c r="A1219" s="2483"/>
      <c r="B1219" s="2427"/>
      <c r="C1219" s="2428"/>
      <c r="D1219" s="2429"/>
      <c r="E1219" s="2428"/>
      <c r="F1219" s="2430"/>
      <c r="G1219" s="2225"/>
      <c r="H1219" s="2225"/>
      <c r="I1219" s="2354"/>
    </row>
    <row r="1220" spans="1:9" s="2070" customFormat="1">
      <c r="A1220" s="2483"/>
      <c r="B1220" s="2427"/>
      <c r="C1220" s="2450"/>
      <c r="D1220" s="2428"/>
      <c r="E1220" s="2451"/>
      <c r="F1220" s="2436"/>
      <c r="G1220" s="2225"/>
      <c r="H1220" s="2225"/>
      <c r="I1220" s="2354"/>
    </row>
    <row r="1221" spans="1:9" s="2070" customFormat="1">
      <c r="A1221" s="2483"/>
      <c r="B1221" s="2452"/>
      <c r="C1221" s="2453"/>
      <c r="D1221" s="2454"/>
      <c r="E1221" s="2451"/>
      <c r="F1221" s="2455"/>
      <c r="G1221" s="2225"/>
      <c r="H1221" s="2225"/>
      <c r="I1221" s="2354"/>
    </row>
    <row r="1222" spans="1:9" s="2070" customFormat="1" ht="13.5" thickBot="1">
      <c r="A1222" s="2489"/>
      <c r="B1222" s="2456"/>
      <c r="C1222" s="2457"/>
      <c r="D1222" s="2458"/>
      <c r="E1222" s="2459"/>
      <c r="F1222" s="2460"/>
      <c r="G1222" s="2225"/>
      <c r="H1222" s="2225"/>
      <c r="I1222" s="2354"/>
    </row>
    <row r="1223" spans="1:9" s="2070" customFormat="1" ht="13.5" thickTop="1">
      <c r="C1223" s="2093"/>
      <c r="D1223" s="2094"/>
      <c r="E1223" s="2093"/>
      <c r="F1223" s="2093"/>
      <c r="G1223" s="2225"/>
      <c r="H1223" s="2225"/>
      <c r="I1223" s="2354"/>
    </row>
    <row r="1224" spans="1:9" s="2070" customFormat="1">
      <c r="C1224" s="2093"/>
      <c r="D1224" s="2094"/>
      <c r="E1224" s="2093"/>
      <c r="F1224" s="2093"/>
      <c r="G1224" s="2225"/>
      <c r="H1224" s="2225"/>
      <c r="I1224" s="2354"/>
    </row>
    <row r="1225" spans="1:9" s="2070" customFormat="1" ht="13.5" thickBot="1">
      <c r="A1225" s="2117"/>
      <c r="B1225" s="2122"/>
      <c r="C1225" s="2939"/>
      <c r="D1225" s="2936"/>
      <c r="E1225" s="2939"/>
      <c r="F1225" s="2939"/>
      <c r="G1225" s="2225"/>
      <c r="H1225" s="2225"/>
      <c r="I1225" s="2354"/>
    </row>
    <row r="1226" spans="1:9" s="2070" customFormat="1" ht="13.5" thickTop="1">
      <c r="A1226" s="2912"/>
      <c r="B1226" s="2940"/>
      <c r="C1226" s="2941"/>
      <c r="D1226" s="2942"/>
      <c r="E1226" s="2941"/>
      <c r="F1226" s="2943"/>
      <c r="G1226" s="2225"/>
      <c r="H1226" s="2225"/>
      <c r="I1226" s="2354"/>
    </row>
    <row r="1227" spans="1:9" s="2070" customFormat="1">
      <c r="A1227" s="2136"/>
      <c r="B1227" s="2944"/>
      <c r="C1227" s="2945"/>
      <c r="D1227" s="2946"/>
      <c r="E1227" s="2945"/>
      <c r="F1227" s="2921"/>
      <c r="G1227" s="2225"/>
      <c r="H1227" s="2225"/>
      <c r="I1227" s="2354"/>
    </row>
    <row r="1228" spans="1:9" s="2070" customFormat="1">
      <c r="A1228" s="2136"/>
      <c r="B1228" s="2129"/>
      <c r="C1228" s="2945"/>
      <c r="D1228" s="2946"/>
      <c r="E1228" s="2945"/>
      <c r="F1228" s="2921"/>
      <c r="G1228" s="2225"/>
      <c r="H1228" s="2225"/>
      <c r="I1228" s="2354"/>
    </row>
    <row r="1229" spans="1:9" s="2070" customFormat="1">
      <c r="A1229" s="2136"/>
      <c r="B1229" s="2129"/>
      <c r="C1229" s="2945"/>
      <c r="D1229" s="2946"/>
      <c r="E1229" s="2945"/>
      <c r="F1229" s="2921"/>
      <c r="G1229" s="2225"/>
      <c r="H1229" s="2225"/>
      <c r="I1229" s="2354"/>
    </row>
    <row r="1230" spans="1:9" s="2070" customFormat="1">
      <c r="A1230" s="2136"/>
      <c r="B1230" s="2129"/>
      <c r="C1230" s="2945"/>
      <c r="D1230" s="2946"/>
      <c r="E1230" s="2945"/>
      <c r="F1230" s="2921"/>
      <c r="G1230" s="2225"/>
      <c r="H1230" s="2225"/>
      <c r="I1230" s="2354"/>
    </row>
    <row r="1231" spans="1:9" s="2070" customFormat="1">
      <c r="A1231" s="2136"/>
      <c r="B1231" s="2129"/>
      <c r="C1231" s="2945"/>
      <c r="D1231" s="2946"/>
      <c r="E1231" s="2945"/>
      <c r="F1231" s="2921"/>
      <c r="G1231" s="2225"/>
      <c r="H1231" s="2225"/>
      <c r="I1231" s="2354"/>
    </row>
    <row r="1232" spans="1:9" s="2070" customFormat="1">
      <c r="A1232" s="2136"/>
      <c r="B1232" s="2129"/>
      <c r="C1232" s="2945"/>
      <c r="D1232" s="2946"/>
      <c r="E1232" s="2945"/>
      <c r="F1232" s="2921"/>
      <c r="G1232" s="2225"/>
      <c r="H1232" s="2225"/>
      <c r="I1232" s="2354"/>
    </row>
    <row r="1233" spans="1:9" s="2070" customFormat="1">
      <c r="A1233" s="2136"/>
      <c r="B1233" s="2129"/>
      <c r="C1233" s="2945"/>
      <c r="D1233" s="2946"/>
      <c r="E1233" s="2069"/>
      <c r="F1233" s="2947"/>
      <c r="G1233" s="2225"/>
      <c r="H1233" s="2225"/>
      <c r="I1233" s="2354"/>
    </row>
    <row r="1234" spans="1:9" s="2070" customFormat="1">
      <c r="A1234" s="2136"/>
      <c r="B1234" s="2948"/>
      <c r="C1234" s="2945"/>
      <c r="D1234" s="2946"/>
      <c r="E1234" s="2069"/>
      <c r="F1234" s="2949"/>
      <c r="G1234" s="2225"/>
      <c r="H1234" s="2225"/>
      <c r="I1234" s="2354"/>
    </row>
    <row r="1235" spans="1:9" s="2070" customFormat="1">
      <c r="A1235" s="2950"/>
      <c r="B1235" s="2950"/>
      <c r="C1235" s="2951"/>
      <c r="D1235" s="2952"/>
      <c r="E1235" s="2953"/>
      <c r="F1235" s="2951"/>
      <c r="G1235" s="2225"/>
      <c r="H1235" s="2225"/>
      <c r="I1235" s="2354"/>
    </row>
    <row r="1236" spans="1:9" s="2070" customFormat="1">
      <c r="A1236" s="2954"/>
      <c r="B1236" s="2955"/>
      <c r="C1236" s="2956"/>
      <c r="D1236" s="2957"/>
      <c r="E1236" s="2956"/>
      <c r="F1236" s="2956"/>
      <c r="G1236" s="2225"/>
      <c r="H1236" s="2225"/>
      <c r="I1236" s="2354"/>
    </row>
    <row r="1237" spans="1:9" s="2070" customFormat="1">
      <c r="A1237" s="2136"/>
      <c r="B1237" s="2944"/>
      <c r="C1237" s="2945"/>
      <c r="D1237" s="2946"/>
      <c r="E1237" s="2945"/>
      <c r="F1237" s="2958"/>
      <c r="G1237" s="2225"/>
      <c r="H1237" s="2225"/>
      <c r="I1237" s="2354"/>
    </row>
    <row r="1238" spans="1:9" s="2070" customFormat="1">
      <c r="A1238" s="2136"/>
      <c r="B1238" s="2129"/>
      <c r="C1238" s="2945"/>
      <c r="D1238" s="2946"/>
      <c r="E1238" s="2945"/>
      <c r="F1238" s="2921"/>
      <c r="G1238" s="2225"/>
      <c r="H1238" s="2225"/>
      <c r="I1238" s="2354"/>
    </row>
    <row r="1239" spans="1:9" s="2070" customFormat="1">
      <c r="A1239" s="2136"/>
      <c r="B1239" s="2129"/>
      <c r="C1239" s="2945"/>
      <c r="D1239" s="2946"/>
      <c r="E1239" s="2945"/>
      <c r="F1239" s="2921"/>
      <c r="G1239" s="2225"/>
      <c r="H1239" s="2225"/>
      <c r="I1239" s="2354"/>
    </row>
    <row r="1240" spans="1:9" s="2070" customFormat="1">
      <c r="A1240" s="2136"/>
      <c r="B1240" s="2129"/>
      <c r="C1240" s="2945"/>
      <c r="D1240" s="2946"/>
      <c r="E1240" s="2945"/>
      <c r="F1240" s="2921"/>
      <c r="G1240" s="2225"/>
      <c r="H1240" s="2225"/>
      <c r="I1240" s="2354"/>
    </row>
    <row r="1241" spans="1:9" s="2070" customFormat="1">
      <c r="A1241" s="2136"/>
      <c r="B1241" s="2129"/>
      <c r="C1241" s="2945"/>
      <c r="D1241" s="2946"/>
      <c r="E1241" s="2945"/>
      <c r="F1241" s="2921"/>
      <c r="G1241" s="2225"/>
      <c r="H1241" s="2225"/>
      <c r="I1241" s="2354"/>
    </row>
    <row r="1242" spans="1:9" s="2070" customFormat="1">
      <c r="A1242" s="2136"/>
      <c r="B1242" s="2129"/>
      <c r="C1242" s="2945"/>
      <c r="D1242" s="2946"/>
      <c r="E1242" s="2945"/>
      <c r="F1242" s="2921"/>
      <c r="G1242" s="2225"/>
      <c r="H1242" s="2225"/>
      <c r="I1242" s="2354"/>
    </row>
    <row r="1243" spans="1:9" s="2070" customFormat="1">
      <c r="A1243" s="2136"/>
      <c r="B1243" s="2129"/>
      <c r="C1243" s="2945"/>
      <c r="D1243" s="2946"/>
      <c r="E1243" s="2945"/>
      <c r="F1243" s="2947"/>
      <c r="G1243" s="2225"/>
      <c r="H1243" s="2225"/>
      <c r="I1243" s="2354"/>
    </row>
    <row r="1244" spans="1:9" s="2070" customFormat="1">
      <c r="A1244" s="2136"/>
      <c r="B1244" s="2948"/>
      <c r="C1244" s="2945"/>
      <c r="D1244" s="2946"/>
      <c r="E1244" s="2069"/>
      <c r="F1244" s="2949"/>
      <c r="G1244" s="2225"/>
      <c r="H1244" s="2225"/>
      <c r="I1244" s="2354"/>
    </row>
    <row r="1245" spans="1:9" s="2070" customFormat="1">
      <c r="A1245" s="2950"/>
      <c r="B1245" s="2950"/>
      <c r="C1245" s="2951"/>
      <c r="D1245" s="2952"/>
      <c r="E1245" s="2951"/>
      <c r="F1245" s="2951"/>
      <c r="G1245" s="2225"/>
      <c r="H1245" s="2225"/>
      <c r="I1245" s="2354"/>
    </row>
    <row r="1246" spans="1:9" s="2070" customFormat="1">
      <c r="A1246" s="2954"/>
      <c r="B1246" s="2955"/>
      <c r="C1246" s="2956"/>
      <c r="D1246" s="2957"/>
      <c r="E1246" s="2956"/>
      <c r="F1246" s="2956"/>
      <c r="G1246" s="2225"/>
      <c r="H1246" s="2225"/>
      <c r="I1246" s="2354"/>
    </row>
    <row r="1247" spans="1:9" s="2070" customFormat="1">
      <c r="A1247" s="2136"/>
      <c r="B1247" s="2944"/>
      <c r="C1247" s="2945"/>
      <c r="D1247" s="2946"/>
      <c r="E1247" s="2945"/>
      <c r="F1247" s="2958"/>
      <c r="G1247" s="2225"/>
      <c r="H1247" s="2225"/>
      <c r="I1247" s="2354"/>
    </row>
    <row r="1248" spans="1:9" s="2070" customFormat="1">
      <c r="A1248" s="2136"/>
      <c r="B1248" s="2129"/>
      <c r="C1248" s="2959"/>
      <c r="D1248" s="2946"/>
      <c r="E1248" s="2959"/>
      <c r="F1248" s="2960"/>
      <c r="G1248" s="2225"/>
      <c r="H1248" s="2225"/>
      <c r="I1248" s="2354"/>
    </row>
    <row r="1249" spans="1:9" s="2070" customFormat="1">
      <c r="A1249" s="2136"/>
      <c r="B1249" s="2129"/>
      <c r="C1249" s="2959"/>
      <c r="D1249" s="2946"/>
      <c r="E1249" s="2959"/>
      <c r="F1249" s="2960"/>
      <c r="G1249" s="2225"/>
      <c r="H1249" s="2225"/>
      <c r="I1249" s="2354"/>
    </row>
    <row r="1250" spans="1:9" s="2070" customFormat="1">
      <c r="A1250" s="2136"/>
      <c r="B1250" s="2129"/>
      <c r="C1250" s="2959"/>
      <c r="D1250" s="2946"/>
      <c r="E1250" s="2959"/>
      <c r="F1250" s="2960"/>
      <c r="G1250" s="2225"/>
      <c r="H1250" s="2225"/>
      <c r="I1250" s="2354"/>
    </row>
    <row r="1251" spans="1:9" s="2070" customFormat="1">
      <c r="A1251" s="2136"/>
      <c r="B1251" s="2129"/>
      <c r="C1251" s="2959"/>
      <c r="D1251" s="2946"/>
      <c r="E1251" s="2959"/>
      <c r="F1251" s="2960"/>
      <c r="G1251" s="2225"/>
      <c r="H1251" s="2225"/>
      <c r="I1251" s="2354"/>
    </row>
    <row r="1252" spans="1:9" s="2070" customFormat="1">
      <c r="A1252" s="2136"/>
      <c r="B1252" s="2129"/>
      <c r="C1252" s="2945"/>
      <c r="D1252" s="2946"/>
      <c r="E1252" s="2945"/>
      <c r="F1252" s="2949"/>
      <c r="G1252" s="2225"/>
      <c r="H1252" s="2225"/>
      <c r="I1252" s="2354"/>
    </row>
    <row r="1253" spans="1:9" s="2070" customFormat="1">
      <c r="A1253" s="2136"/>
      <c r="B1253" s="2129"/>
      <c r="C1253" s="2945"/>
      <c r="D1253" s="2946"/>
      <c r="E1253" s="2945"/>
      <c r="F1253" s="2958"/>
      <c r="G1253" s="2225"/>
      <c r="H1253" s="2225"/>
      <c r="I1253" s="2354"/>
    </row>
    <row r="1254" spans="1:9" s="2070" customFormat="1">
      <c r="A1254" s="2136"/>
      <c r="B1254" s="2129"/>
      <c r="C1254" s="2961"/>
      <c r="D1254" s="2946"/>
      <c r="E1254" s="2959"/>
      <c r="F1254" s="2960"/>
      <c r="G1254" s="2225"/>
      <c r="H1254" s="2225"/>
      <c r="I1254" s="2354"/>
    </row>
    <row r="1255" spans="1:9" s="2070" customFormat="1">
      <c r="A1255" s="2136"/>
      <c r="B1255" s="2129"/>
      <c r="C1255" s="2961"/>
      <c r="D1255" s="2946"/>
      <c r="E1255" s="2959"/>
      <c r="F1255" s="2960"/>
      <c r="G1255" s="2225"/>
      <c r="H1255" s="2225"/>
      <c r="I1255" s="2354"/>
    </row>
    <row r="1256" spans="1:9" s="2070" customFormat="1">
      <c r="A1256" s="2136"/>
      <c r="B1256" s="2129"/>
      <c r="C1256" s="2959"/>
      <c r="D1256" s="2946"/>
      <c r="E1256" s="2959"/>
      <c r="F1256" s="2949"/>
      <c r="G1256" s="2225"/>
      <c r="H1256" s="2225"/>
      <c r="I1256" s="2354"/>
    </row>
    <row r="1257" spans="1:9" s="2070" customFormat="1">
      <c r="A1257" s="2136"/>
      <c r="B1257" s="2944"/>
      <c r="C1257" s="2945"/>
      <c r="D1257" s="2946"/>
      <c r="E1257" s="2945"/>
      <c r="F1257" s="2958"/>
      <c r="G1257" s="2225"/>
      <c r="H1257" s="2225"/>
      <c r="I1257" s="2354"/>
    </row>
    <row r="1258" spans="1:9" s="2070" customFormat="1">
      <c r="A1258" s="2136"/>
      <c r="B1258" s="2129"/>
      <c r="C1258" s="2945"/>
      <c r="D1258" s="2946"/>
      <c r="E1258" s="2945"/>
      <c r="F1258" s="2960"/>
      <c r="G1258" s="2225"/>
      <c r="H1258" s="2225"/>
      <c r="I1258" s="2354"/>
    </row>
    <row r="1259" spans="1:9" s="2070" customFormat="1">
      <c r="A1259" s="2136"/>
      <c r="B1259" s="2129"/>
      <c r="C1259" s="2945"/>
      <c r="D1259" s="2946"/>
      <c r="E1259" s="2945"/>
      <c r="F1259" s="2960"/>
      <c r="G1259" s="2225"/>
      <c r="H1259" s="2225"/>
      <c r="I1259" s="2354"/>
    </row>
    <row r="1260" spans="1:9" s="2070" customFormat="1">
      <c r="A1260" s="2136"/>
      <c r="B1260" s="2129"/>
      <c r="C1260" s="2945"/>
      <c r="D1260" s="2946"/>
      <c r="E1260" s="2945"/>
      <c r="F1260" s="2960"/>
      <c r="G1260" s="2225"/>
      <c r="H1260" s="2225"/>
      <c r="I1260" s="2354"/>
    </row>
    <row r="1261" spans="1:9" s="2070" customFormat="1">
      <c r="A1261" s="2136"/>
      <c r="B1261" s="2129"/>
      <c r="C1261" s="2945"/>
      <c r="D1261" s="2946"/>
      <c r="E1261" s="2945"/>
      <c r="F1261" s="2960"/>
      <c r="G1261" s="2225"/>
      <c r="H1261" s="2225"/>
      <c r="I1261" s="2354"/>
    </row>
    <row r="1262" spans="1:9" s="2070" customFormat="1">
      <c r="A1262" s="2136"/>
      <c r="B1262" s="2129"/>
      <c r="C1262" s="2945"/>
      <c r="D1262" s="2946"/>
      <c r="E1262" s="2945"/>
      <c r="F1262" s="2960"/>
      <c r="G1262" s="2225"/>
      <c r="H1262" s="2225"/>
      <c r="I1262" s="2354"/>
    </row>
    <row r="1263" spans="1:9" s="2070" customFormat="1">
      <c r="A1263" s="2136"/>
      <c r="B1263" s="2948"/>
      <c r="C1263" s="2945"/>
      <c r="D1263" s="2946"/>
      <c r="E1263" s="2069"/>
      <c r="F1263" s="2947"/>
      <c r="G1263" s="2225"/>
      <c r="H1263" s="2225"/>
      <c r="I1263" s="2354"/>
    </row>
    <row r="1264" spans="1:9" s="2070" customFormat="1">
      <c r="A1264" s="2136"/>
      <c r="B1264" s="2948"/>
      <c r="C1264" s="2945"/>
      <c r="D1264" s="2946"/>
      <c r="E1264" s="2069"/>
      <c r="F1264" s="2947"/>
      <c r="G1264" s="2225"/>
      <c r="H1264" s="2225"/>
      <c r="I1264" s="2354"/>
    </row>
    <row r="1265" spans="1:9" s="2070" customFormat="1">
      <c r="A1265" s="2136"/>
      <c r="B1265" s="2129"/>
      <c r="C1265" s="2945"/>
      <c r="D1265" s="2946"/>
      <c r="E1265" s="2945"/>
      <c r="F1265" s="2947"/>
      <c r="G1265" s="2225"/>
      <c r="H1265" s="2225"/>
      <c r="I1265" s="2354"/>
    </row>
    <row r="1266" spans="1:9" s="2070" customFormat="1" ht="13.5" thickBot="1">
      <c r="A1266" s="2139"/>
      <c r="B1266" s="2140"/>
      <c r="C1266" s="2962"/>
      <c r="D1266" s="2807"/>
      <c r="E1266" s="2933"/>
      <c r="F1266" s="2963"/>
      <c r="G1266" s="2225"/>
      <c r="H1266" s="2225"/>
      <c r="I1266" s="2354"/>
    </row>
    <row r="1267" spans="1:9" s="2070" customFormat="1" ht="13.5" thickTop="1">
      <c r="C1267" s="2093"/>
      <c r="D1267" s="2094"/>
      <c r="E1267" s="2093"/>
      <c r="F1267" s="2093"/>
      <c r="G1267" s="2225"/>
      <c r="H1267" s="2225"/>
      <c r="I1267" s="2354"/>
    </row>
    <row r="1268" spans="1:9" s="2070" customFormat="1" ht="13.5" thickBot="1">
      <c r="A1268" s="2122"/>
      <c r="B1268" s="2122"/>
      <c r="C1268" s="2093"/>
      <c r="D1268" s="2094"/>
      <c r="E1268" s="2093"/>
      <c r="F1268" s="2093"/>
      <c r="G1268" s="2225"/>
      <c r="H1268" s="2225"/>
      <c r="I1268" s="2354"/>
    </row>
    <row r="1269" spans="1:9" s="2070" customFormat="1" ht="13.5" thickTop="1">
      <c r="A1269" s="2912"/>
      <c r="B1269" s="2940"/>
      <c r="C1269" s="2127"/>
      <c r="D1269" s="2942"/>
      <c r="E1269" s="2127"/>
      <c r="F1269" s="2964"/>
      <c r="G1269" s="2225"/>
      <c r="H1269" s="2225"/>
      <c r="I1269" s="2354"/>
    </row>
    <row r="1270" spans="1:9" s="2070" customFormat="1">
      <c r="A1270" s="2136"/>
      <c r="B1270" s="2129"/>
      <c r="C1270" s="2135"/>
      <c r="D1270" s="2946"/>
      <c r="E1270" s="2959"/>
      <c r="F1270" s="2960"/>
      <c r="G1270" s="2225"/>
      <c r="H1270" s="2225"/>
      <c r="I1270" s="2354"/>
    </row>
    <row r="1271" spans="1:9" s="2070" customFormat="1">
      <c r="A1271" s="2136"/>
      <c r="B1271" s="2129"/>
      <c r="C1271" s="2135"/>
      <c r="D1271" s="2946"/>
      <c r="E1271" s="2959"/>
      <c r="F1271" s="2960"/>
      <c r="G1271" s="2225"/>
      <c r="H1271" s="2225"/>
      <c r="I1271" s="2354"/>
    </row>
    <row r="1272" spans="1:9" s="2070" customFormat="1">
      <c r="A1272" s="2136"/>
      <c r="B1272" s="2129"/>
      <c r="C1272" s="2135"/>
      <c r="D1272" s="2946"/>
      <c r="E1272" s="2959"/>
      <c r="F1272" s="2960"/>
      <c r="G1272" s="2225"/>
      <c r="H1272" s="2225"/>
      <c r="I1272" s="2354"/>
    </row>
    <row r="1273" spans="1:9" s="2070" customFormat="1">
      <c r="A1273" s="2136"/>
      <c r="B1273" s="2129"/>
      <c r="C1273" s="2135"/>
      <c r="D1273" s="2946"/>
      <c r="E1273" s="2959"/>
      <c r="F1273" s="2965"/>
      <c r="G1273" s="2225"/>
      <c r="H1273" s="2225"/>
      <c r="I1273" s="2354"/>
    </row>
    <row r="1274" spans="1:9" s="2070" customFormat="1">
      <c r="A1274" s="2136"/>
      <c r="B1274" s="2944"/>
      <c r="C1274" s="2135"/>
      <c r="D1274" s="2946"/>
      <c r="E1274" s="2959"/>
      <c r="F1274" s="2966"/>
      <c r="G1274" s="2225"/>
      <c r="H1274" s="2225"/>
      <c r="I1274" s="2354"/>
    </row>
    <row r="1275" spans="1:9" s="2070" customFormat="1">
      <c r="A1275" s="2136"/>
      <c r="B1275" s="2129"/>
      <c r="C1275" s="2135"/>
      <c r="D1275" s="2946"/>
      <c r="E1275" s="2959"/>
      <c r="F1275" s="2960"/>
      <c r="G1275" s="2225"/>
      <c r="H1275" s="2225"/>
      <c r="I1275" s="2354"/>
    </row>
    <row r="1276" spans="1:9" s="2070" customFormat="1">
      <c r="A1276" s="2136"/>
      <c r="B1276" s="2129"/>
      <c r="C1276" s="2135"/>
      <c r="D1276" s="2946"/>
      <c r="E1276" s="2959"/>
      <c r="F1276" s="2960"/>
      <c r="G1276" s="2225"/>
      <c r="H1276" s="2225"/>
      <c r="I1276" s="2354"/>
    </row>
    <row r="1277" spans="1:9" s="2070" customFormat="1">
      <c r="A1277" s="2136"/>
      <c r="B1277" s="2129"/>
      <c r="C1277" s="2135"/>
      <c r="D1277" s="2946"/>
      <c r="E1277" s="2959"/>
      <c r="F1277" s="2960"/>
      <c r="G1277" s="2225"/>
      <c r="H1277" s="2225"/>
      <c r="I1277" s="2354"/>
    </row>
    <row r="1278" spans="1:9" s="2070" customFormat="1">
      <c r="A1278" s="2136"/>
      <c r="B1278" s="2129"/>
      <c r="C1278" s="2135"/>
      <c r="D1278" s="2946"/>
      <c r="E1278" s="2959"/>
      <c r="F1278" s="2967"/>
      <c r="G1278" s="2225"/>
      <c r="H1278" s="2225"/>
      <c r="I1278" s="2354"/>
    </row>
    <row r="1279" spans="1:9" s="2070" customFormat="1">
      <c r="A1279" s="2136"/>
      <c r="B1279" s="2129"/>
      <c r="C1279" s="2135"/>
      <c r="D1279" s="2946"/>
      <c r="E1279" s="2069"/>
      <c r="F1279" s="2966"/>
      <c r="G1279" s="2225"/>
      <c r="H1279" s="2225"/>
      <c r="I1279" s="2354"/>
    </row>
    <row r="1280" spans="1:9" s="2070" customFormat="1" ht="13.5" thickBot="1">
      <c r="A1280" s="2139"/>
      <c r="B1280" s="2140"/>
      <c r="C1280" s="2968"/>
      <c r="D1280" s="2807"/>
      <c r="E1280" s="2933"/>
      <c r="F1280" s="2969"/>
      <c r="G1280" s="2225"/>
      <c r="H1280" s="2225"/>
      <c r="I1280" s="2354"/>
    </row>
    <row r="1281" spans="1:9" s="2070" customFormat="1" ht="13.5" thickTop="1">
      <c r="C1281" s="2093"/>
      <c r="D1281" s="2094"/>
      <c r="E1281" s="2093"/>
      <c r="F1281" s="2970"/>
      <c r="G1281" s="2225"/>
      <c r="H1281" s="2225"/>
      <c r="I1281" s="2354"/>
    </row>
    <row r="1282" spans="1:9" s="2070" customFormat="1" ht="13.5" thickBot="1">
      <c r="A1282" s="2147"/>
      <c r="B1282" s="2122"/>
      <c r="C1282" s="2935"/>
      <c r="D1282" s="2936"/>
      <c r="E1282" s="2935"/>
      <c r="F1282" s="2935"/>
      <c r="G1282" s="2225"/>
      <c r="H1282" s="2225"/>
      <c r="I1282" s="2354"/>
    </row>
    <row r="1283" spans="1:9" s="2070" customFormat="1" ht="13.5" thickTop="1">
      <c r="A1283" s="2246"/>
      <c r="B1283" s="2940"/>
      <c r="C1283" s="2127"/>
      <c r="D1283" s="2942"/>
      <c r="E1283" s="2127"/>
      <c r="F1283" s="2964"/>
      <c r="G1283" s="2225"/>
      <c r="H1283" s="2225"/>
      <c r="I1283" s="2354"/>
    </row>
    <row r="1284" spans="1:9" s="2070" customFormat="1">
      <c r="A1284" s="2068"/>
      <c r="B1284" s="2129"/>
      <c r="C1284" s="2959"/>
      <c r="D1284" s="2946"/>
      <c r="E1284" s="2959"/>
      <c r="F1284" s="2960"/>
      <c r="G1284" s="2225"/>
      <c r="H1284" s="2225"/>
      <c r="I1284" s="2354"/>
    </row>
    <row r="1285" spans="1:9" s="2070" customFormat="1">
      <c r="A1285" s="2068"/>
      <c r="B1285" s="2129"/>
      <c r="C1285" s="2959"/>
      <c r="D1285" s="2946"/>
      <c r="E1285" s="2959"/>
      <c r="F1285" s="2960"/>
      <c r="G1285" s="2225"/>
      <c r="H1285" s="2225"/>
      <c r="I1285" s="2354"/>
    </row>
    <row r="1286" spans="1:9" s="2070" customFormat="1">
      <c r="A1286" s="2068"/>
      <c r="B1286" s="2129"/>
      <c r="C1286" s="2959"/>
      <c r="D1286" s="2946"/>
      <c r="E1286" s="2959"/>
      <c r="F1286" s="2967"/>
      <c r="G1286" s="2225"/>
      <c r="H1286" s="2225"/>
      <c r="I1286" s="2354"/>
    </row>
    <row r="1287" spans="1:9" s="2070" customFormat="1">
      <c r="A1287" s="2068"/>
      <c r="B1287" s="2944"/>
      <c r="C1287" s="2959"/>
      <c r="D1287" s="2946"/>
      <c r="E1287" s="2959"/>
      <c r="F1287" s="2966"/>
      <c r="G1287" s="2225"/>
      <c r="H1287" s="2225"/>
      <c r="I1287" s="2354"/>
    </row>
    <row r="1288" spans="1:9" s="2070" customFormat="1">
      <c r="A1288" s="2068"/>
      <c r="B1288" s="2129"/>
      <c r="C1288" s="2959"/>
      <c r="D1288" s="2946"/>
      <c r="E1288" s="2959"/>
      <c r="F1288" s="2960"/>
      <c r="G1288" s="2225"/>
      <c r="H1288" s="2225"/>
      <c r="I1288" s="2354"/>
    </row>
    <row r="1289" spans="1:9" s="2070" customFormat="1">
      <c r="A1289" s="2068"/>
      <c r="B1289" s="2129"/>
      <c r="C1289" s="2959"/>
      <c r="D1289" s="2946"/>
      <c r="E1289" s="2959"/>
      <c r="F1289" s="2960"/>
      <c r="G1289" s="2225"/>
      <c r="H1289" s="2225"/>
      <c r="I1289" s="2354"/>
    </row>
    <row r="1290" spans="1:9" s="2070" customFormat="1">
      <c r="A1290" s="2068"/>
      <c r="B1290" s="2129"/>
      <c r="C1290" s="2959"/>
      <c r="D1290" s="2946"/>
      <c r="E1290" s="2959"/>
      <c r="F1290" s="2960"/>
      <c r="G1290" s="2225"/>
      <c r="H1290" s="2225"/>
      <c r="I1290" s="2354"/>
    </row>
    <row r="1291" spans="1:9" s="2070" customFormat="1">
      <c r="A1291" s="2068"/>
      <c r="B1291" s="2129"/>
      <c r="C1291" s="2959"/>
      <c r="D1291" s="2946"/>
      <c r="E1291" s="2959"/>
      <c r="F1291" s="2967"/>
      <c r="G1291" s="2225"/>
      <c r="H1291" s="2225"/>
      <c r="I1291" s="2354"/>
    </row>
    <row r="1292" spans="1:9" s="2070" customFormat="1">
      <c r="A1292" s="2068"/>
      <c r="B1292" s="2129"/>
      <c r="C1292" s="2959"/>
      <c r="D1292" s="2946"/>
      <c r="E1292" s="2971"/>
      <c r="F1292" s="2966"/>
      <c r="G1292" s="2225"/>
      <c r="H1292" s="2225"/>
      <c r="I1292" s="2354"/>
    </row>
    <row r="1293" spans="1:9" s="2070" customFormat="1" ht="13.5" thickBot="1">
      <c r="A1293" s="2099"/>
      <c r="B1293" s="2140"/>
      <c r="C1293" s="2972"/>
      <c r="D1293" s="2807"/>
      <c r="E1293" s="2973"/>
      <c r="F1293" s="2969"/>
      <c r="G1293" s="2225"/>
      <c r="H1293" s="2225"/>
      <c r="I1293" s="2354"/>
    </row>
    <row r="1294" spans="1:9" s="2070" customFormat="1" ht="13.5" thickTop="1">
      <c r="B1294" s="2117"/>
      <c r="C1294" s="2935"/>
      <c r="D1294" s="2936"/>
      <c r="E1294" s="2935"/>
      <c r="F1294" s="2970"/>
      <c r="G1294" s="2225"/>
      <c r="H1294" s="2225"/>
      <c r="I1294" s="2354"/>
    </row>
    <row r="1295" spans="1:9" s="2070" customFormat="1" ht="13.5" thickBot="1">
      <c r="A1295" s="2147"/>
      <c r="B1295" s="2122"/>
      <c r="C1295" s="2935"/>
      <c r="D1295" s="2936"/>
      <c r="E1295" s="2935"/>
      <c r="F1295" s="2935"/>
      <c r="G1295" s="2225"/>
      <c r="H1295" s="2225"/>
      <c r="I1295" s="2354"/>
    </row>
    <row r="1296" spans="1:9" s="2070" customFormat="1" ht="13.5" thickTop="1">
      <c r="A1296" s="2246"/>
      <c r="B1296" s="2940"/>
      <c r="C1296" s="2127"/>
      <c r="D1296" s="2942"/>
      <c r="E1296" s="2127"/>
      <c r="F1296" s="2964"/>
      <c r="G1296" s="2225"/>
      <c r="H1296" s="2225"/>
      <c r="I1296" s="2354"/>
    </row>
    <row r="1297" spans="1:9" s="2070" customFormat="1">
      <c r="A1297" s="2068"/>
      <c r="B1297" s="2129"/>
      <c r="C1297" s="2959"/>
      <c r="D1297" s="2946"/>
      <c r="E1297" s="2959"/>
      <c r="F1297" s="2960"/>
      <c r="G1297" s="2225"/>
      <c r="H1297" s="2225"/>
      <c r="I1297" s="2354"/>
    </row>
    <row r="1298" spans="1:9" s="2070" customFormat="1">
      <c r="A1298" s="2068"/>
      <c r="B1298" s="2129"/>
      <c r="C1298" s="2959"/>
      <c r="D1298" s="2946"/>
      <c r="E1298" s="2959"/>
      <c r="F1298" s="2960"/>
      <c r="G1298" s="2225"/>
      <c r="H1298" s="2225"/>
      <c r="I1298" s="2354"/>
    </row>
    <row r="1299" spans="1:9" s="2070" customFormat="1">
      <c r="A1299" s="2068"/>
      <c r="B1299" s="2129"/>
      <c r="C1299" s="2959"/>
      <c r="D1299" s="2946"/>
      <c r="E1299" s="2959"/>
      <c r="F1299" s="2967"/>
      <c r="G1299" s="2225"/>
      <c r="H1299" s="2225"/>
      <c r="I1299" s="2354"/>
    </row>
    <row r="1300" spans="1:9" s="2070" customFormat="1">
      <c r="A1300" s="2068"/>
      <c r="B1300" s="2944"/>
      <c r="C1300" s="2959"/>
      <c r="D1300" s="2946"/>
      <c r="E1300" s="2959"/>
      <c r="F1300" s="2966"/>
      <c r="G1300" s="2225"/>
      <c r="H1300" s="2225"/>
      <c r="I1300" s="2354"/>
    </row>
    <row r="1301" spans="1:9" s="2070" customFormat="1">
      <c r="A1301" s="2068"/>
      <c r="B1301" s="2129"/>
      <c r="C1301" s="2959"/>
      <c r="D1301" s="2946"/>
      <c r="E1301" s="2959"/>
      <c r="F1301" s="2960"/>
      <c r="G1301" s="2225"/>
      <c r="H1301" s="2225"/>
      <c r="I1301" s="2354"/>
    </row>
    <row r="1302" spans="1:9" s="2070" customFormat="1">
      <c r="A1302" s="2068"/>
      <c r="B1302" s="2129"/>
      <c r="C1302" s="2959"/>
      <c r="D1302" s="2946"/>
      <c r="E1302" s="2959"/>
      <c r="F1302" s="2960"/>
      <c r="G1302" s="2225"/>
      <c r="H1302" s="2225"/>
      <c r="I1302" s="2354"/>
    </row>
    <row r="1303" spans="1:9" s="2070" customFormat="1">
      <c r="A1303" s="2068"/>
      <c r="B1303" s="2129"/>
      <c r="C1303" s="2959"/>
      <c r="D1303" s="2946"/>
      <c r="E1303" s="2959"/>
      <c r="F1303" s="2960"/>
      <c r="G1303" s="2225"/>
      <c r="H1303" s="2225"/>
      <c r="I1303" s="2354"/>
    </row>
    <row r="1304" spans="1:9" s="2070" customFormat="1">
      <c r="A1304" s="2068"/>
      <c r="B1304" s="2129"/>
      <c r="C1304" s="2959"/>
      <c r="D1304" s="2946"/>
      <c r="E1304" s="2959"/>
      <c r="F1304" s="2967"/>
      <c r="G1304" s="2225"/>
      <c r="H1304" s="2225"/>
      <c r="I1304" s="2354"/>
    </row>
    <row r="1305" spans="1:9" s="2070" customFormat="1">
      <c r="A1305" s="2068"/>
      <c r="B1305" s="2129"/>
      <c r="C1305" s="2959"/>
      <c r="D1305" s="2946"/>
      <c r="E1305" s="2971"/>
      <c r="F1305" s="2966"/>
      <c r="G1305" s="2225"/>
      <c r="H1305" s="2225"/>
      <c r="I1305" s="2354"/>
    </row>
    <row r="1306" spans="1:9" s="2070" customFormat="1" ht="13.5" thickBot="1">
      <c r="A1306" s="2099"/>
      <c r="B1306" s="2140"/>
      <c r="C1306" s="2972"/>
      <c r="D1306" s="2807"/>
      <c r="E1306" s="2973"/>
      <c r="F1306" s="2969"/>
      <c r="G1306" s="2225"/>
      <c r="H1306" s="2225"/>
      <c r="I1306" s="2354"/>
    </row>
    <row r="1307" spans="1:9" s="2070" customFormat="1" ht="13.5" thickTop="1">
      <c r="B1307" s="2117"/>
      <c r="C1307" s="2935"/>
      <c r="D1307" s="2936"/>
      <c r="E1307" s="2935"/>
      <c r="F1307" s="2970"/>
      <c r="G1307" s="2225"/>
      <c r="H1307" s="2225"/>
      <c r="I1307" s="2354"/>
    </row>
    <row r="1308" spans="1:9" s="2070" customFormat="1" ht="13.5" thickBot="1">
      <c r="A1308" s="2147"/>
      <c r="B1308" s="2122"/>
      <c r="C1308" s="2935"/>
      <c r="D1308" s="2936"/>
      <c r="E1308" s="2935"/>
      <c r="F1308" s="2935"/>
      <c r="G1308" s="2225"/>
      <c r="H1308" s="2225"/>
      <c r="I1308" s="2354"/>
    </row>
    <row r="1309" spans="1:9" s="2070" customFormat="1" ht="13.5" thickTop="1">
      <c r="A1309" s="2246"/>
      <c r="B1309" s="2940"/>
      <c r="C1309" s="2127"/>
      <c r="D1309" s="2942"/>
      <c r="E1309" s="2127"/>
      <c r="F1309" s="2964"/>
      <c r="G1309" s="2225"/>
      <c r="H1309" s="2225"/>
      <c r="I1309" s="2354"/>
    </row>
    <row r="1310" spans="1:9" s="2070" customFormat="1">
      <c r="A1310" s="2863"/>
      <c r="B1310" s="2129"/>
      <c r="C1310" s="2959"/>
      <c r="D1310" s="2946"/>
      <c r="E1310" s="2959"/>
      <c r="F1310" s="2960"/>
      <c r="G1310" s="2225"/>
      <c r="H1310" s="2225"/>
      <c r="I1310" s="2354"/>
    </row>
    <row r="1311" spans="1:9" s="2070" customFormat="1">
      <c r="A1311" s="2068"/>
      <c r="B1311" s="2129"/>
      <c r="C1311" s="2959"/>
      <c r="D1311" s="2946"/>
      <c r="E1311" s="2959"/>
      <c r="F1311" s="2960"/>
      <c r="G1311" s="2225"/>
      <c r="H1311" s="2225"/>
      <c r="I1311" s="2354"/>
    </row>
    <row r="1312" spans="1:9" s="2070" customFormat="1">
      <c r="A1312" s="2068"/>
      <c r="B1312" s="2129"/>
      <c r="C1312" s="2959"/>
      <c r="D1312" s="2946"/>
      <c r="E1312" s="2959"/>
      <c r="F1312" s="2960"/>
      <c r="G1312" s="2225"/>
      <c r="H1312" s="2225"/>
      <c r="I1312" s="2354"/>
    </row>
    <row r="1313" spans="1:9" s="2070" customFormat="1">
      <c r="A1313" s="2068"/>
      <c r="B1313" s="2129"/>
      <c r="C1313" s="2959"/>
      <c r="D1313" s="2946"/>
      <c r="E1313" s="2959"/>
      <c r="F1313" s="2967"/>
      <c r="G1313" s="2225"/>
      <c r="H1313" s="2225"/>
      <c r="I1313" s="2354"/>
    </row>
    <row r="1314" spans="1:9" s="2070" customFormat="1">
      <c r="A1314" s="2068"/>
      <c r="B1314" s="2944"/>
      <c r="C1314" s="2959"/>
      <c r="D1314" s="2946"/>
      <c r="E1314" s="2959"/>
      <c r="F1314" s="2966"/>
      <c r="G1314" s="2225"/>
      <c r="H1314" s="2225"/>
      <c r="I1314" s="2354"/>
    </row>
    <row r="1315" spans="1:9" s="2070" customFormat="1">
      <c r="A1315" s="2068"/>
      <c r="B1315" s="2129"/>
      <c r="C1315" s="2959"/>
      <c r="D1315" s="2946"/>
      <c r="E1315" s="2959"/>
      <c r="F1315" s="2960"/>
      <c r="G1315" s="2225"/>
      <c r="H1315" s="2225"/>
      <c r="I1315" s="2354"/>
    </row>
    <row r="1316" spans="1:9" s="2070" customFormat="1">
      <c r="A1316" s="2068"/>
      <c r="B1316" s="2129"/>
      <c r="C1316" s="2959"/>
      <c r="D1316" s="2946"/>
      <c r="E1316" s="2959"/>
      <c r="F1316" s="2960"/>
      <c r="G1316" s="2225"/>
      <c r="H1316" s="2225"/>
      <c r="I1316" s="2354"/>
    </row>
    <row r="1317" spans="1:9" s="2070" customFormat="1">
      <c r="A1317" s="2068"/>
      <c r="B1317" s="2129"/>
      <c r="C1317" s="2959"/>
      <c r="D1317" s="2946"/>
      <c r="E1317" s="2959"/>
      <c r="F1317" s="2960"/>
      <c r="G1317" s="2225"/>
      <c r="H1317" s="2225"/>
      <c r="I1317" s="2354"/>
    </row>
    <row r="1318" spans="1:9" s="2070" customFormat="1">
      <c r="A1318" s="2068"/>
      <c r="B1318" s="2129"/>
      <c r="C1318" s="2959"/>
      <c r="D1318" s="2946"/>
      <c r="E1318" s="2959"/>
      <c r="F1318" s="2967"/>
      <c r="G1318" s="2225"/>
      <c r="H1318" s="2225"/>
      <c r="I1318" s="2354"/>
    </row>
    <row r="1319" spans="1:9" s="2070" customFormat="1">
      <c r="A1319" s="2068"/>
      <c r="B1319" s="2129"/>
      <c r="C1319" s="2959"/>
      <c r="D1319" s="2946"/>
      <c r="E1319" s="2971"/>
      <c r="F1319" s="2966"/>
      <c r="G1319" s="2225"/>
      <c r="H1319" s="2225"/>
      <c r="I1319" s="2354"/>
    </row>
    <row r="1320" spans="1:9" s="2070" customFormat="1" ht="13.5" thickBot="1">
      <c r="A1320" s="2099"/>
      <c r="B1320" s="2140"/>
      <c r="C1320" s="2972"/>
      <c r="D1320" s="2807"/>
      <c r="E1320" s="2973"/>
      <c r="F1320" s="2969"/>
      <c r="G1320" s="2225"/>
      <c r="H1320" s="2225"/>
      <c r="I1320" s="2354"/>
    </row>
    <row r="1321" spans="1:9" s="2070" customFormat="1" ht="13.5" thickTop="1">
      <c r="B1321" s="2117"/>
      <c r="C1321" s="2935"/>
      <c r="D1321" s="2936"/>
      <c r="E1321" s="2935"/>
      <c r="F1321" s="2970"/>
      <c r="G1321" s="2225"/>
      <c r="H1321" s="2225"/>
      <c r="I1321" s="2354"/>
    </row>
    <row r="1322" spans="1:9" s="2070" customFormat="1" ht="13.5" thickBot="1">
      <c r="A1322" s="2147"/>
      <c r="B1322" s="2122"/>
      <c r="C1322" s="2935"/>
      <c r="D1322" s="2936"/>
      <c r="E1322" s="2935"/>
      <c r="F1322" s="2935"/>
      <c r="G1322" s="2225"/>
      <c r="H1322" s="2225"/>
      <c r="I1322" s="2354"/>
    </row>
    <row r="1323" spans="1:9" s="2070" customFormat="1" ht="13.5" thickTop="1">
      <c r="A1323" s="2246"/>
      <c r="B1323" s="2940"/>
      <c r="C1323" s="2127"/>
      <c r="D1323" s="2942"/>
      <c r="E1323" s="2127"/>
      <c r="F1323" s="2964"/>
      <c r="G1323" s="2225"/>
      <c r="H1323" s="2225"/>
      <c r="I1323" s="2354"/>
    </row>
    <row r="1324" spans="1:9" s="2070" customFormat="1">
      <c r="A1324" s="2068"/>
      <c r="B1324" s="2129"/>
      <c r="C1324" s="2959"/>
      <c r="D1324" s="2946"/>
      <c r="E1324" s="2959"/>
      <c r="F1324" s="2960"/>
      <c r="G1324" s="2225"/>
      <c r="H1324" s="2225"/>
      <c r="I1324" s="2354"/>
    </row>
    <row r="1325" spans="1:9" s="2070" customFormat="1">
      <c r="A1325" s="2068"/>
      <c r="B1325" s="2129"/>
      <c r="C1325" s="2959"/>
      <c r="D1325" s="2946"/>
      <c r="E1325" s="2959"/>
      <c r="F1325" s="2960"/>
      <c r="G1325" s="2225"/>
      <c r="H1325" s="2225"/>
      <c r="I1325" s="2354"/>
    </row>
    <row r="1326" spans="1:9" s="2070" customFormat="1">
      <c r="A1326" s="2068"/>
      <c r="B1326" s="2129"/>
      <c r="C1326" s="2959"/>
      <c r="D1326" s="2946"/>
      <c r="E1326" s="2959"/>
      <c r="F1326" s="2967"/>
      <c r="G1326" s="2225"/>
      <c r="H1326" s="2225"/>
      <c r="I1326" s="2354"/>
    </row>
    <row r="1327" spans="1:9" s="2070" customFormat="1">
      <c r="A1327" s="2068"/>
      <c r="B1327" s="2944"/>
      <c r="C1327" s="2959"/>
      <c r="D1327" s="2946"/>
      <c r="E1327" s="2959"/>
      <c r="F1327" s="2966"/>
      <c r="G1327" s="2225"/>
      <c r="H1327" s="2225"/>
      <c r="I1327" s="2354"/>
    </row>
    <row r="1328" spans="1:9" s="2070" customFormat="1">
      <c r="A1328" s="2068"/>
      <c r="B1328" s="2129"/>
      <c r="C1328" s="2959"/>
      <c r="D1328" s="2946"/>
      <c r="E1328" s="2959"/>
      <c r="F1328" s="2960"/>
      <c r="G1328" s="2225"/>
      <c r="H1328" s="2225"/>
      <c r="I1328" s="2354"/>
    </row>
    <row r="1329" spans="1:9" s="2070" customFormat="1">
      <c r="A1329" s="2068"/>
      <c r="B1329" s="2129"/>
      <c r="C1329" s="2959"/>
      <c r="D1329" s="2946"/>
      <c r="E1329" s="2959"/>
      <c r="F1329" s="2960"/>
      <c r="G1329" s="2225"/>
      <c r="H1329" s="2225"/>
      <c r="I1329" s="2354"/>
    </row>
    <row r="1330" spans="1:9" s="2070" customFormat="1">
      <c r="A1330" s="2068"/>
      <c r="B1330" s="2129"/>
      <c r="C1330" s="2959"/>
      <c r="D1330" s="2946"/>
      <c r="E1330" s="2959"/>
      <c r="F1330" s="2960"/>
      <c r="G1330" s="2225"/>
      <c r="H1330" s="2225"/>
      <c r="I1330" s="2354"/>
    </row>
    <row r="1331" spans="1:9" s="2070" customFormat="1">
      <c r="A1331" s="2068"/>
      <c r="B1331" s="2129"/>
      <c r="C1331" s="2959"/>
      <c r="D1331" s="2946"/>
      <c r="E1331" s="2959"/>
      <c r="F1331" s="2967"/>
      <c r="G1331" s="2225"/>
      <c r="H1331" s="2225"/>
      <c r="I1331" s="2354"/>
    </row>
    <row r="1332" spans="1:9" s="2070" customFormat="1">
      <c r="A1332" s="2068"/>
      <c r="B1332" s="2129"/>
      <c r="C1332" s="2959"/>
      <c r="D1332" s="2946"/>
      <c r="E1332" s="2971"/>
      <c r="F1332" s="2966"/>
      <c r="G1332" s="2225"/>
      <c r="H1332" s="2225"/>
      <c r="I1332" s="2354"/>
    </row>
    <row r="1333" spans="1:9" s="2070" customFormat="1" ht="13.5" thickBot="1">
      <c r="A1333" s="2099"/>
      <c r="B1333" s="2140"/>
      <c r="C1333" s="2972"/>
      <c r="D1333" s="2807"/>
      <c r="E1333" s="2973"/>
      <c r="F1333" s="2969"/>
      <c r="G1333" s="2225"/>
      <c r="H1333" s="2225"/>
      <c r="I1333" s="2354"/>
    </row>
    <row r="1334" spans="1:9" s="2070" customFormat="1" ht="13.5" thickTop="1">
      <c r="B1334" s="2117"/>
      <c r="C1334" s="2935"/>
      <c r="D1334" s="2936"/>
      <c r="E1334" s="2935"/>
      <c r="F1334" s="2970"/>
      <c r="G1334" s="2225"/>
      <c r="H1334" s="2225"/>
      <c r="I1334" s="2354"/>
    </row>
    <row r="1335" spans="1:9" s="2070" customFormat="1" ht="13.5" thickBot="1">
      <c r="A1335" s="2147"/>
      <c r="B1335" s="2122"/>
      <c r="C1335" s="2935"/>
      <c r="D1335" s="2936"/>
      <c r="E1335" s="2935"/>
      <c r="F1335" s="2935"/>
      <c r="G1335" s="2225"/>
      <c r="H1335" s="2225"/>
      <c r="I1335" s="2354"/>
    </row>
    <row r="1336" spans="1:9" s="2070" customFormat="1" ht="13.5" thickTop="1">
      <c r="A1336" s="2246"/>
      <c r="B1336" s="2940"/>
      <c r="C1336" s="2127"/>
      <c r="D1336" s="2942"/>
      <c r="E1336" s="2127"/>
      <c r="F1336" s="2964"/>
      <c r="G1336" s="2225"/>
      <c r="H1336" s="2225"/>
      <c r="I1336" s="2354"/>
    </row>
    <row r="1337" spans="1:9" s="2070" customFormat="1">
      <c r="A1337" s="2068"/>
      <c r="B1337" s="2129"/>
      <c r="C1337" s="2959"/>
      <c r="D1337" s="2946"/>
      <c r="E1337" s="2959"/>
      <c r="F1337" s="2960"/>
      <c r="G1337" s="2225"/>
      <c r="H1337" s="2225"/>
      <c r="I1337" s="2354"/>
    </row>
    <row r="1338" spans="1:9" s="2070" customFormat="1">
      <c r="A1338" s="2068"/>
      <c r="B1338" s="2129"/>
      <c r="C1338" s="2959"/>
      <c r="D1338" s="2946"/>
      <c r="E1338" s="2959"/>
      <c r="F1338" s="2960"/>
      <c r="G1338" s="2225"/>
      <c r="H1338" s="2225"/>
      <c r="I1338" s="2354"/>
    </row>
    <row r="1339" spans="1:9" s="2070" customFormat="1">
      <c r="A1339" s="2068"/>
      <c r="B1339" s="2129"/>
      <c r="C1339" s="2959"/>
      <c r="D1339" s="2946"/>
      <c r="E1339" s="2959"/>
      <c r="F1339" s="2967"/>
      <c r="G1339" s="2225"/>
      <c r="H1339" s="2225"/>
      <c r="I1339" s="2354"/>
    </row>
    <row r="1340" spans="1:9" s="2070" customFormat="1">
      <c r="A1340" s="2068"/>
      <c r="B1340" s="2944"/>
      <c r="C1340" s="2959"/>
      <c r="D1340" s="2946"/>
      <c r="E1340" s="2959"/>
      <c r="F1340" s="2966"/>
      <c r="G1340" s="2225"/>
      <c r="H1340" s="2225"/>
      <c r="I1340" s="2354"/>
    </row>
    <row r="1341" spans="1:9" s="2070" customFormat="1">
      <c r="A1341" s="2068"/>
      <c r="B1341" s="2129"/>
      <c r="C1341" s="2959"/>
      <c r="D1341" s="2946"/>
      <c r="E1341" s="2959"/>
      <c r="F1341" s="2960"/>
      <c r="G1341" s="2225"/>
      <c r="H1341" s="2225"/>
      <c r="I1341" s="2354"/>
    </row>
    <row r="1342" spans="1:9" s="2070" customFormat="1">
      <c r="A1342" s="2068"/>
      <c r="B1342" s="2129"/>
      <c r="C1342" s="2959"/>
      <c r="D1342" s="2946"/>
      <c r="E1342" s="2959"/>
      <c r="F1342" s="2960"/>
      <c r="G1342" s="2225"/>
      <c r="H1342" s="2225"/>
      <c r="I1342" s="2354"/>
    </row>
    <row r="1343" spans="1:9" s="2070" customFormat="1">
      <c r="A1343" s="2068"/>
      <c r="B1343" s="2129"/>
      <c r="C1343" s="2959"/>
      <c r="D1343" s="2946"/>
      <c r="E1343" s="2959"/>
      <c r="F1343" s="2960"/>
      <c r="G1343" s="2225"/>
      <c r="H1343" s="2225"/>
      <c r="I1343" s="2354"/>
    </row>
    <row r="1344" spans="1:9" s="2070" customFormat="1">
      <c r="A1344" s="2068"/>
      <c r="B1344" s="2129"/>
      <c r="C1344" s="2959"/>
      <c r="D1344" s="2946"/>
      <c r="E1344" s="2959"/>
      <c r="F1344" s="2967"/>
      <c r="G1344" s="2225"/>
      <c r="H1344" s="2225"/>
      <c r="I1344" s="2354"/>
    </row>
    <row r="1345" spans="1:9" s="2070" customFormat="1">
      <c r="A1345" s="2068"/>
      <c r="B1345" s="2129"/>
      <c r="C1345" s="2959"/>
      <c r="D1345" s="2946"/>
      <c r="E1345" s="2971"/>
      <c r="F1345" s="2966"/>
      <c r="G1345" s="2225"/>
      <c r="H1345" s="2225"/>
      <c r="I1345" s="2354"/>
    </row>
    <row r="1346" spans="1:9" s="2070" customFormat="1" ht="13.5" thickBot="1">
      <c r="A1346" s="2099"/>
      <c r="B1346" s="2140"/>
      <c r="C1346" s="2972"/>
      <c r="D1346" s="2807"/>
      <c r="E1346" s="2973"/>
      <c r="F1346" s="2969"/>
      <c r="G1346" s="2225"/>
      <c r="H1346" s="2225"/>
      <c r="I1346" s="2354"/>
    </row>
    <row r="1347" spans="1:9" s="2070" customFormat="1" ht="13.5" thickTop="1">
      <c r="B1347" s="2117"/>
      <c r="C1347" s="2935"/>
      <c r="D1347" s="2936"/>
      <c r="E1347" s="2935"/>
      <c r="F1347" s="2970"/>
      <c r="G1347" s="2225"/>
      <c r="H1347" s="2225"/>
      <c r="I1347" s="2354"/>
    </row>
    <row r="1348" spans="1:9" s="2070" customFormat="1" ht="13.5" thickBot="1">
      <c r="A1348" s="2147"/>
      <c r="B1348" s="2122"/>
      <c r="C1348" s="2935"/>
      <c r="D1348" s="2936"/>
      <c r="E1348" s="2935"/>
      <c r="F1348" s="2935"/>
      <c r="G1348" s="2225"/>
      <c r="H1348" s="2225"/>
      <c r="I1348" s="2354"/>
    </row>
    <row r="1349" spans="1:9" s="2070" customFormat="1" ht="13.5" thickTop="1">
      <c r="A1349" s="2246"/>
      <c r="B1349" s="2940"/>
      <c r="C1349" s="2127"/>
      <c r="D1349" s="2942"/>
      <c r="E1349" s="2127"/>
      <c r="F1349" s="2964"/>
      <c r="G1349" s="2225"/>
      <c r="H1349" s="2225"/>
      <c r="I1349" s="2354"/>
    </row>
    <row r="1350" spans="1:9" s="2070" customFormat="1">
      <c r="A1350" s="2068"/>
      <c r="B1350" s="2129"/>
      <c r="C1350" s="2959"/>
      <c r="D1350" s="2946"/>
      <c r="E1350" s="2959"/>
      <c r="F1350" s="2960"/>
      <c r="G1350" s="2225"/>
      <c r="H1350" s="2225"/>
      <c r="I1350" s="2354"/>
    </row>
    <row r="1351" spans="1:9" s="2070" customFormat="1">
      <c r="A1351" s="2068"/>
      <c r="B1351" s="2129"/>
      <c r="C1351" s="2959"/>
      <c r="D1351" s="2946"/>
      <c r="E1351" s="2959"/>
      <c r="F1351" s="2960"/>
      <c r="G1351" s="2225"/>
      <c r="H1351" s="2225"/>
      <c r="I1351" s="2354"/>
    </row>
    <row r="1352" spans="1:9" s="2070" customFormat="1">
      <c r="A1352" s="2068"/>
      <c r="B1352" s="2129"/>
      <c r="C1352" s="2959"/>
      <c r="D1352" s="2946"/>
      <c r="E1352" s="2959"/>
      <c r="F1352" s="2967"/>
      <c r="G1352" s="2225"/>
      <c r="H1352" s="2225"/>
      <c r="I1352" s="2354"/>
    </row>
    <row r="1353" spans="1:9" s="2070" customFormat="1">
      <c r="A1353" s="2068"/>
      <c r="B1353" s="2944"/>
      <c r="C1353" s="2959"/>
      <c r="D1353" s="2946"/>
      <c r="E1353" s="2959"/>
      <c r="F1353" s="2966"/>
      <c r="G1353" s="2225"/>
      <c r="H1353" s="2225"/>
      <c r="I1353" s="2354"/>
    </row>
    <row r="1354" spans="1:9" s="2070" customFormat="1">
      <c r="A1354" s="2068"/>
      <c r="B1354" s="2129"/>
      <c r="C1354" s="2959"/>
      <c r="D1354" s="2946"/>
      <c r="E1354" s="2959"/>
      <c r="F1354" s="2960"/>
      <c r="G1354" s="2225"/>
      <c r="H1354" s="2225"/>
      <c r="I1354" s="2354"/>
    </row>
    <row r="1355" spans="1:9" s="2070" customFormat="1">
      <c r="A1355" s="2068"/>
      <c r="B1355" s="2129"/>
      <c r="C1355" s="2959"/>
      <c r="D1355" s="2946"/>
      <c r="E1355" s="2959"/>
      <c r="F1355" s="2960"/>
      <c r="G1355" s="2225"/>
      <c r="H1355" s="2225"/>
      <c r="I1355" s="2354"/>
    </row>
    <row r="1356" spans="1:9" s="2070" customFormat="1">
      <c r="A1356" s="2068"/>
      <c r="B1356" s="2129"/>
      <c r="C1356" s="2959"/>
      <c r="D1356" s="2946"/>
      <c r="E1356" s="2959"/>
      <c r="F1356" s="2960"/>
      <c r="G1356" s="2225"/>
      <c r="H1356" s="2225"/>
      <c r="I1356" s="2354"/>
    </row>
    <row r="1357" spans="1:9" s="2070" customFormat="1">
      <c r="A1357" s="2068"/>
      <c r="B1357" s="2129"/>
      <c r="C1357" s="2959"/>
      <c r="D1357" s="2946"/>
      <c r="E1357" s="2959"/>
      <c r="F1357" s="2967"/>
      <c r="G1357" s="2225"/>
      <c r="H1357" s="2225"/>
      <c r="I1357" s="2354"/>
    </row>
    <row r="1358" spans="1:9" s="2070" customFormat="1">
      <c r="A1358" s="2068"/>
      <c r="B1358" s="2129"/>
      <c r="C1358" s="2959"/>
      <c r="D1358" s="2946"/>
      <c r="E1358" s="2971"/>
      <c r="F1358" s="2966"/>
      <c r="G1358" s="2225"/>
      <c r="H1358" s="2225"/>
      <c r="I1358" s="2354"/>
    </row>
    <row r="1359" spans="1:9" s="2070" customFormat="1" ht="13.5" thickBot="1">
      <c r="A1359" s="2099"/>
      <c r="B1359" s="2140"/>
      <c r="C1359" s="2972"/>
      <c r="D1359" s="2807"/>
      <c r="E1359" s="2973"/>
      <c r="F1359" s="2969"/>
      <c r="G1359" s="2225"/>
      <c r="H1359" s="2225"/>
      <c r="I1359" s="2354"/>
    </row>
    <row r="1360" spans="1:9" s="2070" customFormat="1" ht="13.5" thickTop="1">
      <c r="B1360" s="2117"/>
      <c r="C1360" s="2935"/>
      <c r="D1360" s="2936"/>
      <c r="E1360" s="2935"/>
      <c r="F1360" s="2970"/>
      <c r="G1360" s="2225"/>
      <c r="H1360" s="2225"/>
      <c r="I1360" s="2354"/>
    </row>
    <row r="1361" spans="1:9" s="2070" customFormat="1" ht="13.5" thickBot="1">
      <c r="A1361" s="2147"/>
      <c r="B1361" s="2122"/>
      <c r="C1361" s="2935"/>
      <c r="D1361" s="2936"/>
      <c r="E1361" s="2935"/>
      <c r="F1361" s="2935"/>
      <c r="G1361" s="2225"/>
      <c r="H1361" s="2225"/>
      <c r="I1361" s="2354"/>
    </row>
    <row r="1362" spans="1:9" s="2070" customFormat="1" ht="13.5" thickTop="1">
      <c r="A1362" s="2246"/>
      <c r="B1362" s="2940"/>
      <c r="C1362" s="2127"/>
      <c r="D1362" s="2942"/>
      <c r="E1362" s="2127"/>
      <c r="F1362" s="2964"/>
      <c r="G1362" s="2225"/>
      <c r="H1362" s="2225"/>
      <c r="I1362" s="2354"/>
    </row>
    <row r="1363" spans="1:9" s="2070" customFormat="1">
      <c r="A1363" s="2068"/>
      <c r="B1363" s="2129"/>
      <c r="C1363" s="2959"/>
      <c r="D1363" s="2946"/>
      <c r="E1363" s="2959"/>
      <c r="F1363" s="2960"/>
      <c r="G1363" s="2225"/>
      <c r="H1363" s="2225"/>
      <c r="I1363" s="2354"/>
    </row>
    <row r="1364" spans="1:9" s="2070" customFormat="1">
      <c r="A1364" s="2068"/>
      <c r="B1364" s="2129"/>
      <c r="C1364" s="2959"/>
      <c r="D1364" s="2946"/>
      <c r="E1364" s="2959"/>
      <c r="F1364" s="2960"/>
      <c r="G1364" s="2225"/>
      <c r="H1364" s="2225"/>
      <c r="I1364" s="2354"/>
    </row>
    <row r="1365" spans="1:9" s="2070" customFormat="1">
      <c r="A1365" s="2068"/>
      <c r="B1365" s="2129"/>
      <c r="C1365" s="2959"/>
      <c r="D1365" s="2946"/>
      <c r="E1365" s="2959"/>
      <c r="F1365" s="2967"/>
      <c r="G1365" s="2225"/>
      <c r="H1365" s="2225"/>
      <c r="I1365" s="2354"/>
    </row>
    <row r="1366" spans="1:9" s="2070" customFormat="1">
      <c r="A1366" s="2068"/>
      <c r="B1366" s="2944"/>
      <c r="C1366" s="2959"/>
      <c r="D1366" s="2946"/>
      <c r="E1366" s="2959"/>
      <c r="F1366" s="2966"/>
      <c r="G1366" s="2225"/>
      <c r="H1366" s="2225"/>
      <c r="I1366" s="2354"/>
    </row>
    <row r="1367" spans="1:9" s="2070" customFormat="1">
      <c r="A1367" s="2068"/>
      <c r="B1367" s="2129"/>
      <c r="C1367" s="2959"/>
      <c r="D1367" s="2946"/>
      <c r="E1367" s="2959"/>
      <c r="F1367" s="2960"/>
      <c r="G1367" s="2225"/>
      <c r="H1367" s="2225"/>
      <c r="I1367" s="2354"/>
    </row>
    <row r="1368" spans="1:9" s="2070" customFormat="1">
      <c r="A1368" s="2068"/>
      <c r="B1368" s="2129"/>
      <c r="C1368" s="2959"/>
      <c r="D1368" s="2946"/>
      <c r="E1368" s="2959"/>
      <c r="F1368" s="2960"/>
      <c r="G1368" s="2225"/>
      <c r="H1368" s="2225"/>
      <c r="I1368" s="2354"/>
    </row>
    <row r="1369" spans="1:9" s="2070" customFormat="1">
      <c r="A1369" s="2068"/>
      <c r="B1369" s="2129"/>
      <c r="C1369" s="2959"/>
      <c r="D1369" s="2946"/>
      <c r="E1369" s="2959"/>
      <c r="F1369" s="2960"/>
      <c r="G1369" s="2225"/>
      <c r="H1369" s="2225"/>
      <c r="I1369" s="2354"/>
    </row>
    <row r="1370" spans="1:9" s="2070" customFormat="1">
      <c r="A1370" s="2068"/>
      <c r="B1370" s="2129"/>
      <c r="C1370" s="2959"/>
      <c r="D1370" s="2946"/>
      <c r="E1370" s="2959"/>
      <c r="F1370" s="2967"/>
      <c r="G1370" s="2225"/>
      <c r="H1370" s="2225"/>
      <c r="I1370" s="2354"/>
    </row>
    <row r="1371" spans="1:9" s="2070" customFormat="1">
      <c r="A1371" s="2068"/>
      <c r="B1371" s="2129"/>
      <c r="C1371" s="2959"/>
      <c r="D1371" s="2946"/>
      <c r="E1371" s="2971"/>
      <c r="F1371" s="2966"/>
      <c r="G1371" s="2225"/>
      <c r="H1371" s="2225"/>
      <c r="I1371" s="2354"/>
    </row>
    <row r="1372" spans="1:9" s="2070" customFormat="1" ht="13.5" thickBot="1">
      <c r="A1372" s="2099"/>
      <c r="B1372" s="2140"/>
      <c r="C1372" s="2972"/>
      <c r="D1372" s="2807"/>
      <c r="E1372" s="2973"/>
      <c r="F1372" s="2969"/>
      <c r="G1372" s="2225"/>
      <c r="H1372" s="2225"/>
      <c r="I1372" s="2354"/>
    </row>
    <row r="1373" spans="1:9" s="2070" customFormat="1" ht="13.5" thickTop="1">
      <c r="C1373" s="2093"/>
      <c r="D1373" s="2094"/>
      <c r="E1373" s="2093"/>
      <c r="F1373" s="2970"/>
      <c r="G1373" s="2225"/>
      <c r="H1373" s="2225"/>
      <c r="I1373" s="2354"/>
    </row>
    <row r="1374" spans="1:9" s="2070" customFormat="1" ht="13.5" thickBot="1">
      <c r="B1374" s="2147"/>
      <c r="C1374" s="2093"/>
      <c r="D1374" s="2094"/>
      <c r="E1374" s="2093"/>
      <c r="F1374" s="2970"/>
      <c r="G1374" s="2225"/>
      <c r="H1374" s="2225"/>
      <c r="I1374" s="2354"/>
    </row>
    <row r="1375" spans="1:9" s="2070" customFormat="1" ht="13.5" thickTop="1">
      <c r="A1375" s="2974"/>
      <c r="B1375" s="2080"/>
      <c r="C1375" s="2048"/>
      <c r="D1375" s="2145"/>
      <c r="E1375" s="2048"/>
      <c r="F1375" s="199"/>
      <c r="G1375" s="2225"/>
      <c r="H1375" s="2225"/>
      <c r="I1375" s="2354"/>
    </row>
    <row r="1376" spans="1:9" s="2070" customFormat="1">
      <c r="A1376" s="2975"/>
      <c r="B1376" s="2082"/>
      <c r="C1376" s="2052"/>
      <c r="D1376" s="2146"/>
      <c r="E1376" s="2052"/>
      <c r="F1376" s="204"/>
      <c r="G1376" s="2225"/>
      <c r="H1376" s="2225"/>
      <c r="I1376" s="2354"/>
    </row>
    <row r="1377" spans="1:16" s="2070" customFormat="1">
      <c r="A1377" s="2976"/>
      <c r="B1377" s="2977"/>
      <c r="C1377" s="2057"/>
      <c r="D1377" s="2264"/>
      <c r="E1377" s="2057"/>
      <c r="F1377" s="204"/>
      <c r="G1377" s="2225"/>
      <c r="H1377" s="2225"/>
      <c r="I1377" s="2354"/>
    </row>
    <row r="1378" spans="1:16" s="2070" customFormat="1" ht="13.5" thickBot="1">
      <c r="A1378" s="2978"/>
      <c r="B1378" s="2100"/>
      <c r="C1378" s="2101"/>
      <c r="D1378" s="2105"/>
      <c r="E1378" s="2143"/>
      <c r="F1378" s="2533"/>
      <c r="G1378" s="2225"/>
      <c r="H1378" s="2225"/>
      <c r="I1378" s="2354"/>
    </row>
    <row r="1379" spans="1:16" s="2070" customFormat="1" ht="13.5" thickTop="1">
      <c r="A1379" s="2979"/>
      <c r="C1379" s="2072"/>
      <c r="D1379" s="2148"/>
      <c r="E1379" s="2149"/>
      <c r="F1379" s="2521"/>
      <c r="G1379" s="2225"/>
      <c r="H1379" s="2225"/>
      <c r="I1379" s="2354"/>
    </row>
    <row r="1380" spans="1:16" s="2070" customFormat="1">
      <c r="A1380" s="2117"/>
      <c r="B1380" s="2117"/>
      <c r="C1380" s="2935"/>
      <c r="D1380" s="2936"/>
      <c r="E1380" s="2935"/>
      <c r="F1380" s="2935"/>
      <c r="G1380" s="2225"/>
      <c r="H1380" s="2225"/>
      <c r="I1380" s="2354"/>
    </row>
    <row r="1381" spans="1:16" s="2070" customFormat="1">
      <c r="B1381" s="2827"/>
      <c r="C1381" s="2827"/>
      <c r="D1381" s="2827"/>
      <c r="E1381" s="2352"/>
      <c r="F1381" s="2352"/>
      <c r="G1381" s="2225"/>
      <c r="H1381" s="2225"/>
      <c r="I1381" s="2354"/>
    </row>
    <row r="1382" spans="1:16" s="2070" customFormat="1">
      <c r="B1382" s="2980"/>
      <c r="C1382" s="2412"/>
      <c r="D1382" s="2413"/>
      <c r="E1382" s="2413"/>
      <c r="F1382" s="2413"/>
      <c r="G1382" s="2225"/>
      <c r="H1382" s="2225"/>
      <c r="I1382" s="2354"/>
    </row>
    <row r="1383" spans="1:16" s="2070" customFormat="1">
      <c r="B1383" s="2661"/>
      <c r="C1383" s="2414"/>
      <c r="D1383" s="2415"/>
      <c r="E1383" s="2414"/>
      <c r="F1383" s="2414"/>
      <c r="G1383" s="2225"/>
      <c r="H1383" s="2225"/>
      <c r="I1383" s="2354"/>
    </row>
    <row r="1384" spans="1:16" s="2070" customFormat="1">
      <c r="B1384" s="2661"/>
      <c r="C1384" s="2414"/>
      <c r="D1384" s="2415"/>
      <c r="E1384" s="2414"/>
      <c r="F1384" s="2414"/>
      <c r="G1384" s="2225"/>
      <c r="H1384" s="2225"/>
      <c r="I1384" s="2354"/>
    </row>
    <row r="1385" spans="1:16" s="2070" customFormat="1">
      <c r="B1385" s="2661"/>
      <c r="C1385" s="2662"/>
      <c r="D1385" s="2415"/>
      <c r="E1385" s="2416"/>
      <c r="F1385" s="2414"/>
      <c r="G1385" s="2225"/>
      <c r="H1385" s="2225"/>
      <c r="I1385" s="2354"/>
    </row>
    <row r="1386" spans="1:16" s="2070" customFormat="1">
      <c r="B1386" s="2663"/>
      <c r="C1386" s="2661"/>
      <c r="D1386" s="2664"/>
      <c r="E1386" s="2259"/>
      <c r="F1386" s="2981"/>
      <c r="G1386" s="2225"/>
      <c r="H1386" s="2225"/>
      <c r="I1386" s="2354"/>
    </row>
    <row r="1387" spans="1:16" s="2070" customFormat="1">
      <c r="B1387" s="2661"/>
      <c r="C1387" s="2661"/>
      <c r="D1387" s="2661"/>
      <c r="E1387" s="2982"/>
      <c r="F1387" s="2893"/>
      <c r="G1387" s="2225"/>
      <c r="H1387" s="2225"/>
      <c r="I1387" s="2354"/>
    </row>
    <row r="1388" spans="1:16" s="2070" customFormat="1">
      <c r="C1388" s="2093"/>
      <c r="D1388" s="2094"/>
      <c r="E1388" s="2093"/>
      <c r="F1388" s="2093"/>
      <c r="G1388" s="2225"/>
      <c r="H1388" s="2225"/>
      <c r="I1388" s="2354"/>
    </row>
    <row r="1389" spans="1:16" s="2070" customFormat="1">
      <c r="B1389" s="2661"/>
      <c r="C1389" s="2661"/>
      <c r="D1389" s="2661"/>
      <c r="E1389" s="2982"/>
      <c r="F1389" s="2983"/>
      <c r="G1389" s="2225"/>
    </row>
    <row r="1390" spans="1:16" s="2070" customFormat="1">
      <c r="C1390" s="2093"/>
      <c r="D1390" s="2094"/>
      <c r="E1390" s="2093"/>
      <c r="F1390" s="2093"/>
      <c r="G1390" s="2225"/>
    </row>
    <row r="1391" spans="1:16" s="2070" customFormat="1">
      <c r="C1391" s="2093"/>
      <c r="D1391" s="2094"/>
      <c r="E1391" s="2093"/>
      <c r="F1391" s="2093"/>
      <c r="G1391" s="2225"/>
      <c r="H1391" s="2225"/>
      <c r="I1391" s="2354"/>
    </row>
    <row r="1392" spans="1:16" s="2989" customFormat="1" ht="13.5" thickBot="1">
      <c r="A1392" s="2984"/>
      <c r="B1392" s="2985"/>
      <c r="C1392" s="2986"/>
      <c r="D1392" s="2987"/>
      <c r="E1392" s="2988"/>
      <c r="F1392" s="2988"/>
      <c r="G1392" s="2984"/>
      <c r="K1392" s="2352"/>
      <c r="L1392" s="2352"/>
      <c r="M1392" s="2352"/>
      <c r="N1392" s="2352"/>
      <c r="O1392" s="2352"/>
      <c r="P1392" s="2352"/>
    </row>
    <row r="1393" spans="1:16" s="2989" customFormat="1" ht="13.5" thickTop="1">
      <c r="A1393" s="2984"/>
      <c r="B1393" s="2246"/>
      <c r="C1393" s="2990"/>
      <c r="D1393" s="2145"/>
      <c r="E1393" s="2990"/>
      <c r="F1393" s="2991"/>
      <c r="G1393" s="2352"/>
      <c r="K1393" s="2352"/>
      <c r="L1393" s="2352"/>
      <c r="M1393" s="2352"/>
      <c r="N1393" s="2352"/>
      <c r="O1393" s="2352"/>
      <c r="P1393" s="2352"/>
    </row>
    <row r="1394" spans="1:16" s="2989" customFormat="1">
      <c r="A1394" s="2984"/>
      <c r="B1394" s="2068"/>
      <c r="C1394" s="2831"/>
      <c r="D1394" s="2146"/>
      <c r="E1394" s="2831"/>
      <c r="F1394" s="2992"/>
      <c r="G1394" s="2352"/>
      <c r="K1394" s="2352"/>
      <c r="L1394" s="2352"/>
      <c r="M1394" s="2352"/>
      <c r="N1394" s="2352"/>
      <c r="O1394" s="2352"/>
      <c r="P1394" s="2352"/>
    </row>
    <row r="1395" spans="1:16" s="2989" customFormat="1">
      <c r="A1395" s="2984"/>
      <c r="B1395" s="2068"/>
      <c r="C1395" s="2831"/>
      <c r="D1395" s="2146"/>
      <c r="E1395" s="2831"/>
      <c r="F1395" s="2992"/>
      <c r="G1395" s="2352"/>
      <c r="K1395" s="2352"/>
      <c r="L1395" s="2352"/>
      <c r="M1395" s="2352"/>
      <c r="N1395" s="2352"/>
      <c r="O1395" s="2352"/>
      <c r="P1395" s="2352"/>
    </row>
    <row r="1396" spans="1:16" s="2989" customFormat="1" ht="13.5" thickBot="1">
      <c r="A1396" s="2984"/>
      <c r="B1396" s="2099"/>
      <c r="C1396" s="2993"/>
      <c r="D1396" s="2114"/>
      <c r="E1396" s="2994"/>
      <c r="F1396" s="2995"/>
      <c r="G1396" s="2352"/>
      <c r="K1396" s="2352"/>
      <c r="L1396" s="2352"/>
      <c r="M1396" s="2352"/>
      <c r="N1396" s="2352"/>
      <c r="O1396" s="2352"/>
      <c r="P1396" s="2352"/>
    </row>
    <row r="1397" spans="1:16" s="2989" customFormat="1" ht="13.5" thickTop="1">
      <c r="A1397" s="2984"/>
      <c r="B1397" s="2246"/>
      <c r="C1397" s="2990"/>
      <c r="D1397" s="2759"/>
      <c r="E1397" s="2996"/>
      <c r="F1397" s="2997"/>
      <c r="G1397" s="2352"/>
      <c r="K1397" s="2352"/>
      <c r="L1397" s="2352"/>
      <c r="M1397" s="2352"/>
      <c r="N1397" s="2352"/>
      <c r="O1397" s="2352"/>
      <c r="P1397" s="2352"/>
    </row>
    <row r="1398" spans="1:16" s="2989" customFormat="1" ht="13.5" thickBot="1">
      <c r="A1398" s="2984"/>
      <c r="B1398" s="2099"/>
      <c r="C1398" s="2993"/>
      <c r="D1398" s="2114"/>
      <c r="E1398" s="2994"/>
      <c r="F1398" s="2893"/>
      <c r="G1398" s="2352"/>
      <c r="K1398" s="2352"/>
      <c r="L1398" s="2352"/>
      <c r="M1398" s="2352"/>
      <c r="N1398" s="2352"/>
      <c r="O1398" s="2352"/>
      <c r="P1398" s="2352"/>
    </row>
    <row r="1399" spans="1:16" s="2989" customFormat="1" ht="13.5" thickTop="1">
      <c r="A1399" s="2984"/>
      <c r="B1399" s="2352"/>
      <c r="C1399" s="2244"/>
      <c r="D1399" s="2352"/>
      <c r="E1399" s="2244"/>
      <c r="F1399" s="2244"/>
      <c r="G1399" s="2352"/>
      <c r="K1399" s="2352"/>
      <c r="L1399" s="2352"/>
      <c r="M1399" s="2352"/>
      <c r="N1399" s="2352"/>
      <c r="O1399" s="2352"/>
      <c r="P1399" s="2352"/>
    </row>
    <row r="1400" spans="1:16" s="2070" customFormat="1">
      <c r="C1400" s="2093"/>
      <c r="D1400" s="2094"/>
      <c r="E1400" s="2093"/>
      <c r="F1400" s="2093"/>
      <c r="G1400" s="2225"/>
      <c r="H1400" s="2225"/>
      <c r="I1400" s="2354"/>
    </row>
    <row r="1401" spans="1:16" s="2070" customFormat="1">
      <c r="C1401" s="2093"/>
      <c r="D1401" s="2094"/>
      <c r="E1401" s="2093"/>
      <c r="F1401" s="2093"/>
      <c r="G1401" s="2225"/>
      <c r="H1401" s="2225"/>
      <c r="I1401" s="2354"/>
    </row>
    <row r="1402" spans="1:16" s="2070" customFormat="1">
      <c r="C1402" s="2093"/>
      <c r="D1402" s="2094"/>
      <c r="E1402" s="2093"/>
      <c r="F1402" s="2093"/>
      <c r="G1402" s="2225"/>
      <c r="H1402" s="2225"/>
      <c r="I1402" s="2354"/>
    </row>
    <row r="1403" spans="1:16" s="2352" customFormat="1" ht="13.5" thickBot="1">
      <c r="A1403" s="2984"/>
      <c r="B1403" s="2147"/>
      <c r="C1403" s="2093"/>
      <c r="D1403" s="2094"/>
      <c r="E1403" s="2093"/>
      <c r="F1403" s="2093"/>
      <c r="G1403" s="2984"/>
      <c r="H1403" s="2989"/>
      <c r="I1403" s="2989"/>
      <c r="J1403" s="2989"/>
    </row>
    <row r="1404" spans="1:16" s="2352" customFormat="1">
      <c r="A1404" s="2984"/>
      <c r="B1404" s="2461"/>
      <c r="C1404" s="2462"/>
      <c r="D1404" s="2463"/>
      <c r="E1404" s="2462"/>
      <c r="F1404" s="2464"/>
      <c r="G1404" s="2984"/>
      <c r="H1404" s="2989"/>
      <c r="I1404" s="2989"/>
      <c r="J1404" s="2989"/>
    </row>
    <row r="1405" spans="1:16" s="2352" customFormat="1">
      <c r="A1405" s="2984"/>
      <c r="B1405" s="2998"/>
      <c r="C1405" s="201"/>
      <c r="D1405" s="202"/>
      <c r="E1405" s="2465"/>
      <c r="F1405" s="2466"/>
      <c r="G1405" s="2984"/>
      <c r="H1405" s="2989"/>
      <c r="I1405" s="2989"/>
      <c r="J1405" s="2989"/>
    </row>
    <row r="1406" spans="1:16" s="2352" customFormat="1">
      <c r="A1406" s="2984"/>
      <c r="B1406" s="2998"/>
      <c r="C1406" s="201"/>
      <c r="D1406" s="202"/>
      <c r="E1406" s="2465"/>
      <c r="F1406" s="2466"/>
      <c r="G1406" s="2984"/>
      <c r="H1406" s="2989"/>
      <c r="I1406" s="2989"/>
      <c r="J1406" s="2989"/>
    </row>
    <row r="1407" spans="1:16" s="2352" customFormat="1">
      <c r="A1407" s="2984"/>
      <c r="B1407" s="2998"/>
      <c r="C1407" s="201"/>
      <c r="D1407" s="202"/>
      <c r="E1407" s="203"/>
      <c r="F1407" s="2466"/>
      <c r="G1407" s="2984"/>
      <c r="H1407" s="2989"/>
      <c r="I1407" s="2989"/>
      <c r="J1407" s="2989"/>
    </row>
    <row r="1408" spans="1:16" s="2352" customFormat="1" ht="13.5" thickBot="1">
      <c r="A1408" s="2984"/>
      <c r="B1408" s="2467"/>
      <c r="C1408" s="2468"/>
      <c r="D1408" s="2469"/>
      <c r="E1408" s="2470"/>
      <c r="F1408" s="2999"/>
      <c r="G1408" s="2984"/>
      <c r="H1408" s="2989"/>
      <c r="I1408" s="2989"/>
      <c r="J1408" s="2989"/>
    </row>
    <row r="1409" spans="1:12" s="2070" customFormat="1">
      <c r="C1409" s="2093"/>
      <c r="D1409" s="2094"/>
      <c r="E1409" s="2093"/>
      <c r="F1409" s="2093"/>
      <c r="G1409" s="2225"/>
      <c r="H1409" s="2225"/>
      <c r="I1409" s="2354"/>
    </row>
    <row r="1410" spans="1:12" s="2352" customFormat="1">
      <c r="A1410" s="2070"/>
      <c r="B1410" s="2070"/>
      <c r="C1410" s="2093"/>
      <c r="D1410" s="2094"/>
      <c r="E1410" s="2093"/>
      <c r="F1410" s="2093"/>
      <c r="G1410" s="2225"/>
      <c r="H1410" s="2225"/>
      <c r="I1410" s="2354"/>
      <c r="J1410" s="2070"/>
      <c r="K1410" s="2070"/>
      <c r="L1410" s="2070"/>
    </row>
    <row r="1411" spans="1:12" s="2352" customFormat="1">
      <c r="A1411" s="2070"/>
      <c r="B1411" s="2070"/>
      <c r="C1411" s="2093"/>
      <c r="D1411" s="2094"/>
      <c r="E1411" s="2093"/>
      <c r="F1411" s="2093"/>
      <c r="G1411" s="2225"/>
      <c r="H1411" s="2225"/>
      <c r="I1411" s="2354"/>
      <c r="J1411" s="2070"/>
      <c r="K1411" s="2070"/>
      <c r="L1411" s="2070"/>
    </row>
    <row r="1412" spans="1:12" s="2070" customFormat="1" ht="13.5" thickBot="1">
      <c r="B1412" s="1738"/>
      <c r="C1412" s="2700"/>
      <c r="D1412" s="2648"/>
      <c r="E1412" s="2701"/>
      <c r="F1412" s="2686"/>
      <c r="G1412" s="2225"/>
      <c r="H1412" s="2225"/>
      <c r="I1412" s="2354"/>
    </row>
    <row r="1413" spans="1:12" s="2070" customFormat="1" ht="13.5" thickTop="1">
      <c r="A1413" s="2246"/>
      <c r="B1413" s="2702"/>
      <c r="C1413" s="2703"/>
      <c r="D1413" s="2145"/>
      <c r="E1413" s="2703"/>
      <c r="F1413" s="2524"/>
      <c r="G1413" s="2225"/>
      <c r="H1413" s="2225"/>
      <c r="I1413" s="2354"/>
    </row>
    <row r="1414" spans="1:12" s="2070" customFormat="1">
      <c r="A1414" s="2068"/>
      <c r="B1414" s="2704"/>
      <c r="C1414" s="2249"/>
      <c r="D1414" s="2146"/>
      <c r="E1414" s="2249"/>
      <c r="F1414" s="2525"/>
      <c r="G1414" s="2225"/>
      <c r="H1414" s="2225"/>
      <c r="I1414" s="2354"/>
    </row>
    <row r="1415" spans="1:12" s="2070" customFormat="1">
      <c r="A1415" s="2068"/>
      <c r="B1415" s="2704"/>
      <c r="C1415" s="2249"/>
      <c r="D1415" s="2146"/>
      <c r="E1415" s="2249"/>
      <c r="F1415" s="2525"/>
      <c r="G1415" s="2225"/>
      <c r="H1415" s="2225"/>
      <c r="I1415" s="2354"/>
    </row>
    <row r="1416" spans="1:12" s="2070" customFormat="1">
      <c r="A1416" s="2068"/>
      <c r="B1416" s="2704"/>
      <c r="C1416" s="2249"/>
      <c r="D1416" s="2146"/>
      <c r="E1416" s="2249"/>
      <c r="F1416" s="2525"/>
      <c r="G1416" s="2225"/>
      <c r="H1416" s="2225"/>
      <c r="I1416" s="2354"/>
    </row>
    <row r="1417" spans="1:12" s="2070" customFormat="1" ht="13.5" thickBot="1">
      <c r="A1417" s="2099"/>
      <c r="B1417" s="2705"/>
      <c r="C1417" s="2706"/>
      <c r="D1417" s="2705"/>
      <c r="E1417" s="2707"/>
      <c r="F1417" s="2708"/>
      <c r="G1417" s="2225"/>
      <c r="H1417" s="2225"/>
      <c r="I1417" s="2354"/>
    </row>
    <row r="1418" spans="1:12" s="2070" customFormat="1" ht="13.5" thickTop="1">
      <c r="A1418" s="3000"/>
      <c r="B1418" s="2709"/>
      <c r="C1418" s="2710"/>
      <c r="D1418" s="2145"/>
      <c r="E1418" s="2711"/>
      <c r="F1418" s="3001"/>
      <c r="G1418" s="2225"/>
      <c r="H1418" s="2225"/>
      <c r="I1418" s="2354"/>
    </row>
    <row r="1419" spans="1:12" s="2352" customFormat="1" ht="11.85" customHeight="1">
      <c r="A1419" s="2070"/>
      <c r="B1419" s="2070"/>
      <c r="C1419" s="2093"/>
      <c r="D1419" s="2094"/>
      <c r="E1419" s="2093"/>
      <c r="F1419" s="2093"/>
      <c r="G1419" s="2225"/>
      <c r="H1419" s="2225"/>
      <c r="I1419" s="2354"/>
      <c r="J1419" s="2070"/>
      <c r="K1419" s="2070"/>
      <c r="L1419" s="2070"/>
    </row>
    <row r="1420" spans="1:12" s="2352" customFormat="1" ht="11.85" customHeight="1">
      <c r="A1420" s="2070"/>
      <c r="B1420" s="2070"/>
      <c r="C1420" s="2093"/>
      <c r="D1420" s="2094"/>
      <c r="E1420" s="2093"/>
      <c r="F1420" s="2093"/>
      <c r="G1420" s="2225"/>
      <c r="H1420" s="2225"/>
      <c r="I1420" s="2354"/>
      <c r="J1420" s="2070"/>
    </row>
    <row r="1421" spans="1:12" s="2352" customFormat="1" ht="11.85" hidden="1" customHeight="1">
      <c r="A1421" s="2070"/>
      <c r="B1421" s="3002"/>
      <c r="C1421" s="3003"/>
      <c r="D1421" s="3003"/>
      <c r="E1421" s="3003"/>
      <c r="F1421" s="3003"/>
      <c r="G1421" s="2225"/>
      <c r="H1421" s="2225"/>
      <c r="I1421" s="2354"/>
      <c r="J1421" s="2070"/>
    </row>
    <row r="1422" spans="1:12" s="2352" customFormat="1" ht="11.85" hidden="1" customHeight="1" thickBot="1">
      <c r="A1422" s="2070"/>
      <c r="B1422" s="3004"/>
      <c r="C1422" s="3005"/>
      <c r="D1422" s="3005"/>
      <c r="E1422" s="3005"/>
      <c r="F1422" s="3006"/>
      <c r="G1422" s="2225"/>
      <c r="H1422" s="2225"/>
      <c r="I1422" s="2354"/>
      <c r="J1422" s="2070"/>
    </row>
    <row r="1423" spans="1:12" s="2352" customFormat="1" ht="11.85" hidden="1" customHeight="1" thickTop="1">
      <c r="A1423" s="2070"/>
      <c r="B1423" s="3007"/>
      <c r="C1423" s="3008"/>
      <c r="D1423" s="3009"/>
      <c r="E1423" s="3010"/>
      <c r="F1423" s="3011"/>
      <c r="G1423" s="2225"/>
      <c r="H1423" s="2225"/>
      <c r="I1423" s="2354"/>
      <c r="J1423" s="2070"/>
    </row>
    <row r="1424" spans="1:12" s="2352" customFormat="1" ht="11.85" hidden="1" customHeight="1">
      <c r="A1424" s="2070"/>
      <c r="B1424" s="3012"/>
      <c r="C1424" s="3013"/>
      <c r="D1424" s="3014"/>
      <c r="E1424" s="3015"/>
      <c r="F1424" s="2992"/>
      <c r="G1424" s="2225"/>
      <c r="H1424" s="2225"/>
      <c r="I1424" s="2354"/>
      <c r="J1424" s="2070"/>
    </row>
    <row r="1425" spans="1:10" s="2352" customFormat="1" ht="11.85" hidden="1" customHeight="1">
      <c r="A1425" s="2070"/>
      <c r="B1425" s="3016"/>
      <c r="C1425" s="3017"/>
      <c r="D1425" s="3018"/>
      <c r="E1425" s="3019"/>
      <c r="F1425" s="2992"/>
      <c r="G1425" s="2225"/>
      <c r="H1425" s="2225"/>
      <c r="I1425" s="2354"/>
      <c r="J1425" s="2070"/>
    </row>
    <row r="1426" spans="1:10" s="2352" customFormat="1" ht="11.85" hidden="1" customHeight="1" thickBot="1">
      <c r="A1426" s="2070"/>
      <c r="B1426" s="3020"/>
      <c r="C1426" s="3021"/>
      <c r="D1426" s="3021"/>
      <c r="E1426" s="3022"/>
      <c r="F1426" s="3023"/>
      <c r="G1426" s="2225"/>
      <c r="H1426" s="2225"/>
      <c r="I1426" s="2354"/>
      <c r="J1426" s="2070"/>
    </row>
    <row r="1427" spans="1:10" s="2352" customFormat="1" ht="11.85" hidden="1" customHeight="1" thickTop="1" thickBot="1">
      <c r="A1427" s="2070"/>
      <c r="B1427" s="3024"/>
      <c r="C1427" s="3024"/>
      <c r="D1427" s="3024"/>
      <c r="E1427" s="3024"/>
      <c r="F1427" s="3025"/>
      <c r="G1427" s="2225"/>
      <c r="H1427" s="2225"/>
      <c r="I1427" s="2354"/>
      <c r="J1427" s="2070"/>
    </row>
    <row r="1428" spans="1:10" s="2352" customFormat="1" ht="11.85" hidden="1" customHeight="1" thickTop="1">
      <c r="A1428" s="2070"/>
      <c r="B1428" s="3026"/>
      <c r="C1428" s="3027"/>
      <c r="D1428" s="2231"/>
      <c r="E1428" s="3028"/>
      <c r="F1428" s="3011"/>
      <c r="G1428" s="2225"/>
      <c r="H1428" s="2225"/>
      <c r="I1428" s="2354"/>
      <c r="J1428" s="2070"/>
    </row>
    <row r="1429" spans="1:10" s="2352" customFormat="1" ht="11.85" hidden="1" customHeight="1">
      <c r="A1429" s="2070"/>
      <c r="B1429" s="3029"/>
      <c r="C1429" s="3030"/>
      <c r="D1429" s="3031"/>
      <c r="E1429" s="3032"/>
      <c r="F1429" s="2992"/>
      <c r="G1429" s="2225"/>
      <c r="H1429" s="2225"/>
      <c r="I1429" s="2354"/>
      <c r="J1429" s="2070"/>
    </row>
    <row r="1430" spans="1:10" s="2352" customFormat="1" ht="11.85" hidden="1" customHeight="1">
      <c r="A1430" s="2070"/>
      <c r="B1430" s="3033"/>
      <c r="C1430" s="3034"/>
      <c r="D1430" s="3031"/>
      <c r="E1430" s="3032"/>
      <c r="F1430" s="2992"/>
      <c r="G1430" s="2225"/>
      <c r="H1430" s="2225"/>
      <c r="I1430" s="2354"/>
      <c r="J1430" s="2070"/>
    </row>
    <row r="1431" spans="1:10" s="2352" customFormat="1" ht="11.85" hidden="1" customHeight="1">
      <c r="A1431" s="2070"/>
      <c r="B1431" s="3033"/>
      <c r="C1431" s="3035"/>
      <c r="D1431" s="3031"/>
      <c r="E1431" s="3032"/>
      <c r="F1431" s="2992"/>
      <c r="G1431" s="2225"/>
      <c r="H1431" s="2225"/>
      <c r="I1431" s="2354"/>
      <c r="J1431" s="2070"/>
    </row>
    <row r="1432" spans="1:10" s="2352" customFormat="1" ht="11.85" hidden="1" customHeight="1">
      <c r="A1432" s="2070"/>
      <c r="B1432" s="3033"/>
      <c r="C1432" s="3034"/>
      <c r="D1432" s="3031"/>
      <c r="E1432" s="3036"/>
      <c r="F1432" s="2992"/>
      <c r="G1432" s="2225"/>
      <c r="H1432" s="2225"/>
      <c r="I1432" s="2354"/>
      <c r="J1432" s="2070"/>
    </row>
    <row r="1433" spans="1:10" s="2352" customFormat="1" ht="11.85" hidden="1" customHeight="1">
      <c r="A1433" s="2070"/>
      <c r="B1433" s="3033"/>
      <c r="C1433" s="3030"/>
      <c r="D1433" s="3031"/>
      <c r="E1433" s="3037"/>
      <c r="F1433" s="2992"/>
      <c r="G1433" s="2225"/>
      <c r="H1433" s="2225"/>
      <c r="I1433" s="2354"/>
      <c r="J1433" s="2070"/>
    </row>
    <row r="1434" spans="1:10" s="2352" customFormat="1" ht="11.85" hidden="1" customHeight="1">
      <c r="A1434" s="2070"/>
      <c r="B1434" s="3033"/>
      <c r="C1434" s="3030"/>
      <c r="D1434" s="3031"/>
      <c r="E1434" s="3037"/>
      <c r="F1434" s="2992"/>
      <c r="G1434" s="2225"/>
      <c r="H1434" s="2225"/>
      <c r="I1434" s="2354"/>
      <c r="J1434" s="2070"/>
    </row>
    <row r="1435" spans="1:10" s="2352" customFormat="1" ht="11.85" hidden="1" customHeight="1">
      <c r="A1435" s="2070"/>
      <c r="B1435" s="3029"/>
      <c r="C1435" s="3030"/>
      <c r="D1435" s="3031"/>
      <c r="E1435" s="3037"/>
      <c r="F1435" s="2992"/>
      <c r="G1435" s="2225"/>
      <c r="H1435" s="2225"/>
      <c r="I1435" s="2354"/>
      <c r="J1435" s="2070"/>
    </row>
    <row r="1436" spans="1:10" s="2352" customFormat="1" ht="11.85" hidden="1" customHeight="1">
      <c r="A1436" s="2070"/>
      <c r="B1436" s="3033"/>
      <c r="C1436" s="3030"/>
      <c r="D1436" s="3031"/>
      <c r="E1436" s="3037"/>
      <c r="F1436" s="2992"/>
      <c r="G1436" s="2225"/>
      <c r="H1436" s="2225"/>
      <c r="I1436" s="2354"/>
      <c r="J1436" s="2070"/>
    </row>
    <row r="1437" spans="1:10" s="2352" customFormat="1" ht="11.85" hidden="1" customHeight="1">
      <c r="A1437" s="2070"/>
      <c r="B1437" s="3029"/>
      <c r="C1437" s="3030"/>
      <c r="D1437" s="3031"/>
      <c r="E1437" s="3037"/>
      <c r="F1437" s="2992"/>
      <c r="G1437" s="2225"/>
      <c r="H1437" s="2225"/>
      <c r="I1437" s="2354"/>
      <c r="J1437" s="2070"/>
    </row>
    <row r="1438" spans="1:10" s="2352" customFormat="1" ht="11.85" hidden="1" customHeight="1">
      <c r="A1438" s="2070"/>
      <c r="B1438" s="3033"/>
      <c r="C1438" s="3030"/>
      <c r="D1438" s="3031"/>
      <c r="E1438" s="3037"/>
      <c r="F1438" s="2992"/>
      <c r="G1438" s="2225"/>
      <c r="H1438" s="2225"/>
      <c r="I1438" s="2354"/>
      <c r="J1438" s="2070"/>
    </row>
    <row r="1439" spans="1:10" s="2352" customFormat="1" ht="11.85" hidden="1" customHeight="1">
      <c r="A1439" s="2070"/>
      <c r="B1439" s="3033"/>
      <c r="C1439" s="3030"/>
      <c r="D1439" s="3031"/>
      <c r="E1439" s="3037"/>
      <c r="F1439" s="2992"/>
      <c r="G1439" s="2225"/>
      <c r="H1439" s="2225"/>
      <c r="I1439" s="2354"/>
      <c r="J1439" s="2070"/>
    </row>
    <row r="1440" spans="1:10" s="2352" customFormat="1" ht="11.85" hidden="1" customHeight="1">
      <c r="A1440" s="2070"/>
      <c r="B1440" s="3029"/>
      <c r="C1440" s="3030"/>
      <c r="D1440" s="3031"/>
      <c r="E1440" s="3037"/>
      <c r="F1440" s="2992"/>
      <c r="G1440" s="2225"/>
      <c r="H1440" s="2225"/>
      <c r="I1440" s="2354"/>
      <c r="J1440" s="2070"/>
    </row>
    <row r="1441" spans="1:10" s="2352" customFormat="1" ht="11.85" hidden="1" customHeight="1">
      <c r="A1441" s="2070"/>
      <c r="B1441" s="3033"/>
      <c r="C1441" s="3030"/>
      <c r="D1441" s="3031"/>
      <c r="E1441" s="3032"/>
      <c r="F1441" s="2992"/>
      <c r="G1441" s="2225"/>
      <c r="H1441" s="2225"/>
      <c r="I1441" s="2354"/>
      <c r="J1441" s="2070"/>
    </row>
    <row r="1442" spans="1:10" s="2352" customFormat="1" ht="11.85" hidden="1" customHeight="1">
      <c r="A1442" s="2070"/>
      <c r="B1442" s="3029"/>
      <c r="C1442" s="3030"/>
      <c r="D1442" s="3031"/>
      <c r="E1442" s="3037"/>
      <c r="F1442" s="2992"/>
      <c r="G1442" s="2225"/>
      <c r="H1442" s="2225"/>
      <c r="I1442" s="2354"/>
      <c r="J1442" s="2070"/>
    </row>
    <row r="1443" spans="1:10" s="2352" customFormat="1" ht="11.85" hidden="1" customHeight="1">
      <c r="A1443" s="2070"/>
      <c r="B1443" s="3033"/>
      <c r="C1443" s="3030"/>
      <c r="D1443" s="3031"/>
      <c r="E1443" s="3037"/>
      <c r="F1443" s="2992"/>
      <c r="G1443" s="2225"/>
      <c r="H1443" s="2225"/>
      <c r="I1443" s="2354"/>
      <c r="J1443" s="2070"/>
    </row>
    <row r="1444" spans="1:10" s="2352" customFormat="1" ht="11.85" hidden="1" customHeight="1">
      <c r="A1444" s="2070"/>
      <c r="B1444" s="3033"/>
      <c r="C1444" s="3030"/>
      <c r="D1444" s="3031"/>
      <c r="E1444" s="3037"/>
      <c r="F1444" s="2992"/>
      <c r="G1444" s="2225"/>
      <c r="H1444" s="2225"/>
      <c r="I1444" s="2354"/>
      <c r="J1444" s="2070"/>
    </row>
    <row r="1445" spans="1:10" s="2352" customFormat="1" ht="11.85" hidden="1" customHeight="1">
      <c r="A1445" s="2070"/>
      <c r="B1445" s="3033"/>
      <c r="C1445" s="3030"/>
      <c r="D1445" s="3031"/>
      <c r="E1445" s="3037"/>
      <c r="F1445" s="2992"/>
      <c r="G1445" s="2225"/>
      <c r="H1445" s="2225"/>
      <c r="I1445" s="2354"/>
      <c r="J1445" s="2070"/>
    </row>
    <row r="1446" spans="1:10" s="2352" customFormat="1" ht="11.85" hidden="1" customHeight="1">
      <c r="A1446" s="2070"/>
      <c r="B1446" s="3033"/>
      <c r="C1446" s="3030"/>
      <c r="D1446" s="3031"/>
      <c r="E1446" s="3037"/>
      <c r="F1446" s="2992"/>
      <c r="G1446" s="2225"/>
      <c r="H1446" s="2225"/>
      <c r="I1446" s="2354"/>
      <c r="J1446" s="2070"/>
    </row>
    <row r="1447" spans="1:10" s="2352" customFormat="1" ht="11.85" hidden="1" customHeight="1">
      <c r="A1447" s="2070"/>
      <c r="B1447" s="3033"/>
      <c r="C1447" s="3030"/>
      <c r="D1447" s="3031"/>
      <c r="E1447" s="3037"/>
      <c r="F1447" s="2992"/>
      <c r="G1447" s="2225"/>
      <c r="H1447" s="2225"/>
      <c r="I1447" s="2354"/>
      <c r="J1447" s="2070"/>
    </row>
    <row r="1448" spans="1:10" s="2352" customFormat="1" ht="11.85" hidden="1" customHeight="1">
      <c r="A1448" s="2070"/>
      <c r="B1448" s="3033"/>
      <c r="C1448" s="3030"/>
      <c r="D1448" s="3031"/>
      <c r="E1448" s="3037"/>
      <c r="F1448" s="2992"/>
      <c r="G1448" s="2225"/>
      <c r="H1448" s="2225"/>
      <c r="I1448" s="2354"/>
      <c r="J1448" s="2070"/>
    </row>
    <row r="1449" spans="1:10" s="2352" customFormat="1" ht="11.85" hidden="1" customHeight="1">
      <c r="A1449" s="2070"/>
      <c r="B1449" s="3038"/>
      <c r="C1449" s="3039"/>
      <c r="D1449" s="3039"/>
      <c r="E1449" s="3040"/>
      <c r="F1449" s="3041"/>
      <c r="G1449" s="2225"/>
      <c r="H1449" s="2225"/>
      <c r="I1449" s="2354"/>
      <c r="J1449" s="2070"/>
    </row>
    <row r="1450" spans="1:10" s="2352" customFormat="1" ht="11.85" hidden="1" customHeight="1" thickBot="1">
      <c r="A1450" s="2070"/>
      <c r="B1450" s="3042"/>
      <c r="C1450" s="3043"/>
      <c r="D1450" s="3044"/>
      <c r="E1450" s="2994"/>
      <c r="F1450" s="3045"/>
      <c r="G1450" s="2225"/>
      <c r="H1450" s="2225"/>
      <c r="I1450" s="2354"/>
      <c r="J1450" s="2070"/>
    </row>
    <row r="1451" spans="1:10" s="2352" customFormat="1" ht="11.85" hidden="1" customHeight="1" thickTop="1">
      <c r="A1451" s="2070"/>
      <c r="B1451" s="2246"/>
      <c r="C1451" s="2990"/>
      <c r="D1451" s="2145"/>
      <c r="E1451" s="2990"/>
      <c r="F1451" s="2992"/>
      <c r="G1451" s="2225"/>
      <c r="H1451" s="2225"/>
      <c r="I1451" s="2354"/>
      <c r="J1451" s="2070"/>
    </row>
    <row r="1452" spans="1:10" s="2352" customFormat="1" ht="11.85" hidden="1" customHeight="1">
      <c r="A1452" s="2070"/>
      <c r="B1452" s="3038"/>
      <c r="C1452" s="2831"/>
      <c r="D1452" s="2107"/>
      <c r="E1452" s="2831"/>
      <c r="F1452" s="3046"/>
      <c r="G1452" s="2225"/>
      <c r="H1452" s="2225"/>
      <c r="I1452" s="2354"/>
      <c r="J1452" s="2070"/>
    </row>
    <row r="1453" spans="1:10" s="2352" customFormat="1" ht="14.25" hidden="1" customHeight="1" thickBot="1">
      <c r="A1453" s="2070"/>
      <c r="B1453" s="3042"/>
      <c r="C1453" s="2993"/>
      <c r="D1453" s="2114"/>
      <c r="E1453" s="2993"/>
      <c r="F1453" s="3045"/>
      <c r="G1453" s="2225"/>
      <c r="H1453" s="2225"/>
      <c r="I1453" s="2354"/>
      <c r="J1453" s="2070"/>
    </row>
    <row r="1454" spans="1:10" s="2352" customFormat="1" ht="11.85" hidden="1" customHeight="1" thickTop="1">
      <c r="A1454" s="2070"/>
      <c r="C1454" s="2244"/>
      <c r="E1454" s="2244"/>
      <c r="F1454" s="2244"/>
      <c r="G1454" s="2225"/>
      <c r="H1454" s="2225"/>
      <c r="I1454" s="2354"/>
      <c r="J1454" s="2070"/>
    </row>
    <row r="1455" spans="1:10" s="2352" customFormat="1" ht="11.85" hidden="1" customHeight="1" thickBot="1">
      <c r="A1455" s="2070"/>
      <c r="B1455" s="2985"/>
      <c r="C1455" s="2244"/>
      <c r="E1455" s="2244"/>
      <c r="F1455" s="2244"/>
      <c r="G1455" s="2225"/>
      <c r="H1455" s="2225"/>
      <c r="I1455" s="2354"/>
      <c r="J1455" s="2070"/>
    </row>
    <row r="1456" spans="1:10" s="2352" customFormat="1" ht="11.85" hidden="1" customHeight="1" thickTop="1">
      <c r="A1456" s="2070"/>
      <c r="B1456" s="3007"/>
      <c r="C1456" s="3008"/>
      <c r="D1456" s="3009"/>
      <c r="E1456" s="3010"/>
      <c r="F1456" s="3011"/>
      <c r="G1456" s="2225"/>
      <c r="H1456" s="2225"/>
      <c r="I1456" s="2354"/>
      <c r="J1456" s="2070"/>
    </row>
    <row r="1457" spans="1:10" s="2352" customFormat="1" ht="11.85" hidden="1" customHeight="1">
      <c r="A1457" s="2070"/>
      <c r="B1457" s="3012"/>
      <c r="C1457" s="3013"/>
      <c r="D1457" s="3014"/>
      <c r="E1457" s="3015"/>
      <c r="F1457" s="2992"/>
      <c r="G1457" s="2225"/>
      <c r="H1457" s="2225"/>
      <c r="I1457" s="2354"/>
      <c r="J1457" s="2070"/>
    </row>
    <row r="1458" spans="1:10" s="2352" customFormat="1" ht="11.85" hidden="1" customHeight="1" thickBot="1">
      <c r="A1458" s="2070"/>
      <c r="B1458" s="3020"/>
      <c r="C1458" s="3021"/>
      <c r="D1458" s="3021"/>
      <c r="E1458" s="2994"/>
      <c r="F1458" s="3023"/>
      <c r="G1458" s="2225"/>
      <c r="H1458" s="2225"/>
      <c r="I1458" s="2354"/>
      <c r="J1458" s="2070"/>
    </row>
    <row r="1459" spans="1:10" s="2352" customFormat="1" ht="11.85" hidden="1" customHeight="1" thickTop="1">
      <c r="A1459" s="2070"/>
      <c r="C1459" s="2244"/>
      <c r="E1459" s="2244"/>
      <c r="F1459" s="2244"/>
      <c r="G1459" s="2225"/>
      <c r="H1459" s="2225"/>
      <c r="I1459" s="2354"/>
      <c r="J1459" s="2070"/>
    </row>
    <row r="1460" spans="1:10" s="2352" customFormat="1" ht="11.85" hidden="1" customHeight="1" thickBot="1">
      <c r="A1460" s="2070"/>
      <c r="B1460" s="3004"/>
      <c r="C1460" s="3005"/>
      <c r="D1460" s="3005"/>
      <c r="E1460" s="3005"/>
      <c r="F1460" s="3006"/>
      <c r="G1460" s="2225"/>
      <c r="H1460" s="2225"/>
      <c r="I1460" s="2354"/>
      <c r="J1460" s="2070"/>
    </row>
    <row r="1461" spans="1:10" s="2352" customFormat="1" ht="11.85" hidden="1" customHeight="1" thickTop="1">
      <c r="A1461" s="2070"/>
      <c r="B1461" s="3007"/>
      <c r="C1461" s="3008"/>
      <c r="D1461" s="3009"/>
      <c r="E1461" s="3010"/>
      <c r="F1461" s="3011"/>
      <c r="G1461" s="2225"/>
      <c r="H1461" s="2225"/>
      <c r="I1461" s="2354"/>
      <c r="J1461" s="2070"/>
    </row>
    <row r="1462" spans="1:10" s="2352" customFormat="1" ht="11.85" hidden="1" customHeight="1">
      <c r="A1462" s="2070"/>
      <c r="B1462" s="3012"/>
      <c r="C1462" s="3013"/>
      <c r="D1462" s="3014"/>
      <c r="E1462" s="3015"/>
      <c r="F1462" s="2992"/>
      <c r="G1462" s="2225"/>
      <c r="H1462" s="2225"/>
      <c r="I1462" s="2354"/>
      <c r="J1462" s="2070"/>
    </row>
    <row r="1463" spans="1:10" s="2352" customFormat="1" ht="11.85" hidden="1" customHeight="1">
      <c r="A1463" s="2070"/>
      <c r="B1463" s="3016"/>
      <c r="C1463" s="3017"/>
      <c r="D1463" s="3018"/>
      <c r="E1463" s="3019"/>
      <c r="F1463" s="2992"/>
      <c r="G1463" s="2225"/>
      <c r="H1463" s="2225"/>
      <c r="I1463" s="2354"/>
      <c r="J1463" s="2070"/>
    </row>
    <row r="1464" spans="1:10" s="2352" customFormat="1" ht="11.85" hidden="1" customHeight="1" thickBot="1">
      <c r="A1464" s="2070"/>
      <c r="B1464" s="3020"/>
      <c r="C1464" s="3021"/>
      <c r="D1464" s="3021"/>
      <c r="E1464" s="2994"/>
      <c r="F1464" s="3023"/>
      <c r="G1464" s="2225"/>
      <c r="H1464" s="2225"/>
      <c r="I1464" s="2354"/>
      <c r="J1464" s="2070"/>
    </row>
    <row r="1465" spans="1:10" s="2352" customFormat="1" ht="11.85" hidden="1" customHeight="1" thickTop="1">
      <c r="A1465" s="2070"/>
      <c r="B1465" s="2079"/>
      <c r="C1465" s="2990"/>
      <c r="D1465" s="2145"/>
      <c r="E1465" s="2990"/>
      <c r="F1465" s="2869"/>
      <c r="G1465" s="2225"/>
      <c r="H1465" s="2225"/>
      <c r="I1465" s="2354"/>
      <c r="J1465" s="2070"/>
    </row>
    <row r="1466" spans="1:10" s="2352" customFormat="1" ht="11.85" hidden="1" customHeight="1">
      <c r="A1466" s="2070"/>
      <c r="B1466" s="2050"/>
      <c r="C1466" s="2831"/>
      <c r="D1466" s="2146"/>
      <c r="E1466" s="2831"/>
      <c r="F1466" s="2992"/>
      <c r="G1466" s="2225"/>
      <c r="H1466" s="2225"/>
      <c r="I1466" s="2354"/>
      <c r="J1466" s="2070"/>
    </row>
    <row r="1467" spans="1:10" s="2352" customFormat="1" ht="11.85" hidden="1" customHeight="1">
      <c r="A1467" s="2070"/>
      <c r="B1467" s="2050"/>
      <c r="C1467" s="2831"/>
      <c r="D1467" s="2146"/>
      <c r="E1467" s="2831"/>
      <c r="F1467" s="2992"/>
      <c r="G1467" s="2225"/>
      <c r="H1467" s="2225"/>
      <c r="I1467" s="2354"/>
      <c r="J1467" s="2070"/>
    </row>
    <row r="1468" spans="1:10" s="2352" customFormat="1" ht="11.85" hidden="1" customHeight="1">
      <c r="A1468" s="2070"/>
      <c r="B1468" s="2050"/>
      <c r="C1468" s="2831"/>
      <c r="D1468" s="2146"/>
      <c r="E1468" s="2831"/>
      <c r="F1468" s="2992"/>
      <c r="G1468" s="2225"/>
      <c r="H1468" s="2225"/>
      <c r="I1468" s="2354"/>
      <c r="J1468" s="2070"/>
    </row>
    <row r="1469" spans="1:10" s="2352" customFormat="1" ht="11.85" hidden="1" customHeight="1">
      <c r="A1469" s="2070"/>
      <c r="B1469" s="2128"/>
      <c r="C1469" s="2831"/>
      <c r="D1469" s="2946"/>
      <c r="E1469" s="2831"/>
      <c r="F1469" s="2992"/>
      <c r="G1469" s="2225"/>
      <c r="H1469" s="2225"/>
      <c r="I1469" s="2354"/>
      <c r="J1469" s="2070"/>
    </row>
    <row r="1470" spans="1:10" s="2352" customFormat="1" ht="11.85" hidden="1" customHeight="1" thickBot="1">
      <c r="A1470" s="2070"/>
      <c r="B1470" s="2099"/>
      <c r="C1470" s="2993"/>
      <c r="D1470" s="2114"/>
      <c r="E1470" s="3047"/>
      <c r="F1470" s="2995"/>
      <c r="G1470" s="2225"/>
      <c r="H1470" s="2225"/>
      <c r="I1470" s="2354"/>
      <c r="J1470" s="2070"/>
    </row>
    <row r="1471" spans="1:10" s="2352" customFormat="1" ht="11.85" hidden="1" customHeight="1" thickTop="1">
      <c r="A1471" s="2070"/>
      <c r="C1471" s="2244"/>
      <c r="E1471" s="2244"/>
      <c r="F1471" s="2244"/>
      <c r="G1471" s="2225"/>
      <c r="H1471" s="2225"/>
      <c r="I1471" s="2354"/>
      <c r="J1471" s="2070"/>
    </row>
    <row r="1472" spans="1:10" s="2352" customFormat="1" ht="11.85" hidden="1" customHeight="1" thickBot="1">
      <c r="A1472" s="2070"/>
      <c r="B1472" s="2147"/>
      <c r="C1472" s="2161"/>
      <c r="D1472" s="2162"/>
      <c r="E1472" s="2161"/>
      <c r="F1472" s="2161"/>
      <c r="G1472" s="2225"/>
      <c r="H1472" s="2225"/>
      <c r="I1472" s="2354"/>
      <c r="J1472" s="2070"/>
    </row>
    <row r="1473" spans="1:10" s="2352" customFormat="1" ht="11.85" hidden="1" customHeight="1" thickTop="1">
      <c r="A1473" s="2070"/>
      <c r="B1473" s="2246"/>
      <c r="C1473" s="2760"/>
      <c r="D1473" s="2145"/>
      <c r="E1473" s="2760"/>
      <c r="F1473" s="3011"/>
      <c r="G1473" s="2225"/>
      <c r="H1473" s="2225"/>
      <c r="I1473" s="2354"/>
      <c r="J1473" s="2070"/>
    </row>
    <row r="1474" spans="1:10" s="2352" customFormat="1" ht="11.85" hidden="1" customHeight="1">
      <c r="A1474" s="2070"/>
      <c r="B1474" s="2068"/>
      <c r="C1474" s="2109"/>
      <c r="D1474" s="2146"/>
      <c r="E1474" s="2109"/>
      <c r="F1474" s="2992"/>
      <c r="G1474" s="2225"/>
      <c r="H1474" s="2225"/>
      <c r="I1474" s="2354"/>
      <c r="J1474" s="2070"/>
    </row>
    <row r="1475" spans="1:10" s="2352" customFormat="1" ht="11.85" hidden="1" customHeight="1">
      <c r="A1475" s="2070"/>
      <c r="B1475" s="2068"/>
      <c r="C1475" s="2109"/>
      <c r="D1475" s="2146"/>
      <c r="E1475" s="2109"/>
      <c r="F1475" s="2992"/>
      <c r="G1475" s="2225"/>
      <c r="H1475" s="2225"/>
      <c r="I1475" s="2354"/>
      <c r="J1475" s="2070"/>
    </row>
    <row r="1476" spans="1:10" s="2352" customFormat="1" ht="11.85" hidden="1" customHeight="1" thickBot="1">
      <c r="A1476" s="2070"/>
      <c r="B1476" s="2099"/>
      <c r="C1476" s="2101"/>
      <c r="D1476" s="2105"/>
      <c r="E1476" s="2143"/>
      <c r="F1476" s="3048"/>
      <c r="G1476" s="2225"/>
      <c r="H1476" s="2225"/>
      <c r="I1476" s="2354"/>
      <c r="J1476" s="2070"/>
    </row>
    <row r="1477" spans="1:10" s="2352" customFormat="1" ht="11.85" hidden="1" customHeight="1" thickTop="1">
      <c r="A1477" s="2070"/>
      <c r="B1477" s="3049"/>
      <c r="C1477" s="3050"/>
      <c r="D1477" s="2148"/>
      <c r="E1477" s="2072"/>
      <c r="F1477" s="2812"/>
      <c r="G1477" s="2225"/>
      <c r="H1477" s="2225"/>
      <c r="I1477" s="2354"/>
      <c r="J1477" s="2070"/>
    </row>
    <row r="1478" spans="1:10" s="2352" customFormat="1" ht="11.85" hidden="1" customHeight="1">
      <c r="A1478" s="2070"/>
      <c r="B1478" s="2070"/>
      <c r="C1478" s="2093"/>
      <c r="D1478" s="2094"/>
      <c r="E1478" s="2093"/>
      <c r="F1478" s="2093"/>
      <c r="G1478" s="2225"/>
      <c r="H1478" s="2225"/>
      <c r="I1478" s="2354"/>
      <c r="J1478" s="2070"/>
    </row>
    <row r="1479" spans="1:10" s="2352" customFormat="1" ht="11.85" hidden="1" customHeight="1">
      <c r="A1479" s="2070"/>
      <c r="B1479" s="2070"/>
      <c r="C1479" s="2093"/>
      <c r="D1479" s="2094"/>
      <c r="E1479" s="2093"/>
      <c r="F1479" s="2093"/>
      <c r="G1479" s="2225"/>
      <c r="H1479" s="2225"/>
      <c r="I1479" s="2354"/>
      <c r="J1479" s="2070"/>
    </row>
    <row r="1480" spans="1:10" s="2352" customFormat="1" ht="21" hidden="1" customHeight="1">
      <c r="A1480" s="2070"/>
      <c r="B1480" s="5213"/>
      <c r="C1480" s="5213"/>
      <c r="D1480" s="5213"/>
      <c r="E1480" s="5213"/>
      <c r="F1480" s="5213"/>
      <c r="G1480" s="2225"/>
      <c r="H1480" s="2225"/>
      <c r="I1480" s="2354"/>
      <c r="J1480" s="2070"/>
    </row>
    <row r="1481" spans="1:10" s="2352" customFormat="1" ht="15.75" hidden="1" customHeight="1">
      <c r="A1481" s="2070"/>
      <c r="B1481" s="3051"/>
      <c r="C1481" s="3051"/>
      <c r="D1481" s="3051"/>
      <c r="E1481" s="3051"/>
      <c r="F1481" s="3051"/>
      <c r="G1481" s="2225"/>
      <c r="H1481" s="2225"/>
      <c r="I1481" s="2354"/>
      <c r="J1481" s="2070"/>
    </row>
    <row r="1482" spans="1:10" s="2352" customFormat="1" ht="17.25" hidden="1" customHeight="1">
      <c r="A1482" s="2070"/>
      <c r="B1482" s="5219"/>
      <c r="C1482" s="5219"/>
      <c r="D1482" s="5219"/>
      <c r="E1482" s="5219"/>
      <c r="F1482" s="5219"/>
      <c r="G1482" s="2225"/>
      <c r="H1482" s="2225"/>
      <c r="I1482" s="2354"/>
    </row>
    <row r="1483" spans="1:10" s="2352" customFormat="1" ht="11.85" hidden="1" customHeight="1">
      <c r="A1483" s="2070"/>
      <c r="B1483" s="2660"/>
      <c r="C1483" s="2660"/>
      <c r="D1483" s="2660"/>
      <c r="E1483" s="2660"/>
      <c r="F1483" s="2660"/>
      <c r="G1483" s="2225"/>
      <c r="H1483" s="2225"/>
      <c r="I1483" s="2354"/>
    </row>
    <row r="1484" spans="1:10" s="2352" customFormat="1" ht="11.85" hidden="1" customHeight="1">
      <c r="A1484" s="2070"/>
      <c r="B1484" s="2243"/>
      <c r="C1484" s="2234"/>
      <c r="D1484" s="2235"/>
      <c r="E1484" s="2652"/>
      <c r="F1484" s="2653"/>
      <c r="G1484" s="2225"/>
      <c r="H1484" s="2225"/>
      <c r="I1484" s="2354"/>
    </row>
    <row r="1485" spans="1:10" s="2352" customFormat="1" ht="11.85" hidden="1" customHeight="1">
      <c r="A1485" s="2070"/>
      <c r="B1485" s="2243"/>
      <c r="C1485" s="2234"/>
      <c r="D1485" s="2235"/>
      <c r="E1485" s="2653"/>
      <c r="F1485" s="2653"/>
      <c r="G1485" s="2225"/>
      <c r="H1485" s="2225"/>
      <c r="I1485" s="2354"/>
    </row>
    <row r="1486" spans="1:10" s="2352" customFormat="1" ht="11.85" hidden="1" customHeight="1">
      <c r="A1486" s="2070"/>
      <c r="B1486" s="2243"/>
      <c r="C1486" s="2234"/>
      <c r="D1486" s="2235"/>
      <c r="E1486" s="2653"/>
      <c r="F1486" s="2653"/>
      <c r="G1486" s="2225"/>
      <c r="H1486" s="2225"/>
      <c r="I1486" s="2354"/>
    </row>
    <row r="1487" spans="1:10" s="2352" customFormat="1" ht="11.85" hidden="1" customHeight="1">
      <c r="A1487" s="2070"/>
      <c r="B1487" s="2243"/>
      <c r="C1487" s="2234"/>
      <c r="D1487" s="2235"/>
      <c r="E1487" s="2653"/>
      <c r="F1487" s="2653"/>
      <c r="G1487" s="2225"/>
      <c r="H1487" s="2225"/>
      <c r="I1487" s="2354"/>
    </row>
    <row r="1488" spans="1:10" s="2352" customFormat="1" ht="11.85" hidden="1" customHeight="1">
      <c r="A1488" s="2070"/>
      <c r="B1488" s="2243"/>
      <c r="C1488" s="2234"/>
      <c r="D1488" s="2235"/>
      <c r="E1488" s="2653"/>
      <c r="F1488" s="2653"/>
      <c r="G1488" s="2225"/>
      <c r="H1488" s="2225"/>
      <c r="I1488" s="2354"/>
    </row>
    <row r="1489" spans="1:9" s="2352" customFormat="1" ht="11.85" hidden="1" customHeight="1">
      <c r="A1489" s="2070"/>
      <c r="B1489" s="2243"/>
      <c r="C1489" s="2234"/>
      <c r="D1489" s="2235"/>
      <c r="E1489" s="2653"/>
      <c r="F1489" s="2653"/>
      <c r="G1489" s="2225"/>
      <c r="H1489" s="2225"/>
      <c r="I1489" s="2354"/>
    </row>
    <row r="1490" spans="1:9" s="2352" customFormat="1" ht="11.85" hidden="1" customHeight="1">
      <c r="A1490" s="2070"/>
      <c r="B1490" s="2243"/>
      <c r="C1490" s="2234"/>
      <c r="D1490" s="2235"/>
      <c r="E1490" s="2653"/>
      <c r="F1490" s="2653"/>
      <c r="G1490" s="2225"/>
      <c r="H1490" s="2225"/>
      <c r="I1490" s="2354"/>
    </row>
    <row r="1491" spans="1:9" s="2352" customFormat="1" ht="11.85" hidden="1" customHeight="1">
      <c r="A1491" s="2070"/>
      <c r="B1491" s="2243"/>
      <c r="C1491" s="2234"/>
      <c r="D1491" s="2235"/>
      <c r="E1491" s="2653"/>
      <c r="F1491" s="2653"/>
      <c r="G1491" s="2225"/>
      <c r="H1491" s="2225"/>
      <c r="I1491" s="2354"/>
    </row>
    <row r="1492" spans="1:9" s="2352" customFormat="1" ht="11.85" hidden="1" customHeight="1">
      <c r="A1492" s="2070"/>
      <c r="B1492" s="2243"/>
      <c r="C1492" s="2234"/>
      <c r="D1492" s="2235"/>
      <c r="E1492" s="2653"/>
      <c r="F1492" s="2653"/>
      <c r="G1492" s="2225"/>
      <c r="H1492" s="2225"/>
      <c r="I1492" s="2354"/>
    </row>
    <row r="1493" spans="1:9" s="2352" customFormat="1" ht="11.85" hidden="1" customHeight="1">
      <c r="A1493" s="2070"/>
      <c r="B1493" s="2243"/>
      <c r="C1493" s="2234"/>
      <c r="D1493" s="2235"/>
      <c r="E1493" s="2653"/>
      <c r="F1493" s="2653"/>
      <c r="G1493" s="2225"/>
      <c r="H1493" s="2225"/>
      <c r="I1493" s="2354"/>
    </row>
    <row r="1494" spans="1:9" s="2352" customFormat="1" ht="11.85" hidden="1" customHeight="1">
      <c r="A1494" s="2070"/>
      <c r="B1494" s="2842"/>
      <c r="C1494" s="2234"/>
      <c r="D1494" s="2235"/>
      <c r="E1494" s="2652"/>
      <c r="F1494" s="2653"/>
      <c r="G1494" s="2225"/>
      <c r="H1494" s="2225"/>
      <c r="I1494" s="2354"/>
    </row>
    <row r="1495" spans="1:9" s="2352" customFormat="1" ht="11.85" hidden="1" customHeight="1">
      <c r="A1495" s="2070"/>
      <c r="B1495" s="2243"/>
      <c r="C1495" s="2234"/>
      <c r="D1495" s="2235"/>
      <c r="E1495" s="2652"/>
      <c r="F1495" s="2653"/>
      <c r="G1495" s="2225"/>
      <c r="H1495" s="2225"/>
      <c r="I1495" s="2354"/>
    </row>
    <row r="1496" spans="1:9" s="2352" customFormat="1" ht="11.85" hidden="1" customHeight="1">
      <c r="A1496" s="2070"/>
      <c r="B1496" s="2243"/>
      <c r="C1496" s="2234"/>
      <c r="D1496" s="2235"/>
      <c r="E1496" s="2652"/>
      <c r="F1496" s="2653"/>
      <c r="G1496" s="2225"/>
      <c r="H1496" s="2225"/>
      <c r="I1496" s="2354"/>
    </row>
    <row r="1497" spans="1:9" s="2352" customFormat="1" ht="11.85" hidden="1" customHeight="1">
      <c r="A1497" s="2070"/>
      <c r="B1497" s="2243"/>
      <c r="C1497" s="2234"/>
      <c r="D1497" s="2235"/>
      <c r="E1497" s="2652"/>
      <c r="F1497" s="2653"/>
      <c r="G1497" s="2225"/>
      <c r="H1497" s="2225"/>
      <c r="I1497" s="2354"/>
    </row>
    <row r="1498" spans="1:9" s="2352" customFormat="1" ht="11.85" hidden="1" customHeight="1">
      <c r="A1498" s="2070"/>
      <c r="B1498" s="2243"/>
      <c r="C1498" s="2234"/>
      <c r="D1498" s="2235"/>
      <c r="E1498" s="2652"/>
      <c r="F1498" s="2653"/>
      <c r="G1498" s="2225"/>
      <c r="H1498" s="2225"/>
      <c r="I1498" s="2354"/>
    </row>
    <row r="1499" spans="1:9" s="2352" customFormat="1" ht="11.85" hidden="1" customHeight="1">
      <c r="A1499" s="2070"/>
      <c r="B1499" s="2243"/>
      <c r="C1499" s="2234"/>
      <c r="D1499" s="2235"/>
      <c r="E1499" s="2652"/>
      <c r="F1499" s="2653"/>
      <c r="G1499" s="2225"/>
      <c r="H1499" s="2225"/>
      <c r="I1499" s="2354"/>
    </row>
    <row r="1500" spans="1:9" s="2352" customFormat="1" ht="11.85" hidden="1" customHeight="1">
      <c r="A1500" s="2070"/>
      <c r="B1500" s="2243"/>
      <c r="C1500" s="2234"/>
      <c r="D1500" s="2235"/>
      <c r="E1500" s="2652"/>
      <c r="F1500" s="2653"/>
      <c r="G1500" s="2225"/>
      <c r="H1500" s="2225"/>
      <c r="I1500" s="2354"/>
    </row>
    <row r="1501" spans="1:9" s="2352" customFormat="1" ht="11.85" hidden="1" customHeight="1">
      <c r="A1501" s="2070"/>
      <c r="B1501" s="2243"/>
      <c r="C1501" s="2234"/>
      <c r="D1501" s="2235"/>
      <c r="E1501" s="2652"/>
      <c r="F1501" s="2653"/>
      <c r="G1501" s="2225"/>
      <c r="H1501" s="2225"/>
      <c r="I1501" s="2354"/>
    </row>
    <row r="1502" spans="1:9" s="2352" customFormat="1" ht="11.85" hidden="1" customHeight="1">
      <c r="A1502" s="2070"/>
      <c r="B1502" s="2243"/>
      <c r="C1502" s="2234"/>
      <c r="D1502" s="2235"/>
      <c r="E1502" s="2652"/>
      <c r="F1502" s="2653"/>
      <c r="G1502" s="2225"/>
      <c r="H1502" s="2225"/>
      <c r="I1502" s="2354"/>
    </row>
    <row r="1503" spans="1:9" s="2352" customFormat="1" ht="11.85" hidden="1" customHeight="1">
      <c r="A1503" s="2070"/>
      <c r="B1503" s="2243"/>
      <c r="C1503" s="2234"/>
      <c r="D1503" s="2235"/>
      <c r="E1503" s="2652"/>
      <c r="F1503" s="2653"/>
      <c r="G1503" s="2225"/>
      <c r="H1503" s="2225"/>
      <c r="I1503" s="2354"/>
    </row>
    <row r="1504" spans="1:9" s="2352" customFormat="1" ht="11.85" hidden="1" customHeight="1">
      <c r="A1504" s="2070"/>
      <c r="B1504" s="2243"/>
      <c r="C1504" s="2653"/>
      <c r="D1504" s="2235"/>
      <c r="E1504" s="2653"/>
      <c r="F1504" s="2653"/>
      <c r="G1504" s="2225"/>
      <c r="H1504" s="2225"/>
      <c r="I1504" s="2354"/>
    </row>
    <row r="1505" spans="1:9" s="2352" customFormat="1" ht="11.85" hidden="1" customHeight="1">
      <c r="A1505" s="2070"/>
      <c r="B1505" s="2243"/>
      <c r="C1505" s="2653"/>
      <c r="D1505" s="2235"/>
      <c r="E1505" s="2653"/>
      <c r="F1505" s="2653"/>
      <c r="G1505" s="2225"/>
      <c r="H1505" s="2225"/>
      <c r="I1505" s="2354"/>
    </row>
    <row r="1506" spans="1:9" s="2352" customFormat="1" ht="11.85" hidden="1" customHeight="1">
      <c r="A1506" s="2070"/>
      <c r="B1506" s="2842"/>
      <c r="C1506" s="2658"/>
      <c r="D1506" s="2658"/>
      <c r="E1506" s="2658"/>
      <c r="F1506" s="2300"/>
      <c r="G1506" s="2244"/>
      <c r="H1506" s="2244"/>
      <c r="I1506" s="2357"/>
    </row>
    <row r="1507" spans="1:9" s="2352" customFormat="1" ht="11.85" hidden="1" customHeight="1">
      <c r="A1507" s="2070"/>
      <c r="B1507" s="2070"/>
      <c r="C1507" s="2093"/>
      <c r="D1507" s="2094"/>
      <c r="E1507" s="2093"/>
      <c r="F1507" s="2093"/>
      <c r="G1507" s="2244"/>
      <c r="H1507" s="2244"/>
      <c r="I1507" s="2357"/>
    </row>
    <row r="1508" spans="1:9" s="2352" customFormat="1" ht="11.85" hidden="1" customHeight="1">
      <c r="A1508" s="2070"/>
      <c r="B1508" s="2070"/>
      <c r="C1508" s="2093"/>
      <c r="D1508" s="2094"/>
      <c r="E1508" s="2093"/>
      <c r="F1508" s="2093"/>
      <c r="G1508" s="2244"/>
      <c r="H1508" s="2244"/>
      <c r="I1508" s="2357"/>
    </row>
    <row r="1509" spans="1:9" s="2352" customFormat="1" ht="11.85" customHeight="1">
      <c r="A1509" s="2070"/>
      <c r="B1509" s="2070"/>
      <c r="C1509" s="2093"/>
      <c r="D1509" s="2094"/>
      <c r="E1509" s="2093"/>
      <c r="F1509" s="2093"/>
      <c r="G1509" s="2244"/>
      <c r="H1509" s="2244"/>
      <c r="I1509" s="2357"/>
    </row>
    <row r="1510" spans="1:9" s="2352" customFormat="1" ht="11.85" customHeight="1">
      <c r="A1510" s="2070"/>
      <c r="B1510" s="2070"/>
      <c r="C1510" s="2093"/>
      <c r="D1510" s="2094"/>
      <c r="E1510" s="2093"/>
      <c r="F1510" s="2093"/>
      <c r="G1510" s="2244"/>
      <c r="H1510" s="2244"/>
      <c r="I1510" s="2357"/>
    </row>
    <row r="1511" spans="1:9" s="2352" customFormat="1" ht="11.85" customHeight="1">
      <c r="A1511" s="2070"/>
      <c r="B1511" s="2070"/>
      <c r="C1511" s="2093"/>
      <c r="D1511" s="2094"/>
      <c r="E1511" s="2093"/>
      <c r="F1511" s="2093"/>
      <c r="G1511" s="2244"/>
      <c r="H1511" s="2244"/>
      <c r="I1511" s="2357"/>
    </row>
    <row r="1512" spans="1:9" s="2352" customFormat="1" ht="11.85" customHeight="1">
      <c r="A1512" s="2070"/>
      <c r="B1512" s="2070"/>
      <c r="C1512" s="2093"/>
      <c r="D1512" s="2094"/>
      <c r="E1512" s="2093"/>
      <c r="F1512" s="2093"/>
      <c r="G1512" s="2244"/>
      <c r="H1512" s="2244"/>
      <c r="I1512" s="2357"/>
    </row>
    <row r="1513" spans="1:9" s="2352" customFormat="1" ht="11.85" customHeight="1">
      <c r="A1513" s="2070"/>
      <c r="B1513" s="2070"/>
      <c r="C1513" s="2093"/>
      <c r="D1513" s="2094"/>
      <c r="E1513" s="2093"/>
      <c r="F1513" s="2093"/>
      <c r="G1513" s="2244"/>
      <c r="H1513" s="2244"/>
      <c r="I1513" s="2357"/>
    </row>
    <row r="1514" spans="1:9" s="2352" customFormat="1" ht="11.85" customHeight="1">
      <c r="A1514" s="2070"/>
      <c r="B1514" s="2070"/>
      <c r="C1514" s="2093"/>
      <c r="D1514" s="2094"/>
      <c r="E1514" s="2093"/>
      <c r="F1514" s="2093"/>
      <c r="G1514" s="2244"/>
      <c r="H1514" s="2244"/>
      <c r="I1514" s="2357"/>
    </row>
    <row r="1515" spans="1:9" s="2352" customFormat="1" ht="11.85" customHeight="1">
      <c r="A1515" s="2070"/>
      <c r="B1515" s="2070"/>
      <c r="C1515" s="2093"/>
      <c r="D1515" s="2094"/>
      <c r="E1515" s="2093"/>
      <c r="F1515" s="2093"/>
      <c r="G1515" s="2244"/>
      <c r="H1515" s="2244"/>
      <c r="I1515" s="2357"/>
    </row>
    <row r="1516" spans="1:9" s="2352" customFormat="1" ht="11.85" customHeight="1">
      <c r="A1516" s="2070"/>
      <c r="B1516" s="2070"/>
      <c r="C1516" s="2093"/>
      <c r="D1516" s="2094"/>
      <c r="E1516" s="2093"/>
      <c r="F1516" s="2093"/>
      <c r="G1516" s="2244"/>
      <c r="H1516" s="2244"/>
      <c r="I1516" s="2357"/>
    </row>
    <row r="1517" spans="1:9" s="2352" customFormat="1" ht="11.85" customHeight="1">
      <c r="A1517" s="2070"/>
      <c r="B1517" s="2070"/>
      <c r="C1517" s="2093"/>
      <c r="D1517" s="2094"/>
      <c r="E1517" s="2093"/>
      <c r="F1517" s="2093"/>
      <c r="G1517" s="2244"/>
      <c r="H1517" s="2244"/>
      <c r="I1517" s="2357"/>
    </row>
    <row r="1518" spans="1:9" s="2352" customFormat="1" ht="11.85" customHeight="1">
      <c r="A1518" s="2070"/>
      <c r="B1518" s="2070"/>
      <c r="C1518" s="2093"/>
      <c r="D1518" s="2094"/>
      <c r="E1518" s="2093"/>
      <c r="F1518" s="2093"/>
      <c r="G1518" s="2244"/>
      <c r="H1518" s="2244"/>
      <c r="I1518" s="2357"/>
    </row>
    <row r="1519" spans="1:9" s="2352" customFormat="1" ht="11.85" customHeight="1">
      <c r="A1519" s="2070"/>
      <c r="B1519" s="2070"/>
      <c r="C1519" s="2093"/>
      <c r="D1519" s="2094"/>
      <c r="E1519" s="2093"/>
      <c r="F1519" s="2093"/>
      <c r="G1519" s="2244"/>
      <c r="H1519" s="2244"/>
      <c r="I1519" s="2357"/>
    </row>
    <row r="1520" spans="1:9" s="2352" customFormat="1" ht="11.85" customHeight="1">
      <c r="A1520" s="2070"/>
      <c r="B1520" s="2070"/>
      <c r="C1520" s="2093"/>
      <c r="D1520" s="2094"/>
      <c r="E1520" s="2093"/>
      <c r="F1520" s="2093"/>
      <c r="G1520" s="2244"/>
      <c r="H1520" s="2244"/>
      <c r="I1520" s="2357"/>
    </row>
    <row r="1521" spans="1:9" s="2352" customFormat="1" ht="11.85" customHeight="1">
      <c r="A1521" s="2070"/>
      <c r="B1521" s="2070"/>
      <c r="C1521" s="2093"/>
      <c r="D1521" s="2094"/>
      <c r="E1521" s="2093"/>
      <c r="F1521" s="2093"/>
      <c r="G1521" s="2244"/>
      <c r="H1521" s="2244"/>
      <c r="I1521" s="2357"/>
    </row>
    <row r="1522" spans="1:9" s="2352" customFormat="1" ht="11.85" customHeight="1">
      <c r="A1522" s="2070"/>
      <c r="B1522" s="2070"/>
      <c r="C1522" s="2093"/>
      <c r="D1522" s="2094"/>
      <c r="E1522" s="2093"/>
      <c r="F1522" s="2093"/>
      <c r="G1522" s="2244"/>
      <c r="H1522" s="2244"/>
      <c r="I1522" s="2357"/>
    </row>
    <row r="1523" spans="1:9" s="2352" customFormat="1" ht="11.85" customHeight="1">
      <c r="A1523" s="2070"/>
      <c r="B1523" s="2070"/>
      <c r="C1523" s="2093"/>
      <c r="D1523" s="2094"/>
      <c r="E1523" s="2093"/>
      <c r="F1523" s="2093"/>
      <c r="G1523" s="2244"/>
      <c r="H1523" s="2244"/>
      <c r="I1523" s="2357"/>
    </row>
    <row r="1524" spans="1:9" s="2352" customFormat="1" ht="11.85" customHeight="1">
      <c r="A1524" s="2070"/>
      <c r="B1524" s="2070"/>
      <c r="C1524" s="2093"/>
      <c r="D1524" s="2094"/>
      <c r="E1524" s="2093"/>
      <c r="F1524" s="2093"/>
      <c r="G1524" s="2244"/>
      <c r="H1524" s="2244"/>
      <c r="I1524" s="2357"/>
    </row>
    <row r="1525" spans="1:9" s="2352" customFormat="1" ht="11.85" customHeight="1">
      <c r="A1525" s="2070"/>
      <c r="B1525" s="2070"/>
      <c r="C1525" s="2093"/>
      <c r="D1525" s="2094"/>
      <c r="E1525" s="2093"/>
      <c r="F1525" s="2093"/>
      <c r="G1525" s="2244"/>
      <c r="H1525" s="2244"/>
      <c r="I1525" s="2357"/>
    </row>
    <row r="1526" spans="1:9" s="2352" customFormat="1" ht="11.85" customHeight="1">
      <c r="A1526" s="2070"/>
      <c r="B1526" s="2070"/>
      <c r="C1526" s="2093"/>
      <c r="D1526" s="2094"/>
      <c r="E1526" s="2093"/>
      <c r="F1526" s="2093"/>
      <c r="G1526" s="2244"/>
      <c r="H1526" s="2244"/>
      <c r="I1526" s="2357"/>
    </row>
    <row r="1527" spans="1:9" s="2352" customFormat="1" ht="11.85" customHeight="1">
      <c r="A1527" s="2070"/>
      <c r="B1527" s="2070"/>
      <c r="C1527" s="2093"/>
      <c r="D1527" s="2094"/>
      <c r="E1527" s="2093"/>
      <c r="F1527" s="2093"/>
      <c r="G1527" s="2244"/>
      <c r="H1527" s="2244"/>
      <c r="I1527" s="2357"/>
    </row>
    <row r="1528" spans="1:9" s="2352" customFormat="1" ht="11.85" customHeight="1">
      <c r="A1528" s="2070"/>
      <c r="B1528" s="2070"/>
      <c r="C1528" s="2093"/>
      <c r="D1528" s="2094"/>
      <c r="E1528" s="2093"/>
      <c r="F1528" s="2093"/>
      <c r="G1528" s="2244"/>
      <c r="H1528" s="2244"/>
      <c r="I1528" s="2357"/>
    </row>
    <row r="1529" spans="1:9" s="2352" customFormat="1" ht="11.85" customHeight="1">
      <c r="A1529" s="2070"/>
      <c r="B1529" s="2070"/>
      <c r="C1529" s="2093"/>
      <c r="D1529" s="2094"/>
      <c r="E1529" s="2093"/>
      <c r="F1529" s="2093"/>
      <c r="G1529" s="2244"/>
      <c r="H1529" s="2244"/>
      <c r="I1529" s="2357"/>
    </row>
    <row r="1530" spans="1:9" s="2352" customFormat="1" ht="11.85" customHeight="1">
      <c r="A1530" s="2070"/>
      <c r="B1530" s="2070"/>
      <c r="C1530" s="2093"/>
      <c r="D1530" s="2094"/>
      <c r="E1530" s="2093"/>
      <c r="F1530" s="2093"/>
      <c r="G1530" s="2244"/>
      <c r="H1530" s="2244"/>
      <c r="I1530" s="2357"/>
    </row>
    <row r="1531" spans="1:9" s="2352" customFormat="1" ht="11.85" customHeight="1">
      <c r="A1531" s="2070"/>
      <c r="B1531" s="2070"/>
      <c r="C1531" s="2093"/>
      <c r="D1531" s="2094"/>
      <c r="E1531" s="2093"/>
      <c r="F1531" s="2093"/>
      <c r="G1531" s="2244"/>
      <c r="H1531" s="2244"/>
      <c r="I1531" s="2357"/>
    </row>
    <row r="1532" spans="1:9" s="2352" customFormat="1" ht="11.85" customHeight="1">
      <c r="A1532" s="2070"/>
      <c r="B1532" s="2070"/>
      <c r="C1532" s="2093"/>
      <c r="D1532" s="2094"/>
      <c r="E1532" s="2093"/>
      <c r="F1532" s="2093"/>
      <c r="G1532" s="2244"/>
      <c r="H1532" s="2244"/>
      <c r="I1532" s="2357"/>
    </row>
    <row r="1533" spans="1:9" s="2352" customFormat="1" ht="11.85" customHeight="1">
      <c r="A1533" s="2070"/>
      <c r="B1533" s="2070"/>
      <c r="C1533" s="2093"/>
      <c r="D1533" s="2094"/>
      <c r="E1533" s="2093"/>
      <c r="F1533" s="2093"/>
      <c r="G1533" s="2244"/>
      <c r="H1533" s="2244"/>
      <c r="I1533" s="2357"/>
    </row>
    <row r="1534" spans="1:9" s="2352" customFormat="1" ht="11.85" customHeight="1">
      <c r="A1534" s="2070"/>
      <c r="B1534" s="2070"/>
      <c r="C1534" s="2093"/>
      <c r="D1534" s="2094"/>
      <c r="E1534" s="2093"/>
      <c r="F1534" s="2093"/>
      <c r="G1534" s="2244"/>
      <c r="H1534" s="2244"/>
      <c r="I1534" s="2357"/>
    </row>
    <row r="1535" spans="1:9" s="2352" customFormat="1" ht="11.85" customHeight="1">
      <c r="A1535" s="2070"/>
      <c r="B1535" s="2070"/>
      <c r="C1535" s="2093"/>
      <c r="D1535" s="2094"/>
      <c r="E1535" s="2093"/>
      <c r="F1535" s="2093"/>
      <c r="G1535" s="2244"/>
      <c r="H1535" s="2244"/>
      <c r="I1535" s="2357"/>
    </row>
    <row r="1536" spans="1:9" s="2352" customFormat="1" ht="11.85" customHeight="1">
      <c r="A1536" s="2070"/>
      <c r="B1536" s="2070"/>
      <c r="C1536" s="2093"/>
      <c r="D1536" s="2094"/>
      <c r="E1536" s="2093"/>
      <c r="F1536" s="2093"/>
      <c r="G1536" s="2244"/>
      <c r="H1536" s="2244"/>
      <c r="I1536" s="2357"/>
    </row>
    <row r="1537" spans="1:9" s="2352" customFormat="1" ht="11.85" customHeight="1">
      <c r="A1537" s="2070"/>
      <c r="B1537" s="2070"/>
      <c r="C1537" s="2093"/>
      <c r="D1537" s="2094"/>
      <c r="E1537" s="2093"/>
      <c r="F1537" s="2093"/>
      <c r="G1537" s="2244"/>
      <c r="H1537" s="2244"/>
      <c r="I1537" s="2357"/>
    </row>
    <row r="1538" spans="1:9" s="2352" customFormat="1" ht="11.85" customHeight="1">
      <c r="A1538" s="2070"/>
      <c r="B1538" s="2070"/>
      <c r="C1538" s="2093"/>
      <c r="D1538" s="2094"/>
      <c r="E1538" s="2093"/>
      <c r="F1538" s="2093"/>
      <c r="G1538" s="2244"/>
      <c r="H1538" s="2244"/>
      <c r="I1538" s="2357"/>
    </row>
    <row r="1539" spans="1:9" s="2352" customFormat="1" ht="11.85" customHeight="1">
      <c r="A1539" s="2070"/>
      <c r="B1539" s="2070"/>
      <c r="C1539" s="2093"/>
      <c r="D1539" s="2094"/>
      <c r="E1539" s="2093"/>
      <c r="F1539" s="2093"/>
      <c r="G1539" s="2244"/>
      <c r="H1539" s="2244"/>
      <c r="I1539" s="2357"/>
    </row>
    <row r="1540" spans="1:9" s="2352" customFormat="1" ht="11.85" customHeight="1">
      <c r="A1540" s="2070"/>
      <c r="B1540" s="2070"/>
      <c r="C1540" s="2093"/>
      <c r="D1540" s="2094"/>
      <c r="E1540" s="2093"/>
      <c r="F1540" s="2093"/>
      <c r="G1540" s="2244"/>
      <c r="H1540" s="2244"/>
      <c r="I1540" s="2357"/>
    </row>
    <row r="1541" spans="1:9" s="2352" customFormat="1" ht="11.85" customHeight="1">
      <c r="A1541" s="2070"/>
      <c r="B1541" s="2070"/>
      <c r="C1541" s="2093"/>
      <c r="D1541" s="2094"/>
      <c r="E1541" s="2093"/>
      <c r="F1541" s="2093"/>
      <c r="G1541" s="2244"/>
      <c r="H1541" s="2244"/>
      <c r="I1541" s="2357"/>
    </row>
    <row r="1542" spans="1:9" s="2352" customFormat="1" ht="11.85" customHeight="1">
      <c r="A1542" s="2070"/>
      <c r="B1542" s="2070"/>
      <c r="C1542" s="2093"/>
      <c r="D1542" s="2094"/>
      <c r="E1542" s="2093"/>
      <c r="F1542" s="2093"/>
      <c r="G1542" s="2244"/>
      <c r="H1542" s="2244"/>
      <c r="I1542" s="2357"/>
    </row>
    <row r="1543" spans="1:9" s="2352" customFormat="1" ht="11.85" customHeight="1">
      <c r="A1543" s="2070"/>
      <c r="B1543" s="2070"/>
      <c r="C1543" s="2093"/>
      <c r="D1543" s="2094"/>
      <c r="E1543" s="2093"/>
      <c r="F1543" s="2093"/>
      <c r="G1543" s="2244"/>
      <c r="H1543" s="2244"/>
      <c r="I1543" s="2357"/>
    </row>
    <row r="1544" spans="1:9" s="2352" customFormat="1" ht="11.85" customHeight="1">
      <c r="A1544" s="2070"/>
      <c r="B1544" s="2070"/>
      <c r="C1544" s="2093"/>
      <c r="D1544" s="2094"/>
      <c r="E1544" s="2093"/>
      <c r="F1544" s="2093"/>
      <c r="G1544" s="2244"/>
      <c r="H1544" s="2244"/>
      <c r="I1544" s="2357"/>
    </row>
    <row r="1545" spans="1:9" s="2352" customFormat="1" ht="11.85" customHeight="1">
      <c r="A1545" s="2070"/>
      <c r="B1545" s="2070"/>
      <c r="C1545" s="2093"/>
      <c r="D1545" s="2094"/>
      <c r="E1545" s="2093"/>
      <c r="F1545" s="2093"/>
      <c r="G1545" s="2244"/>
      <c r="H1545" s="2244"/>
      <c r="I1545" s="2357"/>
    </row>
    <row r="1546" spans="1:9" s="2352" customFormat="1" ht="11.85" customHeight="1">
      <c r="A1546" s="2070"/>
      <c r="B1546" s="2070"/>
      <c r="C1546" s="2093"/>
      <c r="D1546" s="2094"/>
      <c r="E1546" s="2093"/>
      <c r="F1546" s="2093"/>
      <c r="G1546" s="2244"/>
      <c r="H1546" s="2244"/>
      <c r="I1546" s="2357"/>
    </row>
    <row r="1547" spans="1:9" s="2352" customFormat="1" ht="11.85" customHeight="1">
      <c r="A1547" s="2070"/>
      <c r="B1547" s="2070"/>
      <c r="C1547" s="2093"/>
      <c r="D1547" s="2094"/>
      <c r="E1547" s="2093"/>
      <c r="F1547" s="2093"/>
      <c r="G1547" s="2244"/>
      <c r="H1547" s="2244"/>
      <c r="I1547" s="2357"/>
    </row>
    <row r="1548" spans="1:9" s="2352" customFormat="1" ht="11.85" customHeight="1">
      <c r="A1548" s="2070"/>
      <c r="B1548" s="2070"/>
      <c r="C1548" s="2093"/>
      <c r="D1548" s="2094"/>
      <c r="E1548" s="2093"/>
      <c r="F1548" s="2093"/>
      <c r="G1548" s="2244"/>
      <c r="H1548" s="2244"/>
      <c r="I1548" s="2357"/>
    </row>
    <row r="1549" spans="1:9" s="2352" customFormat="1" ht="11.85" customHeight="1">
      <c r="A1549" s="2070"/>
      <c r="B1549" s="2070"/>
      <c r="C1549" s="2093"/>
      <c r="D1549" s="2094"/>
      <c r="E1549" s="2093"/>
      <c r="F1549" s="2093"/>
      <c r="G1549" s="2244"/>
      <c r="H1549" s="2244"/>
      <c r="I1549" s="2357"/>
    </row>
    <row r="1550" spans="1:9" s="2352" customFormat="1" ht="11.85" customHeight="1">
      <c r="A1550" s="2070"/>
      <c r="B1550" s="2070"/>
      <c r="C1550" s="2093"/>
      <c r="D1550" s="2094"/>
      <c r="E1550" s="2093"/>
      <c r="F1550" s="2093"/>
      <c r="G1550" s="2244"/>
      <c r="H1550" s="2244"/>
      <c r="I1550" s="2357"/>
    </row>
    <row r="1551" spans="1:9" s="2352" customFormat="1" ht="11.85" customHeight="1">
      <c r="A1551" s="2070"/>
      <c r="B1551" s="2070"/>
      <c r="C1551" s="2093"/>
      <c r="D1551" s="2094"/>
      <c r="E1551" s="2093"/>
      <c r="F1551" s="2093"/>
      <c r="G1551" s="2244"/>
      <c r="H1551" s="2244"/>
      <c r="I1551" s="2357"/>
    </row>
    <row r="1552" spans="1:9" s="2352" customFormat="1" ht="11.85" customHeight="1">
      <c r="A1552" s="2070"/>
      <c r="B1552" s="2070"/>
      <c r="C1552" s="2093"/>
      <c r="D1552" s="2094"/>
      <c r="E1552" s="2093"/>
      <c r="F1552" s="2093"/>
      <c r="G1552" s="2244"/>
      <c r="H1552" s="2244"/>
      <c r="I1552" s="2357"/>
    </row>
    <row r="1553" spans="1:9" s="2352" customFormat="1" ht="11.85" customHeight="1">
      <c r="A1553" s="2070"/>
      <c r="B1553" s="2070"/>
      <c r="C1553" s="2093"/>
      <c r="D1553" s="2094"/>
      <c r="E1553" s="2093"/>
      <c r="F1553" s="2093"/>
      <c r="G1553" s="2244"/>
      <c r="H1553" s="2244"/>
      <c r="I1553" s="2357"/>
    </row>
    <row r="1554" spans="1:9" s="2352" customFormat="1" ht="11.85" customHeight="1">
      <c r="A1554" s="2070"/>
      <c r="B1554" s="2070"/>
      <c r="C1554" s="2093"/>
      <c r="D1554" s="2094"/>
      <c r="E1554" s="2093"/>
      <c r="F1554" s="2093"/>
      <c r="G1554" s="2244"/>
      <c r="H1554" s="2244"/>
      <c r="I1554" s="2357"/>
    </row>
    <row r="1555" spans="1:9" s="2352" customFormat="1" ht="11.85" customHeight="1">
      <c r="A1555" s="2070"/>
      <c r="B1555" s="2070"/>
      <c r="C1555" s="2093"/>
      <c r="D1555" s="2094"/>
      <c r="E1555" s="2093"/>
      <c r="F1555" s="2093"/>
      <c r="G1555" s="2244"/>
      <c r="H1555" s="2244"/>
      <c r="I1555" s="2357"/>
    </row>
    <row r="1556" spans="1:9" s="2352" customFormat="1" ht="11.85" customHeight="1">
      <c r="A1556" s="2070"/>
      <c r="B1556" s="2070"/>
      <c r="C1556" s="2093"/>
      <c r="D1556" s="2094"/>
      <c r="E1556" s="2093"/>
      <c r="F1556" s="2093"/>
      <c r="G1556" s="2244"/>
      <c r="H1556" s="2244"/>
      <c r="I1556" s="2357"/>
    </row>
    <row r="1557" spans="1:9" s="2352" customFormat="1" ht="11.85" customHeight="1">
      <c r="A1557" s="2070"/>
      <c r="B1557" s="2070"/>
      <c r="C1557" s="2093"/>
      <c r="D1557" s="2094"/>
      <c r="E1557" s="2093"/>
      <c r="F1557" s="2093"/>
      <c r="G1557" s="2244"/>
      <c r="H1557" s="2244"/>
      <c r="I1557" s="2357"/>
    </row>
    <row r="1558" spans="1:9" s="2352" customFormat="1" ht="11.85" customHeight="1">
      <c r="A1558" s="2070"/>
      <c r="B1558" s="2070"/>
      <c r="C1558" s="2093"/>
      <c r="D1558" s="2094"/>
      <c r="E1558" s="2093"/>
      <c r="F1558" s="2093"/>
      <c r="G1558" s="2244"/>
      <c r="H1558" s="2244"/>
      <c r="I1558" s="2357"/>
    </row>
    <row r="1559" spans="1:9" s="2352" customFormat="1" ht="11.85" customHeight="1">
      <c r="A1559" s="2070"/>
      <c r="B1559" s="2070"/>
      <c r="C1559" s="2093"/>
      <c r="D1559" s="2094"/>
      <c r="E1559" s="2093"/>
      <c r="F1559" s="2093"/>
      <c r="G1559" s="2244"/>
      <c r="H1559" s="2244"/>
      <c r="I1559" s="2357"/>
    </row>
    <row r="1560" spans="1:9" s="2352" customFormat="1" ht="11.85" customHeight="1">
      <c r="A1560" s="2070"/>
      <c r="B1560" s="2070"/>
      <c r="C1560" s="2093"/>
      <c r="D1560" s="2094"/>
      <c r="E1560" s="2093"/>
      <c r="F1560" s="2093"/>
      <c r="G1560" s="2244"/>
      <c r="H1560" s="2244"/>
      <c r="I1560" s="2357"/>
    </row>
    <row r="1561" spans="1:9" s="2352" customFormat="1" ht="11.85" customHeight="1">
      <c r="A1561" s="2070"/>
      <c r="B1561" s="2070"/>
      <c r="C1561" s="2093"/>
      <c r="D1561" s="2094"/>
      <c r="E1561" s="2093"/>
      <c r="F1561" s="2093"/>
      <c r="G1561" s="2244"/>
      <c r="H1561" s="2244"/>
      <c r="I1561" s="2357"/>
    </row>
    <row r="1562" spans="1:9" s="2352" customFormat="1" ht="11.85" customHeight="1">
      <c r="A1562" s="2070"/>
      <c r="B1562" s="2070"/>
      <c r="C1562" s="2093"/>
      <c r="D1562" s="2094"/>
      <c r="E1562" s="2093"/>
      <c r="F1562" s="2093"/>
      <c r="G1562" s="2244"/>
      <c r="H1562" s="2244"/>
      <c r="I1562" s="2357"/>
    </row>
    <row r="1563" spans="1:9" s="2352" customFormat="1" ht="11.85" customHeight="1">
      <c r="A1563" s="2070"/>
      <c r="B1563" s="2070"/>
      <c r="C1563" s="2093"/>
      <c r="D1563" s="2094"/>
      <c r="E1563" s="2093"/>
      <c r="F1563" s="2093"/>
      <c r="G1563" s="2244"/>
      <c r="H1563" s="2244"/>
      <c r="I1563" s="2357"/>
    </row>
    <row r="1564" spans="1:9" s="2352" customFormat="1" ht="11.85" customHeight="1">
      <c r="A1564" s="2070"/>
      <c r="B1564" s="2070"/>
      <c r="C1564" s="2093"/>
      <c r="D1564" s="2094"/>
      <c r="E1564" s="2093"/>
      <c r="F1564" s="2093"/>
      <c r="G1564" s="2244"/>
      <c r="H1564" s="2244"/>
      <c r="I1564" s="2357"/>
    </row>
    <row r="1565" spans="1:9" s="2352" customFormat="1" ht="11.85" customHeight="1">
      <c r="A1565" s="2070"/>
      <c r="B1565" s="2070"/>
      <c r="C1565" s="2093"/>
      <c r="D1565" s="2094"/>
      <c r="E1565" s="2093"/>
      <c r="F1565" s="2093"/>
      <c r="G1565" s="2244"/>
      <c r="H1565" s="2244"/>
      <c r="I1565" s="2357"/>
    </row>
    <row r="1566" spans="1:9" s="2352" customFormat="1" ht="11.85" customHeight="1">
      <c r="A1566" s="2070"/>
      <c r="B1566" s="2070"/>
      <c r="C1566" s="2093"/>
      <c r="D1566" s="2094"/>
      <c r="E1566" s="2093"/>
      <c r="F1566" s="2093"/>
      <c r="G1566" s="2244"/>
      <c r="H1566" s="2244"/>
      <c r="I1566" s="2357"/>
    </row>
    <row r="1567" spans="1:9" s="2352" customFormat="1" ht="11.85" customHeight="1">
      <c r="A1567" s="2070"/>
      <c r="B1567" s="2070"/>
      <c r="C1567" s="2093"/>
      <c r="D1567" s="2094"/>
      <c r="E1567" s="2093"/>
      <c r="F1567" s="2093"/>
      <c r="G1567" s="2244"/>
      <c r="H1567" s="2244"/>
      <c r="I1567" s="2357"/>
    </row>
    <row r="1568" spans="1:9" s="2352" customFormat="1" ht="11.85" customHeight="1">
      <c r="A1568" s="2070"/>
      <c r="B1568" s="2070"/>
      <c r="C1568" s="2093"/>
      <c r="D1568" s="2094"/>
      <c r="E1568" s="2093"/>
      <c r="F1568" s="2093"/>
      <c r="G1568" s="2244"/>
      <c r="H1568" s="2244"/>
      <c r="I1568" s="2357"/>
    </row>
    <row r="1569" spans="1:9" s="2352" customFormat="1" ht="11.85" customHeight="1">
      <c r="A1569" s="2070"/>
      <c r="B1569" s="2070"/>
      <c r="C1569" s="2093"/>
      <c r="D1569" s="2094"/>
      <c r="E1569" s="2093"/>
      <c r="F1569" s="2093"/>
      <c r="G1569" s="2244"/>
      <c r="H1569" s="2244"/>
      <c r="I1569" s="2357"/>
    </row>
    <row r="1570" spans="1:9" s="2352" customFormat="1" ht="11.85" customHeight="1">
      <c r="A1570" s="2070"/>
      <c r="B1570" s="2070"/>
      <c r="C1570" s="2093"/>
      <c r="D1570" s="2094"/>
      <c r="E1570" s="2093"/>
      <c r="F1570" s="2093"/>
      <c r="G1570" s="2244"/>
      <c r="H1570" s="2244"/>
      <c r="I1570" s="2357"/>
    </row>
    <row r="1571" spans="1:9" s="2352" customFormat="1" ht="11.85" customHeight="1">
      <c r="A1571" s="2070"/>
      <c r="B1571" s="2070"/>
      <c r="C1571" s="2093"/>
      <c r="D1571" s="2094"/>
      <c r="E1571" s="2093"/>
      <c r="F1571" s="2093"/>
      <c r="G1571" s="2244"/>
      <c r="H1571" s="2244"/>
      <c r="I1571" s="2357"/>
    </row>
    <row r="1572" spans="1:9" s="2352" customFormat="1" ht="11.85" customHeight="1">
      <c r="A1572" s="2070"/>
      <c r="B1572" s="2070"/>
      <c r="C1572" s="2093"/>
      <c r="D1572" s="2094"/>
      <c r="E1572" s="2093"/>
      <c r="F1572" s="2093"/>
      <c r="G1572" s="2244"/>
      <c r="H1572" s="2244"/>
      <c r="I1572" s="2357"/>
    </row>
    <row r="1573" spans="1:9" s="2352" customFormat="1" ht="11.85" customHeight="1">
      <c r="A1573" s="2070"/>
      <c r="B1573" s="2070"/>
      <c r="C1573" s="2093"/>
      <c r="D1573" s="2094"/>
      <c r="E1573" s="2093"/>
      <c r="F1573" s="2093"/>
      <c r="G1573" s="2244"/>
      <c r="H1573" s="2244"/>
      <c r="I1573" s="2357"/>
    </row>
    <row r="1574" spans="1:9" s="2352" customFormat="1" ht="11.85" customHeight="1">
      <c r="A1574" s="2070"/>
      <c r="B1574" s="2070"/>
      <c r="C1574" s="2093"/>
      <c r="D1574" s="2094"/>
      <c r="E1574" s="2093"/>
      <c r="F1574" s="2093"/>
      <c r="G1574" s="2244"/>
      <c r="H1574" s="2244"/>
      <c r="I1574" s="2357"/>
    </row>
    <row r="1575" spans="1:9" s="2352" customFormat="1" ht="11.85" customHeight="1">
      <c r="A1575" s="2070"/>
      <c r="B1575" s="2070"/>
      <c r="C1575" s="2093"/>
      <c r="D1575" s="2094"/>
      <c r="E1575" s="2093"/>
      <c r="F1575" s="2093"/>
      <c r="G1575" s="2244"/>
      <c r="H1575" s="2244"/>
      <c r="I1575" s="2357"/>
    </row>
    <row r="1576" spans="1:9" s="2352" customFormat="1" ht="11.85" customHeight="1">
      <c r="A1576" s="2070"/>
      <c r="B1576" s="2070"/>
      <c r="C1576" s="2093"/>
      <c r="D1576" s="2094"/>
      <c r="E1576" s="2093"/>
      <c r="F1576" s="2093"/>
      <c r="G1576" s="2244"/>
      <c r="H1576" s="2244"/>
      <c r="I1576" s="2357"/>
    </row>
    <row r="1577" spans="1:9" s="2352" customFormat="1" ht="11.85" customHeight="1">
      <c r="A1577" s="2070"/>
      <c r="B1577" s="2070"/>
      <c r="C1577" s="2093"/>
      <c r="D1577" s="2094"/>
      <c r="E1577" s="2093"/>
      <c r="F1577" s="2093"/>
      <c r="G1577" s="2244"/>
      <c r="H1577" s="2244"/>
      <c r="I1577" s="2357"/>
    </row>
    <row r="1578" spans="1:9" s="2352" customFormat="1" ht="11.85" customHeight="1">
      <c r="A1578" s="2070"/>
      <c r="B1578" s="2070"/>
      <c r="C1578" s="2093"/>
      <c r="D1578" s="2094"/>
      <c r="E1578" s="2093"/>
      <c r="F1578" s="2093"/>
      <c r="G1578" s="2244"/>
      <c r="H1578" s="2244"/>
      <c r="I1578" s="2357"/>
    </row>
    <row r="1579" spans="1:9" s="2352" customFormat="1" ht="11.85" customHeight="1">
      <c r="A1579" s="2070"/>
      <c r="B1579" s="2070"/>
      <c r="C1579" s="2093"/>
      <c r="D1579" s="2094"/>
      <c r="E1579" s="2093"/>
      <c r="F1579" s="2093"/>
      <c r="G1579" s="2244"/>
      <c r="H1579" s="2244"/>
      <c r="I1579" s="2357"/>
    </row>
    <row r="1580" spans="1:9" s="2352" customFormat="1" ht="11.85" customHeight="1">
      <c r="A1580" s="2070"/>
      <c r="B1580" s="2070"/>
      <c r="C1580" s="2093"/>
      <c r="D1580" s="2094"/>
      <c r="E1580" s="2093"/>
      <c r="F1580" s="2093"/>
      <c r="G1580" s="2244"/>
      <c r="H1580" s="2244"/>
      <c r="I1580" s="2357"/>
    </row>
    <row r="1581" spans="1:9" s="2352" customFormat="1" ht="11.85" customHeight="1">
      <c r="A1581" s="2070"/>
      <c r="B1581" s="2070"/>
      <c r="C1581" s="2093"/>
      <c r="D1581" s="2094"/>
      <c r="E1581" s="2093"/>
      <c r="F1581" s="2093"/>
      <c r="G1581" s="2244"/>
      <c r="H1581" s="2244"/>
      <c r="I1581" s="2357"/>
    </row>
    <row r="1582" spans="1:9" s="2352" customFormat="1" ht="11.85" customHeight="1">
      <c r="A1582" s="2070"/>
      <c r="B1582" s="2070"/>
      <c r="C1582" s="2093"/>
      <c r="D1582" s="2094"/>
      <c r="E1582" s="2093"/>
      <c r="F1582" s="2093"/>
      <c r="G1582" s="2244"/>
      <c r="H1582" s="2244"/>
      <c r="I1582" s="2357"/>
    </row>
    <row r="1583" spans="1:9" s="2352" customFormat="1" ht="11.85" customHeight="1">
      <c r="A1583" s="2070"/>
      <c r="B1583" s="2070"/>
      <c r="C1583" s="2093"/>
      <c r="D1583" s="2094"/>
      <c r="E1583" s="2093"/>
      <c r="F1583" s="2093"/>
      <c r="G1583" s="2244"/>
      <c r="H1583" s="2244"/>
      <c r="I1583" s="2357"/>
    </row>
    <row r="1584" spans="1:9" s="2352" customFormat="1" ht="11.85" customHeight="1">
      <c r="A1584" s="2070"/>
      <c r="B1584" s="2070"/>
      <c r="C1584" s="2093"/>
      <c r="D1584" s="2094"/>
      <c r="E1584" s="2093"/>
      <c r="F1584" s="2093"/>
      <c r="G1584" s="2244"/>
      <c r="H1584" s="2244"/>
      <c r="I1584" s="2357"/>
    </row>
    <row r="1585" spans="1:9" s="2352" customFormat="1" ht="11.85" customHeight="1">
      <c r="A1585" s="2070"/>
      <c r="B1585" s="2070"/>
      <c r="C1585" s="2093"/>
      <c r="D1585" s="2094"/>
      <c r="E1585" s="2093"/>
      <c r="F1585" s="2093"/>
      <c r="G1585" s="2244"/>
      <c r="H1585" s="2244"/>
      <c r="I1585" s="2357"/>
    </row>
    <row r="1586" spans="1:9" s="2352" customFormat="1" ht="11.85" customHeight="1">
      <c r="A1586" s="2070"/>
      <c r="B1586" s="2070"/>
      <c r="C1586" s="2093"/>
      <c r="D1586" s="2094"/>
      <c r="E1586" s="2093"/>
      <c r="F1586" s="2093"/>
      <c r="G1586" s="2244"/>
      <c r="H1586" s="2244"/>
      <c r="I1586" s="2357"/>
    </row>
    <row r="1587" spans="1:9" s="2352" customFormat="1" ht="11.85" customHeight="1">
      <c r="A1587" s="2070"/>
      <c r="B1587" s="2070"/>
      <c r="C1587" s="2093"/>
      <c r="D1587" s="2094"/>
      <c r="E1587" s="2093"/>
      <c r="F1587" s="2093"/>
      <c r="G1587" s="2244"/>
      <c r="H1587" s="2244"/>
      <c r="I1587" s="2357"/>
    </row>
    <row r="1588" spans="1:9" s="2352" customFormat="1" ht="11.85" customHeight="1">
      <c r="A1588" s="2070"/>
      <c r="B1588" s="2070"/>
      <c r="C1588" s="2093"/>
      <c r="D1588" s="2094"/>
      <c r="E1588" s="2093"/>
      <c r="F1588" s="2093"/>
      <c r="G1588" s="2244"/>
      <c r="H1588" s="2244"/>
      <c r="I1588" s="2357"/>
    </row>
    <row r="1589" spans="1:9" s="2352" customFormat="1" ht="11.85" customHeight="1">
      <c r="A1589" s="2070"/>
      <c r="B1589" s="2070"/>
      <c r="C1589" s="2093"/>
      <c r="D1589" s="2094"/>
      <c r="E1589" s="2093"/>
      <c r="F1589" s="2093"/>
      <c r="G1589" s="2244"/>
      <c r="H1589" s="2244"/>
      <c r="I1589" s="2357"/>
    </row>
    <row r="1590" spans="1:9" s="2352" customFormat="1" ht="11.85" customHeight="1">
      <c r="A1590" s="2070"/>
      <c r="B1590" s="2070"/>
      <c r="C1590" s="2093"/>
      <c r="D1590" s="2094"/>
      <c r="E1590" s="2093"/>
      <c r="F1590" s="2093"/>
      <c r="G1590" s="2244"/>
      <c r="H1590" s="2244"/>
      <c r="I1590" s="2357"/>
    </row>
    <row r="1591" spans="1:9" s="2352" customFormat="1" ht="11.85" customHeight="1">
      <c r="A1591" s="2070"/>
      <c r="B1591" s="2070"/>
      <c r="C1591" s="2093"/>
      <c r="D1591" s="2094"/>
      <c r="E1591" s="2093"/>
      <c r="F1591" s="2093"/>
      <c r="G1591" s="2244"/>
      <c r="H1591" s="2244"/>
      <c r="I1591" s="2357"/>
    </row>
    <row r="1592" spans="1:9" s="2352" customFormat="1" ht="11.85" customHeight="1">
      <c r="A1592" s="2070"/>
      <c r="B1592" s="2070"/>
      <c r="C1592" s="2093"/>
      <c r="D1592" s="2094"/>
      <c r="E1592" s="2093"/>
      <c r="F1592" s="2093"/>
      <c r="G1592" s="2244"/>
      <c r="H1592" s="2244"/>
      <c r="I1592" s="2357"/>
    </row>
    <row r="1593" spans="1:9" s="2352" customFormat="1" ht="11.85" customHeight="1">
      <c r="A1593" s="2070"/>
      <c r="B1593" s="2070"/>
      <c r="C1593" s="2093"/>
      <c r="D1593" s="2094"/>
      <c r="E1593" s="2093"/>
      <c r="F1593" s="2093"/>
      <c r="G1593" s="2244"/>
      <c r="H1593" s="2244"/>
      <c r="I1593" s="2357"/>
    </row>
    <row r="1594" spans="1:9" s="2352" customFormat="1" ht="11.85" customHeight="1">
      <c r="A1594" s="2070"/>
      <c r="B1594" s="2070"/>
      <c r="C1594" s="2093"/>
      <c r="D1594" s="2094"/>
      <c r="E1594" s="2093"/>
      <c r="F1594" s="2093"/>
      <c r="G1594" s="2244"/>
      <c r="H1594" s="2244"/>
      <c r="I1594" s="2357"/>
    </row>
    <row r="1595" spans="1:9" s="2352" customFormat="1" ht="11.85" customHeight="1">
      <c r="A1595" s="2070"/>
      <c r="B1595" s="2070"/>
      <c r="C1595" s="2093"/>
      <c r="D1595" s="2094"/>
      <c r="E1595" s="2093"/>
      <c r="F1595" s="2093"/>
      <c r="G1595" s="2244"/>
      <c r="H1595" s="2244"/>
      <c r="I1595" s="2357"/>
    </row>
    <row r="1596" spans="1:9" s="2352" customFormat="1" ht="11.85" customHeight="1">
      <c r="A1596" s="2070"/>
      <c r="B1596" s="2070"/>
      <c r="C1596" s="2093"/>
      <c r="D1596" s="2094"/>
      <c r="E1596" s="2093"/>
      <c r="F1596" s="2093"/>
      <c r="G1596" s="2244"/>
      <c r="H1596" s="2244"/>
      <c r="I1596" s="2357"/>
    </row>
    <row r="1597" spans="1:9" s="2352" customFormat="1" ht="11.85" customHeight="1">
      <c r="A1597" s="2070"/>
      <c r="B1597" s="2070"/>
      <c r="C1597" s="2093"/>
      <c r="D1597" s="2094"/>
      <c r="E1597" s="2093"/>
      <c r="F1597" s="2093"/>
      <c r="G1597" s="2244"/>
      <c r="H1597" s="2244"/>
      <c r="I1597" s="2357"/>
    </row>
    <row r="1598" spans="1:9" s="2352" customFormat="1" ht="11.85" customHeight="1">
      <c r="A1598" s="2070"/>
      <c r="B1598" s="2070"/>
      <c r="C1598" s="2093"/>
      <c r="D1598" s="2094"/>
      <c r="E1598" s="2093"/>
      <c r="F1598" s="2093"/>
      <c r="G1598" s="2244"/>
      <c r="H1598" s="2244"/>
      <c r="I1598" s="2357"/>
    </row>
    <row r="1599" spans="1:9" s="2352" customFormat="1" ht="11.85" customHeight="1">
      <c r="A1599" s="2070"/>
      <c r="B1599" s="2070"/>
      <c r="C1599" s="2093"/>
      <c r="D1599" s="2094"/>
      <c r="E1599" s="2093"/>
      <c r="F1599" s="2093"/>
      <c r="G1599" s="2244"/>
      <c r="H1599" s="2244"/>
      <c r="I1599" s="2357"/>
    </row>
    <row r="1600" spans="1:9" s="2352" customFormat="1" ht="11.85" customHeight="1">
      <c r="A1600" s="2070"/>
      <c r="B1600" s="2070"/>
      <c r="C1600" s="2093"/>
      <c r="D1600" s="2094"/>
      <c r="E1600" s="2093"/>
      <c r="F1600" s="2093"/>
      <c r="G1600" s="2244"/>
      <c r="H1600" s="2244"/>
      <c r="I1600" s="2357"/>
    </row>
    <row r="1601" spans="1:10" s="2352" customFormat="1" ht="11.85" customHeight="1">
      <c r="A1601" s="2070"/>
      <c r="B1601" s="2070"/>
      <c r="C1601" s="2093"/>
      <c r="D1601" s="2094"/>
      <c r="E1601" s="2093"/>
      <c r="F1601" s="2093"/>
      <c r="G1601" s="2244"/>
      <c r="H1601" s="2244"/>
      <c r="I1601" s="2357"/>
    </row>
    <row r="1602" spans="1:10" s="2352" customFormat="1" ht="11.85" customHeight="1">
      <c r="A1602" s="2070"/>
      <c r="B1602" s="2070"/>
      <c r="C1602" s="2093"/>
      <c r="D1602" s="2094"/>
      <c r="E1602" s="2093"/>
      <c r="F1602" s="2093"/>
      <c r="G1602" s="2244"/>
      <c r="H1602" s="2244"/>
      <c r="I1602" s="2357"/>
    </row>
    <row r="1603" spans="1:10" s="2352" customFormat="1" ht="11.85" customHeight="1">
      <c r="A1603" s="2070"/>
      <c r="B1603" s="2070"/>
      <c r="C1603" s="2093"/>
      <c r="D1603" s="2094"/>
      <c r="E1603" s="2093"/>
      <c r="F1603" s="2093"/>
      <c r="G1603" s="2244"/>
      <c r="H1603" s="2244"/>
      <c r="I1603" s="2244"/>
      <c r="J1603" s="2357"/>
    </row>
    <row r="1604" spans="1:10" s="2352" customFormat="1" ht="11.85" customHeight="1">
      <c r="A1604" s="2070"/>
      <c r="B1604" s="2070"/>
      <c r="C1604" s="2093"/>
      <c r="D1604" s="2094"/>
      <c r="E1604" s="2093"/>
      <c r="F1604" s="2093"/>
      <c r="G1604" s="2244"/>
      <c r="H1604" s="2244"/>
      <c r="I1604" s="2357"/>
    </row>
    <row r="1605" spans="1:10" s="2352" customFormat="1" ht="11.85" customHeight="1">
      <c r="A1605" s="2070"/>
      <c r="B1605" s="2070"/>
      <c r="C1605" s="2093"/>
      <c r="D1605" s="2094"/>
      <c r="E1605" s="2093"/>
      <c r="F1605" s="2093"/>
      <c r="G1605" s="2244"/>
      <c r="H1605" s="2244"/>
      <c r="I1605" s="2357"/>
    </row>
    <row r="1606" spans="1:10" s="2352" customFormat="1" ht="11.85" customHeight="1">
      <c r="A1606" s="2070"/>
      <c r="B1606" s="5220"/>
      <c r="C1606" s="5220"/>
      <c r="D1606" s="5220"/>
      <c r="E1606" s="5220"/>
      <c r="F1606" s="5220"/>
      <c r="G1606" s="2244"/>
      <c r="H1606" s="2244"/>
      <c r="I1606" s="2357"/>
    </row>
    <row r="1607" spans="1:10" s="2352" customFormat="1" ht="11.85" customHeight="1" thickBot="1">
      <c r="A1607" s="2070"/>
      <c r="B1607" s="2505"/>
      <c r="C1607" s="2412"/>
      <c r="D1607" s="2412"/>
      <c r="E1607" s="2412"/>
      <c r="F1607" s="2412"/>
      <c r="G1607" s="2244"/>
      <c r="H1607" s="2244"/>
      <c r="I1607" s="2357"/>
    </row>
    <row r="1608" spans="1:10" s="2352" customFormat="1" ht="11.85" customHeight="1" thickTop="1">
      <c r="A1608" s="2070"/>
      <c r="B1608" s="2478"/>
      <c r="C1608" s="2479"/>
      <c r="D1608" s="2480"/>
      <c r="E1608" s="2479"/>
      <c r="F1608" s="2482"/>
      <c r="G1608" s="2244"/>
      <c r="H1608" s="2244"/>
      <c r="I1608" s="2357"/>
    </row>
    <row r="1609" spans="1:10" s="2352" customFormat="1" ht="11.85" customHeight="1">
      <c r="A1609" s="2070"/>
      <c r="B1609" s="2483"/>
      <c r="C1609" s="2484"/>
      <c r="D1609" s="2485"/>
      <c r="E1609" s="2484"/>
      <c r="F1609" s="2486"/>
      <c r="G1609" s="2244"/>
      <c r="H1609" s="2244"/>
      <c r="I1609" s="2357"/>
    </row>
    <row r="1610" spans="1:10" s="2352" customFormat="1" ht="11.85" customHeight="1" thickBot="1">
      <c r="A1610" s="2070"/>
      <c r="B1610" s="2489"/>
      <c r="C1610" s="2490"/>
      <c r="D1610" s="2490"/>
      <c r="E1610" s="2491"/>
      <c r="F1610" s="2492"/>
      <c r="G1610" s="2244"/>
      <c r="H1610" s="2244"/>
      <c r="I1610" s="2357"/>
    </row>
    <row r="1611" spans="1:10" s="2352" customFormat="1" ht="11.85" customHeight="1" thickTop="1">
      <c r="A1611" s="2070"/>
      <c r="B1611" s="2070"/>
      <c r="C1611" s="2093"/>
      <c r="D1611" s="2094"/>
      <c r="E1611" s="2093"/>
      <c r="F1611" s="2093"/>
      <c r="G1611" s="2244"/>
      <c r="H1611" s="2244"/>
      <c r="I1611" s="2357"/>
    </row>
    <row r="1612" spans="1:10" s="2352" customFormat="1" ht="11.85" customHeight="1" thickBot="1">
      <c r="A1612" s="2070"/>
      <c r="B1612" s="2476"/>
      <c r="C1612" s="2477"/>
      <c r="D1612" s="2477"/>
      <c r="E1612" s="2477"/>
      <c r="F1612" s="2477"/>
      <c r="G1612" s="2244"/>
      <c r="H1612" s="2244"/>
      <c r="I1612" s="2357"/>
    </row>
    <row r="1613" spans="1:10" s="2352" customFormat="1" ht="11.85" customHeight="1" thickTop="1">
      <c r="A1613" s="2070"/>
      <c r="B1613" s="2478"/>
      <c r="C1613" s="2479"/>
      <c r="D1613" s="2480"/>
      <c r="E1613" s="2481"/>
      <c r="F1613" s="2482"/>
      <c r="G1613" s="2244"/>
      <c r="H1613" s="2244"/>
      <c r="I1613" s="2357"/>
    </row>
    <row r="1614" spans="1:10" s="2352" customFormat="1" ht="11.85" customHeight="1">
      <c r="A1614" s="2070"/>
      <c r="B1614" s="2483"/>
      <c r="C1614" s="2484"/>
      <c r="D1614" s="2485"/>
      <c r="E1614" s="2484"/>
      <c r="F1614" s="2486"/>
      <c r="G1614" s="2244"/>
      <c r="H1614" s="2244"/>
      <c r="I1614" s="2357"/>
    </row>
    <row r="1615" spans="1:10" s="2352" customFormat="1" ht="11.85" customHeight="1">
      <c r="A1615" s="2070"/>
      <c r="B1615" s="2483"/>
      <c r="C1615" s="2484"/>
      <c r="D1615" s="2485"/>
      <c r="E1615" s="2484"/>
      <c r="F1615" s="2486"/>
      <c r="G1615" s="2244"/>
      <c r="H1615" s="2244"/>
      <c r="I1615" s="2357"/>
    </row>
    <row r="1616" spans="1:10" s="2352" customFormat="1" ht="11.85" customHeight="1">
      <c r="A1616" s="2070"/>
      <c r="B1616" s="2483"/>
      <c r="C1616" s="2484"/>
      <c r="D1616" s="2487"/>
      <c r="E1616" s="2488"/>
      <c r="F1616" s="2486"/>
      <c r="G1616" s="2244"/>
      <c r="H1616" s="2244"/>
      <c r="I1616" s="2357"/>
    </row>
    <row r="1617" spans="1:9" s="2352" customFormat="1" ht="11.85" customHeight="1" thickBot="1">
      <c r="A1617" s="2070"/>
      <c r="B1617" s="2489"/>
      <c r="C1617" s="2490"/>
      <c r="D1617" s="2490"/>
      <c r="E1617" s="2491"/>
      <c r="F1617" s="2492"/>
      <c r="G1617" s="2244"/>
      <c r="H1617" s="2244"/>
      <c r="I1617" s="2357"/>
    </row>
    <row r="1618" spans="1:9" s="2352" customFormat="1" ht="11.85" customHeight="1" thickTop="1">
      <c r="A1618" s="2070"/>
      <c r="B1618" s="2070"/>
      <c r="C1618" s="2093"/>
      <c r="D1618" s="2094"/>
      <c r="E1618" s="2093"/>
      <c r="F1618" s="2093"/>
      <c r="G1618" s="2244"/>
      <c r="H1618" s="2244"/>
      <c r="I1618" s="2357"/>
    </row>
    <row r="1619" spans="1:9" s="2352" customFormat="1" ht="11.85" customHeight="1" thickBot="1">
      <c r="A1619" s="2070"/>
      <c r="B1619" s="2476"/>
      <c r="C1619" s="2477"/>
      <c r="D1619" s="2477"/>
      <c r="E1619" s="2477"/>
      <c r="F1619" s="2477"/>
      <c r="G1619" s="2244"/>
      <c r="H1619" s="2244"/>
      <c r="I1619" s="2357"/>
    </row>
    <row r="1620" spans="1:9" s="2352" customFormat="1" ht="11.85" customHeight="1" thickTop="1">
      <c r="A1620" s="2070"/>
      <c r="B1620" s="2478"/>
      <c r="C1620" s="2479"/>
      <c r="D1620" s="2480"/>
      <c r="E1620" s="2481"/>
      <c r="F1620" s="2482"/>
      <c r="G1620" s="2244"/>
      <c r="H1620" s="2244"/>
      <c r="I1620" s="2357"/>
    </row>
    <row r="1621" spans="1:9" s="2352" customFormat="1" ht="11.85" customHeight="1">
      <c r="A1621" s="2070"/>
      <c r="B1621" s="2483"/>
      <c r="C1621" s="2484"/>
      <c r="D1621" s="2485"/>
      <c r="E1621" s="2484"/>
      <c r="F1621" s="2486"/>
      <c r="G1621" s="2244"/>
      <c r="H1621" s="2244"/>
      <c r="I1621" s="2357"/>
    </row>
    <row r="1622" spans="1:9" s="2352" customFormat="1" ht="11.85" customHeight="1">
      <c r="A1622" s="2070"/>
      <c r="B1622" s="2483"/>
      <c r="C1622" s="2484"/>
      <c r="D1622" s="2485"/>
      <c r="E1622" s="2484"/>
      <c r="F1622" s="2486"/>
      <c r="G1622" s="2244"/>
      <c r="H1622" s="2244"/>
      <c r="I1622" s="2357"/>
    </row>
    <row r="1623" spans="1:9" s="2352" customFormat="1" ht="11.85" customHeight="1">
      <c r="A1623" s="2070"/>
      <c r="B1623" s="2483"/>
      <c r="C1623" s="2484"/>
      <c r="D1623" s="2487"/>
      <c r="E1623" s="2488"/>
      <c r="F1623" s="2486"/>
      <c r="G1623" s="2244"/>
      <c r="H1623" s="2244"/>
      <c r="I1623" s="2357"/>
    </row>
    <row r="1624" spans="1:9" s="2352" customFormat="1" ht="11.85" customHeight="1" thickBot="1">
      <c r="A1624" s="2070"/>
      <c r="B1624" s="2489"/>
      <c r="C1624" s="2490"/>
      <c r="D1624" s="2490"/>
      <c r="E1624" s="2491"/>
      <c r="F1624" s="2492"/>
      <c r="G1624" s="2244"/>
      <c r="H1624" s="2244"/>
      <c r="I1624" s="2357"/>
    </row>
    <row r="1625" spans="1:9" s="2352" customFormat="1" ht="11.85" customHeight="1" thickTop="1">
      <c r="A1625" s="2070"/>
      <c r="B1625" s="2070"/>
      <c r="C1625" s="2093"/>
      <c r="D1625" s="2094"/>
      <c r="E1625" s="2093"/>
      <c r="F1625" s="2093"/>
      <c r="G1625" s="2244"/>
      <c r="H1625" s="2244"/>
      <c r="I1625" s="2357"/>
    </row>
    <row r="1626" spans="1:9" s="2352" customFormat="1" ht="11.85" customHeight="1">
      <c r="A1626" s="2070"/>
      <c r="B1626" s="2070"/>
      <c r="C1626" s="2093"/>
      <c r="D1626" s="2094"/>
      <c r="E1626" s="2093"/>
      <c r="F1626" s="2093"/>
      <c r="G1626" s="2244"/>
      <c r="H1626" s="2244"/>
      <c r="I1626" s="2357"/>
    </row>
    <row r="1627" spans="1:9" s="2352" customFormat="1" ht="11.85" customHeight="1" thickBot="1">
      <c r="A1627" s="2070"/>
      <c r="B1627" s="2476"/>
      <c r="C1627" s="2477"/>
      <c r="D1627" s="2477"/>
      <c r="E1627" s="2477"/>
      <c r="F1627" s="2477"/>
      <c r="G1627" s="2244"/>
      <c r="H1627" s="2244"/>
      <c r="I1627" s="2357"/>
    </row>
    <row r="1628" spans="1:9" s="2352" customFormat="1" ht="11.85" customHeight="1" thickTop="1">
      <c r="A1628" s="2070"/>
      <c r="B1628" s="2478"/>
      <c r="C1628" s="2479"/>
      <c r="D1628" s="2480"/>
      <c r="E1628" s="2481"/>
      <c r="F1628" s="2482"/>
      <c r="G1628" s="2244"/>
      <c r="H1628" s="2244"/>
      <c r="I1628" s="2357"/>
    </row>
    <row r="1629" spans="1:9" s="2352" customFormat="1" ht="11.85" customHeight="1">
      <c r="A1629" s="2070"/>
      <c r="B1629" s="2483"/>
      <c r="C1629" s="2484"/>
      <c r="D1629" s="2485"/>
      <c r="E1629" s="2484"/>
      <c r="F1629" s="2486"/>
      <c r="G1629" s="2244"/>
      <c r="H1629" s="2244"/>
      <c r="I1629" s="2357"/>
    </row>
    <row r="1630" spans="1:9" s="2352" customFormat="1" ht="11.85" customHeight="1">
      <c r="A1630" s="2070"/>
      <c r="B1630" s="2483"/>
      <c r="C1630" s="2484"/>
      <c r="D1630" s="2485"/>
      <c r="E1630" s="2484"/>
      <c r="F1630" s="2486"/>
      <c r="G1630" s="2244"/>
      <c r="H1630" s="2244"/>
      <c r="I1630" s="2357"/>
    </row>
    <row r="1631" spans="1:9" s="2352" customFormat="1" ht="11.85" customHeight="1">
      <c r="A1631" s="2070"/>
      <c r="B1631" s="2483"/>
      <c r="C1631" s="2484"/>
      <c r="D1631" s="2487"/>
      <c r="E1631" s="2488"/>
      <c r="F1631" s="2486"/>
      <c r="G1631" s="2244"/>
      <c r="H1631" s="2244"/>
      <c r="I1631" s="2357"/>
    </row>
    <row r="1632" spans="1:9" s="2352" customFormat="1" ht="11.85" customHeight="1" thickBot="1">
      <c r="A1632" s="2070"/>
      <c r="B1632" s="2489"/>
      <c r="C1632" s="2490"/>
      <c r="D1632" s="2490"/>
      <c r="E1632" s="2491"/>
      <c r="F1632" s="2492"/>
      <c r="G1632" s="2244"/>
      <c r="H1632" s="2244"/>
      <c r="I1632" s="2357"/>
    </row>
    <row r="1633" spans="1:9" s="2352" customFormat="1" ht="11.85" customHeight="1" thickTop="1">
      <c r="A1633" s="2070"/>
      <c r="B1633" s="2070"/>
      <c r="C1633" s="2093"/>
      <c r="D1633" s="2094"/>
      <c r="E1633" s="2093"/>
      <c r="F1633" s="2093"/>
      <c r="G1633" s="2244"/>
      <c r="H1633" s="2244"/>
      <c r="I1633" s="2357"/>
    </row>
    <row r="1634" spans="1:9" s="2352" customFormat="1" ht="11.85" customHeight="1">
      <c r="A1634" s="2070"/>
      <c r="B1634" s="2070"/>
      <c r="C1634" s="2093"/>
      <c r="D1634" s="2094"/>
      <c r="E1634" s="2093"/>
      <c r="F1634" s="2093"/>
      <c r="G1634" s="2244"/>
      <c r="H1634" s="2244"/>
      <c r="I1634" s="2357"/>
    </row>
    <row r="1635" spans="1:9" s="2352" customFormat="1" ht="11.85" customHeight="1" thickBot="1">
      <c r="A1635" s="2070"/>
      <c r="B1635" s="2476"/>
      <c r="C1635" s="2477"/>
      <c r="D1635" s="2477"/>
      <c r="E1635" s="2477"/>
      <c r="F1635" s="2477"/>
      <c r="G1635" s="2244"/>
      <c r="H1635" s="2244"/>
      <c r="I1635" s="2357"/>
    </row>
    <row r="1636" spans="1:9" s="2352" customFormat="1" ht="11.85" customHeight="1" thickTop="1">
      <c r="A1636" s="2070"/>
      <c r="B1636" s="2478"/>
      <c r="C1636" s="2479"/>
      <c r="D1636" s="2480"/>
      <c r="E1636" s="2481"/>
      <c r="F1636" s="2482"/>
      <c r="G1636" s="2244"/>
      <c r="H1636" s="2244"/>
      <c r="I1636" s="2357"/>
    </row>
    <row r="1637" spans="1:9" s="2352" customFormat="1" ht="11.85" customHeight="1">
      <c r="A1637" s="2070"/>
      <c r="B1637" s="2483"/>
      <c r="C1637" s="2484"/>
      <c r="D1637" s="2485"/>
      <c r="E1637" s="2484"/>
      <c r="F1637" s="2486"/>
      <c r="G1637" s="2244"/>
      <c r="H1637" s="2244"/>
      <c r="I1637" s="2357"/>
    </row>
    <row r="1638" spans="1:9" s="2352" customFormat="1" ht="11.85" customHeight="1">
      <c r="A1638" s="2070"/>
      <c r="B1638" s="2483"/>
      <c r="C1638" s="2484"/>
      <c r="D1638" s="2485"/>
      <c r="E1638" s="2484"/>
      <c r="F1638" s="2486"/>
      <c r="G1638" s="2244"/>
      <c r="H1638" s="2244"/>
      <c r="I1638" s="2357"/>
    </row>
    <row r="1639" spans="1:9" s="2352" customFormat="1" ht="11.85" customHeight="1">
      <c r="A1639" s="2070"/>
      <c r="B1639" s="2483"/>
      <c r="C1639" s="2484"/>
      <c r="D1639" s="2487"/>
      <c r="E1639" s="2484"/>
      <c r="F1639" s="2486"/>
      <c r="G1639" s="2244"/>
      <c r="H1639" s="2244"/>
      <c r="I1639" s="2357"/>
    </row>
    <row r="1640" spans="1:9" s="2352" customFormat="1" ht="11.85" customHeight="1" thickBot="1">
      <c r="A1640" s="2070"/>
      <c r="B1640" s="2489"/>
      <c r="C1640" s="2490"/>
      <c r="D1640" s="2490"/>
      <c r="E1640" s="2491"/>
      <c r="F1640" s="2492"/>
      <c r="G1640" s="2244"/>
      <c r="H1640" s="2244"/>
      <c r="I1640" s="2357"/>
    </row>
    <row r="1641" spans="1:9" s="2352" customFormat="1" ht="11.85" customHeight="1" thickTop="1">
      <c r="A1641" s="2070"/>
      <c r="B1641" s="2070"/>
      <c r="C1641" s="2093"/>
      <c r="D1641" s="2094"/>
      <c r="E1641" s="2093"/>
      <c r="F1641" s="2093"/>
      <c r="G1641" s="2244"/>
      <c r="H1641" s="2244"/>
      <c r="I1641" s="2357"/>
    </row>
    <row r="1642" spans="1:9" s="2352" customFormat="1" ht="11.85" customHeight="1">
      <c r="A1642" s="2070"/>
      <c r="B1642" s="2070"/>
      <c r="C1642" s="2093"/>
      <c r="D1642" s="2094"/>
      <c r="E1642" s="2093"/>
      <c r="F1642" s="2093"/>
      <c r="G1642" s="2244"/>
      <c r="H1642" s="2244"/>
      <c r="I1642" s="2357"/>
    </row>
    <row r="1643" spans="1:9" s="2352" customFormat="1" ht="11.85" customHeight="1" thickBot="1">
      <c r="A1643" s="2070"/>
      <c r="B1643" s="2505"/>
      <c r="C1643" s="2412"/>
      <c r="D1643" s="3052"/>
      <c r="E1643" s="2412"/>
      <c r="F1643" s="2412"/>
      <c r="G1643" s="2244"/>
      <c r="H1643" s="2244"/>
      <c r="I1643" s="2357"/>
    </row>
    <row r="1644" spans="1:9" s="2352" customFormat="1" ht="11.85" customHeight="1" thickTop="1">
      <c r="A1644" s="2070"/>
      <c r="B1644" s="2584"/>
      <c r="C1644" s="2481"/>
      <c r="D1644" s="3053"/>
      <c r="E1644" s="2481"/>
      <c r="F1644" s="3054"/>
      <c r="G1644" s="2244"/>
      <c r="H1644" s="2244"/>
      <c r="I1644" s="2357"/>
    </row>
    <row r="1645" spans="1:9" s="2352" customFormat="1" ht="11.85" customHeight="1">
      <c r="A1645" s="2070"/>
      <c r="B1645" s="3055"/>
      <c r="C1645" s="3056"/>
      <c r="D1645" s="3057"/>
      <c r="E1645" s="3056"/>
      <c r="F1645" s="3058"/>
      <c r="G1645" s="2244"/>
      <c r="H1645" s="2244"/>
      <c r="I1645" s="2357"/>
    </row>
    <row r="1646" spans="1:9" s="2352" customFormat="1" ht="11.85" customHeight="1">
      <c r="A1646" s="2070"/>
      <c r="B1646" s="3059"/>
      <c r="C1646" s="3056"/>
      <c r="D1646" s="3057"/>
      <c r="E1646" s="3056"/>
      <c r="F1646" s="3058"/>
      <c r="G1646" s="2244"/>
      <c r="H1646" s="2244"/>
      <c r="I1646" s="2357"/>
    </row>
    <row r="1647" spans="1:9" s="2352" customFormat="1" ht="11.85" customHeight="1">
      <c r="A1647" s="2070"/>
      <c r="B1647" s="3055"/>
      <c r="C1647" s="3056"/>
      <c r="D1647" s="3057"/>
      <c r="E1647" s="3056"/>
      <c r="F1647" s="3060"/>
      <c r="G1647" s="2244"/>
      <c r="H1647" s="2244"/>
      <c r="I1647" s="2357"/>
    </row>
    <row r="1648" spans="1:9" s="2352" customFormat="1" ht="11.85" customHeight="1" thickBot="1">
      <c r="A1648" s="2070"/>
      <c r="B1648" s="3061"/>
      <c r="C1648" s="3062"/>
      <c r="D1648" s="3063"/>
      <c r="E1648" s="3064"/>
      <c r="F1648" s="3065"/>
      <c r="G1648" s="2244"/>
      <c r="H1648" s="2244"/>
      <c r="I1648" s="2357"/>
    </row>
    <row r="1649" spans="1:9" s="2352" customFormat="1" ht="11.85" customHeight="1" thickTop="1">
      <c r="A1649" s="2070"/>
      <c r="B1649" s="2070"/>
      <c r="C1649" s="2093"/>
      <c r="D1649" s="2094"/>
      <c r="E1649" s="2093"/>
      <c r="F1649" s="2093"/>
      <c r="G1649" s="2244"/>
      <c r="H1649" s="2244"/>
      <c r="I1649" s="2357"/>
    </row>
    <row r="1650" spans="1:9" s="2352" customFormat="1" ht="11.85" customHeight="1">
      <c r="A1650" s="2070"/>
      <c r="B1650" s="2070"/>
      <c r="C1650" s="2093"/>
      <c r="D1650" s="2094"/>
      <c r="E1650" s="2093"/>
      <c r="F1650" s="2093"/>
      <c r="G1650" s="2244"/>
      <c r="H1650" s="2244"/>
      <c r="I1650" s="2357"/>
    </row>
    <row r="1651" spans="1:9" s="2352" customFormat="1" ht="11.85" customHeight="1" thickBot="1">
      <c r="A1651" s="2070"/>
      <c r="B1651" s="2505"/>
      <c r="C1651" s="2412"/>
      <c r="D1651" s="2412"/>
      <c r="E1651" s="2412"/>
      <c r="F1651" s="2412"/>
      <c r="G1651" s="2244"/>
      <c r="H1651" s="2244"/>
      <c r="I1651" s="2357"/>
    </row>
    <row r="1652" spans="1:9" s="2352" customFormat="1" ht="11.85" customHeight="1" thickTop="1">
      <c r="A1652" s="2070"/>
      <c r="B1652" s="2478"/>
      <c r="C1652" s="2479"/>
      <c r="D1652" s="2480"/>
      <c r="E1652" s="2479"/>
      <c r="F1652" s="2482"/>
      <c r="G1652" s="2244"/>
      <c r="H1652" s="2244"/>
      <c r="I1652" s="2357"/>
    </row>
    <row r="1653" spans="1:9" s="2352" customFormat="1" ht="11.85" customHeight="1">
      <c r="A1653" s="2070"/>
      <c r="B1653" s="2483"/>
      <c r="C1653" s="2484"/>
      <c r="D1653" s="2485"/>
      <c r="E1653" s="2484"/>
      <c r="F1653" s="2486"/>
      <c r="G1653" s="2244"/>
      <c r="H1653" s="2244"/>
      <c r="I1653" s="2357"/>
    </row>
    <row r="1654" spans="1:9" s="2352" customFormat="1" ht="11.85" customHeight="1">
      <c r="A1654" s="2070"/>
      <c r="B1654" s="3055"/>
      <c r="C1654" s="3066"/>
      <c r="D1654" s="3067"/>
      <c r="E1654" s="3066"/>
      <c r="F1654" s="2486"/>
      <c r="G1654" s="2244"/>
      <c r="H1654" s="2244"/>
      <c r="I1654" s="2357"/>
    </row>
    <row r="1655" spans="1:9" s="2352" customFormat="1" ht="11.85" customHeight="1" thickBot="1">
      <c r="A1655" s="2070"/>
      <c r="B1655" s="2489"/>
      <c r="C1655" s="2490"/>
      <c r="D1655" s="2490"/>
      <c r="E1655" s="2491"/>
      <c r="F1655" s="2492"/>
      <c r="G1655" s="2244"/>
      <c r="H1655" s="2244"/>
      <c r="I1655" s="2357"/>
    </row>
    <row r="1656" spans="1:9" s="2352" customFormat="1" ht="11.85" customHeight="1" thickTop="1">
      <c r="A1656" s="2070"/>
      <c r="B1656" s="2070"/>
      <c r="C1656" s="2093"/>
      <c r="D1656" s="2094"/>
      <c r="E1656" s="2093"/>
      <c r="F1656" s="2093"/>
      <c r="G1656" s="2244"/>
      <c r="H1656" s="2244"/>
      <c r="I1656" s="2357"/>
    </row>
    <row r="1657" spans="1:9" s="2352" customFormat="1" ht="11.85" customHeight="1">
      <c r="A1657" s="2070"/>
      <c r="B1657" s="2070"/>
      <c r="C1657" s="2093"/>
      <c r="D1657" s="2094"/>
      <c r="E1657" s="2093"/>
      <c r="F1657" s="2093"/>
      <c r="G1657" s="2244"/>
      <c r="H1657" s="2244"/>
      <c r="I1657" s="2357"/>
    </row>
    <row r="1658" spans="1:9" s="2352" customFormat="1" ht="11.85" customHeight="1">
      <c r="A1658" s="2070"/>
      <c r="B1658" s="2505"/>
      <c r="C1658" s="2583"/>
      <c r="D1658" s="2472"/>
      <c r="E1658" s="2472"/>
      <c r="F1658" s="2472"/>
      <c r="G1658" s="2244"/>
      <c r="H1658" s="2244"/>
      <c r="I1658" s="2357"/>
    </row>
    <row r="1659" spans="1:9" s="2352" customFormat="1" ht="11.85" customHeight="1">
      <c r="A1659" s="2070"/>
      <c r="B1659" s="2483"/>
      <c r="C1659" s="2589"/>
      <c r="D1659" s="2719"/>
      <c r="E1659" s="2717"/>
      <c r="F1659" s="3068"/>
      <c r="G1659" s="2244"/>
      <c r="H1659" s="2244"/>
      <c r="I1659" s="2357"/>
    </row>
    <row r="1660" spans="1:9" s="2352" customFormat="1" ht="11.85" customHeight="1">
      <c r="A1660" s="2070"/>
      <c r="B1660" s="2483"/>
      <c r="C1660" s="2589"/>
      <c r="D1660" s="2719"/>
      <c r="E1660" s="2717"/>
      <c r="F1660" s="3068"/>
      <c r="G1660" s="2244"/>
      <c r="H1660" s="2244"/>
      <c r="I1660" s="2357"/>
    </row>
    <row r="1661" spans="1:9" s="2352" customFormat="1" ht="11.85" customHeight="1">
      <c r="A1661" s="2070"/>
      <c r="B1661" s="2483"/>
      <c r="C1661" s="2589"/>
      <c r="D1661" s="2719"/>
      <c r="E1661" s="2717"/>
      <c r="F1661" s="3068"/>
      <c r="G1661" s="2244"/>
      <c r="H1661" s="2244"/>
      <c r="I1661" s="2357"/>
    </row>
    <row r="1662" spans="1:9" s="2352" customFormat="1" ht="11.85" customHeight="1">
      <c r="A1662" s="2070"/>
      <c r="B1662" s="2483"/>
      <c r="C1662" s="2589"/>
      <c r="D1662" s="2719"/>
      <c r="E1662" s="2717"/>
      <c r="F1662" s="3068"/>
      <c r="G1662" s="2244"/>
      <c r="H1662" s="2244"/>
      <c r="I1662" s="2357"/>
    </row>
    <row r="1663" spans="1:9" s="2352" customFormat="1" ht="11.85" customHeight="1">
      <c r="A1663" s="2070"/>
      <c r="B1663" s="2483"/>
      <c r="C1663" s="2589"/>
      <c r="D1663" s="2719"/>
      <c r="E1663" s="3069"/>
      <c r="F1663" s="3070"/>
      <c r="G1663" s="2244"/>
      <c r="H1663" s="2244"/>
      <c r="I1663" s="2357"/>
    </row>
    <row r="1664" spans="1:9" s="2352" customFormat="1" ht="11.85" customHeight="1">
      <c r="A1664" s="2070"/>
      <c r="B1664" s="2483"/>
      <c r="C1664" s="2589"/>
      <c r="D1664" s="2719"/>
      <c r="E1664" s="3069"/>
      <c r="F1664" s="3070"/>
      <c r="G1664" s="2244"/>
      <c r="H1664" s="2244"/>
      <c r="I1664" s="2357"/>
    </row>
    <row r="1665" spans="1:9" s="2352" customFormat="1" ht="11.85" customHeight="1">
      <c r="A1665" s="2070"/>
      <c r="B1665" s="2483"/>
      <c r="C1665" s="2589"/>
      <c r="D1665" s="2719"/>
      <c r="E1665" s="3069"/>
      <c r="F1665" s="3070"/>
      <c r="G1665" s="2244"/>
      <c r="H1665" s="2244"/>
      <c r="I1665" s="2357"/>
    </row>
    <row r="1666" spans="1:9" s="2352" customFormat="1" ht="11.85" customHeight="1">
      <c r="A1666" s="2070"/>
      <c r="B1666" s="2483"/>
      <c r="C1666" s="2589"/>
      <c r="D1666" s="2719"/>
      <c r="E1666" s="3069"/>
      <c r="F1666" s="3070"/>
      <c r="G1666" s="2244"/>
      <c r="H1666" s="2244"/>
      <c r="I1666" s="2357"/>
    </row>
    <row r="1667" spans="1:9" s="2352" customFormat="1" ht="11.85" customHeight="1" thickBot="1">
      <c r="A1667" s="2070"/>
      <c r="B1667" s="2489"/>
      <c r="C1667" s="2592"/>
      <c r="D1667" s="3071"/>
      <c r="E1667" s="2594"/>
      <c r="F1667" s="3072"/>
      <c r="G1667" s="2244"/>
      <c r="H1667" s="2244"/>
      <c r="I1667" s="2357"/>
    </row>
    <row r="1668" spans="1:9" s="2352" customFormat="1" ht="11.85" customHeight="1" thickTop="1">
      <c r="A1668" s="2070"/>
      <c r="B1668" s="2070"/>
      <c r="C1668" s="2093"/>
      <c r="D1668" s="2094"/>
      <c r="E1668" s="2093"/>
      <c r="F1668" s="2093"/>
      <c r="G1668" s="2244"/>
      <c r="H1668" s="2244"/>
      <c r="I1668" s="2357"/>
    </row>
    <row r="1669" spans="1:9" s="2352" customFormat="1" ht="11.85" customHeight="1" thickBot="1">
      <c r="A1669" s="2070"/>
      <c r="B1669" s="2505"/>
      <c r="C1669" s="2583"/>
      <c r="D1669" s="2472"/>
      <c r="E1669" s="2472"/>
      <c r="F1669" s="2472"/>
      <c r="G1669" s="2244"/>
      <c r="H1669" s="2244"/>
      <c r="I1669" s="2357"/>
    </row>
    <row r="1670" spans="1:9" s="2352" customFormat="1" ht="11.85" customHeight="1" thickTop="1">
      <c r="A1670" s="2070"/>
      <c r="B1670" s="2478"/>
      <c r="C1670" s="3073"/>
      <c r="D1670" s="3074"/>
      <c r="E1670" s="3075"/>
      <c r="F1670" s="3076"/>
      <c r="G1670" s="2244"/>
      <c r="H1670" s="2244"/>
      <c r="I1670" s="2357"/>
    </row>
    <row r="1671" spans="1:9" s="2352" customFormat="1" ht="11.85" customHeight="1">
      <c r="A1671" s="2070"/>
      <c r="B1671" s="2483"/>
      <c r="C1671" s="2589"/>
      <c r="D1671" s="2719"/>
      <c r="E1671" s="2717"/>
      <c r="F1671" s="3077"/>
      <c r="G1671" s="2244"/>
      <c r="H1671" s="2244"/>
      <c r="I1671" s="2357"/>
    </row>
    <row r="1672" spans="1:9" s="2352" customFormat="1" ht="11.85" customHeight="1">
      <c r="A1672" s="2070"/>
      <c r="B1672" s="2483"/>
      <c r="C1672" s="2589"/>
      <c r="D1672" s="2719"/>
      <c r="E1672" s="2717"/>
      <c r="F1672" s="3077"/>
      <c r="G1672" s="2244"/>
      <c r="H1672" s="2244"/>
      <c r="I1672" s="2357"/>
    </row>
    <row r="1673" spans="1:9" s="2352" customFormat="1" ht="11.85" customHeight="1">
      <c r="A1673" s="2070"/>
      <c r="B1673" s="2483"/>
      <c r="C1673" s="2589"/>
      <c r="D1673" s="2719"/>
      <c r="E1673" s="2717"/>
      <c r="F1673" s="3077"/>
      <c r="G1673" s="2244"/>
      <c r="H1673" s="2244"/>
      <c r="I1673" s="2357"/>
    </row>
    <row r="1674" spans="1:9" s="2352" customFormat="1" ht="11.85" customHeight="1">
      <c r="A1674" s="2070"/>
      <c r="B1674" s="2483"/>
      <c r="C1674" s="2589"/>
      <c r="D1674" s="2719"/>
      <c r="E1674" s="3069"/>
      <c r="F1674" s="3077"/>
      <c r="G1674" s="2244"/>
      <c r="H1674" s="2244"/>
      <c r="I1674" s="2357"/>
    </row>
    <row r="1675" spans="1:9" s="2352" customFormat="1" ht="11.85" customHeight="1">
      <c r="A1675" s="2070"/>
      <c r="B1675" s="2483"/>
      <c r="C1675" s="2589"/>
      <c r="D1675" s="2719"/>
      <c r="E1675" s="3069"/>
      <c r="F1675" s="3077"/>
      <c r="G1675" s="2244"/>
      <c r="H1675" s="2244"/>
      <c r="I1675" s="2357"/>
    </row>
    <row r="1676" spans="1:9" s="2352" customFormat="1" ht="11.85" customHeight="1">
      <c r="A1676" s="2070"/>
      <c r="B1676" s="2483"/>
      <c r="C1676" s="2589"/>
      <c r="D1676" s="2719"/>
      <c r="E1676" s="3069"/>
      <c r="F1676" s="3077"/>
      <c r="G1676" s="2244"/>
      <c r="H1676" s="2244"/>
      <c r="I1676" s="2357"/>
    </row>
    <row r="1677" spans="1:9" s="2352" customFormat="1" ht="11.85" customHeight="1">
      <c r="A1677" s="2070"/>
      <c r="B1677" s="2483"/>
      <c r="C1677" s="2589"/>
      <c r="D1677" s="2719"/>
      <c r="E1677" s="3069"/>
      <c r="F1677" s="3077"/>
      <c r="G1677" s="2244"/>
      <c r="H1677" s="2244"/>
      <c r="I1677" s="2357"/>
    </row>
    <row r="1678" spans="1:9" s="2352" customFormat="1" ht="11.85" customHeight="1" thickBot="1">
      <c r="A1678" s="2070"/>
      <c r="B1678" s="2489"/>
      <c r="C1678" s="2592"/>
      <c r="D1678" s="3071"/>
      <c r="E1678" s="2594"/>
      <c r="F1678" s="2492"/>
      <c r="G1678" s="2244"/>
      <c r="H1678" s="2244"/>
      <c r="I1678" s="2357"/>
    </row>
    <row r="1679" spans="1:9" s="2352" customFormat="1" ht="11.85" customHeight="1" thickTop="1">
      <c r="A1679" s="2070"/>
      <c r="B1679" s="2472"/>
      <c r="C1679" s="2583"/>
      <c r="D1679" s="2472"/>
      <c r="E1679" s="2472"/>
      <c r="F1679" s="2472"/>
      <c r="G1679" s="2244"/>
      <c r="H1679" s="2244"/>
      <c r="I1679" s="2357"/>
    </row>
    <row r="1680" spans="1:9" s="2352" customFormat="1" ht="11.85" customHeight="1">
      <c r="A1680" s="2070"/>
      <c r="B1680" s="2070"/>
      <c r="C1680" s="2093"/>
      <c r="D1680" s="2094"/>
      <c r="E1680" s="2093"/>
      <c r="F1680" s="2093"/>
      <c r="G1680" s="2244"/>
      <c r="H1680" s="2244"/>
      <c r="I1680" s="2357"/>
    </row>
    <row r="1681" spans="1:9" s="2352" customFormat="1" ht="11.85" customHeight="1">
      <c r="A1681" s="2070"/>
      <c r="B1681" s="2471"/>
      <c r="C1681" s="3078"/>
      <c r="D1681" s="3079"/>
      <c r="E1681" s="3080"/>
      <c r="F1681" s="3081"/>
      <c r="G1681" s="2244"/>
      <c r="H1681" s="2244"/>
      <c r="I1681" s="2357"/>
    </row>
    <row r="1682" spans="1:9" s="2352" customFormat="1" ht="11.85" customHeight="1">
      <c r="A1682" s="2070"/>
      <c r="B1682" s="3082"/>
      <c r="C1682" s="3083"/>
      <c r="D1682" s="3084"/>
      <c r="E1682" s="3085"/>
      <c r="F1682" s="3086"/>
      <c r="G1682" s="2244"/>
      <c r="H1682" s="2244"/>
      <c r="I1682" s="2357"/>
    </row>
    <row r="1683" spans="1:9" s="2352" customFormat="1" ht="11.85" customHeight="1">
      <c r="A1683" s="2070"/>
      <c r="B1683" s="3082"/>
      <c r="C1683" s="3083"/>
      <c r="D1683" s="3084"/>
      <c r="E1683" s="3085"/>
      <c r="F1683" s="3086"/>
      <c r="G1683" s="2244"/>
      <c r="H1683" s="2244"/>
      <c r="I1683" s="2357"/>
    </row>
    <row r="1684" spans="1:9" s="2352" customFormat="1" ht="11.85" customHeight="1">
      <c r="A1684" s="2070"/>
      <c r="B1684" s="3082"/>
      <c r="C1684" s="3083"/>
      <c r="D1684" s="3084"/>
      <c r="E1684" s="3085"/>
      <c r="F1684" s="3086"/>
      <c r="G1684" s="2244"/>
      <c r="H1684" s="2244"/>
      <c r="I1684" s="2357"/>
    </row>
    <row r="1685" spans="1:9" s="2352" customFormat="1" ht="11.85" customHeight="1">
      <c r="A1685" s="2070"/>
      <c r="B1685" s="3082"/>
      <c r="C1685" s="3083"/>
      <c r="D1685" s="3084"/>
      <c r="E1685" s="3085"/>
      <c r="F1685" s="3086"/>
      <c r="G1685" s="2244"/>
      <c r="H1685" s="2244"/>
      <c r="I1685" s="2357"/>
    </row>
    <row r="1686" spans="1:9" s="2352" customFormat="1" ht="11.85" customHeight="1">
      <c r="A1686" s="2070"/>
      <c r="B1686" s="3082"/>
      <c r="C1686" s="3083"/>
      <c r="D1686" s="3084"/>
      <c r="E1686" s="3085"/>
      <c r="F1686" s="3086"/>
      <c r="G1686" s="2244"/>
      <c r="H1686" s="2244"/>
      <c r="I1686" s="2357"/>
    </row>
    <row r="1687" spans="1:9" s="2352" customFormat="1" ht="11.85" customHeight="1">
      <c r="A1687" s="2070"/>
      <c r="B1687" s="3082"/>
      <c r="C1687" s="3083"/>
      <c r="D1687" s="3084"/>
      <c r="E1687" s="3085"/>
      <c r="F1687" s="3086"/>
      <c r="G1687" s="2244"/>
      <c r="H1687" s="2244"/>
      <c r="I1687" s="2357"/>
    </row>
    <row r="1688" spans="1:9" s="2352" customFormat="1" ht="11.85" customHeight="1">
      <c r="A1688" s="2070"/>
      <c r="B1688" s="3082"/>
      <c r="C1688" s="3083"/>
      <c r="D1688" s="3084"/>
      <c r="E1688" s="3085"/>
      <c r="F1688" s="3086"/>
      <c r="G1688" s="2244"/>
      <c r="H1688" s="2244"/>
      <c r="I1688" s="2357"/>
    </row>
    <row r="1689" spans="1:9" s="2352" customFormat="1" ht="11.85" customHeight="1">
      <c r="A1689" s="2070"/>
      <c r="B1689" s="3082"/>
      <c r="C1689" s="3083"/>
      <c r="D1689" s="3084"/>
      <c r="E1689" s="3085"/>
      <c r="F1689" s="3086"/>
      <c r="G1689" s="2244"/>
      <c r="H1689" s="2244"/>
      <c r="I1689" s="2357"/>
    </row>
    <row r="1690" spans="1:9" s="2352" customFormat="1" ht="11.85" customHeight="1">
      <c r="A1690" s="2070"/>
      <c r="B1690" s="3082"/>
      <c r="C1690" s="3083"/>
      <c r="D1690" s="3084"/>
      <c r="E1690" s="3085"/>
      <c r="F1690" s="3086"/>
      <c r="G1690" s="2244"/>
      <c r="H1690" s="2244"/>
      <c r="I1690" s="2357"/>
    </row>
    <row r="1691" spans="1:9" s="2352" customFormat="1" ht="11.85" customHeight="1">
      <c r="A1691" s="2070"/>
      <c r="B1691" s="3082"/>
      <c r="C1691" s="3083"/>
      <c r="D1691" s="3084"/>
      <c r="E1691" s="3085"/>
      <c r="F1691" s="3086"/>
      <c r="G1691" s="2244"/>
      <c r="H1691" s="2244"/>
      <c r="I1691" s="2357"/>
    </row>
    <row r="1692" spans="1:9" s="2352" customFormat="1" ht="11.85" customHeight="1">
      <c r="A1692" s="2070"/>
      <c r="B1692" s="3082"/>
      <c r="C1692" s="3083"/>
      <c r="D1692" s="3084"/>
      <c r="E1692" s="3085"/>
      <c r="F1692" s="3086"/>
      <c r="G1692" s="2244"/>
      <c r="H1692" s="2244"/>
      <c r="I1692" s="2357"/>
    </row>
    <row r="1693" spans="1:9" s="2352" customFormat="1" ht="11.85" customHeight="1">
      <c r="A1693" s="2070"/>
      <c r="B1693" s="3082"/>
      <c r="C1693" s="3083"/>
      <c r="D1693" s="3084"/>
      <c r="E1693" s="3085"/>
      <c r="F1693" s="3086"/>
      <c r="G1693" s="2244"/>
      <c r="H1693" s="2244"/>
      <c r="I1693" s="2357"/>
    </row>
    <row r="1694" spans="1:9" s="2352" customFormat="1" ht="11.85" customHeight="1">
      <c r="A1694" s="2070"/>
      <c r="B1694" s="3082"/>
      <c r="C1694" s="3083"/>
      <c r="D1694" s="3084"/>
      <c r="E1694" s="3085"/>
      <c r="F1694" s="3086"/>
      <c r="G1694" s="2244"/>
      <c r="H1694" s="2244"/>
      <c r="I1694" s="2357"/>
    </row>
    <row r="1695" spans="1:9" s="2352" customFormat="1" ht="11.85" customHeight="1">
      <c r="A1695" s="2070"/>
      <c r="B1695" s="3082"/>
      <c r="C1695" s="3083"/>
      <c r="D1695" s="3084"/>
      <c r="E1695" s="3085"/>
      <c r="F1695" s="3086"/>
      <c r="G1695" s="2244"/>
      <c r="H1695" s="2244"/>
      <c r="I1695" s="2357"/>
    </row>
    <row r="1696" spans="1:9" s="2352" customFormat="1" ht="11.85" customHeight="1">
      <c r="A1696" s="2070"/>
      <c r="B1696" s="3082"/>
      <c r="C1696" s="3083"/>
      <c r="D1696" s="3084"/>
      <c r="E1696" s="3085"/>
      <c r="F1696" s="3086"/>
      <c r="G1696" s="2244"/>
      <c r="H1696" s="2244"/>
      <c r="I1696" s="2357"/>
    </row>
    <row r="1697" spans="1:9" s="2352" customFormat="1" ht="11.85" customHeight="1">
      <c r="A1697" s="2070"/>
      <c r="B1697" s="3082"/>
      <c r="C1697" s="3083"/>
      <c r="D1697" s="3084"/>
      <c r="E1697" s="3085"/>
      <c r="F1697" s="3086"/>
      <c r="G1697" s="2244"/>
      <c r="H1697" s="2244"/>
      <c r="I1697" s="2357"/>
    </row>
    <row r="1698" spans="1:9" s="2352" customFormat="1" ht="11.85" customHeight="1">
      <c r="A1698" s="2070"/>
      <c r="B1698" s="3082"/>
      <c r="C1698" s="3083"/>
      <c r="D1698" s="3084"/>
      <c r="E1698" s="3085"/>
      <c r="F1698" s="3086"/>
      <c r="G1698" s="2244"/>
      <c r="H1698" s="2244"/>
      <c r="I1698" s="2357"/>
    </row>
    <row r="1699" spans="1:9" s="2352" customFormat="1" ht="11.85" customHeight="1">
      <c r="A1699" s="2070"/>
      <c r="B1699" s="3082"/>
      <c r="C1699" s="3083"/>
      <c r="D1699" s="3084"/>
      <c r="E1699" s="3085"/>
      <c r="F1699" s="3086"/>
      <c r="G1699" s="2244"/>
      <c r="H1699" s="2244"/>
      <c r="I1699" s="2357"/>
    </row>
    <row r="1700" spans="1:9" s="2352" customFormat="1" ht="11.85" customHeight="1">
      <c r="A1700" s="2070"/>
      <c r="B1700" s="3082"/>
      <c r="C1700" s="3083"/>
      <c r="D1700" s="3084"/>
      <c r="E1700" s="3085"/>
      <c r="F1700" s="3086"/>
      <c r="G1700" s="2244"/>
      <c r="H1700" s="2244"/>
      <c r="I1700" s="2357"/>
    </row>
    <row r="1701" spans="1:9" s="2352" customFormat="1" ht="11.85" customHeight="1">
      <c r="A1701" s="2070"/>
      <c r="B1701" s="3087"/>
      <c r="C1701" s="2583"/>
      <c r="D1701" s="3087"/>
      <c r="E1701" s="3088"/>
      <c r="F1701" s="3089"/>
      <c r="G1701" s="2244"/>
      <c r="H1701" s="2244"/>
      <c r="I1701" s="2357"/>
    </row>
    <row r="1702" spans="1:9" s="2352" customFormat="1" ht="11.85" customHeight="1">
      <c r="A1702" s="2070"/>
      <c r="B1702" s="2070"/>
      <c r="C1702" s="2093"/>
      <c r="D1702" s="2094"/>
      <c r="E1702" s="2093"/>
      <c r="F1702" s="2093"/>
      <c r="G1702" s="2244"/>
      <c r="H1702" s="2244"/>
      <c r="I1702" s="2357"/>
    </row>
    <row r="1703" spans="1:9" s="2352" customFormat="1" ht="11.85" customHeight="1">
      <c r="A1703" s="2070"/>
      <c r="B1703" s="2471"/>
      <c r="C1703" s="3090"/>
      <c r="D1703" s="3090"/>
      <c r="E1703" s="3090"/>
      <c r="F1703" s="3091"/>
      <c r="G1703" s="2244"/>
      <c r="H1703" s="2244"/>
      <c r="I1703" s="2357"/>
    </row>
    <row r="1704" spans="1:9" s="2352" customFormat="1" ht="11.85" customHeight="1">
      <c r="A1704" s="2070"/>
      <c r="B1704" s="3092"/>
      <c r="C1704" s="3093"/>
      <c r="D1704" s="3084"/>
      <c r="E1704" s="3094"/>
      <c r="F1704" s="3095"/>
      <c r="G1704" s="2244"/>
      <c r="H1704" s="2244"/>
      <c r="I1704" s="2357"/>
    </row>
    <row r="1705" spans="1:9" s="2352" customFormat="1" ht="11.85" customHeight="1">
      <c r="A1705" s="2070"/>
      <c r="B1705" s="3092"/>
      <c r="C1705" s="3093"/>
      <c r="D1705" s="3084"/>
      <c r="E1705" s="3094"/>
      <c r="F1705" s="3095"/>
      <c r="G1705" s="2244"/>
      <c r="H1705" s="2244"/>
      <c r="I1705" s="2357"/>
    </row>
    <row r="1706" spans="1:9" s="2352" customFormat="1" ht="11.85" customHeight="1">
      <c r="A1706" s="2070"/>
      <c r="B1706" s="3092"/>
      <c r="C1706" s="3093"/>
      <c r="D1706" s="3084"/>
      <c r="E1706" s="3094"/>
      <c r="F1706" s="3095"/>
      <c r="G1706" s="2244"/>
      <c r="H1706" s="2244"/>
      <c r="I1706" s="2357"/>
    </row>
    <row r="1707" spans="1:9" s="2352" customFormat="1" ht="11.85" customHeight="1">
      <c r="A1707" s="2070"/>
      <c r="B1707" s="3092"/>
      <c r="C1707" s="3093"/>
      <c r="D1707" s="3084"/>
      <c r="E1707" s="3094"/>
      <c r="F1707" s="3095"/>
      <c r="G1707" s="2244"/>
      <c r="H1707" s="2244"/>
      <c r="I1707" s="2357"/>
    </row>
    <row r="1708" spans="1:9" s="2352" customFormat="1" ht="11.85" customHeight="1">
      <c r="A1708" s="2070"/>
      <c r="B1708" s="3092"/>
      <c r="C1708" s="3093"/>
      <c r="D1708" s="3084"/>
      <c r="E1708" s="3094"/>
      <c r="F1708" s="3095"/>
      <c r="G1708" s="2244"/>
      <c r="H1708" s="2244"/>
      <c r="I1708" s="2357"/>
    </row>
    <row r="1709" spans="1:9" s="2352" customFormat="1" ht="11.85" customHeight="1">
      <c r="A1709" s="2070"/>
      <c r="B1709" s="3092"/>
      <c r="C1709" s="3093"/>
      <c r="D1709" s="3084"/>
      <c r="E1709" s="3094"/>
      <c r="F1709" s="3095"/>
      <c r="G1709" s="2244"/>
      <c r="H1709" s="2244"/>
      <c r="I1709" s="2357"/>
    </row>
    <row r="1710" spans="1:9" s="2352" customFormat="1" ht="11.85" customHeight="1">
      <c r="A1710" s="2070"/>
      <c r="B1710" s="3092"/>
      <c r="C1710" s="3093"/>
      <c r="D1710" s="3084"/>
      <c r="E1710" s="3094"/>
      <c r="F1710" s="3095"/>
      <c r="G1710" s="2244"/>
      <c r="H1710" s="2244"/>
      <c r="I1710" s="2357"/>
    </row>
    <row r="1711" spans="1:9" s="2352" customFormat="1" ht="11.85" customHeight="1">
      <c r="A1711" s="2070"/>
      <c r="B1711" s="3092"/>
      <c r="C1711" s="3093"/>
      <c r="D1711" s="3084"/>
      <c r="E1711" s="3094"/>
      <c r="F1711" s="3095"/>
      <c r="G1711" s="2244"/>
      <c r="H1711" s="2244"/>
      <c r="I1711" s="2357"/>
    </row>
    <row r="1712" spans="1:9" s="2352" customFormat="1" ht="11.85" customHeight="1">
      <c r="A1712" s="2070"/>
      <c r="B1712" s="3092"/>
      <c r="C1712" s="3093"/>
      <c r="D1712" s="3084"/>
      <c r="E1712" s="3094"/>
      <c r="F1712" s="3095"/>
      <c r="G1712" s="2244"/>
      <c r="H1712" s="2244"/>
      <c r="I1712" s="2357"/>
    </row>
    <row r="1713" spans="1:9" s="2352" customFormat="1" ht="11.85" customHeight="1">
      <c r="A1713" s="2070"/>
      <c r="B1713" s="3092"/>
      <c r="C1713" s="3093"/>
      <c r="D1713" s="3084"/>
      <c r="E1713" s="3094"/>
      <c r="F1713" s="3095"/>
      <c r="G1713" s="2244"/>
      <c r="H1713" s="2244"/>
      <c r="I1713" s="2357"/>
    </row>
    <row r="1714" spans="1:9" s="2352" customFormat="1" ht="11.85" customHeight="1">
      <c r="A1714" s="2070"/>
      <c r="B1714" s="3092"/>
      <c r="C1714" s="3093"/>
      <c r="D1714" s="3084"/>
      <c r="E1714" s="3094"/>
      <c r="F1714" s="3095"/>
      <c r="G1714" s="2244"/>
      <c r="H1714" s="2244"/>
      <c r="I1714" s="2357"/>
    </row>
    <row r="1715" spans="1:9" s="2352" customFormat="1" ht="11.85" customHeight="1">
      <c r="A1715" s="2070"/>
      <c r="B1715" s="3092"/>
      <c r="C1715" s="3093"/>
      <c r="D1715" s="3084"/>
      <c r="E1715" s="3094"/>
      <c r="F1715" s="3095"/>
      <c r="G1715" s="2244"/>
      <c r="H1715" s="2244"/>
      <c r="I1715" s="2357"/>
    </row>
    <row r="1716" spans="1:9" s="2352" customFormat="1" ht="11.85" customHeight="1">
      <c r="A1716" s="2070"/>
      <c r="B1716" s="3092"/>
      <c r="C1716" s="3093"/>
      <c r="D1716" s="3084"/>
      <c r="E1716" s="3094"/>
      <c r="F1716" s="3095"/>
      <c r="G1716" s="2244"/>
      <c r="H1716" s="2244"/>
      <c r="I1716" s="2357"/>
    </row>
    <row r="1717" spans="1:9" s="2352" customFormat="1" ht="11.85" customHeight="1">
      <c r="A1717" s="2070"/>
      <c r="B1717" s="3092"/>
      <c r="C1717" s="3093"/>
      <c r="D1717" s="3084"/>
      <c r="E1717" s="3094"/>
      <c r="F1717" s="3095"/>
      <c r="G1717" s="2244"/>
      <c r="H1717" s="2244"/>
      <c r="I1717" s="2357"/>
    </row>
    <row r="1718" spans="1:9" s="2352" customFormat="1" ht="11.85" customHeight="1">
      <c r="A1718" s="2070"/>
      <c r="B1718" s="3092"/>
      <c r="C1718" s="3093"/>
      <c r="D1718" s="3084"/>
      <c r="E1718" s="3094"/>
      <c r="F1718" s="3095"/>
      <c r="G1718" s="2244"/>
      <c r="H1718" s="2244"/>
      <c r="I1718" s="2357"/>
    </row>
    <row r="1719" spans="1:9" s="2352" customFormat="1" ht="11.85" customHeight="1">
      <c r="A1719" s="2070"/>
      <c r="B1719" s="3092"/>
      <c r="C1719" s="3093"/>
      <c r="D1719" s="3084"/>
      <c r="E1719" s="3094"/>
      <c r="F1719" s="3095"/>
      <c r="G1719" s="2244"/>
      <c r="H1719" s="2244"/>
      <c r="I1719" s="2357"/>
    </row>
    <row r="1720" spans="1:9" s="2352" customFormat="1" ht="11.85" customHeight="1">
      <c r="A1720" s="2070"/>
      <c r="B1720" s="3092"/>
      <c r="C1720" s="3093"/>
      <c r="D1720" s="3084"/>
      <c r="E1720" s="3094"/>
      <c r="F1720" s="3095"/>
      <c r="G1720" s="2244"/>
      <c r="H1720" s="2244"/>
      <c r="I1720" s="2357"/>
    </row>
    <row r="1721" spans="1:9" s="2352" customFormat="1" ht="11.85" customHeight="1">
      <c r="A1721" s="2070"/>
      <c r="B1721" s="3092"/>
      <c r="C1721" s="3093"/>
      <c r="D1721" s="3084"/>
      <c r="E1721" s="3094"/>
      <c r="F1721" s="3095"/>
      <c r="G1721" s="2244"/>
      <c r="H1721" s="2244"/>
      <c r="I1721" s="2357"/>
    </row>
    <row r="1722" spans="1:9" s="2352" customFormat="1" ht="11.85" customHeight="1">
      <c r="A1722" s="2070"/>
      <c r="B1722" s="3092"/>
      <c r="C1722" s="3093"/>
      <c r="D1722" s="3084"/>
      <c r="E1722" s="3094"/>
      <c r="F1722" s="3095"/>
      <c r="G1722" s="2244"/>
      <c r="H1722" s="2244"/>
      <c r="I1722" s="2357"/>
    </row>
    <row r="1723" spans="1:9" s="2352" customFormat="1" ht="11.85" customHeight="1">
      <c r="A1723" s="2070"/>
      <c r="B1723" s="3092"/>
      <c r="C1723" s="3093"/>
      <c r="D1723" s="3084"/>
      <c r="E1723" s="3094"/>
      <c r="F1723" s="3095"/>
      <c r="G1723" s="2244"/>
      <c r="H1723" s="2244"/>
      <c r="I1723" s="2357"/>
    </row>
    <row r="1724" spans="1:9" s="2352" customFormat="1" ht="11.85" customHeight="1">
      <c r="A1724" s="2070"/>
      <c r="B1724" s="3090"/>
      <c r="C1724" s="3090"/>
      <c r="D1724" s="3090"/>
      <c r="E1724" s="3090"/>
      <c r="F1724" s="3091"/>
      <c r="G1724" s="2244"/>
      <c r="H1724" s="2244"/>
      <c r="I1724" s="2357"/>
    </row>
    <row r="1725" spans="1:9" s="2352" customFormat="1" ht="11.85" customHeight="1">
      <c r="A1725" s="2070"/>
      <c r="B1725" s="2070"/>
      <c r="C1725" s="2093"/>
      <c r="D1725" s="2094"/>
      <c r="E1725" s="2093"/>
      <c r="F1725" s="2093"/>
      <c r="G1725" s="2244"/>
      <c r="H1725" s="2244"/>
      <c r="I1725" s="2357"/>
    </row>
    <row r="1726" spans="1:9" s="2352" customFormat="1" ht="11.85" customHeight="1">
      <c r="A1726" s="2070"/>
      <c r="B1726" s="2471"/>
      <c r="C1726" s="3090"/>
      <c r="D1726" s="3090"/>
      <c r="E1726" s="3090"/>
      <c r="F1726" s="3090"/>
      <c r="G1726" s="2244"/>
      <c r="H1726" s="2244"/>
      <c r="I1726" s="2357"/>
    </row>
    <row r="1727" spans="1:9" s="2352" customFormat="1" ht="11.85" customHeight="1">
      <c r="A1727" s="2070"/>
      <c r="B1727" s="3092"/>
      <c r="C1727" s="3093"/>
      <c r="D1727" s="3084"/>
      <c r="E1727" s="3094"/>
      <c r="F1727" s="3095"/>
      <c r="G1727" s="2244"/>
      <c r="H1727" s="2244"/>
      <c r="I1727" s="2357"/>
    </row>
    <row r="1728" spans="1:9" s="2352" customFormat="1" ht="11.85" customHeight="1">
      <c r="A1728" s="2070"/>
      <c r="B1728" s="3092"/>
      <c r="C1728" s="3093"/>
      <c r="D1728" s="3084"/>
      <c r="E1728" s="3094"/>
      <c r="F1728" s="3095"/>
      <c r="G1728" s="2244"/>
      <c r="H1728" s="2244"/>
      <c r="I1728" s="2357"/>
    </row>
    <row r="1729" spans="1:9" s="2352" customFormat="1" ht="11.85" customHeight="1">
      <c r="A1729" s="2070"/>
      <c r="B1729" s="3092"/>
      <c r="C1729" s="3093"/>
      <c r="D1729" s="3084"/>
      <c r="E1729" s="3094"/>
      <c r="F1729" s="3095"/>
      <c r="G1729" s="2244"/>
      <c r="H1729" s="2244"/>
      <c r="I1729" s="2357"/>
    </row>
    <row r="1730" spans="1:9" s="2352" customFormat="1" ht="11.85" customHeight="1">
      <c r="A1730" s="2070"/>
      <c r="B1730" s="3092"/>
      <c r="C1730" s="3093"/>
      <c r="D1730" s="3084"/>
      <c r="E1730" s="3094"/>
      <c r="F1730" s="3095"/>
      <c r="G1730" s="2244"/>
      <c r="H1730" s="2244"/>
      <c r="I1730" s="2357"/>
    </row>
    <row r="1731" spans="1:9" s="2352" customFormat="1" ht="11.85" customHeight="1">
      <c r="A1731" s="2070"/>
      <c r="B1731" s="3092"/>
      <c r="C1731" s="3093"/>
      <c r="D1731" s="3084"/>
      <c r="E1731" s="3094"/>
      <c r="F1731" s="3095"/>
      <c r="G1731" s="2244"/>
      <c r="H1731" s="2244"/>
      <c r="I1731" s="2357"/>
    </row>
    <row r="1732" spans="1:9" s="2352" customFormat="1" ht="11.85" customHeight="1">
      <c r="A1732" s="2070"/>
      <c r="B1732" s="3092"/>
      <c r="C1732" s="3093"/>
      <c r="D1732" s="3084"/>
      <c r="E1732" s="3094"/>
      <c r="F1732" s="3095"/>
      <c r="G1732" s="2244"/>
      <c r="H1732" s="2244"/>
      <c r="I1732" s="2357"/>
    </row>
    <row r="1733" spans="1:9" s="2352" customFormat="1" ht="11.85" customHeight="1">
      <c r="A1733" s="2070"/>
      <c r="B1733" s="3092"/>
      <c r="C1733" s="3093"/>
      <c r="D1733" s="3084"/>
      <c r="E1733" s="3094"/>
      <c r="F1733" s="3095"/>
      <c r="G1733" s="2244"/>
      <c r="H1733" s="2244"/>
      <c r="I1733" s="2357"/>
    </row>
    <row r="1734" spans="1:9" s="2352" customFormat="1" ht="11.85" customHeight="1">
      <c r="A1734" s="2070"/>
      <c r="B1734" s="3092"/>
      <c r="C1734" s="3093"/>
      <c r="D1734" s="3084"/>
      <c r="E1734" s="3094"/>
      <c r="F1734" s="3095"/>
      <c r="G1734" s="2244"/>
      <c r="H1734" s="2244"/>
      <c r="I1734" s="2357"/>
    </row>
    <row r="1735" spans="1:9" s="2352" customFormat="1" ht="11.85" customHeight="1">
      <c r="A1735" s="2070"/>
      <c r="B1735" s="3092"/>
      <c r="C1735" s="3093"/>
      <c r="D1735" s="3084"/>
      <c r="E1735" s="3094"/>
      <c r="F1735" s="3095"/>
      <c r="G1735" s="2244"/>
      <c r="H1735" s="2244"/>
      <c r="I1735" s="2357"/>
    </row>
    <row r="1736" spans="1:9" s="2352" customFormat="1" ht="11.85" customHeight="1">
      <c r="A1736" s="2070"/>
      <c r="B1736" s="3092"/>
      <c r="C1736" s="3093"/>
      <c r="D1736" s="3084"/>
      <c r="E1736" s="3094"/>
      <c r="F1736" s="3095"/>
      <c r="G1736" s="2244"/>
      <c r="H1736" s="2244"/>
      <c r="I1736" s="2357"/>
    </row>
    <row r="1737" spans="1:9" s="2352" customFormat="1" ht="11.85" customHeight="1">
      <c r="A1737" s="2070"/>
      <c r="B1737" s="3092"/>
      <c r="C1737" s="3093"/>
      <c r="D1737" s="3084"/>
      <c r="E1737" s="3094"/>
      <c r="F1737" s="3095"/>
      <c r="G1737" s="2244"/>
      <c r="H1737" s="2244"/>
      <c r="I1737" s="2357"/>
    </row>
    <row r="1738" spans="1:9" s="2352" customFormat="1" ht="11.85" customHeight="1">
      <c r="A1738" s="2070"/>
      <c r="B1738" s="3092"/>
      <c r="C1738" s="3093"/>
      <c r="D1738" s="3084"/>
      <c r="E1738" s="3094"/>
      <c r="F1738" s="3095"/>
      <c r="G1738" s="2244"/>
      <c r="H1738" s="2244"/>
      <c r="I1738" s="2357"/>
    </row>
    <row r="1739" spans="1:9" s="2352" customFormat="1" ht="11.85" customHeight="1">
      <c r="A1739" s="2070"/>
      <c r="B1739" s="3092"/>
      <c r="C1739" s="3093"/>
      <c r="D1739" s="3084"/>
      <c r="E1739" s="3094"/>
      <c r="F1739" s="3095"/>
      <c r="G1739" s="2244"/>
      <c r="H1739" s="2244"/>
      <c r="I1739" s="2357"/>
    </row>
    <row r="1740" spans="1:9" s="2352" customFormat="1" ht="11.85" customHeight="1">
      <c r="A1740" s="2070"/>
      <c r="B1740" s="3092"/>
      <c r="C1740" s="3093"/>
      <c r="D1740" s="3084"/>
      <c r="E1740" s="3094"/>
      <c r="F1740" s="3095"/>
      <c r="G1740" s="2244"/>
      <c r="H1740" s="2244"/>
      <c r="I1740" s="2357"/>
    </row>
    <row r="1741" spans="1:9" s="2352" customFormat="1" ht="11.85" customHeight="1">
      <c r="A1741" s="2070"/>
      <c r="B1741" s="3092"/>
      <c r="C1741" s="3093"/>
      <c r="D1741" s="3084"/>
      <c r="E1741" s="3094"/>
      <c r="F1741" s="3095"/>
      <c r="G1741" s="2244"/>
      <c r="H1741" s="2244"/>
      <c r="I1741" s="2357"/>
    </row>
    <row r="1742" spans="1:9" s="2352" customFormat="1" ht="11.85" customHeight="1">
      <c r="A1742" s="2070"/>
      <c r="B1742" s="3092"/>
      <c r="C1742" s="3093"/>
      <c r="D1742" s="3084"/>
      <c r="E1742" s="3094"/>
      <c r="F1742" s="3095"/>
      <c r="G1742" s="2244"/>
      <c r="H1742" s="2244"/>
      <c r="I1742" s="2357"/>
    </row>
    <row r="1743" spans="1:9" s="2352" customFormat="1" ht="11.85" customHeight="1">
      <c r="A1743" s="2070"/>
      <c r="B1743" s="3092"/>
      <c r="C1743" s="3093"/>
      <c r="D1743" s="3084"/>
      <c r="E1743" s="3094"/>
      <c r="F1743" s="3095"/>
      <c r="G1743" s="2244"/>
      <c r="H1743" s="2244"/>
      <c r="I1743" s="2357"/>
    </row>
    <row r="1744" spans="1:9" s="2352" customFormat="1" ht="11.85" customHeight="1">
      <c r="A1744" s="2070"/>
      <c r="B1744" s="3092"/>
      <c r="C1744" s="3093"/>
      <c r="D1744" s="3084"/>
      <c r="E1744" s="3094"/>
      <c r="F1744" s="3095"/>
      <c r="G1744" s="2244"/>
      <c r="H1744" s="2244"/>
      <c r="I1744" s="2357"/>
    </row>
    <row r="1745" spans="1:9" s="2352" customFormat="1" ht="11.85" customHeight="1">
      <c r="A1745" s="2070"/>
      <c r="B1745" s="3092"/>
      <c r="C1745" s="3093"/>
      <c r="D1745" s="3084"/>
      <c r="E1745" s="3094"/>
      <c r="F1745" s="3095"/>
      <c r="G1745" s="2244"/>
      <c r="H1745" s="2244"/>
      <c r="I1745" s="2357"/>
    </row>
    <row r="1746" spans="1:9" s="2352" customFormat="1" ht="11.85" customHeight="1">
      <c r="A1746" s="2070"/>
      <c r="B1746" s="3092"/>
      <c r="C1746" s="3093"/>
      <c r="D1746" s="3084"/>
      <c r="E1746" s="3094"/>
      <c r="F1746" s="3095"/>
      <c r="G1746" s="2244"/>
      <c r="H1746" s="2244"/>
      <c r="I1746" s="2357"/>
    </row>
    <row r="1747" spans="1:9" s="2352" customFormat="1" ht="11.85" customHeight="1">
      <c r="A1747" s="2070"/>
      <c r="B1747" s="3092"/>
      <c r="C1747" s="3093"/>
      <c r="D1747" s="3084"/>
      <c r="E1747" s="3094"/>
      <c r="F1747" s="3095"/>
      <c r="G1747" s="2244"/>
      <c r="H1747" s="2244"/>
      <c r="I1747" s="2357"/>
    </row>
    <row r="1748" spans="1:9" s="2352" customFormat="1" ht="11.85" customHeight="1">
      <c r="A1748" s="2070"/>
      <c r="B1748" s="3092"/>
      <c r="C1748" s="3093"/>
      <c r="D1748" s="3084"/>
      <c r="E1748" s="3094"/>
      <c r="F1748" s="3095"/>
      <c r="G1748" s="2244"/>
      <c r="H1748" s="2244"/>
      <c r="I1748" s="2357"/>
    </row>
    <row r="1749" spans="1:9" s="2352" customFormat="1" ht="11.85" customHeight="1">
      <c r="A1749" s="2070"/>
      <c r="B1749" s="3090"/>
      <c r="C1749" s="3090"/>
      <c r="D1749" s="3090"/>
      <c r="E1749" s="3090"/>
      <c r="F1749" s="3096"/>
      <c r="G1749" s="2244"/>
      <c r="H1749" s="2244"/>
      <c r="I1749" s="2357"/>
    </row>
    <row r="1750" spans="1:9" s="2352" customFormat="1" ht="11.85" customHeight="1">
      <c r="A1750" s="2070"/>
      <c r="B1750" s="2070"/>
      <c r="C1750" s="2093"/>
      <c r="D1750" s="2094"/>
      <c r="E1750" s="2093"/>
      <c r="F1750" s="2093"/>
      <c r="G1750" s="2244"/>
      <c r="H1750" s="2244"/>
      <c r="I1750" s="2357"/>
    </row>
    <row r="1751" spans="1:9" s="2352" customFormat="1" ht="11.85" customHeight="1">
      <c r="A1751" s="2070"/>
      <c r="B1751" s="2471"/>
      <c r="C1751" s="3090"/>
      <c r="D1751" s="3090"/>
      <c r="E1751" s="3090"/>
      <c r="F1751" s="3090"/>
      <c r="G1751" s="2244"/>
      <c r="H1751" s="2244"/>
      <c r="I1751" s="2357"/>
    </row>
    <row r="1752" spans="1:9" s="2352" customFormat="1" ht="11.85" customHeight="1">
      <c r="A1752" s="2070"/>
      <c r="B1752" s="3092"/>
      <c r="C1752" s="3093"/>
      <c r="D1752" s="3084"/>
      <c r="E1752" s="3094"/>
      <c r="F1752" s="3095"/>
      <c r="G1752" s="2244"/>
      <c r="H1752" s="2244"/>
      <c r="I1752" s="2357"/>
    </row>
    <row r="1753" spans="1:9" s="2352" customFormat="1" ht="11.85" customHeight="1">
      <c r="A1753" s="2070"/>
      <c r="B1753" s="3092"/>
      <c r="C1753" s="3093"/>
      <c r="D1753" s="3084"/>
      <c r="E1753" s="3094"/>
      <c r="F1753" s="3095"/>
      <c r="G1753" s="2244"/>
      <c r="H1753" s="2244"/>
      <c r="I1753" s="2357"/>
    </row>
    <row r="1754" spans="1:9" s="2352" customFormat="1" ht="11.85" customHeight="1">
      <c r="A1754" s="2070"/>
      <c r="B1754" s="3092"/>
      <c r="C1754" s="3093"/>
      <c r="D1754" s="3084"/>
      <c r="E1754" s="3094"/>
      <c r="F1754" s="3095"/>
      <c r="G1754" s="2244"/>
      <c r="H1754" s="2244"/>
      <c r="I1754" s="2357"/>
    </row>
    <row r="1755" spans="1:9" s="2352" customFormat="1" ht="11.85" customHeight="1">
      <c r="A1755" s="2070"/>
      <c r="B1755" s="3092"/>
      <c r="C1755" s="3093"/>
      <c r="D1755" s="3084"/>
      <c r="E1755" s="3094"/>
      <c r="F1755" s="3095"/>
      <c r="G1755" s="2244"/>
      <c r="H1755" s="2244"/>
      <c r="I1755" s="2357"/>
    </row>
    <row r="1756" spans="1:9" s="2352" customFormat="1" ht="11.85" customHeight="1">
      <c r="A1756" s="2070"/>
      <c r="B1756" s="3092"/>
      <c r="C1756" s="3093"/>
      <c r="D1756" s="3084"/>
      <c r="E1756" s="3094"/>
      <c r="F1756" s="3095"/>
      <c r="G1756" s="2244"/>
      <c r="H1756" s="2244"/>
      <c r="I1756" s="2357"/>
    </row>
    <row r="1757" spans="1:9" s="2352" customFormat="1" ht="11.85" customHeight="1">
      <c r="A1757" s="2070"/>
      <c r="B1757" s="3092"/>
      <c r="C1757" s="3093"/>
      <c r="D1757" s="3084"/>
      <c r="E1757" s="3094"/>
      <c r="F1757" s="3095"/>
      <c r="G1757" s="2244"/>
      <c r="H1757" s="2244"/>
      <c r="I1757" s="2357"/>
    </row>
    <row r="1758" spans="1:9" s="2352" customFormat="1" ht="11.85" customHeight="1">
      <c r="A1758" s="2070"/>
      <c r="B1758" s="3092"/>
      <c r="C1758" s="3093"/>
      <c r="D1758" s="3084"/>
      <c r="E1758" s="3094"/>
      <c r="F1758" s="3095"/>
      <c r="G1758" s="2244"/>
      <c r="H1758" s="2244"/>
      <c r="I1758" s="2357"/>
    </row>
    <row r="1759" spans="1:9" s="2352" customFormat="1" ht="11.85" customHeight="1">
      <c r="A1759" s="2070"/>
      <c r="B1759" s="3092"/>
      <c r="C1759" s="3093"/>
      <c r="D1759" s="3084"/>
      <c r="E1759" s="3094"/>
      <c r="F1759" s="3095"/>
      <c r="G1759" s="2244"/>
      <c r="H1759" s="2244"/>
      <c r="I1759" s="2357"/>
    </row>
    <row r="1760" spans="1:9" s="2352" customFormat="1" ht="11.85" customHeight="1">
      <c r="A1760" s="2070"/>
      <c r="B1760" s="3090"/>
      <c r="C1760" s="3090"/>
      <c r="D1760" s="3090"/>
      <c r="E1760" s="3090"/>
      <c r="F1760" s="3091"/>
      <c r="G1760" s="2244"/>
      <c r="H1760" s="2244"/>
      <c r="I1760" s="2357"/>
    </row>
    <row r="1761" spans="1:9" s="2352" customFormat="1" ht="11.85" customHeight="1">
      <c r="A1761" s="2070"/>
      <c r="B1761" s="2070"/>
      <c r="C1761" s="2093"/>
      <c r="D1761" s="2094"/>
      <c r="E1761" s="2093"/>
      <c r="F1761" s="2093"/>
      <c r="G1761" s="2244"/>
      <c r="H1761" s="2244"/>
      <c r="I1761" s="2357"/>
    </row>
    <row r="1762" spans="1:9" s="2352" customFormat="1" ht="11.85" customHeight="1" thickBot="1">
      <c r="A1762" s="2070"/>
      <c r="B1762" s="2684"/>
      <c r="C1762" s="3097"/>
      <c r="D1762" s="3097"/>
      <c r="E1762" s="3097"/>
      <c r="F1762" s="3098"/>
      <c r="G1762" s="2244"/>
      <c r="H1762" s="2244"/>
      <c r="I1762" s="2357"/>
    </row>
    <row r="1763" spans="1:9" s="2352" customFormat="1" ht="11.85" customHeight="1" thickTop="1" thickBot="1">
      <c r="A1763" s="2070"/>
      <c r="B1763" s="2759"/>
      <c r="C1763" s="2048"/>
      <c r="D1763" s="2145"/>
      <c r="E1763" s="2048"/>
      <c r="F1763" s="2524"/>
      <c r="G1763" s="2244"/>
      <c r="H1763" s="2244"/>
      <c r="I1763" s="2357"/>
    </row>
    <row r="1764" spans="1:9" s="2352" customFormat="1" ht="11.85" customHeight="1" thickTop="1" thickBot="1">
      <c r="A1764" s="2070"/>
      <c r="B1764" s="2107"/>
      <c r="C1764" s="2052"/>
      <c r="D1764" s="2146"/>
      <c r="E1764" s="2052"/>
      <c r="F1764" s="2524"/>
      <c r="G1764" s="2244"/>
      <c r="H1764" s="2244"/>
      <c r="I1764" s="2357"/>
    </row>
    <row r="1765" spans="1:9" s="2352" customFormat="1" ht="11.85" customHeight="1" thickTop="1" thickBot="1">
      <c r="A1765" s="2070"/>
      <c r="B1765" s="2107"/>
      <c r="C1765" s="2052"/>
      <c r="D1765" s="2146"/>
      <c r="E1765" s="2052"/>
      <c r="F1765" s="2524"/>
      <c r="G1765" s="2244"/>
      <c r="H1765" s="2244"/>
      <c r="I1765" s="2357"/>
    </row>
    <row r="1766" spans="1:9" s="2352" customFormat="1" ht="11.85" customHeight="1" thickTop="1" thickBot="1">
      <c r="A1766" s="2070"/>
      <c r="B1766" s="2759"/>
      <c r="C1766" s="2048"/>
      <c r="D1766" s="2145"/>
      <c r="E1766" s="2048"/>
      <c r="F1766" s="2524"/>
      <c r="G1766" s="2244"/>
      <c r="H1766" s="2244"/>
      <c r="I1766" s="2357"/>
    </row>
    <row r="1767" spans="1:9" s="2352" customFormat="1" ht="11.85" customHeight="1" thickTop="1">
      <c r="A1767" s="2070"/>
      <c r="B1767" s="2107"/>
      <c r="C1767" s="2052"/>
      <c r="D1767" s="2146"/>
      <c r="E1767" s="2052"/>
      <c r="F1767" s="2524"/>
      <c r="G1767" s="2244"/>
      <c r="H1767" s="2244"/>
      <c r="I1767" s="2357"/>
    </row>
    <row r="1768" spans="1:9" s="2352" customFormat="1" ht="11.85" customHeight="1">
      <c r="A1768" s="2070"/>
      <c r="B1768" s="2107"/>
      <c r="C1768" s="2052"/>
      <c r="D1768" s="2146"/>
      <c r="E1768" s="2052"/>
      <c r="F1768" s="3099"/>
      <c r="G1768" s="2244"/>
      <c r="H1768" s="2244"/>
      <c r="I1768" s="2357"/>
    </row>
    <row r="1769" spans="1:9" s="2352" customFormat="1" ht="11.85" customHeight="1">
      <c r="A1769" s="2070"/>
      <c r="B1769" s="2070"/>
      <c r="C1769" s="2093"/>
      <c r="D1769" s="2094"/>
      <c r="E1769" s="2093"/>
      <c r="F1769" s="2093"/>
      <c r="G1769" s="2244"/>
      <c r="H1769" s="2244"/>
      <c r="I1769" s="2357"/>
    </row>
    <row r="1770" spans="1:9" s="2352" customFormat="1" ht="11.85" customHeight="1">
      <c r="A1770" s="2070"/>
      <c r="B1770" s="2070"/>
      <c r="C1770" s="2093"/>
      <c r="D1770" s="2094"/>
      <c r="E1770" s="2093"/>
      <c r="F1770" s="2093"/>
      <c r="G1770" s="2244"/>
      <c r="H1770" s="2244"/>
      <c r="I1770" s="2357"/>
    </row>
    <row r="1771" spans="1:9" s="2352" customFormat="1" ht="11.85" customHeight="1">
      <c r="A1771" s="2070"/>
      <c r="B1771" s="2560"/>
      <c r="C1771" s="2161"/>
      <c r="D1771" s="2162"/>
      <c r="E1771" s="2161"/>
      <c r="F1771" s="2161"/>
      <c r="G1771" s="2244"/>
      <c r="H1771" s="2244"/>
      <c r="I1771" s="2357"/>
    </row>
    <row r="1772" spans="1:9" s="2352" customFormat="1" ht="11.85" customHeight="1" thickBot="1">
      <c r="A1772" s="2070"/>
      <c r="B1772" s="2666"/>
      <c r="C1772" s="2666"/>
      <c r="D1772" s="2666"/>
      <c r="E1772" s="2666"/>
      <c r="F1772" s="2667"/>
      <c r="G1772" s="2244"/>
      <c r="H1772" s="2244"/>
      <c r="I1772" s="2357"/>
    </row>
    <row r="1773" spans="1:9" s="2352" customFormat="1" ht="11.85" customHeight="1" thickTop="1">
      <c r="A1773" s="2070"/>
      <c r="B1773" s="3100"/>
      <c r="C1773" s="2669"/>
      <c r="D1773" s="2597"/>
      <c r="E1773" s="2669"/>
      <c r="F1773" s="2670"/>
      <c r="G1773" s="2244"/>
      <c r="H1773" s="2244"/>
      <c r="I1773" s="2357"/>
    </row>
    <row r="1774" spans="1:9" s="2352" customFormat="1" ht="11.85" customHeight="1">
      <c r="A1774" s="2070"/>
      <c r="B1774" s="2671"/>
      <c r="C1774" s="2672"/>
      <c r="D1774" s="2673"/>
      <c r="E1774" s="2672"/>
      <c r="F1774" s="2674"/>
      <c r="G1774" s="2244"/>
      <c r="H1774" s="2244"/>
      <c r="I1774" s="2357"/>
    </row>
    <row r="1775" spans="1:9" s="2352" customFormat="1" ht="11.85" customHeight="1">
      <c r="A1775" s="2070"/>
      <c r="B1775" s="2675"/>
      <c r="C1775" s="2672"/>
      <c r="D1775" s="2673"/>
      <c r="E1775" s="2672"/>
      <c r="F1775" s="2674"/>
      <c r="G1775" s="2244"/>
      <c r="H1775" s="2244"/>
      <c r="I1775" s="2357"/>
    </row>
    <row r="1776" spans="1:9" s="2352" customFormat="1" ht="11.85" customHeight="1">
      <c r="A1776" s="2070"/>
      <c r="B1776" s="2675"/>
      <c r="C1776" s="2672"/>
      <c r="D1776" s="2673"/>
      <c r="E1776" s="2672"/>
      <c r="F1776" s="2674"/>
      <c r="G1776" s="2244"/>
      <c r="H1776" s="2244"/>
      <c r="I1776" s="2357"/>
    </row>
    <row r="1777" spans="1:9" s="2352" customFormat="1" ht="11.85" customHeight="1">
      <c r="A1777" s="2070"/>
      <c r="B1777" s="2676"/>
      <c r="C1777" s="2672"/>
      <c r="D1777" s="2673"/>
      <c r="E1777" s="2672"/>
      <c r="F1777" s="2674"/>
      <c r="G1777" s="2244"/>
      <c r="H1777" s="2244"/>
      <c r="I1777" s="2357"/>
    </row>
    <row r="1778" spans="1:9" s="2352" customFormat="1" ht="11.85" customHeight="1">
      <c r="A1778" s="2070"/>
      <c r="B1778" s="2671"/>
      <c r="C1778" s="2672"/>
      <c r="D1778" s="2673"/>
      <c r="E1778" s="2678"/>
      <c r="F1778" s="2679"/>
      <c r="G1778" s="2244"/>
      <c r="H1778" s="2244"/>
      <c r="I1778" s="2357"/>
    </row>
    <row r="1779" spans="1:9" s="2352" customFormat="1" ht="11.85" customHeight="1">
      <c r="A1779" s="2070"/>
      <c r="B1779" s="2680"/>
      <c r="C1779" s="2681"/>
      <c r="D1779" s="2682"/>
      <c r="E1779" s="2683"/>
      <c r="F1779" s="3101"/>
      <c r="G1779" s="2244"/>
      <c r="H1779" s="2244"/>
      <c r="I1779" s="2357"/>
    </row>
    <row r="1780" spans="1:9" s="2352" customFormat="1" ht="11.85" customHeight="1">
      <c r="A1780" s="2070"/>
      <c r="B1780" s="3102"/>
      <c r="C1780" s="2567"/>
      <c r="D1780" s="2682"/>
      <c r="E1780" s="2683"/>
      <c r="F1780" s="3103"/>
      <c r="G1780" s="2244"/>
      <c r="H1780" s="2244"/>
      <c r="I1780" s="2357"/>
    </row>
    <row r="1781" spans="1:9" s="2352" customFormat="1" ht="11.85" customHeight="1">
      <c r="A1781" s="2070"/>
      <c r="B1781" s="2070"/>
      <c r="C1781" s="2093"/>
      <c r="D1781" s="2094"/>
      <c r="E1781" s="2093"/>
      <c r="F1781" s="2093"/>
      <c r="G1781" s="2244"/>
      <c r="H1781" s="2244"/>
      <c r="I1781" s="2357"/>
    </row>
    <row r="1782" spans="1:9" s="2352" customFormat="1" ht="11.85" customHeight="1">
      <c r="A1782" s="2070"/>
      <c r="B1782" s="2505"/>
      <c r="C1782" s="2583"/>
      <c r="D1782" s="2472"/>
      <c r="E1782" s="2472"/>
      <c r="F1782" s="2472"/>
      <c r="G1782" s="2244"/>
      <c r="H1782" s="2244"/>
      <c r="I1782" s="2357"/>
    </row>
    <row r="1783" spans="1:9" s="2352" customFormat="1" ht="11.85" customHeight="1">
      <c r="A1783" s="2070"/>
      <c r="B1783" s="2715"/>
      <c r="C1783" s="2589"/>
      <c r="D1783" s="2716"/>
      <c r="E1783" s="2717"/>
      <c r="F1783" s="2718"/>
      <c r="G1783" s="2244"/>
      <c r="H1783" s="2244"/>
      <c r="I1783" s="2357"/>
    </row>
    <row r="1784" spans="1:9" s="2352" customFormat="1" ht="11.85" customHeight="1">
      <c r="A1784" s="2070"/>
      <c r="B1784" s="2675"/>
      <c r="C1784" s="2589"/>
      <c r="D1784" s="2716"/>
      <c r="E1784" s="2717"/>
      <c r="F1784" s="2718"/>
      <c r="G1784" s="2244"/>
      <c r="H1784" s="2244"/>
      <c r="I1784" s="2357"/>
    </row>
    <row r="1785" spans="1:9" s="2352" customFormat="1" ht="11.85" customHeight="1">
      <c r="A1785" s="2070"/>
      <c r="B1785" s="2427"/>
      <c r="C1785" s="2589"/>
      <c r="D1785" s="2716"/>
      <c r="E1785" s="2717"/>
      <c r="F1785" s="2718"/>
      <c r="G1785" s="2244"/>
      <c r="H1785" s="2244"/>
      <c r="I1785" s="2357"/>
    </row>
    <row r="1786" spans="1:9" s="2352" customFormat="1" ht="11.85" customHeight="1">
      <c r="A1786" s="2070"/>
      <c r="B1786" s="2605"/>
      <c r="C1786" s="2589"/>
      <c r="D1786" s="2719"/>
      <c r="E1786" s="2717"/>
      <c r="F1786" s="2718"/>
      <c r="G1786" s="2244"/>
      <c r="H1786" s="2244"/>
      <c r="I1786" s="2357"/>
    </row>
    <row r="1787" spans="1:9" s="2352" customFormat="1" ht="11.85" customHeight="1">
      <c r="A1787" s="2070"/>
      <c r="B1787" s="2605"/>
      <c r="C1787" s="2589"/>
      <c r="D1787" s="2719"/>
      <c r="E1787" s="2717"/>
      <c r="F1787" s="2720"/>
      <c r="G1787" s="2244"/>
      <c r="H1787" s="2244"/>
      <c r="I1787" s="2357"/>
    </row>
    <row r="1788" spans="1:9" s="2352" customFormat="1" ht="11.85" customHeight="1">
      <c r="A1788" s="2070"/>
      <c r="B1788" s="2721"/>
      <c r="C1788" s="2589"/>
      <c r="D1788" s="2719"/>
      <c r="E1788" s="2722"/>
      <c r="F1788" s="2720"/>
      <c r="G1788" s="2244"/>
      <c r="H1788" s="2244"/>
      <c r="I1788" s="2357"/>
    </row>
    <row r="1789" spans="1:9" s="2352" customFormat="1" ht="11.85" customHeight="1">
      <c r="A1789" s="2070"/>
      <c r="B1789" s="2723"/>
      <c r="C1789" s="2724"/>
      <c r="D1789" s="2719"/>
      <c r="E1789" s="2725"/>
      <c r="F1789" s="2720"/>
      <c r="G1789" s="2244"/>
      <c r="H1789" s="2244"/>
      <c r="I1789" s="2357"/>
    </row>
    <row r="1790" spans="1:9" s="2352" customFormat="1" ht="11.85" customHeight="1">
      <c r="A1790" s="2070"/>
      <c r="B1790" s="3104"/>
      <c r="C1790" s="3105"/>
      <c r="D1790" s="3106"/>
      <c r="E1790" s="3107"/>
      <c r="F1790" s="3108"/>
      <c r="G1790" s="2244"/>
      <c r="H1790" s="2244"/>
      <c r="I1790" s="2357"/>
    </row>
    <row r="1791" spans="1:9" s="2352" customFormat="1" ht="11.85" customHeight="1">
      <c r="A1791" s="2070"/>
      <c r="B1791" s="2070"/>
      <c r="C1791" s="2093"/>
      <c r="D1791" s="2094"/>
      <c r="E1791" s="2093"/>
      <c r="F1791" s="2093"/>
      <c r="G1791" s="2244"/>
      <c r="H1791" s="2244"/>
      <c r="I1791" s="2357"/>
    </row>
    <row r="1792" spans="1:9" s="2352" customFormat="1" ht="11.85" customHeight="1">
      <c r="A1792" s="2070"/>
      <c r="B1792" s="2505"/>
      <c r="C1792" s="2583"/>
      <c r="D1792" s="2472"/>
      <c r="E1792" s="2472"/>
      <c r="F1792" s="2472"/>
      <c r="G1792" s="2244"/>
      <c r="H1792" s="2244"/>
      <c r="I1792" s="2357"/>
    </row>
    <row r="1793" spans="1:9" s="2352" customFormat="1" ht="11.85" customHeight="1">
      <c r="A1793" s="2070"/>
      <c r="B1793" s="2605"/>
      <c r="C1793" s="2589"/>
      <c r="D1793" s="2716"/>
      <c r="E1793" s="2717"/>
      <c r="F1793" s="2718"/>
      <c r="G1793" s="2244"/>
      <c r="H1793" s="2244"/>
      <c r="I1793" s="2357"/>
    </row>
    <row r="1794" spans="1:9" s="2352" customFormat="1" ht="11.85" customHeight="1">
      <c r="A1794" s="2070"/>
      <c r="B1794" s="2605"/>
      <c r="C1794" s="2589"/>
      <c r="D1794" s="2716"/>
      <c r="E1794" s="2717"/>
      <c r="F1794" s="2718"/>
      <c r="G1794" s="2244"/>
      <c r="H1794" s="2244"/>
      <c r="I1794" s="2357"/>
    </row>
    <row r="1795" spans="1:9" s="2352" customFormat="1" ht="11.85" customHeight="1">
      <c r="A1795" s="2070"/>
      <c r="B1795" s="2427"/>
      <c r="C1795" s="2589"/>
      <c r="D1795" s="2716"/>
      <c r="E1795" s="2717"/>
      <c r="F1795" s="2718"/>
      <c r="G1795" s="2244"/>
      <c r="H1795" s="2244"/>
      <c r="I1795" s="2357"/>
    </row>
    <row r="1796" spans="1:9" s="2352" customFormat="1" ht="11.85" customHeight="1">
      <c r="A1796" s="2070"/>
      <c r="B1796" s="2605"/>
      <c r="C1796" s="2589"/>
      <c r="D1796" s="2719"/>
      <c r="E1796" s="2717"/>
      <c r="F1796" s="2718"/>
      <c r="G1796" s="2244"/>
      <c r="H1796" s="2244"/>
      <c r="I1796" s="2357"/>
    </row>
    <row r="1797" spans="1:9" s="2352" customFormat="1" ht="11.85" customHeight="1">
      <c r="A1797" s="2070"/>
      <c r="B1797" s="2605"/>
      <c r="C1797" s="2589"/>
      <c r="D1797" s="2719"/>
      <c r="E1797" s="3109"/>
      <c r="F1797" s="2720"/>
      <c r="G1797" s="2244"/>
      <c r="H1797" s="2244"/>
      <c r="I1797" s="2357"/>
    </row>
    <row r="1798" spans="1:9" s="2352" customFormat="1" ht="11.85" customHeight="1">
      <c r="A1798" s="2070"/>
      <c r="B1798" s="3104"/>
      <c r="C1798" s="3110"/>
      <c r="D1798" s="3106"/>
      <c r="E1798" s="3107"/>
      <c r="F1798" s="3108"/>
      <c r="G1798" s="2244"/>
      <c r="H1798" s="2244"/>
      <c r="I1798" s="2357"/>
    </row>
    <row r="1799" spans="1:9" s="2352" customFormat="1" ht="11.85" customHeight="1">
      <c r="A1799" s="2070"/>
      <c r="B1799" s="2723"/>
      <c r="C1799" s="2732"/>
      <c r="D1799" s="3111"/>
      <c r="E1799" s="2725"/>
      <c r="F1799" s="3112"/>
      <c r="G1799" s="2244"/>
      <c r="H1799" s="2244"/>
      <c r="I1799" s="2357"/>
    </row>
    <row r="1800" spans="1:9" s="2352" customFormat="1" ht="11.85" customHeight="1">
      <c r="A1800" s="2070"/>
      <c r="B1800" s="2147"/>
      <c r="C1800" s="2250"/>
      <c r="D1800" s="2728"/>
      <c r="E1800" s="2250"/>
      <c r="F1800" s="2250"/>
      <c r="G1800" s="2244"/>
      <c r="H1800" s="2244"/>
      <c r="I1800" s="2357"/>
    </row>
    <row r="1801" spans="1:9" s="2352" customFormat="1" ht="11.85" customHeight="1">
      <c r="A1801" s="2070"/>
      <c r="B1801" s="2147"/>
      <c r="C1801" s="2250"/>
      <c r="D1801" s="2728"/>
      <c r="E1801" s="2250"/>
      <c r="F1801" s="2250"/>
      <c r="G1801" s="2244"/>
      <c r="H1801" s="2244"/>
      <c r="I1801" s="2357"/>
    </row>
    <row r="1802" spans="1:9" s="2352" customFormat="1" ht="11.85" customHeight="1">
      <c r="A1802" s="2070"/>
      <c r="B1802" s="2147"/>
      <c r="C1802" s="2093"/>
      <c r="D1802" s="2094"/>
      <c r="E1802" s="2093"/>
      <c r="F1802" s="2093"/>
      <c r="G1802" s="2244"/>
      <c r="H1802" s="2244"/>
      <c r="I1802" s="2357"/>
    </row>
    <row r="1803" spans="1:9" s="2352" customFormat="1" ht="11.85" customHeight="1">
      <c r="A1803" s="2070"/>
      <c r="B1803" s="2729"/>
      <c r="C1803" s="2589"/>
      <c r="D1803" s="2730"/>
      <c r="E1803" s="2717"/>
      <c r="F1803" s="2718"/>
      <c r="G1803" s="2244"/>
      <c r="H1803" s="2244"/>
      <c r="I1803" s="2357"/>
    </row>
    <row r="1804" spans="1:9" s="2352" customFormat="1" ht="11.85" customHeight="1">
      <c r="A1804" s="2070"/>
      <c r="B1804" s="2731"/>
      <c r="C1804" s="2589"/>
      <c r="D1804" s="2716"/>
      <c r="E1804" s="2717"/>
      <c r="F1804" s="2718"/>
      <c r="G1804" s="2244"/>
      <c r="H1804" s="2244"/>
      <c r="I1804" s="2357"/>
    </row>
    <row r="1805" spans="1:9" s="2352" customFormat="1" ht="11.85" customHeight="1">
      <c r="A1805" s="2070"/>
      <c r="B1805" s="2605"/>
      <c r="C1805" s="2589"/>
      <c r="D1805" s="2719"/>
      <c r="E1805" s="2732"/>
      <c r="F1805" s="2720"/>
      <c r="G1805" s="2244"/>
      <c r="H1805" s="2244"/>
      <c r="I1805" s="2357"/>
    </row>
    <row r="1806" spans="1:9" s="2352" customFormat="1" ht="11.85" customHeight="1">
      <c r="A1806" s="2070"/>
      <c r="B1806" s="2070"/>
      <c r="C1806" s="2093"/>
      <c r="D1806" s="2094"/>
      <c r="E1806" s="2093"/>
      <c r="F1806" s="2093"/>
      <c r="G1806" s="2244"/>
      <c r="H1806" s="2244"/>
      <c r="I1806" s="2357"/>
    </row>
    <row r="1807" spans="1:9" s="2352" customFormat="1" ht="11.85" customHeight="1">
      <c r="A1807" s="2070"/>
      <c r="B1807" s="3113"/>
      <c r="C1807" s="3114"/>
      <c r="D1807" s="3115"/>
      <c r="E1807" s="3114"/>
      <c r="F1807" s="3116"/>
      <c r="G1807" s="2244"/>
      <c r="H1807" s="2244"/>
      <c r="I1807" s="2357"/>
    </row>
    <row r="1808" spans="1:9" s="2352" customFormat="1" ht="11.85" customHeight="1">
      <c r="A1808" s="2070"/>
      <c r="B1808" s="3117"/>
      <c r="C1808" s="3117"/>
      <c r="D1808" s="3118"/>
      <c r="E1808" s="3117"/>
      <c r="F1808" s="3119"/>
      <c r="G1808" s="2244"/>
      <c r="H1808" s="2244"/>
      <c r="I1808" s="2357"/>
    </row>
    <row r="1809" spans="1:9" s="2352" customFormat="1" ht="11.85" customHeight="1">
      <c r="A1809" s="2070"/>
      <c r="B1809" s="3120"/>
      <c r="C1809" s="3117"/>
      <c r="D1809" s="3118"/>
      <c r="E1809" s="3117"/>
      <c r="F1809" s="3119"/>
      <c r="G1809" s="2244"/>
      <c r="H1809" s="2244"/>
      <c r="I1809" s="2357"/>
    </row>
    <row r="1810" spans="1:9" s="2352" customFormat="1" ht="11.85" customHeight="1">
      <c r="A1810" s="2070"/>
      <c r="B1810" s="3117"/>
      <c r="C1810" s="3117"/>
      <c r="D1810" s="3118"/>
      <c r="E1810" s="3117"/>
      <c r="F1810" s="3119"/>
      <c r="G1810" s="2244"/>
      <c r="H1810" s="2244"/>
      <c r="I1810" s="2357"/>
    </row>
    <row r="1811" spans="1:9" s="2352" customFormat="1" ht="11.85" customHeight="1">
      <c r="A1811" s="2070"/>
      <c r="B1811" s="3120"/>
      <c r="C1811" s="3117"/>
      <c r="D1811" s="3118"/>
      <c r="E1811" s="3117"/>
      <c r="F1811" s="3119"/>
      <c r="G1811" s="2244"/>
      <c r="H1811" s="2244"/>
      <c r="I1811" s="2357"/>
    </row>
    <row r="1812" spans="1:9" s="2352" customFormat="1" ht="11.85" customHeight="1">
      <c r="A1812" s="2070"/>
      <c r="B1812" s="3117"/>
      <c r="C1812" s="3117"/>
      <c r="D1812" s="3118"/>
      <c r="E1812" s="3117"/>
      <c r="F1812" s="3119"/>
      <c r="G1812" s="2244"/>
      <c r="H1812" s="2244"/>
      <c r="I1812" s="2357"/>
    </row>
    <row r="1813" spans="1:9" s="2352" customFormat="1" ht="11.85" customHeight="1">
      <c r="A1813" s="2070"/>
      <c r="B1813" s="3117"/>
      <c r="C1813" s="3121"/>
      <c r="D1813" s="3121"/>
      <c r="E1813" s="3117"/>
      <c r="F1813" s="3119"/>
      <c r="G1813" s="2244"/>
      <c r="H1813" s="2244"/>
      <c r="I1813" s="2357"/>
    </row>
    <row r="1814" spans="1:9" s="2352" customFormat="1" ht="11.85" customHeight="1">
      <c r="A1814" s="2070"/>
      <c r="B1814" s="3117"/>
      <c r="C1814" s="3122"/>
      <c r="D1814" s="3122"/>
      <c r="E1814" s="3122"/>
      <c r="F1814" s="3119"/>
      <c r="G1814" s="2244"/>
      <c r="H1814" s="2244"/>
      <c r="I1814" s="2357"/>
    </row>
    <row r="1815" spans="1:9" s="2352" customFormat="1" ht="11.85" customHeight="1">
      <c r="A1815" s="2070"/>
      <c r="B1815" s="3114"/>
      <c r="C1815" s="5205"/>
      <c r="D1815" s="5206"/>
      <c r="E1815" s="5207"/>
      <c r="F1815" s="3119"/>
      <c r="G1815" s="2244"/>
      <c r="H1815" s="2244"/>
      <c r="I1815" s="2357"/>
    </row>
    <row r="1816" spans="1:9" s="2352" customFormat="1" ht="11.85" customHeight="1">
      <c r="A1816" s="2070"/>
      <c r="B1816" s="3114"/>
      <c r="C1816" s="5205"/>
      <c r="D1816" s="5206"/>
      <c r="E1816" s="5207"/>
      <c r="F1816" s="3119"/>
      <c r="G1816" s="2244"/>
      <c r="H1816" s="2244"/>
      <c r="I1816" s="2357"/>
    </row>
    <row r="1817" spans="1:9" s="2352" customFormat="1" ht="11.85" customHeight="1">
      <c r="A1817" s="2070"/>
      <c r="B1817" s="3114"/>
      <c r="C1817" s="5208"/>
      <c r="D1817" s="5209"/>
      <c r="E1817" s="5210"/>
      <c r="F1817" s="3123"/>
      <c r="G1817" s="2244"/>
      <c r="H1817" s="2244"/>
      <c r="I1817" s="2357"/>
    </row>
    <row r="1818" spans="1:9" s="2352" customFormat="1" ht="11.85" customHeight="1">
      <c r="A1818" s="2070"/>
      <c r="B1818" s="8"/>
      <c r="C1818" s="5208"/>
      <c r="D1818" s="5209"/>
      <c r="E1818" s="5210"/>
      <c r="F1818" s="3123"/>
      <c r="G1818" s="2244"/>
      <c r="H1818" s="2244"/>
      <c r="I1818" s="2357"/>
    </row>
    <row r="1819" spans="1:9" s="2352" customFormat="1" ht="11.85" customHeight="1">
      <c r="A1819" s="2070"/>
      <c r="B1819" s="8"/>
      <c r="C1819" s="3124"/>
      <c r="D1819" s="3124"/>
      <c r="E1819" s="3124"/>
      <c r="F1819" s="3125"/>
      <c r="G1819" s="2244"/>
      <c r="H1819" s="2244"/>
      <c r="I1819" s="2357"/>
    </row>
    <row r="1820" spans="1:9" s="2352" customFormat="1" ht="11.85" customHeight="1">
      <c r="A1820" s="2070"/>
      <c r="B1820" s="2505"/>
      <c r="C1820" s="2583"/>
      <c r="D1820" s="2472"/>
      <c r="E1820" s="2472"/>
      <c r="F1820" s="2472"/>
      <c r="G1820" s="2244"/>
      <c r="H1820" s="2244"/>
      <c r="I1820" s="2357"/>
    </row>
    <row r="1821" spans="1:9" s="2352" customFormat="1" ht="11.85" customHeight="1">
      <c r="A1821" s="2070"/>
      <c r="B1821" s="2427"/>
      <c r="C1821" s="2589"/>
      <c r="D1821" s="2716"/>
      <c r="E1821" s="2717"/>
      <c r="F1821" s="2718"/>
      <c r="G1821" s="2244"/>
      <c r="H1821" s="2244"/>
      <c r="I1821" s="2357"/>
    </row>
    <row r="1822" spans="1:9" s="2352" customFormat="1" ht="11.85" customHeight="1">
      <c r="A1822" s="2070"/>
      <c r="B1822" s="2427"/>
      <c r="C1822" s="2589"/>
      <c r="D1822" s="2716"/>
      <c r="E1822" s="2717"/>
      <c r="F1822" s="2718"/>
      <c r="G1822" s="2244"/>
      <c r="H1822" s="2244"/>
      <c r="I1822" s="2357"/>
    </row>
    <row r="1823" spans="1:9" s="2352" customFormat="1" ht="11.85" customHeight="1">
      <c r="A1823" s="2070"/>
      <c r="B1823" s="2605"/>
      <c r="C1823" s="2589"/>
      <c r="D1823" s="2719"/>
      <c r="E1823" s="2717"/>
      <c r="F1823" s="2718"/>
      <c r="G1823" s="2244"/>
      <c r="H1823" s="2244"/>
      <c r="I1823" s="2357"/>
    </row>
    <row r="1824" spans="1:9" s="2352" customFormat="1" ht="11.85" customHeight="1">
      <c r="A1824" s="2070"/>
      <c r="B1824" s="2605"/>
      <c r="C1824" s="2589"/>
      <c r="D1824" s="2719"/>
      <c r="E1824" s="3109"/>
      <c r="F1824" s="2720"/>
      <c r="G1824" s="2244"/>
      <c r="H1824" s="2244"/>
      <c r="I1824" s="2357"/>
    </row>
    <row r="1825" spans="1:9" s="2352" customFormat="1" ht="11.85" customHeight="1">
      <c r="A1825" s="2070"/>
      <c r="B1825" s="3104"/>
      <c r="C1825" s="3110"/>
      <c r="D1825" s="3106"/>
      <c r="E1825" s="3107"/>
      <c r="F1825" s="3108"/>
      <c r="G1825" s="2244"/>
      <c r="H1825" s="2244"/>
      <c r="I1825" s="2357"/>
    </row>
    <row r="1826" spans="1:9" s="2352" customFormat="1" ht="11.85" customHeight="1">
      <c r="A1826" s="2070"/>
      <c r="B1826" s="2723"/>
      <c r="C1826" s="2732"/>
      <c r="D1826" s="3111"/>
      <c r="E1826" s="2725"/>
      <c r="F1826" s="3112"/>
      <c r="G1826" s="2244"/>
      <c r="H1826" s="2244"/>
      <c r="I1826" s="2357"/>
    </row>
    <row r="1827" spans="1:9" s="2352" customFormat="1" ht="11.85" customHeight="1">
      <c r="A1827" s="2070"/>
      <c r="B1827" s="2244"/>
      <c r="C1827" s="2244"/>
      <c r="D1827" s="2244"/>
      <c r="E1827" s="2244"/>
      <c r="F1827" s="2244"/>
      <c r="G1827" s="2244"/>
      <c r="H1827" s="2244"/>
      <c r="I1827" s="2357"/>
    </row>
    <row r="1828" spans="1:9" s="2352" customFormat="1" ht="11.85" customHeight="1">
      <c r="A1828" s="2070"/>
      <c r="B1828" s="2244"/>
      <c r="C1828" s="2244"/>
      <c r="D1828" s="2244"/>
      <c r="E1828" s="2244"/>
      <c r="F1828" s="2244"/>
      <c r="G1828" s="2244"/>
      <c r="H1828" s="2244"/>
      <c r="I1828" s="2357"/>
    </row>
    <row r="1829" spans="1:9" s="2352" customFormat="1" ht="11.85" customHeight="1">
      <c r="A1829" s="2070"/>
      <c r="B1829" s="2505"/>
      <c r="C1829" s="2583"/>
      <c r="D1829" s="2472"/>
      <c r="E1829" s="2472"/>
      <c r="F1829" s="2472"/>
      <c r="G1829" s="2244"/>
      <c r="H1829" s="2244"/>
      <c r="I1829" s="2357"/>
    </row>
    <row r="1830" spans="1:9" s="2352" customFormat="1" ht="11.85" customHeight="1">
      <c r="A1830" s="2070"/>
      <c r="B1830" s="2605"/>
      <c r="C1830" s="2589"/>
      <c r="D1830" s="2716"/>
      <c r="E1830" s="2717"/>
      <c r="F1830" s="2718"/>
      <c r="G1830" s="2244"/>
      <c r="H1830" s="2244"/>
      <c r="I1830" s="2357"/>
    </row>
    <row r="1831" spans="1:9" s="2352" customFormat="1" ht="11.85" customHeight="1">
      <c r="A1831" s="2070"/>
      <c r="B1831" s="2605"/>
      <c r="C1831" s="2589"/>
      <c r="D1831" s="2716"/>
      <c r="E1831" s="2717"/>
      <c r="F1831" s="2718"/>
      <c r="G1831" s="2244"/>
      <c r="H1831" s="2244"/>
      <c r="I1831" s="2357"/>
    </row>
    <row r="1832" spans="1:9" s="2352" customFormat="1" ht="11.85" customHeight="1">
      <c r="A1832" s="2070"/>
      <c r="B1832" s="2427"/>
      <c r="C1832" s="2589"/>
      <c r="D1832" s="2716"/>
      <c r="E1832" s="2717"/>
      <c r="F1832" s="2718"/>
      <c r="G1832" s="2244"/>
      <c r="H1832" s="2244"/>
      <c r="I1832" s="2357"/>
    </row>
    <row r="1833" spans="1:9" s="2352" customFormat="1" ht="11.85" customHeight="1">
      <c r="A1833" s="2070"/>
      <c r="B1833" s="2605"/>
      <c r="C1833" s="2589"/>
      <c r="D1833" s="2719"/>
      <c r="E1833" s="2717"/>
      <c r="F1833" s="2718"/>
      <c r="G1833" s="2244"/>
      <c r="H1833" s="2244"/>
      <c r="I1833" s="2357"/>
    </row>
    <row r="1834" spans="1:9" s="2352" customFormat="1" ht="11.85" customHeight="1">
      <c r="A1834" s="2070"/>
      <c r="B1834" s="2605"/>
      <c r="C1834" s="2589"/>
      <c r="D1834" s="2719"/>
      <c r="E1834" s="3109"/>
      <c r="F1834" s="2720"/>
      <c r="G1834" s="2244"/>
      <c r="H1834" s="2244"/>
      <c r="I1834" s="2357"/>
    </row>
    <row r="1835" spans="1:9" s="2352" customFormat="1" ht="11.85" customHeight="1">
      <c r="A1835" s="2070"/>
      <c r="B1835" s="3104"/>
      <c r="C1835" s="3105"/>
      <c r="D1835" s="3106"/>
      <c r="E1835" s="3107"/>
      <c r="F1835" s="3108"/>
      <c r="G1835" s="2244"/>
      <c r="H1835" s="2244"/>
      <c r="I1835" s="2357"/>
    </row>
    <row r="1836" spans="1:9" s="2352" customFormat="1" ht="11.85" customHeight="1">
      <c r="A1836" s="2070"/>
      <c r="B1836" s="2505"/>
      <c r="C1836" s="2583"/>
      <c r="D1836" s="2472"/>
      <c r="E1836" s="2472"/>
      <c r="F1836" s="2472"/>
      <c r="G1836" s="2244"/>
      <c r="H1836" s="2244"/>
      <c r="I1836" s="2357"/>
    </row>
    <row r="1837" spans="1:9" s="2352" customFormat="1" ht="11.85" customHeight="1">
      <c r="A1837" s="2070"/>
      <c r="B1837" s="2605"/>
      <c r="C1837" s="2589"/>
      <c r="D1837" s="2716"/>
      <c r="E1837" s="2717"/>
      <c r="F1837" s="2718"/>
      <c r="G1837" s="2244"/>
      <c r="H1837" s="2244"/>
      <c r="I1837" s="2357"/>
    </row>
    <row r="1838" spans="1:9" s="2352" customFormat="1" ht="11.85" customHeight="1">
      <c r="A1838" s="2070"/>
      <c r="B1838" s="2605"/>
      <c r="C1838" s="2589"/>
      <c r="D1838" s="2716"/>
      <c r="E1838" s="2717"/>
      <c r="F1838" s="2718"/>
      <c r="G1838" s="2244"/>
      <c r="H1838" s="2244"/>
      <c r="I1838" s="2357"/>
    </row>
    <row r="1839" spans="1:9" s="2352" customFormat="1" ht="11.85" customHeight="1">
      <c r="A1839" s="2070"/>
      <c r="B1839" s="2427"/>
      <c r="C1839" s="2589"/>
      <c r="D1839" s="2716"/>
      <c r="E1839" s="2717"/>
      <c r="F1839" s="2718"/>
      <c r="G1839" s="2244"/>
      <c r="H1839" s="2244"/>
      <c r="I1839" s="2357"/>
    </row>
    <row r="1840" spans="1:9" s="2352" customFormat="1" ht="11.85" customHeight="1">
      <c r="A1840" s="2070"/>
      <c r="B1840" s="2605"/>
      <c r="C1840" s="2589"/>
      <c r="D1840" s="2719"/>
      <c r="E1840" s="2717"/>
      <c r="F1840" s="2718"/>
      <c r="G1840" s="2244"/>
      <c r="H1840" s="2244"/>
      <c r="I1840" s="2357"/>
    </row>
    <row r="1841" spans="1:9" s="2352" customFormat="1" ht="11.85" customHeight="1">
      <c r="A1841" s="2070"/>
      <c r="B1841" s="2605"/>
      <c r="C1841" s="2589"/>
      <c r="D1841" s="2719"/>
      <c r="E1841" s="3109"/>
      <c r="F1841" s="2720"/>
      <c r="G1841" s="2244"/>
      <c r="H1841" s="2244"/>
      <c r="I1841" s="2357"/>
    </row>
    <row r="1842" spans="1:9" s="2352" customFormat="1" ht="11.85" customHeight="1">
      <c r="A1842" s="2070"/>
      <c r="B1842" s="2472"/>
      <c r="C1842" s="2473"/>
      <c r="D1842" s="2474"/>
      <c r="E1842" s="2475"/>
      <c r="F1842" s="2475"/>
      <c r="G1842" s="2244"/>
      <c r="H1842" s="2244"/>
      <c r="I1842" s="2357"/>
    </row>
    <row r="1843" spans="1:9" s="2352" customFormat="1" ht="11.85" customHeight="1">
      <c r="A1843" s="2070"/>
      <c r="B1843" s="2472"/>
      <c r="C1843" s="2473"/>
      <c r="D1843" s="2474"/>
      <c r="E1843" s="2475"/>
      <c r="F1843" s="2475"/>
      <c r="G1843" s="2244"/>
      <c r="H1843" s="2244"/>
      <c r="I1843" s="2357"/>
    </row>
    <row r="1844" spans="1:9" s="2352" customFormat="1" ht="11.85" customHeight="1" thickBot="1">
      <c r="A1844" s="2070"/>
      <c r="B1844" s="2476"/>
      <c r="C1844" s="2477"/>
      <c r="D1844" s="2477"/>
      <c r="E1844" s="2477"/>
      <c r="F1844" s="2477"/>
      <c r="G1844" s="2244"/>
      <c r="H1844" s="2244"/>
      <c r="I1844" s="2357"/>
    </row>
    <row r="1845" spans="1:9" s="2352" customFormat="1" ht="11.85" customHeight="1" thickTop="1">
      <c r="A1845" s="2070"/>
      <c r="B1845" s="2478"/>
      <c r="C1845" s="2479"/>
      <c r="D1845" s="2480"/>
      <c r="E1845" s="2481"/>
      <c r="F1845" s="2482"/>
      <c r="G1845" s="2244"/>
      <c r="H1845" s="2244"/>
      <c r="I1845" s="2357"/>
    </row>
    <row r="1846" spans="1:9" s="2352" customFormat="1" ht="11.85" customHeight="1">
      <c r="A1846" s="2070"/>
      <c r="B1846" s="2483"/>
      <c r="C1846" s="2484"/>
      <c r="D1846" s="2485"/>
      <c r="E1846" s="2484"/>
      <c r="F1846" s="2486"/>
      <c r="G1846" s="2244"/>
      <c r="H1846" s="2244"/>
      <c r="I1846" s="2357"/>
    </row>
    <row r="1847" spans="1:9" s="2352" customFormat="1" ht="11.85" customHeight="1">
      <c r="A1847" s="2070"/>
      <c r="B1847" s="2483"/>
      <c r="C1847" s="2484"/>
      <c r="D1847" s="2485"/>
      <c r="E1847" s="2484"/>
      <c r="F1847" s="2486"/>
      <c r="G1847" s="2244"/>
      <c r="H1847" s="2244"/>
      <c r="I1847" s="2357"/>
    </row>
    <row r="1848" spans="1:9" s="2352" customFormat="1" ht="11.85" customHeight="1">
      <c r="A1848" s="2070"/>
      <c r="B1848" s="2483"/>
      <c r="C1848" s="2484"/>
      <c r="D1848" s="2487"/>
      <c r="E1848" s="2488"/>
      <c r="F1848" s="2486"/>
      <c r="G1848" s="2244"/>
      <c r="H1848" s="2244"/>
      <c r="I1848" s="2357"/>
    </row>
    <row r="1849" spans="1:9" s="2352" customFormat="1" ht="11.85" customHeight="1" thickBot="1">
      <c r="A1849" s="2070"/>
      <c r="B1849" s="2489"/>
      <c r="C1849" s="2490"/>
      <c r="D1849" s="2490"/>
      <c r="E1849" s="2491"/>
      <c r="F1849" s="2492"/>
      <c r="G1849" s="2244"/>
      <c r="H1849" s="2244"/>
      <c r="I1849" s="2357"/>
    </row>
    <row r="1850" spans="1:9" s="2352" customFormat="1" ht="11.85" customHeight="1" thickTop="1" thickBot="1">
      <c r="A1850" s="2070"/>
      <c r="B1850" s="2476"/>
      <c r="C1850" s="2477"/>
      <c r="D1850" s="2477"/>
      <c r="E1850" s="2477"/>
      <c r="F1850" s="2477"/>
      <c r="G1850" s="2244"/>
      <c r="H1850" s="2244"/>
      <c r="I1850" s="2357"/>
    </row>
    <row r="1851" spans="1:9" s="2352" customFormat="1" ht="11.85" customHeight="1" thickTop="1">
      <c r="A1851" s="2070"/>
      <c r="B1851" s="2478"/>
      <c r="C1851" s="2479"/>
      <c r="D1851" s="2480"/>
      <c r="E1851" s="2481"/>
      <c r="F1851" s="2482"/>
      <c r="G1851" s="2244"/>
      <c r="H1851" s="2244"/>
      <c r="I1851" s="2357"/>
    </row>
    <row r="1852" spans="1:9" s="2352" customFormat="1" ht="11.85" customHeight="1">
      <c r="A1852" s="2070"/>
      <c r="B1852" s="2483"/>
      <c r="C1852" s="2484"/>
      <c r="D1852" s="2485"/>
      <c r="E1852" s="2484"/>
      <c r="F1852" s="2486"/>
      <c r="G1852" s="2244"/>
      <c r="H1852" s="2244"/>
      <c r="I1852" s="2357"/>
    </row>
    <row r="1853" spans="1:9" s="2352" customFormat="1" ht="11.85" customHeight="1">
      <c r="A1853" s="2070"/>
      <c r="B1853" s="2483"/>
      <c r="C1853" s="2484"/>
      <c r="D1853" s="2485"/>
      <c r="E1853" s="2484"/>
      <c r="F1853" s="2486"/>
      <c r="G1853" s="2244"/>
      <c r="H1853" s="2244"/>
      <c r="I1853" s="2357"/>
    </row>
    <row r="1854" spans="1:9" s="2352" customFormat="1" ht="11.85" customHeight="1">
      <c r="A1854" s="2070"/>
      <c r="B1854" s="2483"/>
      <c r="C1854" s="2484"/>
      <c r="D1854" s="2487"/>
      <c r="E1854" s="2488"/>
      <c r="F1854" s="2486"/>
      <c r="G1854" s="2244"/>
      <c r="H1854" s="2244"/>
      <c r="I1854" s="2357"/>
    </row>
    <row r="1855" spans="1:9" s="2352" customFormat="1" ht="11.85" customHeight="1" thickBot="1">
      <c r="A1855" s="2070"/>
      <c r="B1855" s="2489"/>
      <c r="C1855" s="2490"/>
      <c r="D1855" s="2490"/>
      <c r="E1855" s="2491"/>
      <c r="F1855" s="2492"/>
      <c r="G1855" s="2244"/>
      <c r="H1855" s="2244"/>
      <c r="I1855" s="2357"/>
    </row>
    <row r="1856" spans="1:9" s="2352" customFormat="1" ht="11.85" customHeight="1" thickTop="1">
      <c r="A1856" s="2070"/>
      <c r="B1856" s="2493"/>
      <c r="C1856" s="2494"/>
      <c r="D1856" s="2494"/>
      <c r="E1856" s="2494"/>
      <c r="F1856" s="2494"/>
      <c r="G1856" s="2244"/>
      <c r="H1856" s="2244"/>
      <c r="I1856" s="2357"/>
    </row>
    <row r="1857" spans="1:9" s="2352" customFormat="1" ht="11.85" customHeight="1">
      <c r="A1857" s="2070"/>
      <c r="B1857" s="2495"/>
      <c r="C1857" s="2496"/>
      <c r="D1857" s="2496"/>
      <c r="E1857" s="2497"/>
      <c r="F1857" s="2498"/>
      <c r="G1857" s="2244"/>
      <c r="H1857" s="2244"/>
      <c r="I1857" s="2357"/>
    </row>
    <row r="1858" spans="1:9" s="2352" customFormat="1" ht="11.85" customHeight="1">
      <c r="A1858" s="2070"/>
      <c r="B1858" s="2499"/>
      <c r="C1858" s="2498"/>
      <c r="D1858" s="2500"/>
      <c r="E1858" s="2500"/>
      <c r="F1858" s="2501"/>
      <c r="G1858" s="2244"/>
      <c r="H1858" s="2244"/>
      <c r="I1858" s="2357"/>
    </row>
    <row r="1859" spans="1:9" s="2352" customFormat="1" ht="11.85" customHeight="1">
      <c r="A1859" s="2070"/>
      <c r="B1859" s="2502"/>
      <c r="C1859" s="2503"/>
      <c r="D1859" s="2504"/>
      <c r="E1859" s="2503"/>
      <c r="F1859" s="2503"/>
      <c r="G1859" s="2244"/>
      <c r="H1859" s="2244"/>
      <c r="I1859" s="2357"/>
    </row>
    <row r="1860" spans="1:9" s="2352" customFormat="1" ht="11.85" customHeight="1" thickBot="1">
      <c r="A1860" s="2070"/>
      <c r="B1860" s="2476"/>
      <c r="C1860" s="2477"/>
      <c r="D1860" s="2477"/>
      <c r="E1860" s="2477"/>
      <c r="F1860" s="2477"/>
      <c r="G1860" s="2244"/>
      <c r="H1860" s="2244"/>
      <c r="I1860" s="2357"/>
    </row>
    <row r="1861" spans="1:9" s="2352" customFormat="1" ht="11.85" customHeight="1" thickTop="1">
      <c r="A1861" s="2070"/>
      <c r="B1861" s="2478"/>
      <c r="C1861" s="2479"/>
      <c r="D1861" s="2480"/>
      <c r="E1861" s="2481"/>
      <c r="F1861" s="2482"/>
      <c r="G1861" s="2244"/>
      <c r="H1861" s="2244"/>
      <c r="I1861" s="2357"/>
    </row>
    <row r="1862" spans="1:9" s="2352" customFormat="1" ht="11.85" customHeight="1">
      <c r="A1862" s="2070"/>
      <c r="B1862" s="2483"/>
      <c r="C1862" s="2484"/>
      <c r="D1862" s="2485"/>
      <c r="E1862" s="2484"/>
      <c r="F1862" s="2486"/>
      <c r="G1862" s="2244"/>
      <c r="H1862" s="2244"/>
      <c r="I1862" s="2357"/>
    </row>
    <row r="1863" spans="1:9" s="2352" customFormat="1" ht="11.85" customHeight="1">
      <c r="A1863" s="2070"/>
      <c r="B1863" s="2483"/>
      <c r="C1863" s="2484"/>
      <c r="D1863" s="2485"/>
      <c r="E1863" s="2484"/>
      <c r="F1863" s="2486"/>
      <c r="G1863" s="2244"/>
      <c r="H1863" s="2244"/>
      <c r="I1863" s="2357"/>
    </row>
    <row r="1864" spans="1:9" s="2352" customFormat="1" ht="11.85" customHeight="1">
      <c r="A1864" s="2070"/>
      <c r="B1864" s="2483"/>
      <c r="C1864" s="2484"/>
      <c r="D1864" s="2487"/>
      <c r="E1864" s="2488"/>
      <c r="F1864" s="2486"/>
      <c r="G1864" s="2244"/>
      <c r="H1864" s="2244"/>
      <c r="I1864" s="2357"/>
    </row>
    <row r="1865" spans="1:9" s="2352" customFormat="1" ht="11.85" customHeight="1" thickBot="1">
      <c r="A1865" s="2070"/>
      <c r="B1865" s="2489"/>
      <c r="C1865" s="2490"/>
      <c r="D1865" s="2490"/>
      <c r="E1865" s="2491"/>
      <c r="F1865" s="2492"/>
      <c r="G1865" s="2244"/>
      <c r="H1865" s="2244"/>
      <c r="I1865" s="2357"/>
    </row>
    <row r="1866" spans="1:9" s="2352" customFormat="1" ht="11.85" customHeight="1" thickTop="1">
      <c r="A1866" s="2070"/>
      <c r="B1866" s="2505"/>
      <c r="C1866" s="2473"/>
      <c r="D1866" s="2474"/>
      <c r="E1866" s="2473"/>
      <c r="F1866" s="2473"/>
      <c r="G1866" s="2244"/>
      <c r="H1866" s="2244"/>
      <c r="I1866" s="2357"/>
    </row>
    <row r="1867" spans="1:9" s="2352" customFormat="1" ht="11.85" customHeight="1">
      <c r="A1867" s="2070"/>
      <c r="B1867" s="2244"/>
      <c r="C1867" s="2244"/>
      <c r="D1867" s="2244"/>
      <c r="E1867" s="2244"/>
      <c r="F1867" s="2244"/>
      <c r="G1867" s="2244"/>
      <c r="H1867" s="2244"/>
      <c r="I1867" s="2357"/>
    </row>
    <row r="1868" spans="1:9" s="2352" customFormat="1" ht="11.85" customHeight="1">
      <c r="A1868" s="2070"/>
      <c r="B1868" s="2244"/>
      <c r="C1868" s="2244"/>
      <c r="D1868" s="2244"/>
      <c r="E1868" s="2244"/>
      <c r="F1868" s="2244"/>
      <c r="G1868" s="2244"/>
      <c r="H1868" s="2244"/>
      <c r="I1868" s="2357"/>
    </row>
  </sheetData>
  <customSheetViews>
    <customSheetView guid="{43BC9397-3E8C-478C-B548-E4A845A7F82B}" hiddenRows="1" state="hidden">
      <selection sqref="A1:F1"/>
      <pageMargins left="0.7" right="0.7" top="0.75" bottom="0.75" header="0.3" footer="0.3"/>
      <pageSetup paperSize="9" orientation="portrait" horizontalDpi="2400" verticalDpi="2400" r:id="rId1"/>
      <headerFooter>
        <oddFooter>1</oddFooter>
      </headerFooter>
    </customSheetView>
  </customSheetViews>
  <mergeCells count="36">
    <mergeCell ref="C661:E661"/>
    <mergeCell ref="B617:F617"/>
    <mergeCell ref="B1482:F1482"/>
    <mergeCell ref="B1606:F1606"/>
    <mergeCell ref="C1815:E1815"/>
    <mergeCell ref="C679:E679"/>
    <mergeCell ref="B780:F780"/>
    <mergeCell ref="C860:E860"/>
    <mergeCell ref="C889:E889"/>
    <mergeCell ref="C903:E903"/>
    <mergeCell ref="C930:E930"/>
    <mergeCell ref="C1816:E1816"/>
    <mergeCell ref="C1817:E1817"/>
    <mergeCell ref="C1818:E1818"/>
    <mergeCell ref="C931:E931"/>
    <mergeCell ref="C940:E940"/>
    <mergeCell ref="C941:E941"/>
    <mergeCell ref="C942:E942"/>
    <mergeCell ref="B1181:F1181"/>
    <mergeCell ref="B1480:F1480"/>
    <mergeCell ref="B268:F268"/>
    <mergeCell ref="B368:E368"/>
    <mergeCell ref="B369:E369"/>
    <mergeCell ref="B405:F405"/>
    <mergeCell ref="B12:F12"/>
    <mergeCell ref="B56:F56"/>
    <mergeCell ref="B94:F94"/>
    <mergeCell ref="B146:F146"/>
    <mergeCell ref="D213:E213"/>
    <mergeCell ref="D214:E214"/>
    <mergeCell ref="B9:D9"/>
    <mergeCell ref="A1:F1"/>
    <mergeCell ref="A2:F2"/>
    <mergeCell ref="A3:F3"/>
    <mergeCell ref="A4:F4"/>
    <mergeCell ref="B7:D7"/>
  </mergeCells>
  <dataValidations disablePrompts="1" count="2">
    <dataValidation type="list" allowBlank="1" showInputMessage="1" showErrorMessage="1" sqref="B8" xr:uid="{00000000-0002-0000-1100-000000000000}">
      <formula1>$IS$2:$IS$33</formula1>
    </dataValidation>
    <dataValidation type="list" allowBlank="1" showInputMessage="1" showErrorMessage="1" sqref="E1094" xr:uid="{00000000-0002-0000-1100-000001000000}">
      <formula1>$V$1097:$V$1098</formula1>
    </dataValidation>
  </dataValidations>
  <pageMargins left="0.7" right="0.7" top="0.75" bottom="0.75" header="0.3" footer="0.3"/>
  <pageSetup paperSize="9" orientation="portrait" horizontalDpi="2400" verticalDpi="2400" r:id="rId2"/>
  <headerFooter>
    <oddFooter>1</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5">
    <tabColor rgb="FF00B0F0"/>
  </sheetPr>
  <dimension ref="A2:J1408"/>
  <sheetViews>
    <sheetView topLeftCell="A745" workbookViewId="0">
      <selection activeCell="F803" sqref="F803"/>
    </sheetView>
  </sheetViews>
  <sheetFormatPr baseColWidth="10" defaultColWidth="11.42578125" defaultRowHeight="12.75"/>
  <cols>
    <col min="1" max="1" width="4" customWidth="1"/>
    <col min="2" max="2" width="46"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1545</v>
      </c>
      <c r="C5" t="s">
        <v>1026</v>
      </c>
      <c r="D5">
        <v>1</v>
      </c>
      <c r="E5">
        <v>271.02</v>
      </c>
      <c r="F5">
        <f t="shared" si="0"/>
        <v>271.02</v>
      </c>
    </row>
    <row r="6" spans="2:6">
      <c r="B6" t="s">
        <v>1027</v>
      </c>
      <c r="C6" t="s">
        <v>2</v>
      </c>
      <c r="D6">
        <v>1</v>
      </c>
      <c r="E6">
        <v>1100</v>
      </c>
      <c r="F6">
        <f t="shared" si="0"/>
        <v>1100</v>
      </c>
    </row>
    <row r="7" spans="2:6">
      <c r="B7" t="s">
        <v>1028</v>
      </c>
      <c r="C7" t="s">
        <v>2</v>
      </c>
      <c r="D7">
        <v>1</v>
      </c>
      <c r="E7">
        <v>1200</v>
      </c>
      <c r="F7">
        <f t="shared" si="0"/>
        <v>1200</v>
      </c>
    </row>
    <row r="8" spans="2:6" ht="24" customHeight="1">
      <c r="B8" t="s">
        <v>1029</v>
      </c>
      <c r="C8" t="s">
        <v>2</v>
      </c>
      <c r="D8">
        <v>1</v>
      </c>
      <c r="E8">
        <v>1100</v>
      </c>
      <c r="F8">
        <f t="shared" si="0"/>
        <v>1100</v>
      </c>
    </row>
    <row r="9" spans="2:6">
      <c r="B9" t="s">
        <v>1546</v>
      </c>
      <c r="C9" t="s">
        <v>127</v>
      </c>
      <c r="D9">
        <v>1</v>
      </c>
      <c r="E9">
        <v>1</v>
      </c>
      <c r="F9">
        <f t="shared" si="0"/>
        <v>1</v>
      </c>
    </row>
    <row r="10" spans="2:6">
      <c r="B10" t="s">
        <v>8</v>
      </c>
      <c r="C10" t="s">
        <v>127</v>
      </c>
      <c r="D10">
        <v>1</v>
      </c>
      <c r="E10">
        <v>12.5</v>
      </c>
      <c r="F10">
        <f t="shared" si="0"/>
        <v>12.5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B20" t="s">
        <v>131</v>
      </c>
      <c r="C20" t="s">
        <v>2</v>
      </c>
      <c r="D20">
        <v>1</v>
      </c>
      <c r="E20">
        <v>15</v>
      </c>
      <c r="F20">
        <f>E20*D20</f>
        <v>15</v>
      </c>
    </row>
    <row r="21" spans="2:6">
      <c r="C21" t="s">
        <v>315</v>
      </c>
      <c r="F21">
        <f>SUM(F19:F20)</f>
        <v>1215</v>
      </c>
    </row>
    <row r="23" spans="2:6">
      <c r="B23" t="s">
        <v>1030</v>
      </c>
    </row>
    <row r="24" spans="2:6">
      <c r="B24" t="s">
        <v>1547</v>
      </c>
      <c r="C24" t="s">
        <v>2</v>
      </c>
      <c r="D24">
        <v>1.02</v>
      </c>
      <c r="E24">
        <v>7995</v>
      </c>
      <c r="F24">
        <f>E24*D24</f>
        <v>8154.9</v>
      </c>
    </row>
    <row r="25" spans="2:6">
      <c r="E25" t="s">
        <v>1031</v>
      </c>
      <c r="F25">
        <f>SUM(F24:F24)</f>
        <v>8154.9</v>
      </c>
    </row>
    <row r="27" spans="2:6">
      <c r="B27" t="s">
        <v>1032</v>
      </c>
    </row>
    <row r="28" spans="2:6">
      <c r="B28" t="s">
        <v>122</v>
      </c>
      <c r="C28" t="s">
        <v>2</v>
      </c>
      <c r="D28">
        <v>0.45</v>
      </c>
      <c r="E28">
        <f>+F16</f>
        <v>1115</v>
      </c>
      <c r="F28">
        <f>E28*D28</f>
        <v>501.75</v>
      </c>
    </row>
    <row r="29" spans="2:6">
      <c r="B29" t="s">
        <v>124</v>
      </c>
      <c r="C29" t="s">
        <v>2</v>
      </c>
      <c r="D29">
        <v>0.9</v>
      </c>
      <c r="E29">
        <f>+F21</f>
        <v>1215</v>
      </c>
      <c r="F29">
        <f>E29*D29</f>
        <v>1093.5</v>
      </c>
    </row>
    <row r="30" spans="2:6">
      <c r="B30" t="s">
        <v>142</v>
      </c>
      <c r="C30" t="s">
        <v>1026</v>
      </c>
      <c r="D30">
        <v>13</v>
      </c>
      <c r="E30">
        <f>+F4</f>
        <v>325</v>
      </c>
      <c r="F30">
        <f>E30*D30</f>
        <v>4225</v>
      </c>
    </row>
    <row r="31" spans="2:6">
      <c r="B31" t="s">
        <v>117</v>
      </c>
      <c r="C31" t="s">
        <v>118</v>
      </c>
      <c r="D31">
        <v>60</v>
      </c>
      <c r="E31">
        <f>+F3</f>
        <v>2.5</v>
      </c>
      <c r="F31">
        <f>E31*D31</f>
        <v>150</v>
      </c>
    </row>
    <row r="32" spans="2:6">
      <c r="B32" t="s">
        <v>139</v>
      </c>
      <c r="C32" t="s">
        <v>2</v>
      </c>
      <c r="D32">
        <v>1</v>
      </c>
      <c r="E32">
        <v>950</v>
      </c>
      <c r="F32">
        <f>E32*D32</f>
        <v>950</v>
      </c>
    </row>
    <row r="33" spans="2:6">
      <c r="B33" t="s">
        <v>140</v>
      </c>
      <c r="F33">
        <f>SUM(F28+F29+F30+F31)*0.02</f>
        <v>119.405</v>
      </c>
    </row>
    <row r="34" spans="2:6">
      <c r="E34" t="s">
        <v>1031</v>
      </c>
      <c r="F34">
        <f>SUM(F28:F33)</f>
        <v>7039.6549999999997</v>
      </c>
    </row>
    <row r="36" spans="2:6">
      <c r="B36" t="s">
        <v>1565</v>
      </c>
    </row>
    <row r="37" spans="2:6">
      <c r="B37" t="s">
        <v>122</v>
      </c>
      <c r="C37" t="s">
        <v>2</v>
      </c>
      <c r="D37">
        <v>0.45</v>
      </c>
      <c r="E37">
        <f>+E28</f>
        <v>1115</v>
      </c>
      <c r="F37">
        <f>E37*D37</f>
        <v>501.75</v>
      </c>
    </row>
    <row r="38" spans="2:6">
      <c r="B38" t="s">
        <v>124</v>
      </c>
      <c r="C38" t="s">
        <v>2</v>
      </c>
      <c r="D38">
        <v>0.9</v>
      </c>
      <c r="E38">
        <f>+E29</f>
        <v>1215</v>
      </c>
      <c r="F38">
        <f>E38*D38</f>
        <v>1093.5</v>
      </c>
    </row>
    <row r="39" spans="2:6">
      <c r="B39" t="s">
        <v>142</v>
      </c>
      <c r="C39" t="s">
        <v>1026</v>
      </c>
      <c r="D39">
        <v>7</v>
      </c>
      <c r="E39">
        <f>+E30</f>
        <v>325</v>
      </c>
      <c r="F39">
        <f>E39*D39</f>
        <v>2275</v>
      </c>
    </row>
    <row r="40" spans="2:6">
      <c r="B40" t="s">
        <v>117</v>
      </c>
      <c r="C40" t="s">
        <v>118</v>
      </c>
      <c r="D40">
        <v>60</v>
      </c>
      <c r="E40">
        <f>+E31</f>
        <v>2.5</v>
      </c>
      <c r="F40">
        <f>E40*D40</f>
        <v>150</v>
      </c>
    </row>
    <row r="41" spans="2:6">
      <c r="B41" t="s">
        <v>139</v>
      </c>
      <c r="C41" t="s">
        <v>2</v>
      </c>
      <c r="D41">
        <v>1</v>
      </c>
      <c r="E41">
        <v>950</v>
      </c>
      <c r="F41">
        <f>E41*D41</f>
        <v>950</v>
      </c>
    </row>
    <row r="42" spans="2:6">
      <c r="B42" t="s">
        <v>140</v>
      </c>
      <c r="F42">
        <f>SUM(F37+F38+F39+F40)*0.02</f>
        <v>80.405000000000001</v>
      </c>
    </row>
    <row r="43" spans="2:6">
      <c r="E43" t="s">
        <v>1031</v>
      </c>
      <c r="F43">
        <f>SUM(F37:F42)</f>
        <v>5050.6549999999997</v>
      </c>
    </row>
    <row r="45" spans="2:6">
      <c r="B45" t="s">
        <v>1565</v>
      </c>
    </row>
    <row r="46" spans="2:6">
      <c r="B46" t="s">
        <v>1566</v>
      </c>
      <c r="C46" t="s">
        <v>2</v>
      </c>
      <c r="D46">
        <v>1.02</v>
      </c>
      <c r="E46">
        <v>6925</v>
      </c>
      <c r="F46">
        <f>E46*D46</f>
        <v>7063.5</v>
      </c>
    </row>
    <row r="47" spans="2:6">
      <c r="E47" t="s">
        <v>1031</v>
      </c>
      <c r="F47">
        <f>SUM(F46:F46)</f>
        <v>7063.5</v>
      </c>
    </row>
    <row r="49" spans="2:6">
      <c r="B49" t="s">
        <v>1033</v>
      </c>
    </row>
    <row r="50" spans="2:6">
      <c r="B50" t="s">
        <v>122</v>
      </c>
      <c r="C50" t="s">
        <v>2</v>
      </c>
      <c r="D50">
        <v>0.52</v>
      </c>
      <c r="E50">
        <f>SUM(F16)</f>
        <v>1115</v>
      </c>
      <c r="F50">
        <f>E50*D50</f>
        <v>579.79999999999995</v>
      </c>
    </row>
    <row r="51" spans="2:6">
      <c r="B51" t="s">
        <v>124</v>
      </c>
      <c r="C51" t="s">
        <v>2</v>
      </c>
      <c r="D51">
        <v>0.85</v>
      </c>
      <c r="E51">
        <f>F21</f>
        <v>1215</v>
      </c>
      <c r="F51">
        <f>E51*D51</f>
        <v>1032.75</v>
      </c>
    </row>
    <row r="52" spans="2:6">
      <c r="B52" t="s">
        <v>135</v>
      </c>
      <c r="C52" t="s">
        <v>1026</v>
      </c>
      <c r="D52">
        <v>6.44</v>
      </c>
      <c r="E52">
        <f>F4</f>
        <v>325</v>
      </c>
      <c r="F52">
        <f>E52*D52</f>
        <v>2093</v>
      </c>
    </row>
    <row r="53" spans="2:6">
      <c r="B53" t="s">
        <v>117</v>
      </c>
      <c r="C53" t="s">
        <v>118</v>
      </c>
      <c r="D53">
        <v>60</v>
      </c>
      <c r="E53">
        <f>F3</f>
        <v>2.5</v>
      </c>
      <c r="F53">
        <f>E53*D53</f>
        <v>150</v>
      </c>
    </row>
    <row r="54" spans="2:6">
      <c r="B54" t="s">
        <v>139</v>
      </c>
      <c r="C54" t="s">
        <v>2</v>
      </c>
      <c r="D54">
        <v>1</v>
      </c>
      <c r="E54">
        <v>850</v>
      </c>
      <c r="F54">
        <f>E54*D54</f>
        <v>850</v>
      </c>
    </row>
    <row r="55" spans="2:6">
      <c r="B55" t="s">
        <v>140</v>
      </c>
      <c r="F55">
        <f>SUM(F50+F51+F52+F53)*0.02</f>
        <v>77.111000000000004</v>
      </c>
    </row>
    <row r="56" spans="2:6">
      <c r="E56" t="s">
        <v>1031</v>
      </c>
      <c r="F56">
        <f>SUM(F50:F55)</f>
        <v>4782.6610000000001</v>
      </c>
    </row>
    <row r="58" spans="2:6">
      <c r="B58" t="s">
        <v>1043</v>
      </c>
    </row>
    <row r="59" spans="2:6">
      <c r="B59" t="s">
        <v>181</v>
      </c>
      <c r="C59" t="s">
        <v>126</v>
      </c>
      <c r="D59">
        <v>1</v>
      </c>
      <c r="E59">
        <v>2500</v>
      </c>
      <c r="F59">
        <f>E59*D59</f>
        <v>2500</v>
      </c>
    </row>
    <row r="60" spans="2:6">
      <c r="B60" t="s">
        <v>41</v>
      </c>
      <c r="C60" t="s">
        <v>126</v>
      </c>
      <c r="D60">
        <v>1</v>
      </c>
      <c r="E60">
        <v>323</v>
      </c>
      <c r="F60">
        <f>E60*D60</f>
        <v>323</v>
      </c>
    </row>
    <row r="61" spans="2:6">
      <c r="B61" t="s">
        <v>1044</v>
      </c>
      <c r="C61" t="s">
        <v>183</v>
      </c>
      <c r="D61">
        <v>2</v>
      </c>
      <c r="E61">
        <v>45</v>
      </c>
      <c r="F61">
        <f>E61*D61</f>
        <v>90</v>
      </c>
    </row>
    <row r="62" spans="2:6">
      <c r="E62" t="s">
        <v>1031</v>
      </c>
      <c r="F62">
        <f>SUM(F59:F61)</f>
        <v>2913</v>
      </c>
    </row>
    <row r="64" spans="2:6">
      <c r="B64" t="s">
        <v>1034</v>
      </c>
    </row>
    <row r="65" spans="2:6">
      <c r="B65" t="s">
        <v>145</v>
      </c>
      <c r="C65" t="s">
        <v>2</v>
      </c>
      <c r="D65">
        <v>1</v>
      </c>
      <c r="E65">
        <f>+F8</f>
        <v>1100</v>
      </c>
      <c r="F65">
        <f>E65*D65</f>
        <v>1100</v>
      </c>
    </row>
    <row r="66" spans="2:6">
      <c r="B66" t="s">
        <v>131</v>
      </c>
      <c r="C66" t="s">
        <v>2</v>
      </c>
      <c r="D66">
        <v>1</v>
      </c>
      <c r="E66">
        <v>15</v>
      </c>
      <c r="F66">
        <f>E66*D66</f>
        <v>15</v>
      </c>
    </row>
    <row r="67" spans="2:6">
      <c r="E67" t="s">
        <v>1031</v>
      </c>
      <c r="F67">
        <f>SUM(F65:F66)</f>
        <v>1115</v>
      </c>
    </row>
    <row r="69" spans="2:6">
      <c r="B69" t="s">
        <v>146</v>
      </c>
    </row>
    <row r="70" spans="2:6">
      <c r="B70" t="s">
        <v>122</v>
      </c>
      <c r="C70" t="s">
        <v>2</v>
      </c>
      <c r="D70">
        <v>1.02</v>
      </c>
      <c r="E70">
        <f>+$F$67</f>
        <v>1115</v>
      </c>
      <c r="F70">
        <f>E70*D70</f>
        <v>1137.3</v>
      </c>
    </row>
    <row r="71" spans="2:6">
      <c r="B71" t="s">
        <v>135</v>
      </c>
      <c r="C71" t="s">
        <v>1026</v>
      </c>
      <c r="D71">
        <v>9.4600000000000009</v>
      </c>
      <c r="E71">
        <f>F4</f>
        <v>325</v>
      </c>
      <c r="F71">
        <f>E71*D71</f>
        <v>3074.5</v>
      </c>
    </row>
    <row r="72" spans="2:6">
      <c r="B72" t="s">
        <v>117</v>
      </c>
      <c r="C72" t="s">
        <v>118</v>
      </c>
      <c r="D72">
        <v>50</v>
      </c>
      <c r="E72">
        <f>$F$3</f>
        <v>2.5</v>
      </c>
      <c r="F72">
        <f>E72*D72</f>
        <v>125</v>
      </c>
    </row>
    <row r="73" spans="2:6">
      <c r="B73" t="s">
        <v>121</v>
      </c>
      <c r="C73" t="s">
        <v>1026</v>
      </c>
      <c r="D73">
        <v>3.07</v>
      </c>
      <c r="E73">
        <f>$F$5</f>
        <v>271.02</v>
      </c>
      <c r="F73">
        <f>E73*D73</f>
        <v>832.03139999999996</v>
      </c>
    </row>
    <row r="74" spans="2:6">
      <c r="B74" t="s">
        <v>147</v>
      </c>
      <c r="C74" t="s">
        <v>148</v>
      </c>
      <c r="D74">
        <v>0.5</v>
      </c>
      <c r="E74">
        <v>659</v>
      </c>
      <c r="F74">
        <f>E74*D74</f>
        <v>329.5</v>
      </c>
    </row>
    <row r="75" spans="2:6">
      <c r="B75" t="s">
        <v>149</v>
      </c>
      <c r="F75">
        <f>SUM(F71+F72+F70+F73)*0.03</f>
        <v>155.064942</v>
      </c>
    </row>
    <row r="76" spans="2:6">
      <c r="B76" t="s">
        <v>43</v>
      </c>
      <c r="E76" t="s">
        <v>1031</v>
      </c>
      <c r="F76">
        <f>SUM(F70:F75)</f>
        <v>5653.396342</v>
      </c>
    </row>
    <row r="78" spans="2:6">
      <c r="B78" t="s">
        <v>150</v>
      </c>
    </row>
    <row r="79" spans="2:6">
      <c r="B79" t="s">
        <v>151</v>
      </c>
      <c r="C79" t="s">
        <v>2</v>
      </c>
      <c r="D79">
        <v>0.998</v>
      </c>
      <c r="E79">
        <f>+$F$67</f>
        <v>1115</v>
      </c>
      <c r="F79">
        <f>E79*D79</f>
        <v>1112.77</v>
      </c>
    </row>
    <row r="80" spans="2:6">
      <c r="B80" t="s">
        <v>117</v>
      </c>
      <c r="C80" t="s">
        <v>118</v>
      </c>
      <c r="D80">
        <v>69.040000000000006</v>
      </c>
      <c r="E80">
        <f>$F$3</f>
        <v>2.5</v>
      </c>
      <c r="F80">
        <f>E80*D80</f>
        <v>172.6</v>
      </c>
    </row>
    <row r="81" spans="2:6">
      <c r="B81" t="s">
        <v>135</v>
      </c>
      <c r="C81" t="s">
        <v>1026</v>
      </c>
      <c r="D81">
        <v>11.51</v>
      </c>
      <c r="E81">
        <f>$F$4</f>
        <v>325</v>
      </c>
      <c r="F81">
        <f>E81*D81</f>
        <v>3740.75</v>
      </c>
    </row>
    <row r="82" spans="2:6">
      <c r="B82" t="s">
        <v>147</v>
      </c>
      <c r="C82" t="s">
        <v>148</v>
      </c>
      <c r="D82">
        <v>0.5</v>
      </c>
      <c r="E82">
        <v>659</v>
      </c>
      <c r="F82">
        <f>E82*D82</f>
        <v>329.5</v>
      </c>
    </row>
    <row r="83" spans="2:6">
      <c r="B83" t="s">
        <v>149</v>
      </c>
      <c r="F83">
        <f>SUM(F79+F80+F78+F81)*0.03</f>
        <v>150.78360000000001</v>
      </c>
    </row>
    <row r="84" spans="2:6">
      <c r="E84" t="s">
        <v>1031</v>
      </c>
      <c r="F84">
        <f>SUM(F79:F83)</f>
        <v>5506.4035999999996</v>
      </c>
    </row>
    <row r="86" spans="2:6">
      <c r="B86" t="s">
        <v>1534</v>
      </c>
    </row>
    <row r="87" spans="2:6">
      <c r="B87" t="s">
        <v>1097</v>
      </c>
      <c r="C87">
        <v>1.05</v>
      </c>
      <c r="D87" t="s">
        <v>2</v>
      </c>
      <c r="E87">
        <f>+$F$25</f>
        <v>8154.9</v>
      </c>
      <c r="F87">
        <f>C87*E87</f>
        <v>8562.6450000000004</v>
      </c>
    </row>
    <row r="88" spans="2:6">
      <c r="B88" t="s">
        <v>272</v>
      </c>
      <c r="C88">
        <v>2.81</v>
      </c>
      <c r="D88" t="s">
        <v>126</v>
      </c>
      <c r="E88">
        <f>+$F$62</f>
        <v>2913</v>
      </c>
      <c r="F88">
        <f>C88*E88</f>
        <v>8185.53</v>
      </c>
    </row>
    <row r="89" spans="2:6">
      <c r="B89" t="s">
        <v>1089</v>
      </c>
      <c r="C89">
        <f>1/0.4</f>
        <v>2.5</v>
      </c>
      <c r="D89" t="s">
        <v>1100</v>
      </c>
      <c r="E89">
        <f>1200</f>
        <v>1200</v>
      </c>
      <c r="F89">
        <f>C89*E89</f>
        <v>3000</v>
      </c>
    </row>
    <row r="90" spans="2:6">
      <c r="E90" t="s">
        <v>1031</v>
      </c>
      <c r="F90">
        <f>ROUND(SUM(F87:F89),2)</f>
        <v>19748.18</v>
      </c>
    </row>
    <row r="92" spans="2:6">
      <c r="B92" t="s">
        <v>1532</v>
      </c>
    </row>
    <row r="93" spans="2:6">
      <c r="B93" t="s">
        <v>1085</v>
      </c>
      <c r="C93">
        <v>1.05</v>
      </c>
      <c r="D93" t="s">
        <v>2</v>
      </c>
      <c r="E93">
        <f>+$F$25</f>
        <v>8154.9</v>
      </c>
      <c r="F93">
        <f>C93*E93</f>
        <v>8562.6450000000004</v>
      </c>
    </row>
    <row r="94" spans="2:6">
      <c r="B94" t="s">
        <v>1087</v>
      </c>
      <c r="C94">
        <v>1.35</v>
      </c>
      <c r="D94" t="s">
        <v>126</v>
      </c>
      <c r="E94">
        <f>+$F$62</f>
        <v>2913</v>
      </c>
      <c r="F94">
        <f>C94*E94</f>
        <v>3932.55</v>
      </c>
    </row>
    <row r="95" spans="2:6">
      <c r="B95" t="s">
        <v>1089</v>
      </c>
      <c r="C95">
        <f>1/0.45</f>
        <v>2.2222222222222201</v>
      </c>
      <c r="D95" t="s">
        <v>11</v>
      </c>
      <c r="E95">
        <v>1200</v>
      </c>
      <c r="F95">
        <f>C95*E95</f>
        <v>2666.6666666666601</v>
      </c>
    </row>
    <row r="96" spans="2:6">
      <c r="E96" t="s">
        <v>1031</v>
      </c>
      <c r="F96">
        <f>ROUND(SUM(F93:F95),2)</f>
        <v>15161.86</v>
      </c>
    </row>
    <row r="99" spans="2:6">
      <c r="B99" t="s">
        <v>1522</v>
      </c>
    </row>
    <row r="100" spans="2:6">
      <c r="B100" t="s">
        <v>1085</v>
      </c>
      <c r="C100">
        <v>1.05</v>
      </c>
      <c r="D100" t="s">
        <v>2</v>
      </c>
      <c r="E100">
        <f>+$F$25</f>
        <v>8154.9</v>
      </c>
      <c r="F100">
        <f>C100*E100</f>
        <v>8562.6450000000004</v>
      </c>
    </row>
    <row r="101" spans="2:6">
      <c r="B101" t="s">
        <v>1087</v>
      </c>
      <c r="C101">
        <v>2.4700000000000002</v>
      </c>
      <c r="D101" t="s">
        <v>126</v>
      </c>
      <c r="E101">
        <f>+$F$62</f>
        <v>2913</v>
      </c>
      <c r="F101">
        <f>C101*E101</f>
        <v>7195.11</v>
      </c>
    </row>
    <row r="102" spans="2:6">
      <c r="B102" t="s">
        <v>1089</v>
      </c>
      <c r="C102">
        <f>1/0.3</f>
        <v>3.3333333333333299</v>
      </c>
      <c r="D102" t="s">
        <v>11</v>
      </c>
      <c r="E102">
        <v>1200</v>
      </c>
      <c r="F102">
        <f>C102*E102</f>
        <v>4000</v>
      </c>
    </row>
    <row r="103" spans="2:6">
      <c r="E103" t="s">
        <v>1031</v>
      </c>
      <c r="F103">
        <f>ROUND(SUM(F100:F102),2)</f>
        <v>19757.759999999998</v>
      </c>
    </row>
    <row r="105" spans="2:6">
      <c r="B105" t="s">
        <v>1523</v>
      </c>
    </row>
    <row r="106" spans="2:6">
      <c r="B106" t="s">
        <v>1085</v>
      </c>
      <c r="C106">
        <v>1.05</v>
      </c>
      <c r="D106" t="s">
        <v>2</v>
      </c>
      <c r="E106">
        <f>+$F$25</f>
        <v>8154.9</v>
      </c>
      <c r="F106">
        <f>C106*E106</f>
        <v>8562.6450000000004</v>
      </c>
    </row>
    <row r="107" spans="2:6">
      <c r="B107" t="s">
        <v>1087</v>
      </c>
      <c r="C107">
        <v>0.51</v>
      </c>
      <c r="D107" t="s">
        <v>126</v>
      </c>
      <c r="E107">
        <f>+$F$62</f>
        <v>2913</v>
      </c>
      <c r="F107">
        <f>C107*E107</f>
        <v>1485.63</v>
      </c>
    </row>
    <row r="108" spans="2:6">
      <c r="B108" t="s">
        <v>1089</v>
      </c>
      <c r="C108">
        <f>1/0.3</f>
        <v>3.3333333333333299</v>
      </c>
      <c r="D108" t="s">
        <v>11</v>
      </c>
      <c r="E108">
        <v>1200</v>
      </c>
      <c r="F108">
        <f>C108*E108</f>
        <v>4000</v>
      </c>
    </row>
    <row r="109" spans="2:6">
      <c r="E109" t="s">
        <v>1031</v>
      </c>
      <c r="F109">
        <f>ROUND(SUM(F106:F108),2)</f>
        <v>14048.28</v>
      </c>
    </row>
    <row r="111" spans="2:6">
      <c r="B111" t="s">
        <v>1524</v>
      </c>
    </row>
    <row r="112" spans="2:6">
      <c r="B112" t="s">
        <v>1085</v>
      </c>
      <c r="C112">
        <v>1.05</v>
      </c>
      <c r="D112" t="s">
        <v>2</v>
      </c>
      <c r="E112">
        <f>+$F$25</f>
        <v>8154.9</v>
      </c>
      <c r="F112">
        <f>C112*E112</f>
        <v>8562.6450000000004</v>
      </c>
    </row>
    <row r="113" spans="2:6">
      <c r="B113" t="s">
        <v>1087</v>
      </c>
      <c r="C113">
        <v>2.81</v>
      </c>
      <c r="D113" t="s">
        <v>126</v>
      </c>
      <c r="E113">
        <f>+$F$62</f>
        <v>2913</v>
      </c>
      <c r="F113">
        <f>C113*E113</f>
        <v>8185.53</v>
      </c>
    </row>
    <row r="114" spans="2:6">
      <c r="B114" t="s">
        <v>1089</v>
      </c>
      <c r="C114">
        <f>1/0.25</f>
        <v>4</v>
      </c>
      <c r="D114" t="s">
        <v>11</v>
      </c>
      <c r="E114">
        <v>1200</v>
      </c>
      <c r="F114">
        <f>C114*E114</f>
        <v>4800</v>
      </c>
    </row>
    <row r="115" spans="2:6">
      <c r="E115" t="s">
        <v>1031</v>
      </c>
      <c r="F115">
        <f>ROUND(SUM(F112:F114),2)</f>
        <v>21548.18</v>
      </c>
    </row>
    <row r="117" spans="2:6">
      <c r="B117" t="s">
        <v>1524</v>
      </c>
    </row>
    <row r="118" spans="2:6">
      <c r="B118" t="s">
        <v>1085</v>
      </c>
      <c r="C118">
        <v>1.05</v>
      </c>
      <c r="D118" t="s">
        <v>2</v>
      </c>
      <c r="E118">
        <f>+$F$25</f>
        <v>8154.9</v>
      </c>
      <c r="F118">
        <f>C118*E118</f>
        <v>8562.6450000000004</v>
      </c>
    </row>
    <row r="119" spans="2:6">
      <c r="B119" t="s">
        <v>1087</v>
      </c>
      <c r="C119">
        <v>2.81</v>
      </c>
      <c r="D119" t="s">
        <v>126</v>
      </c>
      <c r="E119">
        <f>+$F$62</f>
        <v>2913</v>
      </c>
      <c r="F119">
        <f>C119*E119</f>
        <v>8185.53</v>
      </c>
    </row>
    <row r="120" spans="2:6">
      <c r="B120" t="s">
        <v>1089</v>
      </c>
      <c r="C120">
        <f>1/0.25</f>
        <v>4</v>
      </c>
      <c r="D120" t="s">
        <v>11</v>
      </c>
      <c r="E120">
        <v>120</v>
      </c>
      <c r="F120">
        <f>C120*E120</f>
        <v>480</v>
      </c>
    </row>
    <row r="121" spans="2:6">
      <c r="E121" t="s">
        <v>1031</v>
      </c>
      <c r="F121">
        <f>ROUND(SUM(F118:F120),2)</f>
        <v>17228.18</v>
      </c>
    </row>
    <row r="123" spans="2:6">
      <c r="B123" t="s">
        <v>1525</v>
      </c>
    </row>
    <row r="124" spans="2:6">
      <c r="B124" t="s">
        <v>1085</v>
      </c>
      <c r="C124">
        <v>1.05</v>
      </c>
      <c r="D124" t="s">
        <v>2</v>
      </c>
      <c r="E124">
        <f>+$F$25</f>
        <v>8154.9</v>
      </c>
      <c r="F124">
        <f>C124*E124</f>
        <v>8562.6450000000004</v>
      </c>
    </row>
    <row r="125" spans="2:6">
      <c r="B125" t="s">
        <v>1087</v>
      </c>
      <c r="C125">
        <v>1.44</v>
      </c>
      <c r="D125" t="s">
        <v>126</v>
      </c>
      <c r="E125">
        <f>+$F$62</f>
        <v>2913</v>
      </c>
      <c r="F125">
        <f>C125*E125</f>
        <v>4194.72</v>
      </c>
    </row>
    <row r="126" spans="2:6">
      <c r="B126" t="s">
        <v>1089</v>
      </c>
      <c r="C126">
        <f>1/0.2</f>
        <v>5</v>
      </c>
      <c r="D126" t="s">
        <v>1</v>
      </c>
      <c r="E126">
        <v>1200</v>
      </c>
      <c r="F126">
        <f>C126*E126</f>
        <v>6000</v>
      </c>
    </row>
    <row r="127" spans="2:6">
      <c r="E127" t="s">
        <v>1031</v>
      </c>
      <c r="F127">
        <f>ROUND(SUM(F124:F126),2)</f>
        <v>18757.37</v>
      </c>
    </row>
    <row r="129" spans="2:6">
      <c r="B129" t="s">
        <v>1526</v>
      </c>
    </row>
    <row r="130" spans="2:6">
      <c r="B130" t="s">
        <v>1085</v>
      </c>
      <c r="C130">
        <v>1.05</v>
      </c>
      <c r="D130" t="s">
        <v>2</v>
      </c>
      <c r="E130">
        <f>+$F$25</f>
        <v>8154.9</v>
      </c>
      <c r="F130">
        <f>C130*E130</f>
        <v>8562.6450000000004</v>
      </c>
    </row>
    <row r="131" spans="2:6">
      <c r="B131" t="s">
        <v>1087</v>
      </c>
      <c r="C131">
        <v>2.59</v>
      </c>
      <c r="D131" t="s">
        <v>126</v>
      </c>
      <c r="E131">
        <f>+$F$62</f>
        <v>2913</v>
      </c>
      <c r="F131">
        <f>C131*E131</f>
        <v>7544.67</v>
      </c>
    </row>
    <row r="132" spans="2:6">
      <c r="B132" t="s">
        <v>1089</v>
      </c>
      <c r="C132">
        <f>1/0.2</f>
        <v>5</v>
      </c>
      <c r="D132" t="s">
        <v>11</v>
      </c>
      <c r="E132">
        <v>1200</v>
      </c>
      <c r="F132">
        <f>C132*E132</f>
        <v>6000</v>
      </c>
    </row>
    <row r="133" spans="2:6">
      <c r="E133" t="s">
        <v>1031</v>
      </c>
      <c r="F133">
        <f>ROUND(SUM(F130:F132),2)</f>
        <v>22107.32</v>
      </c>
    </row>
    <row r="135" spans="2:6">
      <c r="B135" t="s">
        <v>1550</v>
      </c>
    </row>
    <row r="136" spans="2:6">
      <c r="B136" t="s">
        <v>1085</v>
      </c>
      <c r="C136">
        <v>1.05</v>
      </c>
      <c r="D136" t="s">
        <v>2</v>
      </c>
      <c r="E136">
        <f>+$F$25</f>
        <v>8154.9</v>
      </c>
      <c r="F136">
        <f>C136*E136</f>
        <v>8562.6450000000004</v>
      </c>
    </row>
    <row r="137" spans="2:6">
      <c r="B137" t="s">
        <v>1087</v>
      </c>
      <c r="C137">
        <v>4.24</v>
      </c>
      <c r="D137" t="s">
        <v>126</v>
      </c>
      <c r="E137">
        <f>+$F$62</f>
        <v>2913</v>
      </c>
      <c r="F137">
        <f>C137*E137</f>
        <v>12351.12</v>
      </c>
    </row>
    <row r="138" spans="2:6">
      <c r="B138" t="s">
        <v>1089</v>
      </c>
      <c r="C138">
        <f>1/0.2</f>
        <v>5</v>
      </c>
      <c r="D138" t="s">
        <v>11</v>
      </c>
      <c r="E138">
        <v>1200</v>
      </c>
      <c r="F138">
        <f>C138*E138</f>
        <v>6000</v>
      </c>
    </row>
    <row r="139" spans="2:6">
      <c r="E139" t="s">
        <v>1031</v>
      </c>
      <c r="F139">
        <f>ROUND(SUM(F136:F138),2)</f>
        <v>26913.77</v>
      </c>
    </row>
    <row r="141" spans="2:6">
      <c r="B141" t="s">
        <v>1528</v>
      </c>
    </row>
    <row r="142" spans="2:6">
      <c r="B142" t="s">
        <v>1085</v>
      </c>
      <c r="C142">
        <v>1.05</v>
      </c>
      <c r="D142" t="s">
        <v>2</v>
      </c>
      <c r="E142">
        <f>+$F$25</f>
        <v>8154.9</v>
      </c>
      <c r="F142">
        <f>C142*E142</f>
        <v>8562.6450000000004</v>
      </c>
    </row>
    <row r="143" spans="2:6">
      <c r="B143" t="s">
        <v>1087</v>
      </c>
      <c r="C143">
        <v>2.11</v>
      </c>
      <c r="D143" t="s">
        <v>126</v>
      </c>
      <c r="E143">
        <f>+$F$62</f>
        <v>2913</v>
      </c>
      <c r="F143">
        <f>C143*E143</f>
        <v>6146.43</v>
      </c>
    </row>
    <row r="144" spans="2:6">
      <c r="B144" t="s">
        <v>1089</v>
      </c>
      <c r="C144">
        <f>1/0.2</f>
        <v>5</v>
      </c>
      <c r="D144" t="s">
        <v>11</v>
      </c>
      <c r="E144">
        <v>1200</v>
      </c>
      <c r="F144">
        <f>C144*E144</f>
        <v>6000</v>
      </c>
    </row>
    <row r="145" spans="2:6">
      <c r="E145" t="s">
        <v>1031</v>
      </c>
      <c r="F145">
        <f>ROUND(SUM(F142:F144),2)</f>
        <v>20709.080000000002</v>
      </c>
    </row>
    <row r="147" spans="2:6">
      <c r="B147" t="s">
        <v>1529</v>
      </c>
    </row>
    <row r="148" spans="2:6">
      <c r="B148" t="s">
        <v>1085</v>
      </c>
      <c r="C148">
        <v>1.05</v>
      </c>
      <c r="D148" t="s">
        <v>2</v>
      </c>
      <c r="E148">
        <f>+$F$25</f>
        <v>8154.9</v>
      </c>
      <c r="F148">
        <f>C148*E148</f>
        <v>8562.6450000000004</v>
      </c>
    </row>
    <row r="149" spans="2:6">
      <c r="B149" t="s">
        <v>1087</v>
      </c>
      <c r="C149">
        <v>1.27</v>
      </c>
      <c r="D149" t="s">
        <v>126</v>
      </c>
      <c r="E149">
        <f>+$F$62</f>
        <v>2913</v>
      </c>
      <c r="F149">
        <f>C149*E149</f>
        <v>3699.51</v>
      </c>
    </row>
    <row r="150" spans="2:6">
      <c r="B150" t="s">
        <v>1089</v>
      </c>
      <c r="C150">
        <f>1/0.2</f>
        <v>5</v>
      </c>
      <c r="D150" t="s">
        <v>11</v>
      </c>
      <c r="E150">
        <v>1200</v>
      </c>
      <c r="F150">
        <f>C150*E150</f>
        <v>6000</v>
      </c>
    </row>
    <row r="151" spans="2:6">
      <c r="E151" t="s">
        <v>1031</v>
      </c>
      <c r="F151">
        <f>ROUND(SUM(F148:F150),2)</f>
        <v>18262.16</v>
      </c>
    </row>
    <row r="153" spans="2:6">
      <c r="B153" t="s">
        <v>1530</v>
      </c>
    </row>
    <row r="154" spans="2:6">
      <c r="B154" t="s">
        <v>1085</v>
      </c>
      <c r="C154">
        <v>1.05</v>
      </c>
      <c r="D154" t="s">
        <v>2</v>
      </c>
      <c r="E154">
        <f>+$F$25</f>
        <v>8154.9</v>
      </c>
      <c r="F154">
        <f>C154*E154</f>
        <v>8562.6450000000004</v>
      </c>
    </row>
    <row r="155" spans="2:6">
      <c r="B155" t="s">
        <v>1087</v>
      </c>
      <c r="C155">
        <v>1.57</v>
      </c>
      <c r="D155" t="s">
        <v>126</v>
      </c>
      <c r="E155">
        <f>+$F$62</f>
        <v>2913</v>
      </c>
      <c r="F155">
        <f>C155*E155</f>
        <v>4573.41</v>
      </c>
    </row>
    <row r="156" spans="2:6">
      <c r="B156" t="s">
        <v>1089</v>
      </c>
      <c r="C156">
        <f>1/0.15</f>
        <v>6.6666666666666696</v>
      </c>
      <c r="D156" t="s">
        <v>11</v>
      </c>
      <c r="E156">
        <v>1000</v>
      </c>
      <c r="F156">
        <f>C156*E156</f>
        <v>6666.6666666666697</v>
      </c>
    </row>
    <row r="157" spans="2:6">
      <c r="E157" t="s">
        <v>1031</v>
      </c>
      <c r="F157">
        <f>ROUND(SUM(F154:F156),2)</f>
        <v>19802.72</v>
      </c>
    </row>
    <row r="159" spans="2:6">
      <c r="B159" t="s">
        <v>1531</v>
      </c>
    </row>
    <row r="160" spans="2:6">
      <c r="B160" t="s">
        <v>1085</v>
      </c>
      <c r="C160">
        <v>1.05</v>
      </c>
      <c r="D160" t="s">
        <v>2</v>
      </c>
      <c r="E160">
        <f>+$F$25</f>
        <v>8154.9</v>
      </c>
      <c r="F160">
        <f>C160*E160</f>
        <v>8562.6450000000004</v>
      </c>
    </row>
    <row r="161" spans="2:6">
      <c r="B161" t="s">
        <v>1087</v>
      </c>
      <c r="C161">
        <v>2.25</v>
      </c>
      <c r="D161" t="s">
        <v>126</v>
      </c>
      <c r="E161">
        <f>+$F$62</f>
        <v>2913</v>
      </c>
      <c r="F161">
        <f>C161*E161</f>
        <v>6554.25</v>
      </c>
    </row>
    <row r="162" spans="2:6">
      <c r="B162" t="s">
        <v>1089</v>
      </c>
      <c r="C162">
        <f>1/0.15</f>
        <v>6.6666666666666696</v>
      </c>
      <c r="D162" t="s">
        <v>11</v>
      </c>
      <c r="E162">
        <v>1200</v>
      </c>
      <c r="F162">
        <f>C162*E162</f>
        <v>8000</v>
      </c>
    </row>
    <row r="163" spans="2:6">
      <c r="E163" t="s">
        <v>1031</v>
      </c>
      <c r="F163">
        <f>ROUND(SUM(F160:F162),2)</f>
        <v>23116.9</v>
      </c>
    </row>
    <row r="165" spans="2:6">
      <c r="B165" t="s">
        <v>1539</v>
      </c>
    </row>
    <row r="166" spans="2:6">
      <c r="B166" t="s">
        <v>1085</v>
      </c>
      <c r="C166">
        <v>1.05</v>
      </c>
      <c r="D166" t="s">
        <v>2</v>
      </c>
      <c r="E166">
        <f>+$F$25</f>
        <v>8154.9</v>
      </c>
      <c r="F166">
        <f>C166*E166</f>
        <v>8562.6450000000004</v>
      </c>
    </row>
    <row r="167" spans="2:6">
      <c r="B167" t="s">
        <v>1087</v>
      </c>
      <c r="C167">
        <v>1.37</v>
      </c>
      <c r="D167" t="s">
        <v>126</v>
      </c>
      <c r="E167">
        <f>+$F$62</f>
        <v>2913</v>
      </c>
      <c r="F167">
        <f>C167*E167</f>
        <v>3990.81</v>
      </c>
    </row>
    <row r="169" spans="2:6">
      <c r="E169" t="s">
        <v>1031</v>
      </c>
      <c r="F169">
        <f>ROUND(SUM(F166:F168),2)</f>
        <v>12553.46</v>
      </c>
    </row>
    <row r="171" spans="2:6">
      <c r="B171" t="s">
        <v>1533</v>
      </c>
    </row>
    <row r="172" spans="2:6">
      <c r="B172" t="s">
        <v>1085</v>
      </c>
      <c r="C172">
        <v>1.05</v>
      </c>
      <c r="D172" t="s">
        <v>2</v>
      </c>
      <c r="E172">
        <f>+$F$25</f>
        <v>8154.9</v>
      </c>
      <c r="F172">
        <f>C172*E172</f>
        <v>8562.6450000000004</v>
      </c>
    </row>
    <row r="173" spans="2:6">
      <c r="B173" t="s">
        <v>1087</v>
      </c>
      <c r="C173">
        <v>2.4500000000000002</v>
      </c>
      <c r="D173" t="s">
        <v>126</v>
      </c>
      <c r="E173">
        <f>+$F$62</f>
        <v>2913</v>
      </c>
      <c r="F173">
        <f>C173*E173</f>
        <v>7136.85</v>
      </c>
    </row>
    <row r="175" spans="2:6">
      <c r="E175" t="s">
        <v>1031</v>
      </c>
      <c r="F175">
        <f>ROUND(SUM(F172:F174),2)</f>
        <v>15699.5</v>
      </c>
    </row>
    <row r="177" spans="2:6">
      <c r="B177" t="s">
        <v>1535</v>
      </c>
    </row>
    <row r="178" spans="2:6">
      <c r="B178" t="s">
        <v>1085</v>
      </c>
      <c r="C178">
        <v>1.05</v>
      </c>
      <c r="D178" t="s">
        <v>2</v>
      </c>
      <c r="E178">
        <f>+$F$25</f>
        <v>8154.9</v>
      </c>
      <c r="F178">
        <f>C178*E178</f>
        <v>8562.6450000000004</v>
      </c>
    </row>
    <row r="179" spans="2:6">
      <c r="B179" t="s">
        <v>1087</v>
      </c>
      <c r="C179">
        <v>1.32</v>
      </c>
      <c r="D179" t="s">
        <v>126</v>
      </c>
      <c r="E179">
        <f>+$F$62</f>
        <v>2913</v>
      </c>
      <c r="F179">
        <f>C179*E179</f>
        <v>3845.16</v>
      </c>
    </row>
    <row r="181" spans="2:6">
      <c r="E181" t="s">
        <v>1031</v>
      </c>
      <c r="F181">
        <f>ROUND(SUM(F178:F180),2)</f>
        <v>12407.81</v>
      </c>
    </row>
    <row r="183" spans="2:6">
      <c r="B183" t="s">
        <v>1536</v>
      </c>
    </row>
    <row r="184" spans="2:6">
      <c r="B184" t="s">
        <v>1085</v>
      </c>
      <c r="C184">
        <v>1.05</v>
      </c>
      <c r="D184" t="s">
        <v>2</v>
      </c>
      <c r="E184">
        <f>+$F$25</f>
        <v>8154.9</v>
      </c>
      <c r="F184">
        <f>C184*E184</f>
        <v>8562.6450000000004</v>
      </c>
    </row>
    <row r="185" spans="2:6">
      <c r="B185" t="s">
        <v>1087</v>
      </c>
      <c r="C185">
        <v>1.1599999999999999</v>
      </c>
      <c r="D185" t="s">
        <v>126</v>
      </c>
      <c r="E185">
        <f>+$F$62</f>
        <v>2913</v>
      </c>
      <c r="F185">
        <f>C185*E185</f>
        <v>3379.08</v>
      </c>
    </row>
    <row r="187" spans="2:6">
      <c r="E187" t="s">
        <v>1031</v>
      </c>
      <c r="F187">
        <f>ROUND(SUM(F184:F186),2)</f>
        <v>11941.73</v>
      </c>
    </row>
    <row r="189" spans="2:6">
      <c r="B189" t="s">
        <v>1537</v>
      </c>
    </row>
    <row r="190" spans="2:6">
      <c r="B190" t="s">
        <v>1085</v>
      </c>
      <c r="C190">
        <v>1.05</v>
      </c>
      <c r="D190" t="s">
        <v>2</v>
      </c>
      <c r="E190">
        <f>+$F$25</f>
        <v>8154.9</v>
      </c>
      <c r="F190">
        <f>C190*E190</f>
        <v>8562.6450000000004</v>
      </c>
    </row>
    <row r="191" spans="2:6">
      <c r="B191" t="s">
        <v>1087</v>
      </c>
      <c r="C191">
        <v>1.38</v>
      </c>
      <c r="D191" t="s">
        <v>126</v>
      </c>
      <c r="E191">
        <f>+$F$62</f>
        <v>2913</v>
      </c>
      <c r="F191">
        <f>C191*E191</f>
        <v>4019.94</v>
      </c>
    </row>
    <row r="193" spans="2:6">
      <c r="E193" t="s">
        <v>1031</v>
      </c>
      <c r="F193">
        <f>ROUND(SUM(F190:F192),2)</f>
        <v>12582.59</v>
      </c>
    </row>
    <row r="195" spans="2:6">
      <c r="B195" t="s">
        <v>1537</v>
      </c>
    </row>
    <row r="196" spans="2:6">
      <c r="B196" t="s">
        <v>1085</v>
      </c>
      <c r="C196">
        <v>1.05</v>
      </c>
      <c r="D196" t="s">
        <v>2</v>
      </c>
      <c r="E196">
        <f>+$F$25</f>
        <v>8154.9</v>
      </c>
      <c r="F196">
        <f>C196*E196</f>
        <v>8562.6450000000004</v>
      </c>
    </row>
    <row r="197" spans="2:6">
      <c r="B197" t="s">
        <v>1087</v>
      </c>
      <c r="C197">
        <v>1.38</v>
      </c>
      <c r="D197" t="s">
        <v>126</v>
      </c>
      <c r="E197">
        <f>+$F$62</f>
        <v>2913</v>
      </c>
      <c r="F197">
        <f>C197*E197</f>
        <v>4019.94</v>
      </c>
    </row>
    <row r="199" spans="2:6">
      <c r="E199" t="s">
        <v>1031</v>
      </c>
      <c r="F199">
        <f>ROUND(SUM(F196:F198),2)</f>
        <v>12582.59</v>
      </c>
    </row>
    <row r="201" spans="2:6">
      <c r="B201" t="s">
        <v>1538</v>
      </c>
    </row>
    <row r="202" spans="2:6">
      <c r="B202" t="s">
        <v>1085</v>
      </c>
      <c r="C202">
        <v>1.05</v>
      </c>
      <c r="D202" t="s">
        <v>2</v>
      </c>
      <c r="E202">
        <f>+$F$25</f>
        <v>8154.9</v>
      </c>
      <c r="F202">
        <f>C202*E202</f>
        <v>8562.6450000000004</v>
      </c>
    </row>
    <row r="203" spans="2:6">
      <c r="B203" t="s">
        <v>1087</v>
      </c>
      <c r="C203">
        <v>1.6</v>
      </c>
      <c r="D203" t="s">
        <v>126</v>
      </c>
      <c r="E203">
        <f>+$F$62</f>
        <v>2913</v>
      </c>
      <c r="F203">
        <f>C203*E203</f>
        <v>4660.8</v>
      </c>
    </row>
    <row r="205" spans="2:6">
      <c r="E205" t="s">
        <v>1031</v>
      </c>
      <c r="F205">
        <f>ROUND(SUM(F202:F204),2)</f>
        <v>13223.45</v>
      </c>
    </row>
    <row r="207" spans="2:6">
      <c r="B207" t="s">
        <v>1540</v>
      </c>
    </row>
    <row r="208" spans="2:6">
      <c r="B208" t="s">
        <v>1085</v>
      </c>
      <c r="C208">
        <v>1.05</v>
      </c>
      <c r="D208" t="s">
        <v>2</v>
      </c>
      <c r="E208">
        <f>+$F$25</f>
        <v>8154.9</v>
      </c>
      <c r="F208">
        <f>C208*E208</f>
        <v>8562.6450000000004</v>
      </c>
    </row>
    <row r="209" spans="2:6">
      <c r="B209" t="s">
        <v>1087</v>
      </c>
      <c r="C209">
        <v>0.87</v>
      </c>
      <c r="D209" t="s">
        <v>126</v>
      </c>
      <c r="E209">
        <f>+F59+F61</f>
        <v>2590</v>
      </c>
      <c r="F209">
        <f>C209*E209</f>
        <v>2253.3000000000002</v>
      </c>
    </row>
    <row r="210" spans="2:6">
      <c r="B210" t="s">
        <v>1089</v>
      </c>
      <c r="C210">
        <f>1/(0.9*0.35)</f>
        <v>3.17460317460317</v>
      </c>
      <c r="D210" t="s">
        <v>1</v>
      </c>
      <c r="E210">
        <v>110</v>
      </c>
      <c r="F210">
        <f>C210*E210</f>
        <v>349.20634920634899</v>
      </c>
    </row>
    <row r="211" spans="2:6">
      <c r="E211" t="s">
        <v>1031</v>
      </c>
      <c r="F211">
        <f>ROUND(SUM(F208:F210),2)</f>
        <v>11165.15</v>
      </c>
    </row>
    <row r="213" spans="2:6">
      <c r="B213" t="s">
        <v>1542</v>
      </c>
    </row>
    <row r="214" spans="2:6">
      <c r="B214" t="s">
        <v>1085</v>
      </c>
      <c r="C214">
        <v>1.05</v>
      </c>
      <c r="D214" t="s">
        <v>2</v>
      </c>
      <c r="E214">
        <f>+$F$25</f>
        <v>8154.9</v>
      </c>
      <c r="F214">
        <f>C214*E214</f>
        <v>8562.6450000000004</v>
      </c>
    </row>
    <row r="215" spans="2:6">
      <c r="B215" t="s">
        <v>1087</v>
      </c>
      <c r="C215">
        <v>0.61</v>
      </c>
      <c r="D215" t="s">
        <v>126</v>
      </c>
      <c r="E215">
        <f>+E209</f>
        <v>2590</v>
      </c>
      <c r="F215">
        <f>C215*E215</f>
        <v>1579.9</v>
      </c>
    </row>
    <row r="216" spans="2:6">
      <c r="B216" t="s">
        <v>1089</v>
      </c>
      <c r="C216">
        <f>1/(0.9*0.35)</f>
        <v>3.17460317460317</v>
      </c>
      <c r="D216" t="s">
        <v>1</v>
      </c>
      <c r="E216">
        <v>110</v>
      </c>
      <c r="F216">
        <f>C216*E216</f>
        <v>349.20634920634899</v>
      </c>
    </row>
    <row r="217" spans="2:6">
      <c r="E217" t="s">
        <v>1031</v>
      </c>
      <c r="F217">
        <f>ROUND(SUM(F214:F216),2)</f>
        <v>10491.75</v>
      </c>
    </row>
    <row r="219" spans="2:6">
      <c r="B219" t="s">
        <v>1541</v>
      </c>
    </row>
    <row r="220" spans="2:6">
      <c r="B220" t="s">
        <v>1085</v>
      </c>
      <c r="C220">
        <v>1.05</v>
      </c>
      <c r="D220" t="s">
        <v>2</v>
      </c>
      <c r="E220">
        <f>+$F$25</f>
        <v>8154.9</v>
      </c>
      <c r="F220">
        <f>C220*E220</f>
        <v>8562.6450000000004</v>
      </c>
    </row>
    <row r="221" spans="2:6">
      <c r="B221" t="s">
        <v>1087</v>
      </c>
      <c r="C221">
        <v>1.27</v>
      </c>
      <c r="D221" t="s">
        <v>126</v>
      </c>
      <c r="E221">
        <f>+E203</f>
        <v>2913</v>
      </c>
      <c r="F221">
        <f>C221*E221</f>
        <v>3699.51</v>
      </c>
    </row>
    <row r="222" spans="2:6">
      <c r="B222" t="s">
        <v>1089</v>
      </c>
      <c r="C222">
        <f>1/0.15</f>
        <v>6.6666666666666696</v>
      </c>
      <c r="D222" t="s">
        <v>11</v>
      </c>
      <c r="E222">
        <v>350</v>
      </c>
      <c r="F222">
        <f>C222*E222</f>
        <v>2333.3333333333298</v>
      </c>
    </row>
    <row r="223" spans="2:6">
      <c r="E223" t="s">
        <v>1031</v>
      </c>
      <c r="F223">
        <f>ROUND(SUM(F220:F222),2)</f>
        <v>14595.49</v>
      </c>
    </row>
    <row r="225" spans="2:6">
      <c r="B225" t="s">
        <v>1543</v>
      </c>
    </row>
    <row r="226" spans="2:6">
      <c r="B226" t="s">
        <v>1085</v>
      </c>
      <c r="C226">
        <v>1.05</v>
      </c>
      <c r="D226" t="s">
        <v>2</v>
      </c>
      <c r="E226">
        <f>+$F$25</f>
        <v>8154.9</v>
      </c>
      <c r="F226">
        <f>C226*E226</f>
        <v>8562.6450000000004</v>
      </c>
    </row>
    <row r="227" spans="2:6">
      <c r="B227" t="s">
        <v>1087</v>
      </c>
      <c r="C227">
        <v>1.89</v>
      </c>
      <c r="D227" t="s">
        <v>126</v>
      </c>
      <c r="E227">
        <f>+$F$62</f>
        <v>2913</v>
      </c>
      <c r="F227">
        <f>C227*E227</f>
        <v>5505.57</v>
      </c>
    </row>
    <row r="228" spans="2:6">
      <c r="B228" t="s">
        <v>1089</v>
      </c>
      <c r="C228">
        <f>1/0.15</f>
        <v>6.6666666666666696</v>
      </c>
      <c r="D228" t="s">
        <v>11</v>
      </c>
      <c r="E228">
        <f>+E222</f>
        <v>350</v>
      </c>
      <c r="F228">
        <f>C228*E228</f>
        <v>2333.3333333333298</v>
      </c>
    </row>
    <row r="229" spans="2:6">
      <c r="E229" t="s">
        <v>1031</v>
      </c>
      <c r="F229">
        <f>ROUND(SUM(F226:F228),2)</f>
        <v>16401.55</v>
      </c>
    </row>
    <row r="231" spans="2:6">
      <c r="B231" t="s">
        <v>587</v>
      </c>
    </row>
    <row r="232" spans="2:6">
      <c r="B232" t="s">
        <v>171</v>
      </c>
      <c r="C232" t="s">
        <v>2</v>
      </c>
      <c r="D232">
        <v>6.3E-2</v>
      </c>
      <c r="E232">
        <f>+F84</f>
        <v>5506.4035999999996</v>
      </c>
      <c r="F232">
        <f t="shared" ref="F232:F237" si="1">E232*D232</f>
        <v>346.90342679999998</v>
      </c>
    </row>
    <row r="233" spans="2:6">
      <c r="B233" t="s">
        <v>154</v>
      </c>
      <c r="C233" t="s">
        <v>155</v>
      </c>
      <c r="D233">
        <v>0.33</v>
      </c>
      <c r="E233">
        <v>45</v>
      </c>
      <c r="F233">
        <f t="shared" si="1"/>
        <v>14.85</v>
      </c>
    </row>
    <row r="234" spans="2:6">
      <c r="B234" t="s">
        <v>156</v>
      </c>
      <c r="C234" t="s">
        <v>42</v>
      </c>
      <c r="D234">
        <v>1</v>
      </c>
      <c r="E234">
        <v>10</v>
      </c>
      <c r="F234">
        <f t="shared" si="1"/>
        <v>10</v>
      </c>
    </row>
    <row r="235" spans="2:6">
      <c r="B235" t="s">
        <v>172</v>
      </c>
      <c r="C235" t="s">
        <v>42</v>
      </c>
      <c r="D235">
        <v>1</v>
      </c>
      <c r="E235">
        <v>10</v>
      </c>
      <c r="F235">
        <f t="shared" si="1"/>
        <v>10</v>
      </c>
    </row>
    <row r="236" spans="2:6">
      <c r="B236" t="s">
        <v>2225</v>
      </c>
      <c r="C236" t="s">
        <v>11</v>
      </c>
      <c r="D236">
        <v>1</v>
      </c>
      <c r="E236">
        <v>120</v>
      </c>
      <c r="F236">
        <f t="shared" si="1"/>
        <v>120</v>
      </c>
    </row>
    <row r="237" spans="2:6">
      <c r="B237" t="s">
        <v>167</v>
      </c>
      <c r="C237" t="s">
        <v>1026</v>
      </c>
      <c r="D237">
        <v>5.2999999999999999E-2</v>
      </c>
      <c r="E237">
        <f>+E251</f>
        <v>325</v>
      </c>
      <c r="F237">
        <f t="shared" si="1"/>
        <v>17.225000000000001</v>
      </c>
    </row>
    <row r="238" spans="2:6">
      <c r="C238" t="s">
        <v>1037</v>
      </c>
      <c r="E238" t="s">
        <v>1038</v>
      </c>
      <c r="F238">
        <f>SUM(F232:F237)</f>
        <v>518.97842679999997</v>
      </c>
    </row>
    <row r="240" spans="2:6">
      <c r="B240" t="s">
        <v>174</v>
      </c>
    </row>
    <row r="241" spans="2:6">
      <c r="B241" t="s">
        <v>175</v>
      </c>
      <c r="C241" t="s">
        <v>2</v>
      </c>
      <c r="D241">
        <v>6.3E-2</v>
      </c>
      <c r="E241">
        <f>+F84</f>
        <v>5506.4035999999996</v>
      </c>
      <c r="F241">
        <f>E241*D241</f>
        <v>346.90342679999998</v>
      </c>
    </row>
    <row r="242" spans="2:6">
      <c r="B242" t="s">
        <v>154</v>
      </c>
      <c r="C242" t="s">
        <v>155</v>
      </c>
      <c r="D242">
        <v>0.33</v>
      </c>
      <c r="E242">
        <v>45</v>
      </c>
      <c r="F242">
        <f>E242*D242</f>
        <v>14.85</v>
      </c>
    </row>
    <row r="243" spans="2:6">
      <c r="B243" t="s">
        <v>176</v>
      </c>
      <c r="C243" t="s">
        <v>42</v>
      </c>
      <c r="D243">
        <v>1</v>
      </c>
      <c r="E243">
        <v>10</v>
      </c>
      <c r="F243">
        <f>E243*D243</f>
        <v>10</v>
      </c>
    </row>
    <row r="244" spans="2:6">
      <c r="B244" t="s">
        <v>41</v>
      </c>
      <c r="C244" t="s">
        <v>11</v>
      </c>
      <c r="D244">
        <v>1</v>
      </c>
      <c r="E244">
        <v>130</v>
      </c>
      <c r="F244">
        <f>E244*D244</f>
        <v>130</v>
      </c>
    </row>
    <row r="245" spans="2:6">
      <c r="C245" t="s">
        <v>1037</v>
      </c>
      <c r="E245" t="s">
        <v>1031</v>
      </c>
      <c r="F245">
        <f>+SUM(F241:F244)</f>
        <v>501.7534268</v>
      </c>
    </row>
    <row r="247" spans="2:6">
      <c r="B247" t="s">
        <v>165</v>
      </c>
    </row>
    <row r="248" spans="2:6">
      <c r="B248" t="s">
        <v>166</v>
      </c>
      <c r="C248" t="s">
        <v>2</v>
      </c>
      <c r="D248">
        <v>2.5999999999999999E-2</v>
      </c>
      <c r="E248">
        <f>+$F$76</f>
        <v>5653.396342</v>
      </c>
      <c r="F248">
        <f>+E248*D248</f>
        <v>146.988304892</v>
      </c>
    </row>
    <row r="249" spans="2:6">
      <c r="B249" t="s">
        <v>154</v>
      </c>
      <c r="C249" t="s">
        <v>155</v>
      </c>
      <c r="D249">
        <v>3.3000000000000002E-2</v>
      </c>
      <c r="E249">
        <v>45</v>
      </c>
      <c r="F249">
        <f>E249*D249</f>
        <v>1.4850000000000001</v>
      </c>
    </row>
    <row r="250" spans="2:6">
      <c r="B250" t="s">
        <v>156</v>
      </c>
      <c r="C250" t="s">
        <v>42</v>
      </c>
      <c r="D250">
        <v>1</v>
      </c>
      <c r="E250">
        <v>10</v>
      </c>
      <c r="F250">
        <f>E250*D250</f>
        <v>10</v>
      </c>
    </row>
    <row r="251" spans="2:6">
      <c r="B251" t="s">
        <v>167</v>
      </c>
      <c r="C251" t="s">
        <v>1026</v>
      </c>
      <c r="D251">
        <v>5.2999999999999999E-2</v>
      </c>
      <c r="E251">
        <f>$F$4</f>
        <v>325</v>
      </c>
      <c r="F251">
        <f>E251*D251</f>
        <v>17.225000000000001</v>
      </c>
    </row>
    <row r="252" spans="2:6">
      <c r="B252" t="s">
        <v>162</v>
      </c>
      <c r="C252" t="s">
        <v>11</v>
      </c>
      <c r="D252">
        <v>1</v>
      </c>
      <c r="E252">
        <v>137</v>
      </c>
      <c r="F252">
        <f>E252*D252</f>
        <v>137</v>
      </c>
    </row>
    <row r="253" spans="2:6">
      <c r="E253" t="s">
        <v>1031</v>
      </c>
      <c r="F253">
        <f>SUM(F248:F252)</f>
        <v>312.69830489200001</v>
      </c>
    </row>
    <row r="254" spans="2:6">
      <c r="B254" t="s">
        <v>158</v>
      </c>
      <c r="D254">
        <f>F253-F251</f>
        <v>295.47330489199999</v>
      </c>
      <c r="F254">
        <f>+F253-F251</f>
        <v>295.47330489199999</v>
      </c>
    </row>
    <row r="256" spans="2:6">
      <c r="B256" t="s">
        <v>1035</v>
      </c>
    </row>
    <row r="257" spans="2:6">
      <c r="B257" t="s">
        <v>153</v>
      </c>
      <c r="C257" t="s">
        <v>2</v>
      </c>
      <c r="D257">
        <v>2.5999999999999999E-2</v>
      </c>
      <c r="E257">
        <f>+$F$76</f>
        <v>5653.396342</v>
      </c>
      <c r="F257">
        <f>E257*D257</f>
        <v>146.988304892</v>
      </c>
    </row>
    <row r="258" spans="2:6">
      <c r="B258" t="s">
        <v>154</v>
      </c>
      <c r="C258" t="s">
        <v>155</v>
      </c>
      <c r="D258">
        <v>3.3000000000000002E-2</v>
      </c>
      <c r="E258">
        <v>45</v>
      </c>
      <c r="F258">
        <f>E258*D258</f>
        <v>1.4850000000000001</v>
      </c>
    </row>
    <row r="259" spans="2:6">
      <c r="B259" t="s">
        <v>156</v>
      </c>
      <c r="C259" t="s">
        <v>42</v>
      </c>
      <c r="D259">
        <v>1</v>
      </c>
      <c r="E259">
        <v>10</v>
      </c>
      <c r="F259">
        <f>E259*D259</f>
        <v>10</v>
      </c>
    </row>
    <row r="260" spans="2:6">
      <c r="B260" t="s">
        <v>41</v>
      </c>
      <c r="C260" t="s">
        <v>11</v>
      </c>
      <c r="D260">
        <v>1</v>
      </c>
      <c r="E260">
        <v>173</v>
      </c>
      <c r="F260">
        <f>E260*D260</f>
        <v>173</v>
      </c>
    </row>
    <row r="261" spans="2:6">
      <c r="E261" t="s">
        <v>1031</v>
      </c>
      <c r="F261">
        <f>SUM(F257:F260)</f>
        <v>331.47330489199999</v>
      </c>
    </row>
    <row r="263" spans="2:6">
      <c r="B263" t="s">
        <v>177</v>
      </c>
    </row>
    <row r="264" spans="2:6">
      <c r="B264" t="s">
        <v>178</v>
      </c>
      <c r="C264" t="s">
        <v>2</v>
      </c>
      <c r="D264">
        <v>4.3E-3</v>
      </c>
      <c r="E264">
        <f>+$F$76</f>
        <v>5653.396342</v>
      </c>
      <c r="F264">
        <f>E264*D264</f>
        <v>24.309604270600001</v>
      </c>
    </row>
    <row r="265" spans="2:6">
      <c r="B265" t="s">
        <v>154</v>
      </c>
      <c r="C265" t="s">
        <v>155</v>
      </c>
      <c r="D265">
        <v>0.109</v>
      </c>
      <c r="E265">
        <v>45</v>
      </c>
      <c r="F265">
        <f>E265*D265</f>
        <v>4.9050000000000002</v>
      </c>
    </row>
    <row r="266" spans="2:6">
      <c r="B266" t="s">
        <v>41</v>
      </c>
      <c r="C266" t="s">
        <v>2</v>
      </c>
      <c r="D266">
        <v>1</v>
      </c>
      <c r="E266">
        <v>53</v>
      </c>
      <c r="F266">
        <f>E266*D266</f>
        <v>53</v>
      </c>
    </row>
    <row r="267" spans="2:6">
      <c r="C267" t="s">
        <v>1037</v>
      </c>
      <c r="E267" t="s">
        <v>1039</v>
      </c>
      <c r="F267">
        <f>SUM(F264:F266)</f>
        <v>82.214604270600006</v>
      </c>
    </row>
    <row r="269" spans="2:6">
      <c r="B269" t="s">
        <v>862</v>
      </c>
    </row>
    <row r="270" spans="2:6">
      <c r="B270" t="s">
        <v>1071</v>
      </c>
      <c r="C270" t="s">
        <v>976</v>
      </c>
      <c r="D270">
        <v>0.2</v>
      </c>
      <c r="E270">
        <f>+F552</f>
        <v>920.16885732000003</v>
      </c>
      <c r="F270">
        <f>E270*D270</f>
        <v>184.03377146400001</v>
      </c>
    </row>
    <row r="271" spans="2:6">
      <c r="B271" t="s">
        <v>259</v>
      </c>
      <c r="C271" t="s">
        <v>11</v>
      </c>
      <c r="D271">
        <v>0.55000000000000004</v>
      </c>
      <c r="E271">
        <f>+F261</f>
        <v>331.47330489199999</v>
      </c>
      <c r="F271">
        <f>E271*D271</f>
        <v>182.31031769059999</v>
      </c>
    </row>
    <row r="272" spans="2:6">
      <c r="B272" t="s">
        <v>618</v>
      </c>
      <c r="C272" t="s">
        <v>1</v>
      </c>
      <c r="D272">
        <v>2</v>
      </c>
      <c r="E272">
        <f>+F267</f>
        <v>82.214604270600006</v>
      </c>
      <c r="F272">
        <f>E272*D272</f>
        <v>164.42920854120001</v>
      </c>
    </row>
    <row r="273" spans="2:6">
      <c r="E273" t="s">
        <v>1031</v>
      </c>
      <c r="F273">
        <f>SUM(F270:F272)</f>
        <v>530.77329769580001</v>
      </c>
    </row>
    <row r="275" spans="2:6">
      <c r="B275" t="s">
        <v>1229</v>
      </c>
    </row>
    <row r="276" spans="2:6">
      <c r="B276" t="s">
        <v>1059</v>
      </c>
      <c r="C276" t="s">
        <v>11</v>
      </c>
      <c r="D276">
        <v>1</v>
      </c>
      <c r="E276">
        <v>18</v>
      </c>
      <c r="F276">
        <f>E276*D276</f>
        <v>18</v>
      </c>
    </row>
    <row r="277" spans="2:6">
      <c r="B277" t="s">
        <v>2234</v>
      </c>
      <c r="C277" t="s">
        <v>2</v>
      </c>
      <c r="D277">
        <v>0.105</v>
      </c>
      <c r="E277">
        <f>+F43</f>
        <v>5050.6549999999997</v>
      </c>
      <c r="F277">
        <f>E277*D277</f>
        <v>530.31877499999996</v>
      </c>
    </row>
    <row r="278" spans="2:6">
      <c r="B278" t="s">
        <v>154</v>
      </c>
      <c r="C278" t="s">
        <v>155</v>
      </c>
      <c r="D278">
        <v>2.1999999999999999E-2</v>
      </c>
      <c r="E278">
        <v>45</v>
      </c>
      <c r="F278">
        <f>E278*D278</f>
        <v>0.99</v>
      </c>
    </row>
    <row r="279" spans="2:6">
      <c r="B279" t="s">
        <v>1061</v>
      </c>
      <c r="C279" t="s">
        <v>11</v>
      </c>
      <c r="D279">
        <v>1</v>
      </c>
      <c r="E279">
        <v>125</v>
      </c>
      <c r="F279">
        <f>E279*D279</f>
        <v>125</v>
      </c>
    </row>
    <row r="280" spans="2:6">
      <c r="B280" t="s">
        <v>1062</v>
      </c>
      <c r="C280" t="s">
        <v>1</v>
      </c>
      <c r="D280">
        <f>1/0.8</f>
        <v>1.25</v>
      </c>
      <c r="E280">
        <f>+F267</f>
        <v>82.214604270600006</v>
      </c>
      <c r="F280">
        <f>E280*D280</f>
        <v>102.76825533825</v>
      </c>
    </row>
    <row r="281" spans="2:6">
      <c r="E281" t="s">
        <v>1031</v>
      </c>
      <c r="F281">
        <f>SUM(F276:F280)</f>
        <v>777.07703033824998</v>
      </c>
    </row>
    <row r="282" spans="2:6">
      <c r="E282">
        <v>0.8</v>
      </c>
      <c r="F282">
        <f>ROUND(F281-F280+E280*1/0.8,2)</f>
        <v>777.08</v>
      </c>
    </row>
    <row r="283" spans="2:6">
      <c r="E283">
        <v>1</v>
      </c>
    </row>
    <row r="284" spans="2:6">
      <c r="B284" t="s">
        <v>781</v>
      </c>
    </row>
    <row r="285" spans="2:6">
      <c r="B285" t="s">
        <v>1225</v>
      </c>
      <c r="C285">
        <v>1.05</v>
      </c>
      <c r="D285" t="s">
        <v>2</v>
      </c>
      <c r="E285" t="e">
        <f>+E503</f>
        <v>#REF!</v>
      </c>
      <c r="F285" t="e">
        <f>C285*E285</f>
        <v>#REF!</v>
      </c>
    </row>
    <row r="286" spans="2:6">
      <c r="B286" t="s">
        <v>1087</v>
      </c>
      <c r="C286">
        <v>4.4800000000000004</v>
      </c>
      <c r="D286" t="s">
        <v>126</v>
      </c>
      <c r="E286">
        <f>+E504</f>
        <v>2913</v>
      </c>
      <c r="F286">
        <f>C286*E286</f>
        <v>13050.24</v>
      </c>
    </row>
    <row r="287" spans="2:6">
      <c r="B287" t="s">
        <v>1089</v>
      </c>
      <c r="C287">
        <f>1/(0.2*0.15)</f>
        <v>33.3333333333333</v>
      </c>
      <c r="D287" t="s">
        <v>1</v>
      </c>
      <c r="E287">
        <v>1000</v>
      </c>
      <c r="F287">
        <f>C287*E287</f>
        <v>33333.333333333299</v>
      </c>
    </row>
    <row r="288" spans="2:6">
      <c r="E288" t="s">
        <v>1031</v>
      </c>
      <c r="F288" t="e">
        <f>ROUND(SUM(F285:F287),2)</f>
        <v>#REF!</v>
      </c>
    </row>
    <row r="290" spans="2:6">
      <c r="B290" t="s">
        <v>597</v>
      </c>
    </row>
    <row r="291" spans="2:6">
      <c r="B291" t="s">
        <v>1225</v>
      </c>
      <c r="C291">
        <v>1.05</v>
      </c>
      <c r="D291" t="s">
        <v>2</v>
      </c>
      <c r="E291" t="e">
        <f>+#REF!</f>
        <v>#REF!</v>
      </c>
      <c r="F291" t="e">
        <f>C291*E291</f>
        <v>#REF!</v>
      </c>
    </row>
    <row r="292" spans="2:6">
      <c r="B292" t="s">
        <v>272</v>
      </c>
      <c r="C292">
        <v>0.99</v>
      </c>
      <c r="D292" t="s">
        <v>126</v>
      </c>
      <c r="E292">
        <f>+F530</f>
        <v>2590</v>
      </c>
      <c r="F292">
        <f>C292*E292</f>
        <v>2564.1</v>
      </c>
    </row>
    <row r="293" spans="2:6">
      <c r="E293" t="s">
        <v>1031</v>
      </c>
      <c r="F293" t="e">
        <f>ROUND(SUM(F291:F292),2)</f>
        <v>#REF!</v>
      </c>
    </row>
    <row r="295" spans="2:6">
      <c r="B295" t="s">
        <v>599</v>
      </c>
    </row>
    <row r="296" spans="2:6">
      <c r="B296" t="s">
        <v>1225</v>
      </c>
      <c r="C296">
        <v>1.05</v>
      </c>
      <c r="D296" t="s">
        <v>2</v>
      </c>
      <c r="E296" t="e">
        <f>+E291</f>
        <v>#REF!</v>
      </c>
      <c r="F296" t="e">
        <f>C296*E296</f>
        <v>#REF!</v>
      </c>
    </row>
    <row r="297" spans="2:6">
      <c r="B297" t="s">
        <v>1087</v>
      </c>
      <c r="C297">
        <v>2.5</v>
      </c>
      <c r="D297" t="s">
        <v>126</v>
      </c>
      <c r="E297">
        <f>+E611</f>
        <v>2913</v>
      </c>
      <c r="F297">
        <f>C297*E297</f>
        <v>7282.5</v>
      </c>
    </row>
    <row r="298" spans="2:6">
      <c r="B298" t="s">
        <v>1089</v>
      </c>
      <c r="C298">
        <f>1/0.15</f>
        <v>6.6666666666666696</v>
      </c>
      <c r="D298" t="s">
        <v>1</v>
      </c>
      <c r="E298">
        <v>1000</v>
      </c>
      <c r="F298">
        <f>C298*E298</f>
        <v>6666.6666666666697</v>
      </c>
    </row>
    <row r="299" spans="2:6">
      <c r="E299" t="s">
        <v>1031</v>
      </c>
      <c r="F299" t="e">
        <f>ROUND(SUM(F296:F298),2)</f>
        <v>#REF!</v>
      </c>
    </row>
    <row r="301" spans="2:6">
      <c r="B301" t="s">
        <v>141</v>
      </c>
    </row>
    <row r="302" spans="2:6">
      <c r="B302" t="s">
        <v>1770</v>
      </c>
      <c r="C302" t="s">
        <v>2</v>
      </c>
      <c r="D302">
        <v>1.02</v>
      </c>
      <c r="E302">
        <v>7384</v>
      </c>
      <c r="F302">
        <f>E302*D302</f>
        <v>7531.68</v>
      </c>
    </row>
    <row r="303" spans="2:6">
      <c r="E303" t="s">
        <v>1031</v>
      </c>
      <c r="F303">
        <f>SUM(F302:F302)</f>
        <v>7531.68</v>
      </c>
    </row>
    <row r="305" spans="2:6" ht="12" customHeight="1"/>
    <row r="306" spans="2:6" hidden="1">
      <c r="B306" t="s">
        <v>607</v>
      </c>
    </row>
    <row r="307" spans="2:6" hidden="1"/>
    <row r="308" spans="2:6" hidden="1">
      <c r="B308" t="s">
        <v>609</v>
      </c>
    </row>
    <row r="309" spans="2:6" hidden="1">
      <c r="B309" t="s">
        <v>1225</v>
      </c>
      <c r="C309">
        <v>1.05</v>
      </c>
      <c r="D309" t="s">
        <v>2</v>
      </c>
      <c r="E309" t="e">
        <f>+E296</f>
        <v>#REF!</v>
      </c>
      <c r="F309" t="e">
        <f>C309*E309</f>
        <v>#REF!</v>
      </c>
    </row>
    <row r="310" spans="2:6" hidden="1">
      <c r="B310" t="s">
        <v>272</v>
      </c>
      <c r="C310">
        <v>0.99</v>
      </c>
      <c r="D310" t="s">
        <v>126</v>
      </c>
      <c r="E310">
        <f>+E297</f>
        <v>2913</v>
      </c>
      <c r="F310">
        <f>C310*E310</f>
        <v>2883.87</v>
      </c>
    </row>
    <row r="311" spans="2:6" hidden="1">
      <c r="E311" t="s">
        <v>1031</v>
      </c>
      <c r="F311" t="e">
        <f>ROUND(SUM(F309:F310),2)</f>
        <v>#REF!</v>
      </c>
    </row>
    <row r="312" spans="2:6" hidden="1"/>
    <row r="313" spans="2:6" hidden="1">
      <c r="B313" t="s">
        <v>611</v>
      </c>
    </row>
    <row r="314" spans="2:6" hidden="1">
      <c r="B314" t="s">
        <v>1225</v>
      </c>
      <c r="C314">
        <v>1.05</v>
      </c>
      <c r="D314" t="s">
        <v>2</v>
      </c>
      <c r="E314" t="e">
        <f>+E309</f>
        <v>#REF!</v>
      </c>
      <c r="F314" t="e">
        <f>C314*E314</f>
        <v>#REF!</v>
      </c>
    </row>
    <row r="315" spans="2:6" hidden="1">
      <c r="B315" t="s">
        <v>1087</v>
      </c>
      <c r="C315">
        <v>2.5</v>
      </c>
      <c r="D315" t="s">
        <v>126</v>
      </c>
      <c r="E315">
        <f>+E297</f>
        <v>2913</v>
      </c>
      <c r="F315">
        <f>C315*E315</f>
        <v>7282.5</v>
      </c>
    </row>
    <row r="316" spans="2:6" hidden="1">
      <c r="B316" t="s">
        <v>1089</v>
      </c>
      <c r="C316">
        <f>1/0.3</f>
        <v>3.3333333333333299</v>
      </c>
      <c r="D316" t="s">
        <v>1</v>
      </c>
      <c r="E316">
        <v>1000</v>
      </c>
      <c r="F316">
        <f>C316*E316</f>
        <v>3333.3333333333298</v>
      </c>
    </row>
    <row r="317" spans="2:6" hidden="1">
      <c r="E317" t="s">
        <v>1031</v>
      </c>
      <c r="F317" t="e">
        <f>ROUND(SUM(F314:F316),2)</f>
        <v>#REF!</v>
      </c>
    </row>
    <row r="318" spans="2:6" hidden="1"/>
    <row r="319" spans="2:6" hidden="1">
      <c r="B319" t="s">
        <v>613</v>
      </c>
    </row>
    <row r="320" spans="2:6" hidden="1">
      <c r="B320" t="s">
        <v>1225</v>
      </c>
      <c r="C320">
        <v>1.05</v>
      </c>
      <c r="D320" t="s">
        <v>2</v>
      </c>
      <c r="E320" t="e">
        <f>+E314</f>
        <v>#REF!</v>
      </c>
      <c r="F320" t="e">
        <f>C320*E320</f>
        <v>#REF!</v>
      </c>
    </row>
    <row r="321" spans="2:6" hidden="1">
      <c r="B321" t="s">
        <v>1087</v>
      </c>
      <c r="C321">
        <v>3.06</v>
      </c>
      <c r="D321" t="s">
        <v>126</v>
      </c>
      <c r="E321">
        <f>+E315</f>
        <v>2913</v>
      </c>
      <c r="F321">
        <f>C321*E321</f>
        <v>8913.7800000000007</v>
      </c>
    </row>
    <row r="322" spans="2:6" hidden="1">
      <c r="B322" t="s">
        <v>1089</v>
      </c>
      <c r="C322">
        <f>1/0.25</f>
        <v>4</v>
      </c>
      <c r="D322" t="s">
        <v>1</v>
      </c>
      <c r="E322">
        <v>1000</v>
      </c>
      <c r="F322">
        <f>C322*E322</f>
        <v>4000</v>
      </c>
    </row>
    <row r="323" spans="2:6" hidden="1">
      <c r="E323" t="s">
        <v>1031</v>
      </c>
      <c r="F323" t="e">
        <f>ROUND(SUM(F320:F322),2)</f>
        <v>#REF!</v>
      </c>
    </row>
    <row r="324" spans="2:6" hidden="1"/>
    <row r="325" spans="2:6" hidden="1">
      <c r="B325" t="s">
        <v>626</v>
      </c>
    </row>
    <row r="326" spans="2:6" hidden="1"/>
    <row r="327" spans="2:6" hidden="1">
      <c r="B327" t="s">
        <v>629</v>
      </c>
    </row>
    <row r="328" spans="2:6" hidden="1">
      <c r="B328" t="s">
        <v>1225</v>
      </c>
      <c r="C328">
        <v>1.05</v>
      </c>
      <c r="D328" t="s">
        <v>2</v>
      </c>
      <c r="E328" t="e">
        <f>+E320</f>
        <v>#REF!</v>
      </c>
      <c r="F328" t="e">
        <f>C328*E328</f>
        <v>#REF!</v>
      </c>
    </row>
    <row r="329" spans="2:6" hidden="1">
      <c r="B329" t="s">
        <v>272</v>
      </c>
      <c r="C329">
        <v>1.42</v>
      </c>
      <c r="D329" t="s">
        <v>126</v>
      </c>
      <c r="E329">
        <f>+E321</f>
        <v>2913</v>
      </c>
      <c r="F329">
        <f>C329*E329</f>
        <v>4136.46</v>
      </c>
    </row>
    <row r="330" spans="2:6" hidden="1">
      <c r="E330" t="s">
        <v>1031</v>
      </c>
      <c r="F330" t="e">
        <f>ROUND(SUM(F328:F329),2)</f>
        <v>#REF!</v>
      </c>
    </row>
    <row r="331" spans="2:6" hidden="1"/>
    <row r="332" spans="2:6" hidden="1">
      <c r="B332" t="s">
        <v>633</v>
      </c>
    </row>
    <row r="333" spans="2:6" hidden="1"/>
    <row r="334" spans="2:6" hidden="1">
      <c r="B334" t="s">
        <v>629</v>
      </c>
    </row>
    <row r="335" spans="2:6" hidden="1">
      <c r="B335" t="s">
        <v>1225</v>
      </c>
      <c r="C335">
        <v>1.05</v>
      </c>
      <c r="D335" t="s">
        <v>2</v>
      </c>
      <c r="E335" t="e">
        <f>+E328</f>
        <v>#REF!</v>
      </c>
      <c r="F335" t="e">
        <f>C335*E335</f>
        <v>#REF!</v>
      </c>
    </row>
    <row r="336" spans="2:6" hidden="1">
      <c r="B336" t="s">
        <v>272</v>
      </c>
      <c r="C336">
        <v>1.42</v>
      </c>
      <c r="D336" t="s">
        <v>126</v>
      </c>
      <c r="E336">
        <f>+E329</f>
        <v>2913</v>
      </c>
      <c r="F336">
        <f>C336*E336</f>
        <v>4136.46</v>
      </c>
    </row>
    <row r="337" spans="2:6" hidden="1">
      <c r="E337" t="s">
        <v>1031</v>
      </c>
      <c r="F337" t="e">
        <f>ROUND(SUM(F335:F336),2)</f>
        <v>#REF!</v>
      </c>
    </row>
    <row r="338" spans="2:6" hidden="1"/>
    <row r="339" spans="2:6" hidden="1">
      <c r="B339" t="s">
        <v>642</v>
      </c>
    </row>
    <row r="340" spans="2:6" hidden="1"/>
    <row r="341" spans="2:6" hidden="1">
      <c r="B341" t="s">
        <v>609</v>
      </c>
    </row>
    <row r="342" spans="2:6" hidden="1">
      <c r="B342" t="s">
        <v>1225</v>
      </c>
      <c r="C342">
        <v>1.05</v>
      </c>
      <c r="D342" t="s">
        <v>2</v>
      </c>
      <c r="E342" t="e">
        <f>+E335</f>
        <v>#REF!</v>
      </c>
      <c r="F342" t="e">
        <f>C342*E342</f>
        <v>#REF!</v>
      </c>
    </row>
    <row r="343" spans="2:6" hidden="1">
      <c r="B343" t="s">
        <v>272</v>
      </c>
      <c r="C343">
        <v>0.99</v>
      </c>
      <c r="D343" t="s">
        <v>126</v>
      </c>
      <c r="E343">
        <f>+E336</f>
        <v>2913</v>
      </c>
      <c r="F343">
        <f>C343*E343</f>
        <v>2883.87</v>
      </c>
    </row>
    <row r="344" spans="2:6" hidden="1">
      <c r="E344" t="s">
        <v>1031</v>
      </c>
      <c r="F344" t="e">
        <f>ROUND(SUM(F342:F343),2)</f>
        <v>#REF!</v>
      </c>
    </row>
    <row r="345" spans="2:6" hidden="1"/>
    <row r="346" spans="2:6" hidden="1">
      <c r="B346" t="s">
        <v>611</v>
      </c>
    </row>
    <row r="347" spans="2:6" hidden="1">
      <c r="B347" t="s">
        <v>1225</v>
      </c>
      <c r="C347">
        <v>1.05</v>
      </c>
      <c r="D347" t="s">
        <v>2</v>
      </c>
      <c r="E347" t="e">
        <f>+E342</f>
        <v>#REF!</v>
      </c>
      <c r="F347" t="e">
        <f>C347*E347</f>
        <v>#REF!</v>
      </c>
    </row>
    <row r="348" spans="2:6" hidden="1">
      <c r="B348" t="s">
        <v>1087</v>
      </c>
      <c r="C348">
        <v>2.5</v>
      </c>
      <c r="D348" t="s">
        <v>126</v>
      </c>
      <c r="E348">
        <f>+E343</f>
        <v>2913</v>
      </c>
      <c r="F348">
        <f>C348*E348</f>
        <v>7282.5</v>
      </c>
    </row>
    <row r="349" spans="2:6" hidden="1">
      <c r="B349" t="s">
        <v>1089</v>
      </c>
      <c r="C349">
        <f>1/0.3</f>
        <v>3.3333333333333299</v>
      </c>
      <c r="D349" t="s">
        <v>1</v>
      </c>
      <c r="E349">
        <v>1000</v>
      </c>
      <c r="F349">
        <f>C349*E349</f>
        <v>3333.3333333333298</v>
      </c>
    </row>
    <row r="350" spans="2:6" hidden="1">
      <c r="E350" t="s">
        <v>1031</v>
      </c>
      <c r="F350" t="e">
        <f>ROUND(SUM(F347:F349),2)</f>
        <v>#REF!</v>
      </c>
    </row>
    <row r="351" spans="2:6" hidden="1"/>
    <row r="352" spans="2:6" hidden="1">
      <c r="B352" t="s">
        <v>645</v>
      </c>
    </row>
    <row r="353" spans="2:6" hidden="1">
      <c r="B353" t="s">
        <v>1225</v>
      </c>
      <c r="C353">
        <v>1.05</v>
      </c>
      <c r="D353" t="s">
        <v>2</v>
      </c>
      <c r="E353" t="e">
        <f>+E347</f>
        <v>#REF!</v>
      </c>
      <c r="F353" t="e">
        <f>C353*E353</f>
        <v>#REF!</v>
      </c>
    </row>
    <row r="354" spans="2:6" hidden="1">
      <c r="B354" t="s">
        <v>1087</v>
      </c>
      <c r="C354">
        <v>2.3199999999999998</v>
      </c>
      <c r="D354" t="s">
        <v>126</v>
      </c>
      <c r="E354">
        <f>+E348</f>
        <v>2913</v>
      </c>
      <c r="F354">
        <f>C354*E354</f>
        <v>6758.16</v>
      </c>
    </row>
    <row r="355" spans="2:6" hidden="1">
      <c r="B355" t="s">
        <v>1089</v>
      </c>
      <c r="C355">
        <f>1/0.25</f>
        <v>4</v>
      </c>
      <c r="D355" t="s">
        <v>1</v>
      </c>
      <c r="E355">
        <v>1000</v>
      </c>
      <c r="F355">
        <f>C355*E355</f>
        <v>4000</v>
      </c>
    </row>
    <row r="356" spans="2:6" hidden="1">
      <c r="E356" t="s">
        <v>1031</v>
      </c>
      <c r="F356" t="e">
        <f>ROUND(SUM(F353:F355),2)</f>
        <v>#REF!</v>
      </c>
    </row>
    <row r="357" spans="2:6" hidden="1"/>
    <row r="358" spans="2:6" hidden="1">
      <c r="B358" t="s">
        <v>629</v>
      </c>
    </row>
    <row r="359" spans="2:6" hidden="1">
      <c r="B359" t="s">
        <v>1225</v>
      </c>
      <c r="C359">
        <v>1.05</v>
      </c>
      <c r="D359" t="s">
        <v>2</v>
      </c>
      <c r="E359" t="e">
        <f>+E335</f>
        <v>#REF!</v>
      </c>
      <c r="F359" t="e">
        <f>C359*E359</f>
        <v>#REF!</v>
      </c>
    </row>
    <row r="360" spans="2:6" hidden="1">
      <c r="B360" t="s">
        <v>272</v>
      </c>
      <c r="C360">
        <v>1.42</v>
      </c>
      <c r="D360" t="s">
        <v>126</v>
      </c>
      <c r="E360">
        <f>+E336</f>
        <v>2913</v>
      </c>
      <c r="F360">
        <f>C360*E360</f>
        <v>4136.46</v>
      </c>
    </row>
    <row r="361" spans="2:6" hidden="1">
      <c r="E361" t="s">
        <v>1031</v>
      </c>
      <c r="F361" t="e">
        <f>ROUND(SUM(F359:F360),2)</f>
        <v>#REF!</v>
      </c>
    </row>
    <row r="362" spans="2:6" hidden="1"/>
    <row r="363" spans="2:6" hidden="1">
      <c r="B363" t="s">
        <v>662</v>
      </c>
    </row>
    <row r="364" spans="2:6" hidden="1"/>
    <row r="365" spans="2:6" hidden="1">
      <c r="B365" t="s">
        <v>629</v>
      </c>
    </row>
    <row r="366" spans="2:6" hidden="1">
      <c r="B366" t="s">
        <v>1225</v>
      </c>
      <c r="C366">
        <v>1.05</v>
      </c>
      <c r="D366" t="s">
        <v>2</v>
      </c>
      <c r="E366" t="e">
        <f>+E342</f>
        <v>#REF!</v>
      </c>
      <c r="F366" t="e">
        <f>C366*E366</f>
        <v>#REF!</v>
      </c>
    </row>
    <row r="367" spans="2:6" hidden="1">
      <c r="B367" t="s">
        <v>272</v>
      </c>
      <c r="C367">
        <v>1.42</v>
      </c>
      <c r="D367" t="s">
        <v>126</v>
      </c>
      <c r="E367">
        <f>+E343</f>
        <v>2913</v>
      </c>
      <c r="F367">
        <f>C367*E367</f>
        <v>4136.46</v>
      </c>
    </row>
    <row r="368" spans="2:6" hidden="1">
      <c r="E368" t="s">
        <v>1031</v>
      </c>
      <c r="F368" t="e">
        <f>ROUND(SUM(F366:F367),2)</f>
        <v>#REF!</v>
      </c>
    </row>
    <row r="369" spans="2:6" hidden="1"/>
    <row r="370" spans="2:6" hidden="1">
      <c r="B370" t="s">
        <v>1227</v>
      </c>
    </row>
    <row r="371" spans="2:6" hidden="1">
      <c r="B371" t="s">
        <v>1225</v>
      </c>
      <c r="C371">
        <v>1.05</v>
      </c>
      <c r="D371" t="s">
        <v>2</v>
      </c>
      <c r="E371" t="e">
        <f>+E366</f>
        <v>#REF!</v>
      </c>
      <c r="F371" t="e">
        <f>C371*E371</f>
        <v>#REF!</v>
      </c>
    </row>
    <row r="372" spans="2:6" hidden="1">
      <c r="B372" t="s">
        <v>1087</v>
      </c>
      <c r="C372">
        <v>3.06</v>
      </c>
      <c r="D372" t="s">
        <v>126</v>
      </c>
      <c r="E372">
        <f>+E367</f>
        <v>2913</v>
      </c>
      <c r="F372">
        <f>C372*E372</f>
        <v>8913.7800000000007</v>
      </c>
    </row>
    <row r="373" spans="2:6" hidden="1">
      <c r="B373" t="s">
        <v>1089</v>
      </c>
      <c r="C373">
        <f>1/0.25</f>
        <v>4</v>
      </c>
      <c r="D373" t="s">
        <v>1</v>
      </c>
      <c r="E373">
        <v>1000</v>
      </c>
      <c r="F373">
        <f>C373*E373</f>
        <v>4000</v>
      </c>
    </row>
    <row r="374" spans="2:6" hidden="1">
      <c r="E374" t="s">
        <v>1031</v>
      </c>
      <c r="F374" t="e">
        <f>ROUND(SUM(F371:F373),2)</f>
        <v>#REF!</v>
      </c>
    </row>
    <row r="375" spans="2:6" hidden="1"/>
    <row r="376" spans="2:6" hidden="1">
      <c r="B376" t="s">
        <v>666</v>
      </c>
    </row>
    <row r="377" spans="2:6" hidden="1"/>
    <row r="378" spans="2:6" hidden="1">
      <c r="B378" t="s">
        <v>668</v>
      </c>
    </row>
    <row r="379" spans="2:6" hidden="1">
      <c r="B379" t="s">
        <v>1225</v>
      </c>
      <c r="C379">
        <v>1.05</v>
      </c>
      <c r="D379" t="s">
        <v>2</v>
      </c>
      <c r="E379" t="e">
        <f>+E366</f>
        <v>#REF!</v>
      </c>
      <c r="F379" t="e">
        <f>C379*E379</f>
        <v>#REF!</v>
      </c>
    </row>
    <row r="380" spans="2:6" hidden="1">
      <c r="B380" t="s">
        <v>272</v>
      </c>
      <c r="C380">
        <v>0.99</v>
      </c>
      <c r="D380" t="s">
        <v>126</v>
      </c>
      <c r="E380">
        <f>+E367</f>
        <v>2913</v>
      </c>
      <c r="F380">
        <f>C380*E380</f>
        <v>2883.87</v>
      </c>
    </row>
    <row r="381" spans="2:6" hidden="1">
      <c r="E381" t="s">
        <v>1031</v>
      </c>
      <c r="F381" t="e">
        <f>ROUND(SUM(F379:F380),2)</f>
        <v>#REF!</v>
      </c>
    </row>
    <row r="382" spans="2:6" hidden="1"/>
    <row r="383" spans="2:6" hidden="1">
      <c r="B383" t="s">
        <v>671</v>
      </c>
    </row>
    <row r="384" spans="2:6" hidden="1"/>
    <row r="385" spans="2:6" hidden="1">
      <c r="B385" t="s">
        <v>629</v>
      </c>
    </row>
    <row r="386" spans="2:6" hidden="1">
      <c r="B386" t="s">
        <v>1225</v>
      </c>
      <c r="C386">
        <v>1.05</v>
      </c>
      <c r="D386" t="s">
        <v>2</v>
      </c>
      <c r="E386" t="e">
        <f>+E379</f>
        <v>#REF!</v>
      </c>
      <c r="F386" t="e">
        <f>C386*E386</f>
        <v>#REF!</v>
      </c>
    </row>
    <row r="387" spans="2:6" hidden="1">
      <c r="B387" t="s">
        <v>272</v>
      </c>
      <c r="C387">
        <v>1.42</v>
      </c>
      <c r="D387" t="s">
        <v>126</v>
      </c>
      <c r="E387">
        <f>+E380</f>
        <v>2913</v>
      </c>
      <c r="F387">
        <f>C387*E387</f>
        <v>4136.46</v>
      </c>
    </row>
    <row r="388" spans="2:6" hidden="1">
      <c r="E388" t="s">
        <v>1031</v>
      </c>
      <c r="F388" t="e">
        <f>ROUND(SUM(F386:F387),2)</f>
        <v>#REF!</v>
      </c>
    </row>
    <row r="389" spans="2:6" hidden="1"/>
    <row r="390" spans="2:6" hidden="1">
      <c r="B390" t="s">
        <v>673</v>
      </c>
    </row>
    <row r="391" spans="2:6" hidden="1"/>
    <row r="392" spans="2:6" hidden="1">
      <c r="B392" t="s">
        <v>609</v>
      </c>
    </row>
    <row r="393" spans="2:6" hidden="1">
      <c r="B393" t="s">
        <v>1225</v>
      </c>
      <c r="C393">
        <v>1.05</v>
      </c>
      <c r="D393" t="s">
        <v>2</v>
      </c>
      <c r="E393" t="e">
        <f>+E386</f>
        <v>#REF!</v>
      </c>
      <c r="F393" t="e">
        <f>C393*E393</f>
        <v>#REF!</v>
      </c>
    </row>
    <row r="394" spans="2:6" hidden="1">
      <c r="B394" t="s">
        <v>272</v>
      </c>
      <c r="C394">
        <v>0.99</v>
      </c>
      <c r="D394" t="s">
        <v>126</v>
      </c>
      <c r="E394">
        <f>+E387</f>
        <v>2913</v>
      </c>
      <c r="F394">
        <f>C394*E394</f>
        <v>2883.87</v>
      </c>
    </row>
    <row r="395" spans="2:6" hidden="1">
      <c r="E395" t="s">
        <v>1031</v>
      </c>
      <c r="F395" t="e">
        <f>ROUND(SUM(F393:F394),2)</f>
        <v>#REF!</v>
      </c>
    </row>
    <row r="396" spans="2:6" hidden="1"/>
    <row r="397" spans="2:6" hidden="1">
      <c r="B397" t="s">
        <v>611</v>
      </c>
    </row>
    <row r="398" spans="2:6" hidden="1">
      <c r="B398" t="s">
        <v>1225</v>
      </c>
      <c r="C398">
        <v>1.05</v>
      </c>
      <c r="D398" t="s">
        <v>2</v>
      </c>
      <c r="E398" t="e">
        <f>+E393</f>
        <v>#REF!</v>
      </c>
      <c r="F398" t="e">
        <f>C398*E398</f>
        <v>#REF!</v>
      </c>
    </row>
    <row r="399" spans="2:6" hidden="1">
      <c r="B399" t="s">
        <v>1087</v>
      </c>
      <c r="C399">
        <v>2.5</v>
      </c>
      <c r="D399" t="s">
        <v>126</v>
      </c>
      <c r="E399">
        <f>+E394</f>
        <v>2913</v>
      </c>
      <c r="F399">
        <f>C399*E399</f>
        <v>7282.5</v>
      </c>
    </row>
    <row r="400" spans="2:6" hidden="1">
      <c r="B400" t="s">
        <v>1089</v>
      </c>
      <c r="C400">
        <f>1/0.3</f>
        <v>3.3333333333333299</v>
      </c>
      <c r="D400" t="s">
        <v>1</v>
      </c>
      <c r="E400">
        <v>1000</v>
      </c>
      <c r="F400">
        <f>C400*E400</f>
        <v>3333.3333333333298</v>
      </c>
    </row>
    <row r="401" spans="2:6" hidden="1">
      <c r="E401" t="s">
        <v>1031</v>
      </c>
      <c r="F401" t="e">
        <f>ROUND(SUM(F398:F400),2)</f>
        <v>#REF!</v>
      </c>
    </row>
    <row r="402" spans="2:6" hidden="1"/>
    <row r="403" spans="2:6" hidden="1">
      <c r="B403" t="s">
        <v>613</v>
      </c>
    </row>
    <row r="404" spans="2:6" hidden="1">
      <c r="B404" t="s">
        <v>1225</v>
      </c>
      <c r="C404">
        <v>1.05</v>
      </c>
      <c r="D404" t="s">
        <v>2</v>
      </c>
      <c r="E404" t="e">
        <f>+E398</f>
        <v>#REF!</v>
      </c>
      <c r="F404" t="e">
        <f>C404*E404</f>
        <v>#REF!</v>
      </c>
    </row>
    <row r="405" spans="2:6" hidden="1">
      <c r="B405" t="s">
        <v>1087</v>
      </c>
      <c r="C405">
        <v>3.06</v>
      </c>
      <c r="D405" t="s">
        <v>126</v>
      </c>
      <c r="E405">
        <f>+E399</f>
        <v>2913</v>
      </c>
      <c r="F405">
        <f>C405*E405</f>
        <v>8913.7800000000007</v>
      </c>
    </row>
    <row r="406" spans="2:6" hidden="1">
      <c r="B406" t="s">
        <v>1089</v>
      </c>
      <c r="C406">
        <f>1/0.25</f>
        <v>4</v>
      </c>
      <c r="D406" t="s">
        <v>1</v>
      </c>
      <c r="E406">
        <v>1000</v>
      </c>
      <c r="F406">
        <f>C406*E406</f>
        <v>4000</v>
      </c>
    </row>
    <row r="407" spans="2:6" hidden="1">
      <c r="E407" t="s">
        <v>1031</v>
      </c>
      <c r="F407" t="e">
        <f>ROUND(SUM(F404:F406),2)</f>
        <v>#REF!</v>
      </c>
    </row>
    <row r="408" spans="2:6" hidden="1"/>
    <row r="409" spans="2:6" hidden="1">
      <c r="B409" t="s">
        <v>676</v>
      </c>
    </row>
    <row r="410" spans="2:6" hidden="1">
      <c r="B410" t="s">
        <v>1225</v>
      </c>
      <c r="C410">
        <v>1.05</v>
      </c>
      <c r="D410" t="s">
        <v>2</v>
      </c>
      <c r="E410" t="e">
        <f>+E404</f>
        <v>#REF!</v>
      </c>
      <c r="F410" t="e">
        <f>C410*E410</f>
        <v>#REF!</v>
      </c>
    </row>
    <row r="411" spans="2:6" hidden="1">
      <c r="B411" t="s">
        <v>1087</v>
      </c>
      <c r="C411">
        <v>2.75</v>
      </c>
      <c r="D411" t="s">
        <v>126</v>
      </c>
      <c r="E411">
        <f>+E405</f>
        <v>2913</v>
      </c>
      <c r="F411">
        <f>C411*E411</f>
        <v>8010.75</v>
      </c>
    </row>
    <row r="412" spans="2:6" hidden="1">
      <c r="B412" t="s">
        <v>1089</v>
      </c>
      <c r="C412">
        <f>1/0.15</f>
        <v>6.6666666666666696</v>
      </c>
      <c r="D412" t="s">
        <v>1</v>
      </c>
      <c r="E412">
        <v>1000</v>
      </c>
      <c r="F412">
        <f>C412*E412</f>
        <v>6666.6666666666697</v>
      </c>
    </row>
    <row r="413" spans="2:6" hidden="1">
      <c r="E413" t="s">
        <v>1031</v>
      </c>
      <c r="F413" t="e">
        <f>ROUND(SUM(F410:F412),2)</f>
        <v>#REF!</v>
      </c>
    </row>
    <row r="414" spans="2:6" hidden="1"/>
    <row r="415" spans="2:6" hidden="1">
      <c r="B415" t="s">
        <v>678</v>
      </c>
    </row>
    <row r="416" spans="2:6" hidden="1"/>
    <row r="417" spans="2:6" hidden="1">
      <c r="B417" t="s">
        <v>681</v>
      </c>
    </row>
    <row r="418" spans="2:6" hidden="1">
      <c r="B418" t="s">
        <v>1225</v>
      </c>
      <c r="C418">
        <v>1.05</v>
      </c>
      <c r="D418" t="s">
        <v>2</v>
      </c>
      <c r="E418" t="e">
        <f>+E410</f>
        <v>#REF!</v>
      </c>
      <c r="F418" t="e">
        <f>C418*E418</f>
        <v>#REF!</v>
      </c>
    </row>
    <row r="419" spans="2:6" hidden="1">
      <c r="B419" t="s">
        <v>272</v>
      </c>
      <c r="C419">
        <v>2.08</v>
      </c>
      <c r="D419" t="s">
        <v>126</v>
      </c>
      <c r="E419">
        <f>+E411</f>
        <v>2913</v>
      </c>
      <c r="F419">
        <f>C419*E419</f>
        <v>6059.04</v>
      </c>
    </row>
    <row r="420" spans="2:6" hidden="1">
      <c r="E420" t="s">
        <v>1031</v>
      </c>
      <c r="F420" t="e">
        <f>ROUND(SUM(F418:F419),2)</f>
        <v>#REF!</v>
      </c>
    </row>
    <row r="421" spans="2:6" hidden="1"/>
    <row r="422" spans="2:6" hidden="1">
      <c r="B422" t="s">
        <v>683</v>
      </c>
    </row>
    <row r="423" spans="2:6" hidden="1">
      <c r="B423" t="s">
        <v>1225</v>
      </c>
      <c r="C423">
        <v>1.05</v>
      </c>
      <c r="D423" t="s">
        <v>2</v>
      </c>
      <c r="E423" t="e">
        <f>+E418</f>
        <v>#REF!</v>
      </c>
      <c r="F423" t="e">
        <f>C423*E423</f>
        <v>#REF!</v>
      </c>
    </row>
    <row r="424" spans="2:6" hidden="1">
      <c r="B424" t="s">
        <v>1087</v>
      </c>
      <c r="C424">
        <v>4.18</v>
      </c>
      <c r="D424" t="s">
        <v>126</v>
      </c>
      <c r="E424">
        <f>+E419</f>
        <v>2913</v>
      </c>
      <c r="F424">
        <f>C424*E424</f>
        <v>12176.34</v>
      </c>
    </row>
    <row r="425" spans="2:6" hidden="1">
      <c r="B425" t="s">
        <v>1089</v>
      </c>
      <c r="C425">
        <f>1/0.1</f>
        <v>10</v>
      </c>
      <c r="D425" t="s">
        <v>1</v>
      </c>
      <c r="E425">
        <v>1000</v>
      </c>
      <c r="F425">
        <f>C425*E425</f>
        <v>10000</v>
      </c>
    </row>
    <row r="426" spans="2:6" hidden="1">
      <c r="E426" t="s">
        <v>1031</v>
      </c>
      <c r="F426" t="e">
        <f>ROUND(SUM(F423:F425),2)</f>
        <v>#REF!</v>
      </c>
    </row>
    <row r="427" spans="2:6" hidden="1"/>
    <row r="428" spans="2:6" hidden="1">
      <c r="B428" t="s">
        <v>715</v>
      </c>
    </row>
    <row r="429" spans="2:6" hidden="1"/>
    <row r="430" spans="2:6" hidden="1">
      <c r="B430" t="s">
        <v>629</v>
      </c>
    </row>
    <row r="431" spans="2:6" hidden="1">
      <c r="B431" t="s">
        <v>1225</v>
      </c>
      <c r="C431">
        <v>1.05</v>
      </c>
      <c r="D431" t="s">
        <v>2</v>
      </c>
      <c r="E431" t="e">
        <f>+E423</f>
        <v>#REF!</v>
      </c>
      <c r="F431" t="e">
        <f>C431*E431</f>
        <v>#REF!</v>
      </c>
    </row>
    <row r="432" spans="2:6" hidden="1">
      <c r="B432" t="s">
        <v>272</v>
      </c>
      <c r="C432">
        <v>1.42</v>
      </c>
      <c r="D432" t="s">
        <v>126</v>
      </c>
      <c r="E432">
        <f>+E424</f>
        <v>2913</v>
      </c>
      <c r="F432">
        <f>C432*E432</f>
        <v>4136.46</v>
      </c>
    </row>
    <row r="433" spans="2:6" hidden="1">
      <c r="E433" t="s">
        <v>1031</v>
      </c>
      <c r="F433" t="e">
        <f>ROUND(SUM(F431:F432),2)</f>
        <v>#REF!</v>
      </c>
    </row>
    <row r="434" spans="2:6" hidden="1"/>
    <row r="435" spans="2:6" hidden="1">
      <c r="B435" t="s">
        <v>719</v>
      </c>
    </row>
    <row r="436" spans="2:6" hidden="1"/>
    <row r="437" spans="2:6" hidden="1">
      <c r="B437" t="s">
        <v>629</v>
      </c>
    </row>
    <row r="438" spans="2:6" hidden="1">
      <c r="B438" t="s">
        <v>1225</v>
      </c>
      <c r="C438">
        <v>1.05</v>
      </c>
      <c r="D438" t="s">
        <v>2</v>
      </c>
      <c r="E438" t="e">
        <f>+E431</f>
        <v>#REF!</v>
      </c>
      <c r="F438" t="e">
        <f>C438*E438</f>
        <v>#REF!</v>
      </c>
    </row>
    <row r="439" spans="2:6" hidden="1">
      <c r="B439" t="s">
        <v>272</v>
      </c>
      <c r="C439">
        <v>1.42</v>
      </c>
      <c r="D439" t="s">
        <v>126</v>
      </c>
      <c r="E439">
        <f>+E432</f>
        <v>2913</v>
      </c>
      <c r="F439">
        <f>C439*E439</f>
        <v>4136.46</v>
      </c>
    </row>
    <row r="440" spans="2:6" hidden="1">
      <c r="E440" t="s">
        <v>1031</v>
      </c>
      <c r="F440" t="e">
        <f>ROUND(SUM(F438:F439),2)</f>
        <v>#REF!</v>
      </c>
    </row>
    <row r="441" spans="2:6" hidden="1"/>
    <row r="442" spans="2:6" hidden="1"/>
    <row r="443" spans="2:6" hidden="1">
      <c r="B443" t="s">
        <v>723</v>
      </c>
    </row>
    <row r="444" spans="2:6" hidden="1"/>
    <row r="445" spans="2:6" hidden="1">
      <c r="B445" t="s">
        <v>629</v>
      </c>
    </row>
    <row r="446" spans="2:6" hidden="1">
      <c r="B446" t="s">
        <v>1225</v>
      </c>
      <c r="C446">
        <v>1.05</v>
      </c>
      <c r="D446" t="s">
        <v>2</v>
      </c>
      <c r="E446" t="e">
        <f>+E438</f>
        <v>#REF!</v>
      </c>
      <c r="F446" t="e">
        <f>C446*E446</f>
        <v>#REF!</v>
      </c>
    </row>
    <row r="447" spans="2:6" hidden="1">
      <c r="B447" t="s">
        <v>272</v>
      </c>
      <c r="C447">
        <v>1.42</v>
      </c>
      <c r="D447" t="s">
        <v>126</v>
      </c>
      <c r="E447">
        <f>+E439</f>
        <v>2913</v>
      </c>
      <c r="F447">
        <f>C447*E447</f>
        <v>4136.46</v>
      </c>
    </row>
    <row r="448" spans="2:6" hidden="1">
      <c r="E448" t="s">
        <v>1031</v>
      </c>
      <c r="F448" t="e">
        <f>ROUND(SUM(F446:F447),2)</f>
        <v>#REF!</v>
      </c>
    </row>
    <row r="449" spans="2:6" hidden="1"/>
    <row r="450" spans="2:6" hidden="1">
      <c r="B450" t="s">
        <v>678</v>
      </c>
    </row>
    <row r="451" spans="2:6" hidden="1"/>
    <row r="452" spans="2:6" hidden="1">
      <c r="B452" t="s">
        <v>730</v>
      </c>
    </row>
    <row r="453" spans="2:6" hidden="1">
      <c r="B453" t="s">
        <v>1225</v>
      </c>
      <c r="C453">
        <v>1.05</v>
      </c>
      <c r="D453" t="s">
        <v>2</v>
      </c>
      <c r="E453" t="e">
        <f>+E446</f>
        <v>#REF!</v>
      </c>
      <c r="F453" t="e">
        <f>C453*E453</f>
        <v>#REF!</v>
      </c>
    </row>
    <row r="454" spans="2:6" hidden="1">
      <c r="B454" t="s">
        <v>272</v>
      </c>
      <c r="C454">
        <v>0.56000000000000005</v>
      </c>
      <c r="D454" t="s">
        <v>126</v>
      </c>
      <c r="E454">
        <f>+E447</f>
        <v>2913</v>
      </c>
      <c r="F454">
        <f>C454*E454</f>
        <v>1631.28</v>
      </c>
    </row>
    <row r="455" spans="2:6" hidden="1">
      <c r="E455" t="s">
        <v>1031</v>
      </c>
      <c r="F455" t="e">
        <f>ROUND(SUM(F453:F454),2)</f>
        <v>#REF!</v>
      </c>
    </row>
    <row r="456" spans="2:6" hidden="1"/>
    <row r="457" spans="2:6" hidden="1">
      <c r="B457" t="s">
        <v>732</v>
      </c>
    </row>
    <row r="458" spans="2:6" hidden="1">
      <c r="B458" t="s">
        <v>1225</v>
      </c>
      <c r="C458">
        <v>1.05</v>
      </c>
      <c r="D458" t="s">
        <v>2</v>
      </c>
      <c r="E458" t="e">
        <f>+E453</f>
        <v>#REF!</v>
      </c>
      <c r="F458" t="e">
        <f>C458*E458</f>
        <v>#REF!</v>
      </c>
    </row>
    <row r="459" spans="2:6" hidden="1">
      <c r="B459" t="s">
        <v>1087</v>
      </c>
      <c r="C459">
        <v>2.5</v>
      </c>
      <c r="D459" t="s">
        <v>126</v>
      </c>
      <c r="E459">
        <f>+E454</f>
        <v>2913</v>
      </c>
      <c r="F459">
        <f>C459*E459</f>
        <v>7282.5</v>
      </c>
    </row>
    <row r="460" spans="2:6" hidden="1">
      <c r="B460" t="s">
        <v>1089</v>
      </c>
      <c r="C460">
        <f>1/0.25</f>
        <v>4</v>
      </c>
      <c r="D460" t="s">
        <v>1</v>
      </c>
      <c r="E460">
        <v>1000</v>
      </c>
      <c r="F460">
        <f>C460*E460</f>
        <v>4000</v>
      </c>
    </row>
    <row r="461" spans="2:6" hidden="1">
      <c r="E461" t="s">
        <v>1031</v>
      </c>
      <c r="F461" t="e">
        <f>ROUND(SUM(F458:F460),2)</f>
        <v>#REF!</v>
      </c>
    </row>
    <row r="462" spans="2:6" hidden="1"/>
    <row r="463" spans="2:6" hidden="1">
      <c r="B463" t="s">
        <v>736</v>
      </c>
    </row>
    <row r="464" spans="2:6" hidden="1"/>
    <row r="465" spans="2:6" hidden="1">
      <c r="B465" t="s">
        <v>738</v>
      </c>
    </row>
    <row r="466" spans="2:6" hidden="1">
      <c r="B466" t="s">
        <v>1225</v>
      </c>
      <c r="C466">
        <v>1.05</v>
      </c>
      <c r="D466" t="s">
        <v>2</v>
      </c>
      <c r="E466" t="e">
        <f>+E458</f>
        <v>#REF!</v>
      </c>
      <c r="F466" t="e">
        <f>C466*E466</f>
        <v>#REF!</v>
      </c>
    </row>
    <row r="467" spans="2:6" hidden="1">
      <c r="B467" t="s">
        <v>272</v>
      </c>
      <c r="C467">
        <v>1.65</v>
      </c>
      <c r="D467" t="s">
        <v>126</v>
      </c>
      <c r="E467">
        <f>+E459</f>
        <v>2913</v>
      </c>
      <c r="F467">
        <f>C467*E467</f>
        <v>4806.45</v>
      </c>
    </row>
    <row r="468" spans="2:6" hidden="1">
      <c r="E468" t="s">
        <v>1031</v>
      </c>
      <c r="F468" t="e">
        <f>ROUND(SUM(F466:F467),2)</f>
        <v>#REF!</v>
      </c>
    </row>
    <row r="469" spans="2:6" hidden="1"/>
    <row r="470" spans="2:6" hidden="1">
      <c r="B470" t="s">
        <v>741</v>
      </c>
    </row>
    <row r="471" spans="2:6" hidden="1"/>
    <row r="472" spans="2:6" hidden="1">
      <c r="B472" t="s">
        <v>584</v>
      </c>
    </row>
    <row r="473" spans="2:6" hidden="1">
      <c r="B473" t="s">
        <v>1225</v>
      </c>
      <c r="C473">
        <v>1.05</v>
      </c>
      <c r="D473" t="s">
        <v>2</v>
      </c>
      <c r="E473" t="e">
        <f>+E466</f>
        <v>#REF!</v>
      </c>
      <c r="F473" t="e">
        <f>C473*E473</f>
        <v>#REF!</v>
      </c>
    </row>
    <row r="474" spans="2:6" hidden="1">
      <c r="B474" t="s">
        <v>272</v>
      </c>
      <c r="C474">
        <v>1.79</v>
      </c>
      <c r="D474" t="s">
        <v>126</v>
      </c>
      <c r="E474">
        <f>+E467</f>
        <v>2913</v>
      </c>
      <c r="F474">
        <f>C474*E474</f>
        <v>5214.2700000000004</v>
      </c>
    </row>
    <row r="475" spans="2:6" hidden="1">
      <c r="E475" t="s">
        <v>1031</v>
      </c>
      <c r="F475" t="e">
        <f>ROUND(SUM(F473:F474),2)</f>
        <v>#REF!</v>
      </c>
    </row>
    <row r="476" spans="2:6" hidden="1"/>
    <row r="477" spans="2:6" hidden="1">
      <c r="B477" t="s">
        <v>585</v>
      </c>
    </row>
    <row r="478" spans="2:6" hidden="1">
      <c r="B478" t="s">
        <v>1225</v>
      </c>
      <c r="C478">
        <v>1.05</v>
      </c>
      <c r="D478" t="s">
        <v>2</v>
      </c>
      <c r="E478" t="e">
        <f>+E473</f>
        <v>#REF!</v>
      </c>
      <c r="F478" t="e">
        <f>C478*E478</f>
        <v>#REF!</v>
      </c>
    </row>
    <row r="479" spans="2:6" hidden="1">
      <c r="B479" t="s">
        <v>1087</v>
      </c>
      <c r="C479">
        <v>1.6</v>
      </c>
      <c r="D479" t="s">
        <v>126</v>
      </c>
      <c r="E479">
        <f>+E474</f>
        <v>2913</v>
      </c>
      <c r="F479">
        <f>C479*E479</f>
        <v>4660.8</v>
      </c>
    </row>
    <row r="480" spans="2:6" hidden="1">
      <c r="B480" t="s">
        <v>1089</v>
      </c>
      <c r="C480">
        <f>1/0.2</f>
        <v>5</v>
      </c>
      <c r="D480" t="s">
        <v>1</v>
      </c>
      <c r="E480">
        <v>1000</v>
      </c>
      <c r="F480">
        <f>C480*E480</f>
        <v>5000</v>
      </c>
    </row>
    <row r="481" spans="2:6" hidden="1">
      <c r="E481" t="s">
        <v>1031</v>
      </c>
      <c r="F481" t="e">
        <f>ROUND(SUM(F478:F480),2)</f>
        <v>#REF!</v>
      </c>
    </row>
    <row r="482" spans="2:6" hidden="1"/>
    <row r="483" spans="2:6" hidden="1">
      <c r="B483" t="s">
        <v>1230</v>
      </c>
    </row>
    <row r="484" spans="2:6" hidden="1"/>
    <row r="485" spans="2:6" hidden="1">
      <c r="B485" t="s">
        <v>777</v>
      </c>
    </row>
    <row r="486" spans="2:6" hidden="1">
      <c r="B486" t="s">
        <v>1225</v>
      </c>
      <c r="C486">
        <v>1.05</v>
      </c>
      <c r="D486" t="s">
        <v>2</v>
      </c>
      <c r="E486" t="e">
        <f>+E478</f>
        <v>#REF!</v>
      </c>
      <c r="F486" t="e">
        <f>C486*E486</f>
        <v>#REF!</v>
      </c>
    </row>
    <row r="487" spans="2:6" hidden="1">
      <c r="B487" t="s">
        <v>272</v>
      </c>
      <c r="C487">
        <v>0.78</v>
      </c>
      <c r="D487" t="s">
        <v>126</v>
      </c>
      <c r="E487">
        <f>+E474</f>
        <v>2913</v>
      </c>
      <c r="F487">
        <f>C487*E487</f>
        <v>2272.14</v>
      </c>
    </row>
    <row r="488" spans="2:6" hidden="1">
      <c r="E488" t="s">
        <v>1031</v>
      </c>
      <c r="F488" t="e">
        <f>ROUND(SUM(F486:F487),2)</f>
        <v>#REF!</v>
      </c>
    </row>
    <row r="489" spans="2:6" hidden="1"/>
    <row r="490" spans="2:6" hidden="1">
      <c r="B490" t="s">
        <v>778</v>
      </c>
    </row>
    <row r="491" spans="2:6" hidden="1">
      <c r="B491" t="s">
        <v>1225</v>
      </c>
      <c r="C491">
        <v>1.05</v>
      </c>
      <c r="D491" t="s">
        <v>2</v>
      </c>
      <c r="E491" t="e">
        <f>+E486</f>
        <v>#REF!</v>
      </c>
      <c r="F491" t="e">
        <f>C491*E491</f>
        <v>#REF!</v>
      </c>
    </row>
    <row r="492" spans="2:6" hidden="1">
      <c r="B492" t="s">
        <v>272</v>
      </c>
      <c r="C492">
        <v>1.39</v>
      </c>
      <c r="D492" t="s">
        <v>126</v>
      </c>
      <c r="E492">
        <f>+E487</f>
        <v>2913</v>
      </c>
      <c r="F492">
        <f>C492*E492</f>
        <v>4049.07</v>
      </c>
    </row>
    <row r="493" spans="2:6" hidden="1">
      <c r="E493" t="s">
        <v>1031</v>
      </c>
      <c r="F493" t="e">
        <f>ROUND(SUM(F491:F492),2)</f>
        <v>#REF!</v>
      </c>
    </row>
    <row r="494" spans="2:6" hidden="1"/>
    <row r="495" spans="2:6" hidden="1"/>
    <row r="496" spans="2:6" hidden="1">
      <c r="B496" t="s">
        <v>779</v>
      </c>
    </row>
    <row r="497" spans="2:6" hidden="1">
      <c r="B497" t="s">
        <v>1225</v>
      </c>
      <c r="C497">
        <v>1.05</v>
      </c>
      <c r="D497" t="s">
        <v>2</v>
      </c>
      <c r="E497" t="e">
        <f>+E486</f>
        <v>#REF!</v>
      </c>
      <c r="F497" t="e">
        <f>C497*E497</f>
        <v>#REF!</v>
      </c>
    </row>
    <row r="498" spans="2:6" hidden="1">
      <c r="B498" t="s">
        <v>1087</v>
      </c>
      <c r="C498">
        <v>7.86</v>
      </c>
      <c r="D498" t="s">
        <v>126</v>
      </c>
      <c r="E498">
        <f>+E487</f>
        <v>2913</v>
      </c>
      <c r="F498">
        <f>C498*E498</f>
        <v>22896.18</v>
      </c>
    </row>
    <row r="499" spans="2:6" hidden="1">
      <c r="B499" t="s">
        <v>1089</v>
      </c>
      <c r="C499">
        <f>1/(0.2*0.2)</f>
        <v>25</v>
      </c>
      <c r="D499" t="s">
        <v>1</v>
      </c>
      <c r="E499">
        <v>1000</v>
      </c>
      <c r="F499">
        <f>C499*E499</f>
        <v>25000</v>
      </c>
    </row>
    <row r="500" spans="2:6" hidden="1">
      <c r="E500" t="s">
        <v>1031</v>
      </c>
      <c r="F500" t="e">
        <f>ROUND(SUM(F497:F499),2)</f>
        <v>#REF!</v>
      </c>
    </row>
    <row r="501" spans="2:6" hidden="1"/>
    <row r="502" spans="2:6" hidden="1">
      <c r="B502" t="s">
        <v>780</v>
      </c>
    </row>
    <row r="503" spans="2:6" hidden="1">
      <c r="B503" t="s">
        <v>1225</v>
      </c>
      <c r="C503">
        <v>1.05</v>
      </c>
      <c r="D503" t="s">
        <v>2</v>
      </c>
      <c r="E503" t="e">
        <f>+E497</f>
        <v>#REF!</v>
      </c>
      <c r="F503" t="e">
        <f>C503*E503</f>
        <v>#REF!</v>
      </c>
    </row>
    <row r="504" spans="2:6" hidden="1">
      <c r="B504" t="s">
        <v>1087</v>
      </c>
      <c r="C504">
        <v>5.61</v>
      </c>
      <c r="D504" t="s">
        <v>126</v>
      </c>
      <c r="E504">
        <f>+E498</f>
        <v>2913</v>
      </c>
      <c r="F504">
        <f>C504*E504</f>
        <v>16341.93</v>
      </c>
    </row>
    <row r="505" spans="2:6" hidden="1">
      <c r="B505" t="s">
        <v>1089</v>
      </c>
      <c r="C505">
        <f>1/(0.2*0.3)</f>
        <v>16.6666666666667</v>
      </c>
      <c r="D505" t="s">
        <v>1</v>
      </c>
      <c r="E505">
        <v>1000</v>
      </c>
      <c r="F505">
        <f>C505*E505</f>
        <v>16666.666666666701</v>
      </c>
    </row>
    <row r="506" spans="2:6" hidden="1">
      <c r="E506" t="s">
        <v>1031</v>
      </c>
      <c r="F506" t="e">
        <f>ROUND(SUM(F503:F505),2)</f>
        <v>#REF!</v>
      </c>
    </row>
    <row r="507" spans="2:6" hidden="1"/>
    <row r="508" spans="2:6" hidden="1"/>
    <row r="509" spans="2:6" hidden="1">
      <c r="B509" t="s">
        <v>782</v>
      </c>
    </row>
    <row r="510" spans="2:6" hidden="1">
      <c r="B510" t="s">
        <v>1225</v>
      </c>
      <c r="C510">
        <v>1.05</v>
      </c>
      <c r="D510" t="s">
        <v>2</v>
      </c>
      <c r="E510" t="e">
        <f>+E285</f>
        <v>#REF!</v>
      </c>
      <c r="F510" t="e">
        <f>C510*E510</f>
        <v>#REF!</v>
      </c>
    </row>
    <row r="511" spans="2:6" hidden="1">
      <c r="B511" t="s">
        <v>1087</v>
      </c>
      <c r="C511">
        <v>1.35</v>
      </c>
      <c r="D511" t="s">
        <v>126</v>
      </c>
      <c r="E511">
        <f>+E286</f>
        <v>2913</v>
      </c>
      <c r="F511">
        <f>C511*E511</f>
        <v>3932.55</v>
      </c>
    </row>
    <row r="512" spans="2:6" hidden="1">
      <c r="B512" t="s">
        <v>1089</v>
      </c>
      <c r="C512">
        <f>1/0.12</f>
        <v>8.3333333333333304</v>
      </c>
      <c r="D512" t="s">
        <v>1</v>
      </c>
      <c r="E512">
        <v>1000</v>
      </c>
      <c r="F512">
        <f>C512*E512</f>
        <v>8333.3333333333303</v>
      </c>
    </row>
    <row r="513" spans="2:6" hidden="1">
      <c r="E513" t="s">
        <v>1031</v>
      </c>
      <c r="F513" t="e">
        <f>ROUND(SUM(F510:F512),2)</f>
        <v>#REF!</v>
      </c>
    </row>
    <row r="514" spans="2:6" hidden="1"/>
    <row r="515" spans="2:6">
      <c r="B515" t="s">
        <v>783</v>
      </c>
    </row>
    <row r="516" spans="2:6">
      <c r="B516" t="s">
        <v>1225</v>
      </c>
      <c r="C516">
        <v>1.05</v>
      </c>
      <c r="D516" t="s">
        <v>2</v>
      </c>
      <c r="E516" t="e">
        <f>+E510</f>
        <v>#REF!</v>
      </c>
      <c r="F516" t="e">
        <f>C516*E516</f>
        <v>#REF!</v>
      </c>
    </row>
    <row r="517" spans="2:6">
      <c r="B517" t="s">
        <v>1087</v>
      </c>
      <c r="C517">
        <v>1.35</v>
      </c>
      <c r="D517" t="s">
        <v>126</v>
      </c>
      <c r="E517">
        <f>+E511</f>
        <v>2913</v>
      </c>
      <c r="F517">
        <f>C517*E517</f>
        <v>3932.55</v>
      </c>
    </row>
    <row r="518" spans="2:6">
      <c r="B518" t="s">
        <v>1089</v>
      </c>
      <c r="C518">
        <f>1/0.12</f>
        <v>8.3333333333333304</v>
      </c>
      <c r="D518" t="s">
        <v>1</v>
      </c>
      <c r="E518">
        <v>1000</v>
      </c>
      <c r="F518">
        <f>C518*E518</f>
        <v>8333.3333333333303</v>
      </c>
    </row>
    <row r="519" spans="2:6">
      <c r="E519" t="s">
        <v>1031</v>
      </c>
      <c r="F519" t="e">
        <f>ROUND(SUM(F516:F518),2)</f>
        <v>#REF!</v>
      </c>
    </row>
    <row r="521" spans="2:6">
      <c r="B521" t="s">
        <v>1040</v>
      </c>
    </row>
    <row r="522" spans="2:6">
      <c r="B522" t="s">
        <v>1041</v>
      </c>
      <c r="C522" t="s">
        <v>2</v>
      </c>
      <c r="D522">
        <v>8.7999999999999995E-2</v>
      </c>
      <c r="E522">
        <v>75</v>
      </c>
      <c r="F522">
        <f>E522*D522</f>
        <v>6.6</v>
      </c>
    </row>
    <row r="523" spans="2:6">
      <c r="B523" t="s">
        <v>1042</v>
      </c>
      <c r="C523" t="s">
        <v>11</v>
      </c>
      <c r="D523">
        <v>1</v>
      </c>
      <c r="E523">
        <v>29.7</v>
      </c>
      <c r="F523">
        <f>E523*D523</f>
        <v>29.7</v>
      </c>
    </row>
    <row r="524" spans="2:6">
      <c r="E524" t="s">
        <v>1031</v>
      </c>
      <c r="F524">
        <f>SUM(F522:F523)</f>
        <v>36.299999999999997</v>
      </c>
    </row>
    <row r="527" spans="2:6">
      <c r="B527" t="s">
        <v>1045</v>
      </c>
    </row>
    <row r="528" spans="2:6">
      <c r="B528" t="s">
        <v>181</v>
      </c>
      <c r="C528" t="s">
        <v>126</v>
      </c>
      <c r="D528">
        <v>1</v>
      </c>
      <c r="E528">
        <f>+E59</f>
        <v>2500</v>
      </c>
      <c r="F528">
        <f>E528*D528</f>
        <v>2500</v>
      </c>
    </row>
    <row r="529" spans="2:6">
      <c r="B529" t="s">
        <v>1044</v>
      </c>
      <c r="C529" t="s">
        <v>183</v>
      </c>
      <c r="D529">
        <v>2</v>
      </c>
      <c r="E529">
        <v>45</v>
      </c>
      <c r="F529">
        <f>E529*D529</f>
        <v>90</v>
      </c>
    </row>
    <row r="530" spans="2:6">
      <c r="E530" t="s">
        <v>1031</v>
      </c>
      <c r="F530">
        <f>SUM(F528:F529)</f>
        <v>2590</v>
      </c>
    </row>
    <row r="532" spans="2:6">
      <c r="B532" t="s">
        <v>186</v>
      </c>
    </row>
    <row r="533" spans="2:6">
      <c r="B533" t="s">
        <v>187</v>
      </c>
    </row>
    <row r="534" spans="2:6">
      <c r="B534" t="s">
        <v>122</v>
      </c>
      <c r="C534" t="s">
        <v>2</v>
      </c>
      <c r="D534">
        <v>0.52</v>
      </c>
      <c r="E534">
        <f>F16</f>
        <v>1115</v>
      </c>
      <c r="F534">
        <f>E534*D534</f>
        <v>579.79999999999995</v>
      </c>
    </row>
    <row r="535" spans="2:6">
      <c r="B535" t="s">
        <v>124</v>
      </c>
      <c r="C535" t="s">
        <v>2</v>
      </c>
      <c r="D535">
        <v>0.85</v>
      </c>
      <c r="E535">
        <f>F21</f>
        <v>1215</v>
      </c>
      <c r="F535">
        <f>E535*D535</f>
        <v>1032.75</v>
      </c>
    </row>
    <row r="536" spans="2:6">
      <c r="B536" t="s">
        <v>117</v>
      </c>
      <c r="C536" t="s">
        <v>118</v>
      </c>
      <c r="D536">
        <v>60</v>
      </c>
      <c r="E536">
        <f>F3</f>
        <v>2.5</v>
      </c>
      <c r="F536">
        <f>E536*D536</f>
        <v>150</v>
      </c>
    </row>
    <row r="537" spans="2:6">
      <c r="B537" t="s">
        <v>188</v>
      </c>
      <c r="C537" t="s">
        <v>1026</v>
      </c>
      <c r="D537">
        <v>6.4</v>
      </c>
      <c r="E537">
        <f>F4</f>
        <v>325</v>
      </c>
      <c r="F537">
        <f>E537*D537</f>
        <v>2080</v>
      </c>
    </row>
    <row r="538" spans="2:6">
      <c r="B538" t="s">
        <v>189</v>
      </c>
      <c r="C538" t="s">
        <v>148</v>
      </c>
      <c r="D538">
        <v>0.5</v>
      </c>
      <c r="E538">
        <v>659</v>
      </c>
      <c r="F538">
        <f>E538*D538</f>
        <v>329.5</v>
      </c>
    </row>
    <row r="539" spans="2:6">
      <c r="B539" t="s">
        <v>190</v>
      </c>
      <c r="F539">
        <f>SUM(F534+F535+F536+F537)*0.03</f>
        <v>115.2765</v>
      </c>
    </row>
    <row r="540" spans="2:6">
      <c r="E540" t="s">
        <v>1031</v>
      </c>
      <c r="F540">
        <f>SUM(F534:F539)</f>
        <v>4287.3265000000001</v>
      </c>
    </row>
    <row r="542" spans="2:6">
      <c r="B542" t="s">
        <v>191</v>
      </c>
    </row>
    <row r="543" spans="2:6">
      <c r="B543" t="s">
        <v>192</v>
      </c>
      <c r="C543" t="s">
        <v>3</v>
      </c>
      <c r="D543">
        <v>13</v>
      </c>
      <c r="E543">
        <v>28.5</v>
      </c>
      <c r="F543">
        <f t="shared" ref="F543:F550" si="2">E543*D543</f>
        <v>370.5</v>
      </c>
    </row>
    <row r="544" spans="2:6">
      <c r="B544" t="s">
        <v>193</v>
      </c>
      <c r="C544" t="s">
        <v>3</v>
      </c>
      <c r="D544">
        <v>13</v>
      </c>
      <c r="E544">
        <v>18</v>
      </c>
      <c r="F544">
        <f t="shared" si="2"/>
        <v>234</v>
      </c>
    </row>
    <row r="545" spans="2:6">
      <c r="B545" t="s">
        <v>194</v>
      </c>
      <c r="C545" t="s">
        <v>2</v>
      </c>
      <c r="D545">
        <v>3.1199999999999999E-2</v>
      </c>
      <c r="E545">
        <f>F84</f>
        <v>5506.4035999999996</v>
      </c>
      <c r="F545">
        <f t="shared" si="2"/>
        <v>171.79979231999999</v>
      </c>
    </row>
    <row r="546" spans="2:6">
      <c r="B546" t="s">
        <v>195</v>
      </c>
      <c r="C546" t="s">
        <v>2</v>
      </c>
      <c r="D546">
        <v>0.01</v>
      </c>
      <c r="E546">
        <f>SUM(F540)</f>
        <v>4287.3265000000001</v>
      </c>
      <c r="F546">
        <f t="shared" si="2"/>
        <v>42.873265000000004</v>
      </c>
    </row>
    <row r="547" spans="2:6">
      <c r="B547" t="s">
        <v>196</v>
      </c>
      <c r="C547" t="s">
        <v>126</v>
      </c>
      <c r="D547">
        <v>2.9600000000000001E-2</v>
      </c>
      <c r="E547">
        <f>F62</f>
        <v>2913</v>
      </c>
      <c r="F547">
        <f t="shared" si="2"/>
        <v>86.224800000000002</v>
      </c>
    </row>
    <row r="548" spans="2:6">
      <c r="B548" t="s">
        <v>197</v>
      </c>
      <c r="C548" t="s">
        <v>155</v>
      </c>
      <c r="D548">
        <v>0.18179999999999999</v>
      </c>
      <c r="E548">
        <v>45</v>
      </c>
      <c r="F548">
        <f t="shared" si="2"/>
        <v>8.1809999999999992</v>
      </c>
    </row>
    <row r="549" spans="2:6">
      <c r="B549" t="s">
        <v>198</v>
      </c>
      <c r="C549" t="s">
        <v>148</v>
      </c>
      <c r="D549">
        <v>2.3E-2</v>
      </c>
      <c r="E549">
        <v>659</v>
      </c>
      <c r="F549">
        <f t="shared" si="2"/>
        <v>15.157</v>
      </c>
    </row>
    <row r="550" spans="2:6">
      <c r="B550" t="s">
        <v>199</v>
      </c>
      <c r="C550" t="s">
        <v>2</v>
      </c>
      <c r="D550">
        <v>0.01</v>
      </c>
      <c r="E550">
        <v>659</v>
      </c>
      <c r="F550">
        <f t="shared" si="2"/>
        <v>6.59</v>
      </c>
    </row>
    <row r="551" spans="2:6">
      <c r="E551" t="s">
        <v>1031</v>
      </c>
      <c r="F551">
        <f>SUM(F543:F550)</f>
        <v>935.32585731999995</v>
      </c>
    </row>
    <row r="552" spans="2:6">
      <c r="B552" t="s">
        <v>1046</v>
      </c>
      <c r="F552">
        <f>+F551-F549</f>
        <v>920.16885732000003</v>
      </c>
    </row>
    <row r="554" spans="2:6">
      <c r="B554" t="s">
        <v>1047</v>
      </c>
    </row>
    <row r="555" spans="2:6">
      <c r="B555" t="s">
        <v>1048</v>
      </c>
      <c r="C555" t="s">
        <v>3</v>
      </c>
      <c r="D555">
        <v>13</v>
      </c>
      <c r="E555">
        <v>27</v>
      </c>
      <c r="F555">
        <f t="shared" ref="F555:F562" si="3">E555*D555</f>
        <v>351</v>
      </c>
    </row>
    <row r="556" spans="2:6">
      <c r="B556" t="s">
        <v>1049</v>
      </c>
      <c r="C556" t="s">
        <v>3</v>
      </c>
      <c r="D556">
        <v>13</v>
      </c>
      <c r="E556">
        <v>17</v>
      </c>
      <c r="F556">
        <f t="shared" si="3"/>
        <v>221</v>
      </c>
    </row>
    <row r="557" spans="2:6">
      <c r="B557" t="s">
        <v>1050</v>
      </c>
      <c r="C557" t="s">
        <v>2</v>
      </c>
      <c r="D557">
        <v>0.02</v>
      </c>
      <c r="E557">
        <f>F84</f>
        <v>5506.4035999999996</v>
      </c>
      <c r="F557">
        <f t="shared" si="3"/>
        <v>110.128072</v>
      </c>
    </row>
    <row r="558" spans="2:6">
      <c r="B558" t="s">
        <v>1051</v>
      </c>
      <c r="C558" t="s">
        <v>2</v>
      </c>
      <c r="D558">
        <v>9.1999999999999998E-3</v>
      </c>
      <c r="E558">
        <f>SUM(F540)</f>
        <v>4287.3265000000001</v>
      </c>
      <c r="F558">
        <f t="shared" si="3"/>
        <v>39.443403799999999</v>
      </c>
    </row>
    <row r="559" spans="2:6">
      <c r="B559" t="s">
        <v>1052</v>
      </c>
      <c r="C559" t="s">
        <v>126</v>
      </c>
      <c r="D559">
        <v>2.9600000000000001E-2</v>
      </c>
      <c r="E559">
        <f>F62</f>
        <v>2913</v>
      </c>
      <c r="F559">
        <f t="shared" si="3"/>
        <v>86.224800000000002</v>
      </c>
    </row>
    <row r="560" spans="2:6">
      <c r="B560" t="s">
        <v>1053</v>
      </c>
      <c r="C560" t="s">
        <v>155</v>
      </c>
      <c r="D560">
        <v>0.18179999999999999</v>
      </c>
      <c r="E560">
        <v>23.15</v>
      </c>
      <c r="F560">
        <f t="shared" si="3"/>
        <v>4.2086699999999997</v>
      </c>
    </row>
    <row r="561" spans="2:6">
      <c r="B561" t="s">
        <v>198</v>
      </c>
      <c r="C561" t="s">
        <v>148</v>
      </c>
      <c r="D561">
        <v>2.3E-2</v>
      </c>
      <c r="E561">
        <v>659</v>
      </c>
      <c r="F561">
        <f t="shared" si="3"/>
        <v>15.157</v>
      </c>
    </row>
    <row r="562" spans="2:6">
      <c r="B562" t="s">
        <v>199</v>
      </c>
      <c r="C562" t="s">
        <v>2</v>
      </c>
      <c r="D562">
        <v>0.01</v>
      </c>
      <c r="E562">
        <v>659</v>
      </c>
      <c r="F562">
        <f t="shared" si="3"/>
        <v>6.59</v>
      </c>
    </row>
    <row r="563" spans="2:6">
      <c r="E563" t="s">
        <v>1031</v>
      </c>
      <c r="F563">
        <f>SUM(F555:F562)</f>
        <v>833.75194580000004</v>
      </c>
    </row>
    <row r="565" spans="2:6">
      <c r="B565" t="s">
        <v>1054</v>
      </c>
    </row>
    <row r="566" spans="2:6">
      <c r="B566" t="s">
        <v>1055</v>
      </c>
      <c r="C566" t="s">
        <v>3</v>
      </c>
      <c r="D566">
        <v>13</v>
      </c>
      <c r="E566">
        <v>60</v>
      </c>
      <c r="F566">
        <f>E566*D566</f>
        <v>780</v>
      </c>
    </row>
    <row r="567" spans="2:6">
      <c r="B567" t="s">
        <v>1056</v>
      </c>
      <c r="C567" t="s">
        <v>3</v>
      </c>
      <c r="D567">
        <v>13</v>
      </c>
      <c r="E567">
        <v>20</v>
      </c>
      <c r="F567">
        <f>E567*D567</f>
        <v>260</v>
      </c>
    </row>
    <row r="568" spans="2:6">
      <c r="B568" t="s">
        <v>1057</v>
      </c>
      <c r="C568" t="s">
        <v>2</v>
      </c>
      <c r="D568">
        <v>8.6E-3</v>
      </c>
      <c r="E568">
        <f>F76</f>
        <v>5653.396342</v>
      </c>
      <c r="F568">
        <f>E568*D568</f>
        <v>48.619208541200003</v>
      </c>
    </row>
    <row r="569" spans="2:6">
      <c r="B569" t="s">
        <v>1058</v>
      </c>
      <c r="C569" t="s">
        <v>3</v>
      </c>
      <c r="D569">
        <v>0.13</v>
      </c>
      <c r="E569">
        <v>60</v>
      </c>
      <c r="F569">
        <f>E569*D569</f>
        <v>7.8</v>
      </c>
    </row>
    <row r="570" spans="2:6">
      <c r="E570" t="s">
        <v>1031</v>
      </c>
      <c r="F570">
        <f>SUM(F566:F569)</f>
        <v>1096.4192085412001</v>
      </c>
    </row>
    <row r="572" spans="2:6">
      <c r="B572" t="s">
        <v>1063</v>
      </c>
    </row>
    <row r="573" spans="2:6">
      <c r="B573" t="s">
        <v>1064</v>
      </c>
      <c r="C573" t="s">
        <v>2</v>
      </c>
      <c r="D573">
        <f>1*0.1*1.05</f>
        <v>0.105</v>
      </c>
      <c r="E573">
        <f>F540</f>
        <v>4287.3265000000001</v>
      </c>
      <c r="F573">
        <f t="shared" ref="F573:F578" si="4">E573*D573</f>
        <v>450.16928250000001</v>
      </c>
    </row>
    <row r="574" spans="2:6">
      <c r="B574" t="s">
        <v>1065</v>
      </c>
      <c r="C574" t="s">
        <v>2</v>
      </c>
      <c r="D574">
        <v>2.1999999999999999E-2</v>
      </c>
      <c r="E574">
        <f>F76</f>
        <v>5653.396342</v>
      </c>
      <c r="F574">
        <f t="shared" si="4"/>
        <v>124.374719524</v>
      </c>
    </row>
    <row r="575" spans="2:6">
      <c r="B575" t="s">
        <v>154</v>
      </c>
      <c r="C575" t="s">
        <v>155</v>
      </c>
      <c r="D575">
        <v>8.7999999999999995E-2</v>
      </c>
      <c r="E575">
        <v>45</v>
      </c>
      <c r="F575">
        <f t="shared" si="4"/>
        <v>3.96</v>
      </c>
    </row>
    <row r="576" spans="2:6">
      <c r="B576" t="s">
        <v>1066</v>
      </c>
      <c r="C576" t="s">
        <v>11</v>
      </c>
      <c r="D576">
        <v>1</v>
      </c>
      <c r="E576">
        <v>70</v>
      </c>
      <c r="F576">
        <f t="shared" si="4"/>
        <v>70</v>
      </c>
    </row>
    <row r="577" spans="2:6">
      <c r="B577" t="s">
        <v>1062</v>
      </c>
      <c r="C577" t="s">
        <v>1</v>
      </c>
      <c r="D577">
        <v>0.8</v>
      </c>
      <c r="E577">
        <f>F267</f>
        <v>82.214604270600006</v>
      </c>
      <c r="F577">
        <f t="shared" si="4"/>
        <v>65.771683416480002</v>
      </c>
    </row>
    <row r="578" spans="2:6">
      <c r="B578" t="s">
        <v>1067</v>
      </c>
      <c r="C578" t="s">
        <v>1026</v>
      </c>
      <c r="D578">
        <v>0.04</v>
      </c>
      <c r="E578">
        <f>F4</f>
        <v>325</v>
      </c>
      <c r="F578">
        <f t="shared" si="4"/>
        <v>13</v>
      </c>
    </row>
    <row r="579" spans="2:6">
      <c r="E579" t="s">
        <v>1031</v>
      </c>
      <c r="F579">
        <f>SUM(F573:F578)</f>
        <v>727.27568544047995</v>
      </c>
    </row>
    <row r="581" spans="2:6">
      <c r="B581" t="s">
        <v>1068</v>
      </c>
    </row>
    <row r="582" spans="2:6">
      <c r="B582" t="s">
        <v>1069</v>
      </c>
      <c r="C582" t="s">
        <v>2</v>
      </c>
      <c r="D582">
        <v>0.8</v>
      </c>
      <c r="E582">
        <f>F56</f>
        <v>4782.6610000000001</v>
      </c>
      <c r="F582">
        <f>E582*D582</f>
        <v>3826.1288</v>
      </c>
    </row>
    <row r="583" spans="2:6">
      <c r="B583" t="s">
        <v>1070</v>
      </c>
      <c r="C583" t="s">
        <v>2</v>
      </c>
      <c r="D583">
        <v>0.45</v>
      </c>
      <c r="E583">
        <v>750</v>
      </c>
      <c r="F583">
        <f>E583*D583</f>
        <v>337.5</v>
      </c>
    </row>
    <row r="584" spans="2:6">
      <c r="B584" t="s">
        <v>41</v>
      </c>
      <c r="C584" t="s">
        <v>2</v>
      </c>
      <c r="D584">
        <v>1</v>
      </c>
      <c r="E584">
        <v>659</v>
      </c>
      <c r="F584">
        <f>E584*D584</f>
        <v>659</v>
      </c>
    </row>
    <row r="585" spans="2:6">
      <c r="F585">
        <f>SUM(F582:F584)</f>
        <v>4822.6288000000004</v>
      </c>
    </row>
    <row r="587" spans="2:6">
      <c r="B587" t="s">
        <v>1072</v>
      </c>
    </row>
    <row r="588" spans="2:6">
      <c r="B588" t="s">
        <v>1073</v>
      </c>
      <c r="C588" t="s">
        <v>1074</v>
      </c>
      <c r="D588">
        <v>0.08</v>
      </c>
      <c r="E588">
        <v>1200</v>
      </c>
      <c r="F588">
        <f>E588*D588</f>
        <v>96</v>
      </c>
    </row>
    <row r="589" spans="2:6">
      <c r="B589" t="s">
        <v>1075</v>
      </c>
      <c r="C589" t="s">
        <v>118</v>
      </c>
      <c r="D589">
        <v>0.02</v>
      </c>
      <c r="E589">
        <v>350</v>
      </c>
      <c r="F589">
        <f>E589*D589</f>
        <v>7</v>
      </c>
    </row>
    <row r="590" spans="2:6">
      <c r="B590" t="s">
        <v>1076</v>
      </c>
      <c r="C590" t="s">
        <v>11</v>
      </c>
      <c r="D590">
        <v>1</v>
      </c>
      <c r="E590">
        <v>55</v>
      </c>
      <c r="F590">
        <f>E590*D590</f>
        <v>55</v>
      </c>
    </row>
    <row r="591" spans="2:6">
      <c r="B591" t="s">
        <v>1077</v>
      </c>
      <c r="C591" t="s">
        <v>3</v>
      </c>
      <c r="D591">
        <v>1</v>
      </c>
      <c r="E591">
        <f>SUM(F588:F589)*0.15</f>
        <v>15.45</v>
      </c>
      <c r="F591">
        <f>E591*D591</f>
        <v>15.45</v>
      </c>
    </row>
    <row r="592" spans="2:6">
      <c r="B592" t="s">
        <v>2445</v>
      </c>
      <c r="E592" t="s">
        <v>1031</v>
      </c>
      <c r="F592">
        <f>ROUND(SUM(F588:F591),2)</f>
        <v>173.45</v>
      </c>
    </row>
    <row r="594" spans="2:8">
      <c r="B594" t="s">
        <v>1079</v>
      </c>
    </row>
    <row r="595" spans="2:8">
      <c r="B595" t="s">
        <v>1080</v>
      </c>
      <c r="C595" t="s">
        <v>118</v>
      </c>
      <c r="D595">
        <v>1</v>
      </c>
      <c r="E595">
        <f>6914/5</f>
        <v>1382.8</v>
      </c>
      <c r="F595">
        <f>E595*D595</f>
        <v>1382.8</v>
      </c>
    </row>
    <row r="596" spans="2:8">
      <c r="B596" t="s">
        <v>1076</v>
      </c>
      <c r="C596" t="s">
        <v>11</v>
      </c>
      <c r="D596">
        <v>25</v>
      </c>
      <c r="E596">
        <v>55</v>
      </c>
      <c r="F596">
        <f>E596*D596</f>
        <v>1375</v>
      </c>
      <c r="G596">
        <f>E596/2</f>
        <v>27.5</v>
      </c>
    </row>
    <row r="597" spans="2:8">
      <c r="B597" t="s">
        <v>1077</v>
      </c>
      <c r="C597" t="s">
        <v>3</v>
      </c>
      <c r="D597">
        <v>1</v>
      </c>
      <c r="E597">
        <f>SUM(F595:F595)*0.15</f>
        <v>207.42</v>
      </c>
      <c r="F597">
        <f>E597*D597</f>
        <v>207.42</v>
      </c>
    </row>
    <row r="598" spans="2:8">
      <c r="B598" t="s">
        <v>1078</v>
      </c>
      <c r="E598" t="s">
        <v>1031</v>
      </c>
      <c r="F598">
        <f>ROUND(SUM(F595:F597),2)</f>
        <v>2965.22</v>
      </c>
      <c r="G598">
        <v>304.5</v>
      </c>
      <c r="H598">
        <f>F598/G598</f>
        <v>9.7379967159277498</v>
      </c>
    </row>
    <row r="600" spans="2:8">
      <c r="B600" t="s">
        <v>3541</v>
      </c>
    </row>
    <row r="601" spans="2:8">
      <c r="B601" t="s">
        <v>166</v>
      </c>
      <c r="C601">
        <v>1.0999999999999999E-2</v>
      </c>
      <c r="D601" t="s">
        <v>2</v>
      </c>
      <c r="E601">
        <f>+F76</f>
        <v>5653.396342</v>
      </c>
      <c r="F601">
        <f>C601*E601</f>
        <v>62.187359762</v>
      </c>
    </row>
    <row r="602" spans="2:8">
      <c r="B602" t="s">
        <v>1081</v>
      </c>
      <c r="C602">
        <v>1</v>
      </c>
      <c r="D602" t="s">
        <v>11</v>
      </c>
      <c r="E602">
        <v>35</v>
      </c>
      <c r="F602">
        <f>C602*E602</f>
        <v>35</v>
      </c>
    </row>
    <row r="603" spans="2:8">
      <c r="B603" t="s">
        <v>1082</v>
      </c>
      <c r="C603">
        <v>1.0999999999999999E-2</v>
      </c>
      <c r="D603" t="s">
        <v>2</v>
      </c>
      <c r="E603">
        <v>150</v>
      </c>
      <c r="F603">
        <f>C603*E603</f>
        <v>1.65</v>
      </c>
    </row>
    <row r="604" spans="2:8">
      <c r="E604" t="s">
        <v>1031</v>
      </c>
      <c r="F604">
        <f>SUM(F601:F603)</f>
        <v>98.837359762000006</v>
      </c>
    </row>
    <row r="607" spans="2:8">
      <c r="B607" t="s">
        <v>1083</v>
      </c>
    </row>
    <row r="609" spans="2:6">
      <c r="B609" t="s">
        <v>1084</v>
      </c>
    </row>
    <row r="610" spans="2:6">
      <c r="B610" t="s">
        <v>1085</v>
      </c>
      <c r="C610">
        <v>1.05</v>
      </c>
      <c r="D610" t="s">
        <v>2</v>
      </c>
      <c r="E610">
        <f>F25</f>
        <v>8154.9</v>
      </c>
      <c r="F610">
        <f>C610*E610</f>
        <v>8562.6450000000004</v>
      </c>
    </row>
    <row r="611" spans="2:6">
      <c r="B611" t="s">
        <v>1087</v>
      </c>
      <c r="C611">
        <v>0.86</v>
      </c>
      <c r="D611" t="s">
        <v>126</v>
      </c>
      <c r="E611">
        <f>+F62</f>
        <v>2913</v>
      </c>
      <c r="F611">
        <f>C611*E611</f>
        <v>2505.1799999999998</v>
      </c>
    </row>
    <row r="612" spans="2:6">
      <c r="E612" t="s">
        <v>1031</v>
      </c>
      <c r="F612">
        <f>ROUND(SUM(F610:F611),2)</f>
        <v>11067.83</v>
      </c>
    </row>
    <row r="614" spans="2:6">
      <c r="B614" t="s">
        <v>1086</v>
      </c>
    </row>
    <row r="615" spans="2:6">
      <c r="B615" t="s">
        <v>1085</v>
      </c>
      <c r="C615">
        <v>1.05</v>
      </c>
      <c r="D615" t="s">
        <v>2</v>
      </c>
      <c r="E615">
        <f>+E610</f>
        <v>8154.9</v>
      </c>
      <c r="F615">
        <f>C615*E615</f>
        <v>8562.6450000000004</v>
      </c>
    </row>
    <row r="616" spans="2:6">
      <c r="B616" t="s">
        <v>1087</v>
      </c>
      <c r="C616">
        <v>1</v>
      </c>
      <c r="D616" t="s">
        <v>126</v>
      </c>
      <c r="E616">
        <f>+F530</f>
        <v>2590</v>
      </c>
      <c r="F616">
        <f>C616*E616</f>
        <v>2590</v>
      </c>
    </row>
    <row r="617" spans="2:6">
      <c r="E617" t="s">
        <v>1031</v>
      </c>
      <c r="F617">
        <f>ROUND(SUM(F615:F616),2)</f>
        <v>11152.65</v>
      </c>
    </row>
    <row r="619" spans="2:6">
      <c r="B619" t="s">
        <v>1091</v>
      </c>
    </row>
    <row r="620" spans="2:6">
      <c r="B620" t="s">
        <v>1085</v>
      </c>
      <c r="C620">
        <v>1.05</v>
      </c>
      <c r="D620" t="s">
        <v>2</v>
      </c>
      <c r="E620" t="e">
        <f>+E296</f>
        <v>#REF!</v>
      </c>
      <c r="F620" t="e">
        <f>C620*E620</f>
        <v>#REF!</v>
      </c>
    </row>
    <row r="621" spans="2:6">
      <c r="B621" t="s">
        <v>1092</v>
      </c>
      <c r="C621">
        <v>5.0199999999999996</v>
      </c>
      <c r="D621" t="s">
        <v>126</v>
      </c>
      <c r="E621">
        <f>+F530</f>
        <v>2590</v>
      </c>
      <c r="F621">
        <f>C621*E621</f>
        <v>13001.8</v>
      </c>
    </row>
    <row r="622" spans="2:6">
      <c r="B622" t="s">
        <v>1089</v>
      </c>
      <c r="C622">
        <f>1/(0.4*0.4)</f>
        <v>6.25</v>
      </c>
      <c r="D622" t="s">
        <v>1</v>
      </c>
      <c r="E622">
        <v>350</v>
      </c>
      <c r="F622">
        <f>C622*E622</f>
        <v>2187.5</v>
      </c>
    </row>
    <row r="623" spans="2:6">
      <c r="B623" t="s">
        <v>1093</v>
      </c>
      <c r="C623">
        <f>+C622</f>
        <v>6.25</v>
      </c>
      <c r="D623" t="s">
        <v>1</v>
      </c>
      <c r="E623">
        <v>141.81</v>
      </c>
      <c r="F623">
        <f>C623*E623</f>
        <v>886.3125</v>
      </c>
    </row>
    <row r="624" spans="2:6">
      <c r="E624" t="s">
        <v>1031</v>
      </c>
      <c r="F624" t="e">
        <f>ROUND(SUM(F620:F623),2)</f>
        <v>#REF!</v>
      </c>
    </row>
    <row r="626" spans="2:6">
      <c r="B626" t="s">
        <v>1094</v>
      </c>
    </row>
    <row r="627" spans="2:6">
      <c r="B627" t="s">
        <v>1085</v>
      </c>
      <c r="C627">
        <v>1.05</v>
      </c>
      <c r="D627" t="s">
        <v>2</v>
      </c>
      <c r="E627" t="e">
        <f>+E296</f>
        <v>#REF!</v>
      </c>
      <c r="F627" t="e">
        <f>C627*E627</f>
        <v>#REF!</v>
      </c>
    </row>
    <row r="628" spans="2:6">
      <c r="B628" t="s">
        <v>1092</v>
      </c>
      <c r="C628">
        <v>2.71</v>
      </c>
      <c r="D628" t="s">
        <v>126</v>
      </c>
      <c r="E628">
        <f>+F530</f>
        <v>2590</v>
      </c>
      <c r="F628">
        <f>C628*E628</f>
        <v>7018.9</v>
      </c>
    </row>
    <row r="629" spans="2:6">
      <c r="B629" t="s">
        <v>1089</v>
      </c>
      <c r="C629">
        <f>1/(0.4*0.2)</f>
        <v>12.5</v>
      </c>
      <c r="D629" t="s">
        <v>1</v>
      </c>
      <c r="E629">
        <v>350</v>
      </c>
      <c r="F629">
        <f>C629*E629</f>
        <v>4375</v>
      </c>
    </row>
    <row r="630" spans="2:6">
      <c r="B630" t="s">
        <v>1093</v>
      </c>
      <c r="C630">
        <f>+C629</f>
        <v>12.5</v>
      </c>
      <c r="D630" t="s">
        <v>1</v>
      </c>
      <c r="E630">
        <v>94.62</v>
      </c>
      <c r="F630">
        <f>C630*E630</f>
        <v>1182.75</v>
      </c>
    </row>
    <row r="631" spans="2:6">
      <c r="E631" t="s">
        <v>1031</v>
      </c>
      <c r="F631" t="e">
        <f>ROUND(SUM(F627:F630),2)</f>
        <v>#REF!</v>
      </c>
    </row>
    <row r="633" spans="2:6">
      <c r="B633" t="s">
        <v>1095</v>
      </c>
    </row>
    <row r="634" spans="2:6">
      <c r="B634" t="s">
        <v>1085</v>
      </c>
      <c r="C634">
        <v>1.05</v>
      </c>
      <c r="D634" t="s">
        <v>2</v>
      </c>
      <c r="E634" t="e">
        <f>+E627</f>
        <v>#REF!</v>
      </c>
      <c r="F634" t="e">
        <f>C634*E634</f>
        <v>#REF!</v>
      </c>
    </row>
    <row r="635" spans="2:6">
      <c r="B635" t="s">
        <v>272</v>
      </c>
      <c r="C635">
        <v>1.1499999999999999</v>
      </c>
      <c r="D635" t="s">
        <v>126</v>
      </c>
      <c r="E635">
        <f>+E611</f>
        <v>2913</v>
      </c>
      <c r="F635">
        <f>C635*E635</f>
        <v>3349.95</v>
      </c>
    </row>
    <row r="636" spans="2:6">
      <c r="B636" t="s">
        <v>1089</v>
      </c>
      <c r="C636">
        <f>1/0.15</f>
        <v>6.6666666666666696</v>
      </c>
      <c r="D636" t="s">
        <v>11</v>
      </c>
      <c r="E636">
        <v>225</v>
      </c>
      <c r="F636">
        <f>C636*E636</f>
        <v>1500</v>
      </c>
    </row>
    <row r="637" spans="2:6">
      <c r="E637" t="s">
        <v>1031</v>
      </c>
      <c r="F637" t="e">
        <f>ROUND(SUM(F634:F636),2)</f>
        <v>#REF!</v>
      </c>
    </row>
    <row r="639" spans="2:6">
      <c r="B639" t="s">
        <v>1010</v>
      </c>
    </row>
    <row r="641" spans="2:6">
      <c r="B641" t="s">
        <v>1096</v>
      </c>
    </row>
    <row r="642" spans="2:6">
      <c r="B642" t="s">
        <v>1097</v>
      </c>
      <c r="C642">
        <v>1.05</v>
      </c>
      <c r="D642" t="s">
        <v>2</v>
      </c>
      <c r="E642">
        <f>+E610</f>
        <v>8154.9</v>
      </c>
      <c r="F642">
        <f>C642*E642</f>
        <v>8562.6450000000004</v>
      </c>
    </row>
    <row r="643" spans="2:6">
      <c r="B643" t="s">
        <v>1087</v>
      </c>
      <c r="C643">
        <v>0.46</v>
      </c>
      <c r="D643" t="s">
        <v>126</v>
      </c>
      <c r="E643">
        <f>+E611</f>
        <v>2913</v>
      </c>
      <c r="F643">
        <f>C643*E643</f>
        <v>1339.98</v>
      </c>
    </row>
    <row r="644" spans="2:6">
      <c r="E644" t="s">
        <v>1031</v>
      </c>
      <c r="F644">
        <f>ROUND(SUM(F642:F643),2)</f>
        <v>9902.6299999999992</v>
      </c>
    </row>
    <row r="647" spans="2:6">
      <c r="B647" t="s">
        <v>1011</v>
      </c>
    </row>
    <row r="648" spans="2:6">
      <c r="B648" t="s">
        <v>1097</v>
      </c>
      <c r="C648">
        <v>1.05</v>
      </c>
      <c r="D648" t="s">
        <v>2</v>
      </c>
      <c r="E648">
        <f>E642</f>
        <v>8154.9</v>
      </c>
      <c r="F648">
        <f>C648*E648</f>
        <v>8562.6450000000004</v>
      </c>
    </row>
    <row r="649" spans="2:6">
      <c r="B649" t="s">
        <v>1087</v>
      </c>
      <c r="C649">
        <v>1.28</v>
      </c>
      <c r="D649" t="s">
        <v>126</v>
      </c>
      <c r="E649">
        <f>E643</f>
        <v>2913</v>
      </c>
      <c r="F649">
        <f>C649*E649</f>
        <v>3728.64</v>
      </c>
    </row>
    <row r="650" spans="2:6">
      <c r="E650" t="s">
        <v>1031</v>
      </c>
      <c r="F650">
        <f>ROUND(SUM(F648:F649),2)</f>
        <v>12291.29</v>
      </c>
    </row>
    <row r="653" spans="2:6">
      <c r="B653" t="s">
        <v>1012</v>
      </c>
    </row>
    <row r="654" spans="2:6">
      <c r="B654" t="s">
        <v>1097</v>
      </c>
      <c r="C654">
        <v>1.05</v>
      </c>
      <c r="D654" t="s">
        <v>2</v>
      </c>
      <c r="E654">
        <f>+E87</f>
        <v>8154.9</v>
      </c>
      <c r="F654">
        <f>C654*E654</f>
        <v>8562.6450000000004</v>
      </c>
    </row>
    <row r="655" spans="2:6">
      <c r="B655" t="s">
        <v>1092</v>
      </c>
      <c r="C655">
        <v>6.63</v>
      </c>
      <c r="D655" t="s">
        <v>126</v>
      </c>
      <c r="E655">
        <f>+E621</f>
        <v>2590</v>
      </c>
      <c r="F655">
        <f>C655*E655</f>
        <v>17171.7</v>
      </c>
    </row>
    <row r="656" spans="2:6">
      <c r="B656" t="s">
        <v>1089</v>
      </c>
      <c r="C656">
        <f>1/(0.25*0.25)</f>
        <v>16</v>
      </c>
      <c r="D656" t="s">
        <v>1</v>
      </c>
      <c r="E656">
        <v>400</v>
      </c>
      <c r="F656">
        <f>C656*E656</f>
        <v>6400</v>
      </c>
    </row>
    <row r="657" spans="2:6">
      <c r="B657" t="s">
        <v>1093</v>
      </c>
      <c r="C657">
        <f>+C656</f>
        <v>16</v>
      </c>
      <c r="D657" t="s">
        <v>1</v>
      </c>
      <c r="E657">
        <v>110</v>
      </c>
      <c r="F657">
        <f>C657*E657</f>
        <v>1760</v>
      </c>
    </row>
    <row r="658" spans="2:6">
      <c r="E658" t="s">
        <v>1031</v>
      </c>
      <c r="F658">
        <f>ROUND(SUM(F654:F657),2)</f>
        <v>33894.35</v>
      </c>
    </row>
    <row r="660" spans="2:6">
      <c r="B660" t="s">
        <v>1013</v>
      </c>
    </row>
    <row r="661" spans="2:6">
      <c r="B661" t="s">
        <v>1097</v>
      </c>
      <c r="C661">
        <v>1.05</v>
      </c>
      <c r="D661" t="s">
        <v>2</v>
      </c>
      <c r="E661">
        <f>+E654</f>
        <v>8154.9</v>
      </c>
      <c r="F661">
        <f>C661*E661</f>
        <v>8562.6450000000004</v>
      </c>
    </row>
    <row r="662" spans="2:6">
      <c r="B662" t="s">
        <v>1092</v>
      </c>
      <c r="C662">
        <v>4.05</v>
      </c>
      <c r="D662" t="s">
        <v>126</v>
      </c>
      <c r="E662">
        <f>+E655</f>
        <v>2590</v>
      </c>
      <c r="F662">
        <f>C662*E662</f>
        <v>10489.5</v>
      </c>
    </row>
    <row r="663" spans="2:6">
      <c r="B663" t="s">
        <v>1089</v>
      </c>
      <c r="C663">
        <f>1/(0.25*0.3)</f>
        <v>13.3333333333333</v>
      </c>
      <c r="D663" t="s">
        <v>1</v>
      </c>
      <c r="E663">
        <v>400</v>
      </c>
      <c r="F663">
        <f>C663*E663</f>
        <v>5333.3333333333203</v>
      </c>
    </row>
    <row r="664" spans="2:6">
      <c r="B664" t="s">
        <v>1093</v>
      </c>
      <c r="C664">
        <f>+C663</f>
        <v>13.3333333333333</v>
      </c>
      <c r="D664" t="s">
        <v>1</v>
      </c>
      <c r="E664">
        <v>110</v>
      </c>
      <c r="F664">
        <f>C664*E664</f>
        <v>1466.6666666666599</v>
      </c>
    </row>
    <row r="665" spans="2:6">
      <c r="E665" t="s">
        <v>1031</v>
      </c>
      <c r="F665">
        <f>ROUND(SUM(F661:F664),2)</f>
        <v>25852.15</v>
      </c>
    </row>
    <row r="667" spans="2:6">
      <c r="B667" t="s">
        <v>1015</v>
      </c>
    </row>
    <row r="668" spans="2:6">
      <c r="B668" t="s">
        <v>1097</v>
      </c>
      <c r="C668">
        <v>1.05</v>
      </c>
      <c r="D668" t="s">
        <v>2</v>
      </c>
      <c r="E668">
        <f>+E661</f>
        <v>8154.9</v>
      </c>
      <c r="F668">
        <f>C668*E668</f>
        <v>8562.6450000000004</v>
      </c>
    </row>
    <row r="669" spans="2:6">
      <c r="B669" t="s">
        <v>1087</v>
      </c>
      <c r="C669">
        <v>3.2</v>
      </c>
      <c r="D669" t="s">
        <v>126</v>
      </c>
      <c r="E669">
        <f>+E297</f>
        <v>2913</v>
      </c>
      <c r="F669">
        <f>C669*E669</f>
        <v>9321.6</v>
      </c>
    </row>
    <row r="670" spans="2:6">
      <c r="B670" t="s">
        <v>1089</v>
      </c>
      <c r="C670">
        <f>1/0.25</f>
        <v>4</v>
      </c>
      <c r="D670" t="s">
        <v>11</v>
      </c>
      <c r="E670">
        <v>1200</v>
      </c>
      <c r="F670">
        <f>C670*E670</f>
        <v>4800</v>
      </c>
    </row>
    <row r="671" spans="2:6">
      <c r="E671" t="s">
        <v>1031</v>
      </c>
      <c r="F671">
        <f>ROUND(SUM(F668:F670),2)</f>
        <v>22684.25</v>
      </c>
    </row>
    <row r="673" spans="2:6">
      <c r="B673" t="s">
        <v>1016</v>
      </c>
    </row>
    <row r="674" spans="2:6">
      <c r="B674" t="s">
        <v>1097</v>
      </c>
      <c r="C674">
        <v>1.05</v>
      </c>
      <c r="D674" t="s">
        <v>2</v>
      </c>
      <c r="E674">
        <f>+E668</f>
        <v>8154.9</v>
      </c>
      <c r="F674">
        <f>C674*E674</f>
        <v>8562.6450000000004</v>
      </c>
    </row>
    <row r="675" spans="2:6">
      <c r="B675" t="s">
        <v>272</v>
      </c>
      <c r="C675">
        <v>1.76</v>
      </c>
      <c r="D675" t="s">
        <v>126</v>
      </c>
      <c r="E675">
        <f>+E635</f>
        <v>2913</v>
      </c>
      <c r="F675">
        <f>C675*E675</f>
        <v>5126.88</v>
      </c>
    </row>
    <row r="676" spans="2:6">
      <c r="B676" t="s">
        <v>1089</v>
      </c>
      <c r="C676">
        <f>1/0.15</f>
        <v>6.6666666666666696</v>
      </c>
      <c r="D676" t="s">
        <v>11</v>
      </c>
      <c r="E676">
        <v>350</v>
      </c>
      <c r="F676">
        <f>C676*E676</f>
        <v>2333.3333333333298</v>
      </c>
    </row>
    <row r="677" spans="2:6">
      <c r="E677" t="s">
        <v>1031</v>
      </c>
      <c r="F677">
        <f>ROUND(SUM(F674:F676),2)</f>
        <v>16022.86</v>
      </c>
    </row>
    <row r="679" spans="2:6">
      <c r="B679" t="s">
        <v>1014</v>
      </c>
    </row>
    <row r="680" spans="2:6">
      <c r="B680" t="s">
        <v>271</v>
      </c>
      <c r="C680">
        <v>1.05</v>
      </c>
      <c r="D680" t="s">
        <v>2</v>
      </c>
      <c r="E680">
        <f>+E674</f>
        <v>8154.9</v>
      </c>
      <c r="F680">
        <f>C680*E680</f>
        <v>8562.6450000000004</v>
      </c>
    </row>
    <row r="681" spans="2:6">
      <c r="B681" t="s">
        <v>1092</v>
      </c>
      <c r="C681">
        <v>3.06</v>
      </c>
      <c r="D681" t="s">
        <v>126</v>
      </c>
      <c r="E681">
        <f>+E628</f>
        <v>2590</v>
      </c>
      <c r="F681">
        <f>C681*E681</f>
        <v>7925.4</v>
      </c>
    </row>
    <row r="682" spans="2:6">
      <c r="B682" t="s">
        <v>1089</v>
      </c>
      <c r="C682">
        <f>1/(0.4*0.25)</f>
        <v>10</v>
      </c>
      <c r="D682" t="s">
        <v>1</v>
      </c>
      <c r="E682">
        <v>350</v>
      </c>
      <c r="F682">
        <f>C682*E682</f>
        <v>3500</v>
      </c>
    </row>
    <row r="683" spans="2:6">
      <c r="B683" t="s">
        <v>1093</v>
      </c>
      <c r="C683">
        <f>+C682</f>
        <v>10</v>
      </c>
      <c r="D683" t="s">
        <v>1</v>
      </c>
      <c r="E683">
        <v>110</v>
      </c>
      <c r="F683">
        <f>C683*E683</f>
        <v>1100</v>
      </c>
    </row>
    <row r="684" spans="2:6">
      <c r="E684" t="s">
        <v>1031</v>
      </c>
      <c r="F684">
        <f>ROUND(SUM(F680:F683),2)</f>
        <v>21088.05</v>
      </c>
    </row>
    <row r="686" spans="2:6">
      <c r="B686" t="s">
        <v>1098</v>
      </c>
    </row>
    <row r="687" spans="2:6">
      <c r="B687" t="s">
        <v>1099</v>
      </c>
    </row>
    <row r="688" spans="2:6">
      <c r="B688" t="s">
        <v>1060</v>
      </c>
      <c r="C688">
        <v>1.05</v>
      </c>
      <c r="D688" t="s">
        <v>2</v>
      </c>
      <c r="E688">
        <v>6925</v>
      </c>
      <c r="F688">
        <f>ROUND(C688*E688,2)</f>
        <v>7271.25</v>
      </c>
    </row>
    <row r="689" spans="2:8">
      <c r="B689" t="s">
        <v>272</v>
      </c>
      <c r="C689">
        <v>0.6</v>
      </c>
      <c r="D689" t="s">
        <v>126</v>
      </c>
      <c r="E689">
        <f>+E675</f>
        <v>2913</v>
      </c>
      <c r="F689">
        <f>ROUND(C689*E689,2)</f>
        <v>1747.8</v>
      </c>
    </row>
    <row r="690" spans="2:8">
      <c r="F690">
        <f>SUM(F688:F689)</f>
        <v>9019.0499999999993</v>
      </c>
    </row>
    <row r="692" spans="2:8">
      <c r="B692" t="s">
        <v>37</v>
      </c>
      <c r="C692">
        <v>1</v>
      </c>
      <c r="D692" t="s">
        <v>1100</v>
      </c>
      <c r="E692">
        <v>500</v>
      </c>
      <c r="F692">
        <f>ROUND(C692*E692,2)</f>
        <v>500</v>
      </c>
    </row>
    <row r="693" spans="2:8">
      <c r="B693" t="s">
        <v>1101</v>
      </c>
      <c r="C693">
        <v>2.7</v>
      </c>
      <c r="D693" t="s">
        <v>2</v>
      </c>
      <c r="E693">
        <v>297.56</v>
      </c>
      <c r="F693">
        <f t="shared" ref="F693:F712" si="5">ROUND(C693*E693,2)</f>
        <v>803.41</v>
      </c>
    </row>
    <row r="694" spans="2:8">
      <c r="B694" t="s">
        <v>96</v>
      </c>
      <c r="C694">
        <v>0.86</v>
      </c>
      <c r="D694" t="s">
        <v>2</v>
      </c>
      <c r="E694">
        <v>70.16</v>
      </c>
      <c r="F694">
        <f t="shared" si="5"/>
        <v>60.34</v>
      </c>
    </row>
    <row r="695" spans="2:8">
      <c r="B695" t="s">
        <v>1102</v>
      </c>
      <c r="C695">
        <v>2.21</v>
      </c>
      <c r="D695" t="s">
        <v>2</v>
      </c>
      <c r="E695">
        <v>150</v>
      </c>
      <c r="F695">
        <f t="shared" si="5"/>
        <v>331.5</v>
      </c>
    </row>
    <row r="696" spans="2:8">
      <c r="B696" t="s">
        <v>1103</v>
      </c>
      <c r="C696">
        <v>1.35</v>
      </c>
      <c r="D696" t="s">
        <v>2</v>
      </c>
      <c r="E696">
        <f>+F690</f>
        <v>9019.0499999999993</v>
      </c>
      <c r="F696">
        <f t="shared" si="5"/>
        <v>12175.72</v>
      </c>
    </row>
    <row r="697" spans="2:8">
      <c r="B697" t="s">
        <v>1104</v>
      </c>
      <c r="C697">
        <v>7.2</v>
      </c>
      <c r="D697" t="s">
        <v>11</v>
      </c>
      <c r="E697">
        <f>+F551</f>
        <v>935.32585731999995</v>
      </c>
      <c r="F697">
        <f t="shared" si="5"/>
        <v>6734.35</v>
      </c>
    </row>
    <row r="698" spans="2:8">
      <c r="B698" t="s">
        <v>1105</v>
      </c>
      <c r="C698">
        <v>12</v>
      </c>
      <c r="D698" t="s">
        <v>13</v>
      </c>
      <c r="E698">
        <v>52</v>
      </c>
      <c r="F698">
        <f t="shared" si="5"/>
        <v>624</v>
      </c>
    </row>
    <row r="699" spans="2:8">
      <c r="B699" t="s">
        <v>1237</v>
      </c>
      <c r="C699">
        <v>4</v>
      </c>
      <c r="D699" t="s">
        <v>3</v>
      </c>
      <c r="E699">
        <f>480.43*1.18</f>
        <v>566.90740000000005</v>
      </c>
      <c r="F699">
        <f t="shared" si="5"/>
        <v>2267.63</v>
      </c>
    </row>
    <row r="700" spans="2:8">
      <c r="B700" t="s">
        <v>1106</v>
      </c>
      <c r="C700">
        <v>2</v>
      </c>
      <c r="D700" t="s">
        <v>3</v>
      </c>
      <c r="E700">
        <f>546.71*1.18</f>
        <v>645.11779999999999</v>
      </c>
      <c r="F700">
        <f t="shared" si="5"/>
        <v>1290.24</v>
      </c>
    </row>
    <row r="701" spans="2:8">
      <c r="B701" t="s">
        <v>1107</v>
      </c>
      <c r="C701">
        <v>21.6</v>
      </c>
      <c r="D701" t="s">
        <v>11</v>
      </c>
      <c r="E701">
        <v>191.27</v>
      </c>
      <c r="F701">
        <f t="shared" si="5"/>
        <v>4131.43</v>
      </c>
      <c r="G701">
        <f>6/3.28</f>
        <v>1.82926829268293</v>
      </c>
    </row>
    <row r="702" spans="2:8">
      <c r="B702" t="s">
        <v>1108</v>
      </c>
      <c r="C702">
        <v>2</v>
      </c>
      <c r="D702" t="s">
        <v>3</v>
      </c>
      <c r="E702">
        <v>47.2</v>
      </c>
      <c r="F702">
        <f t="shared" si="5"/>
        <v>94.4</v>
      </c>
      <c r="G702">
        <f>50/3.28</f>
        <v>15.243902439024399</v>
      </c>
      <c r="H702">
        <f>G702*G701</f>
        <v>27.8851873884593</v>
      </c>
    </row>
    <row r="703" spans="2:8">
      <c r="B703" t="s">
        <v>1109</v>
      </c>
      <c r="C703">
        <v>3</v>
      </c>
      <c r="D703" t="s">
        <v>3</v>
      </c>
      <c r="E703">
        <v>32.42</v>
      </c>
      <c r="F703">
        <f t="shared" si="5"/>
        <v>97.26</v>
      </c>
    </row>
    <row r="704" spans="2:8">
      <c r="B704" t="s">
        <v>1110</v>
      </c>
      <c r="C704">
        <v>4</v>
      </c>
      <c r="D704" t="s">
        <v>3</v>
      </c>
      <c r="E704">
        <v>236</v>
      </c>
      <c r="F704">
        <f t="shared" si="5"/>
        <v>944</v>
      </c>
    </row>
    <row r="705" spans="2:8">
      <c r="B705" t="s">
        <v>1111</v>
      </c>
      <c r="C705">
        <v>72</v>
      </c>
      <c r="D705" t="s">
        <v>13</v>
      </c>
      <c r="E705">
        <v>5.2</v>
      </c>
      <c r="F705">
        <f t="shared" si="5"/>
        <v>374.4</v>
      </c>
      <c r="G705">
        <f>485/110</f>
        <v>4.4090909090909101</v>
      </c>
      <c r="H705">
        <f>G705*1.18</f>
        <v>5.2027272727272704</v>
      </c>
    </row>
    <row r="706" spans="2:8">
      <c r="B706" t="s">
        <v>1112</v>
      </c>
      <c r="C706">
        <v>1</v>
      </c>
      <c r="D706" t="s">
        <v>183</v>
      </c>
      <c r="E706">
        <v>32.5</v>
      </c>
      <c r="F706">
        <f t="shared" si="5"/>
        <v>32.5</v>
      </c>
    </row>
    <row r="707" spans="2:8">
      <c r="B707" t="s">
        <v>1113</v>
      </c>
      <c r="C707">
        <v>10.08</v>
      </c>
      <c r="D707" t="s">
        <v>11</v>
      </c>
      <c r="E707">
        <f>+F261</f>
        <v>331.47330489199999</v>
      </c>
      <c r="F707">
        <f t="shared" si="5"/>
        <v>3341.25</v>
      </c>
    </row>
    <row r="708" spans="2:8">
      <c r="B708" t="s">
        <v>1114</v>
      </c>
      <c r="C708">
        <v>34.200000000000003</v>
      </c>
      <c r="D708" t="s">
        <v>11</v>
      </c>
      <c r="E708">
        <v>130.5</v>
      </c>
      <c r="F708">
        <f t="shared" si="5"/>
        <v>4463.1000000000004</v>
      </c>
    </row>
    <row r="709" spans="2:8">
      <c r="B709" t="s">
        <v>1115</v>
      </c>
      <c r="C709">
        <v>2</v>
      </c>
      <c r="D709" t="s">
        <v>3</v>
      </c>
      <c r="E709">
        <v>180</v>
      </c>
      <c r="F709">
        <f t="shared" si="5"/>
        <v>360</v>
      </c>
    </row>
    <row r="710" spans="2:8">
      <c r="B710" t="s">
        <v>1116</v>
      </c>
      <c r="C710">
        <v>6</v>
      </c>
      <c r="D710" t="s">
        <v>3</v>
      </c>
      <c r="E710">
        <v>24.54</v>
      </c>
      <c r="F710">
        <f t="shared" si="5"/>
        <v>147.24</v>
      </c>
    </row>
    <row r="711" spans="2:8">
      <c r="B711" t="s">
        <v>41</v>
      </c>
      <c r="C711">
        <v>12</v>
      </c>
      <c r="D711" t="s">
        <v>13</v>
      </c>
      <c r="E711">
        <v>418.06</v>
      </c>
      <c r="F711">
        <f t="shared" si="5"/>
        <v>5016.72</v>
      </c>
    </row>
    <row r="712" spans="2:8">
      <c r="B712" t="s">
        <v>1117</v>
      </c>
      <c r="C712">
        <v>12.6</v>
      </c>
      <c r="D712" t="s">
        <v>11</v>
      </c>
      <c r="E712">
        <v>144</v>
      </c>
      <c r="F712">
        <f t="shared" si="5"/>
        <v>1814.4</v>
      </c>
    </row>
    <row r="713" spans="2:8">
      <c r="B713" t="s">
        <v>1118</v>
      </c>
      <c r="F713">
        <f>SUM(F692:F712)</f>
        <v>45603.89</v>
      </c>
    </row>
    <row r="714" spans="2:8">
      <c r="B714" t="s">
        <v>1119</v>
      </c>
      <c r="E714" t="s">
        <v>1120</v>
      </c>
      <c r="F714">
        <f>ROUND(F713/12,2)</f>
        <v>3800.32</v>
      </c>
    </row>
    <row r="716" spans="2:8">
      <c r="B716" t="s">
        <v>1121</v>
      </c>
    </row>
    <row r="717" spans="2:8">
      <c r="B717" t="s">
        <v>285</v>
      </c>
      <c r="C717" t="s">
        <v>286</v>
      </c>
      <c r="D717" t="s">
        <v>340</v>
      </c>
      <c r="E717" t="s">
        <v>288</v>
      </c>
      <c r="F717" t="s">
        <v>289</v>
      </c>
    </row>
    <row r="718" spans="2:8">
      <c r="B718" t="s">
        <v>1122</v>
      </c>
      <c r="C718">
        <v>4</v>
      </c>
      <c r="D718" t="s">
        <v>3</v>
      </c>
      <c r="E718">
        <f>E699</f>
        <v>566.90740000000005</v>
      </c>
      <c r="F718">
        <f t="shared" ref="F718:F735" si="6">C718*E718</f>
        <v>2267.6296000000002</v>
      </c>
    </row>
    <row r="719" spans="2:8">
      <c r="B719" t="s">
        <v>1123</v>
      </c>
      <c r="C719">
        <v>8</v>
      </c>
      <c r="D719" t="s">
        <v>3</v>
      </c>
      <c r="E719">
        <f>+E700</f>
        <v>645.11779999999999</v>
      </c>
      <c r="F719">
        <f t="shared" si="6"/>
        <v>5160.9423999999999</v>
      </c>
    </row>
    <row r="720" spans="2:8">
      <c r="B720" t="s">
        <v>1124</v>
      </c>
      <c r="C720">
        <v>2</v>
      </c>
      <c r="D720" t="s">
        <v>3</v>
      </c>
      <c r="E720">
        <f>+E702</f>
        <v>47.2</v>
      </c>
      <c r="F720">
        <f t="shared" si="6"/>
        <v>94.4</v>
      </c>
    </row>
    <row r="721" spans="2:6">
      <c r="B721" t="s">
        <v>1125</v>
      </c>
      <c r="C721">
        <v>4</v>
      </c>
      <c r="D721" t="s">
        <v>3</v>
      </c>
      <c r="E721">
        <f>+E703</f>
        <v>32.42</v>
      </c>
      <c r="F721">
        <f t="shared" si="6"/>
        <v>129.68</v>
      </c>
    </row>
    <row r="722" spans="2:6">
      <c r="B722" t="s">
        <v>977</v>
      </c>
      <c r="C722">
        <v>8.25</v>
      </c>
      <c r="D722" t="s">
        <v>11</v>
      </c>
      <c r="E722">
        <f>+E701</f>
        <v>191.27</v>
      </c>
      <c r="F722">
        <f t="shared" si="6"/>
        <v>1577.9775</v>
      </c>
    </row>
    <row r="723" spans="2:6">
      <c r="B723" t="s">
        <v>1126</v>
      </c>
      <c r="C723">
        <v>2</v>
      </c>
      <c r="D723" t="s">
        <v>3</v>
      </c>
      <c r="E723">
        <f>+E709</f>
        <v>180</v>
      </c>
      <c r="F723">
        <f t="shared" si="6"/>
        <v>360</v>
      </c>
    </row>
    <row r="724" spans="2:6">
      <c r="B724" t="s">
        <v>1116</v>
      </c>
      <c r="C724">
        <v>6</v>
      </c>
      <c r="D724" t="s">
        <v>3</v>
      </c>
      <c r="E724">
        <f>+E710</f>
        <v>24.54</v>
      </c>
      <c r="F724">
        <f t="shared" si="6"/>
        <v>147.24</v>
      </c>
    </row>
    <row r="725" spans="2:6">
      <c r="B725" t="s">
        <v>1127</v>
      </c>
      <c r="C725">
        <v>2</v>
      </c>
      <c r="D725" t="s">
        <v>1128</v>
      </c>
      <c r="E725">
        <f>+E706</f>
        <v>32.5</v>
      </c>
      <c r="F725">
        <f t="shared" si="6"/>
        <v>65</v>
      </c>
    </row>
    <row r="726" spans="2:6">
      <c r="B726" t="s">
        <v>1129</v>
      </c>
      <c r="C726">
        <v>1</v>
      </c>
      <c r="D726" t="s">
        <v>148</v>
      </c>
      <c r="E726">
        <v>2500</v>
      </c>
      <c r="F726">
        <f t="shared" si="6"/>
        <v>2500</v>
      </c>
    </row>
    <row r="727" spans="2:6">
      <c r="B727" t="s">
        <v>1130</v>
      </c>
      <c r="F727">
        <f t="shared" si="6"/>
        <v>0</v>
      </c>
    </row>
    <row r="728" spans="2:6">
      <c r="B728" t="s">
        <v>1131</v>
      </c>
      <c r="C728">
        <v>1</v>
      </c>
      <c r="D728" t="s">
        <v>148</v>
      </c>
      <c r="E728">
        <v>1500</v>
      </c>
      <c r="F728">
        <f t="shared" si="6"/>
        <v>1500</v>
      </c>
    </row>
    <row r="729" spans="2:6">
      <c r="B729" t="s">
        <v>1132</v>
      </c>
      <c r="C729">
        <v>1</v>
      </c>
      <c r="D729" t="s">
        <v>148</v>
      </c>
      <c r="E729">
        <v>850</v>
      </c>
      <c r="F729">
        <f t="shared" si="6"/>
        <v>850</v>
      </c>
    </row>
    <row r="730" spans="2:6">
      <c r="B730" t="s">
        <v>1133</v>
      </c>
      <c r="C730">
        <v>1</v>
      </c>
      <c r="D730" t="s">
        <v>148</v>
      </c>
      <c r="E730">
        <v>750</v>
      </c>
      <c r="F730">
        <f t="shared" si="6"/>
        <v>750</v>
      </c>
    </row>
    <row r="731" spans="2:6">
      <c r="B731" t="s">
        <v>1134</v>
      </c>
      <c r="C731">
        <v>1</v>
      </c>
      <c r="D731" t="s">
        <v>3</v>
      </c>
      <c r="E731">
        <v>450</v>
      </c>
      <c r="F731">
        <f t="shared" si="6"/>
        <v>450</v>
      </c>
    </row>
    <row r="732" spans="2:6">
      <c r="B732" t="s">
        <v>1135</v>
      </c>
      <c r="C732">
        <v>1</v>
      </c>
      <c r="D732" t="s">
        <v>3</v>
      </c>
      <c r="E732">
        <v>145</v>
      </c>
      <c r="F732">
        <f t="shared" si="6"/>
        <v>145</v>
      </c>
    </row>
    <row r="733" spans="2:6">
      <c r="B733" t="s">
        <v>1136</v>
      </c>
      <c r="C733">
        <v>6</v>
      </c>
      <c r="D733" t="s">
        <v>3</v>
      </c>
      <c r="E733">
        <v>87.65</v>
      </c>
      <c r="F733">
        <f t="shared" si="6"/>
        <v>525.9</v>
      </c>
    </row>
    <row r="734" spans="2:6">
      <c r="B734" t="s">
        <v>1137</v>
      </c>
      <c r="C734">
        <v>12</v>
      </c>
      <c r="D734" t="s">
        <v>13</v>
      </c>
      <c r="E734">
        <f>+E705</f>
        <v>5.2</v>
      </c>
      <c r="F734">
        <f t="shared" si="6"/>
        <v>62.4</v>
      </c>
    </row>
    <row r="735" spans="2:6">
      <c r="B735" t="s">
        <v>536</v>
      </c>
      <c r="C735">
        <v>16.34</v>
      </c>
      <c r="D735" t="s">
        <v>11</v>
      </c>
      <c r="E735">
        <f>+E712</f>
        <v>144</v>
      </c>
      <c r="F735">
        <f t="shared" si="6"/>
        <v>2352.96</v>
      </c>
    </row>
    <row r="736" spans="2:6">
      <c r="B736" t="s">
        <v>1138</v>
      </c>
      <c r="E736" t="s">
        <v>42</v>
      </c>
      <c r="F736">
        <v>2500</v>
      </c>
    </row>
    <row r="737" spans="2:6">
      <c r="B737" t="s">
        <v>8</v>
      </c>
      <c r="E737" t="s">
        <v>42</v>
      </c>
      <c r="F737">
        <v>1500</v>
      </c>
    </row>
    <row r="738" spans="2:6">
      <c r="B738" t="s">
        <v>1139</v>
      </c>
      <c r="E738" t="s">
        <v>1039</v>
      </c>
      <c r="F738">
        <f>ROUND(SUM(F718:F737),2)</f>
        <v>22939.13</v>
      </c>
    </row>
    <row r="740" spans="2:6">
      <c r="B740" t="s">
        <v>1140</v>
      </c>
    </row>
    <row r="741" spans="2:6">
      <c r="B741" t="s">
        <v>1141</v>
      </c>
    </row>
    <row r="742" spans="2:6">
      <c r="B742" t="s">
        <v>1060</v>
      </c>
      <c r="C742">
        <v>1.05</v>
      </c>
      <c r="D742" t="s">
        <v>2</v>
      </c>
      <c r="E742">
        <f>+E688</f>
        <v>6925</v>
      </c>
      <c r="F742">
        <f>C742*E742</f>
        <v>7271.25</v>
      </c>
    </row>
    <row r="743" spans="2:6">
      <c r="B743" t="s">
        <v>272</v>
      </c>
      <c r="C743">
        <v>8.15</v>
      </c>
      <c r="D743" t="s">
        <v>126</v>
      </c>
      <c r="E743">
        <f>+E689</f>
        <v>2913</v>
      </c>
      <c r="F743">
        <f>C743*E743</f>
        <v>23740.95</v>
      </c>
    </row>
    <row r="744" spans="2:6">
      <c r="B744" t="s">
        <v>1089</v>
      </c>
      <c r="C744">
        <f>1/(0.15*0.15)</f>
        <v>44.4444444444444</v>
      </c>
      <c r="D744" t="s">
        <v>13</v>
      </c>
      <c r="E744">
        <v>250</v>
      </c>
      <c r="F744">
        <f>C744*E744</f>
        <v>11111.1111111111</v>
      </c>
    </row>
    <row r="745" spans="2:6">
      <c r="F745">
        <f>ROUND((SUM(F742:F744)),2)</f>
        <v>42123.31</v>
      </c>
    </row>
    <row r="746" spans="2:6">
      <c r="B746" t="s">
        <v>1142</v>
      </c>
      <c r="C746">
        <v>1.2999999999999999E-2</v>
      </c>
      <c r="D746" t="s">
        <v>2</v>
      </c>
    </row>
    <row r="747" spans="2:6">
      <c r="B747" t="s">
        <v>1143</v>
      </c>
      <c r="C747">
        <v>1</v>
      </c>
      <c r="D747" t="s">
        <v>3</v>
      </c>
      <c r="E747">
        <f>C746*F745</f>
        <v>547.60302999999999</v>
      </c>
      <c r="F747">
        <f>E747*C747</f>
        <v>547.60302999999999</v>
      </c>
    </row>
    <row r="748" spans="2:6">
      <c r="B748" t="s">
        <v>978</v>
      </c>
      <c r="C748" t="s">
        <v>1144</v>
      </c>
      <c r="F748">
        <f>ROUND((SUM(F747:F747)),2)</f>
        <v>547.6</v>
      </c>
    </row>
    <row r="750" spans="2:6">
      <c r="B750" t="s">
        <v>1145</v>
      </c>
    </row>
    <row r="751" spans="2:6">
      <c r="B751" t="s">
        <v>1146</v>
      </c>
    </row>
    <row r="752" spans="2:6">
      <c r="B752" t="s">
        <v>1060</v>
      </c>
      <c r="C752">
        <v>1.05</v>
      </c>
      <c r="D752" t="s">
        <v>2</v>
      </c>
      <c r="E752">
        <f>E742</f>
        <v>6925</v>
      </c>
      <c r="F752">
        <f>C752*E752</f>
        <v>7271.25</v>
      </c>
    </row>
    <row r="753" spans="2:6">
      <c r="B753" t="s">
        <v>272</v>
      </c>
      <c r="C753">
        <v>4.79</v>
      </c>
      <c r="D753" t="s">
        <v>126</v>
      </c>
      <c r="E753">
        <f>E743</f>
        <v>2913</v>
      </c>
      <c r="F753">
        <f>C753*E753</f>
        <v>13953.27</v>
      </c>
    </row>
    <row r="754" spans="2:6">
      <c r="B754" t="s">
        <v>1089</v>
      </c>
      <c r="C754">
        <f>1/(0.25*0.25)</f>
        <v>16</v>
      </c>
      <c r="D754" t="s">
        <v>13</v>
      </c>
      <c r="E754">
        <v>250</v>
      </c>
      <c r="F754">
        <f>C754*E754</f>
        <v>4000</v>
      </c>
    </row>
    <row r="755" spans="2:6">
      <c r="F755">
        <f>ROUND((SUM(F752:F754)),2)</f>
        <v>25224.52</v>
      </c>
    </row>
    <row r="756" spans="2:6">
      <c r="B756" t="s">
        <v>1147</v>
      </c>
      <c r="C756">
        <v>0.17499999999999999</v>
      </c>
      <c r="D756" t="s">
        <v>2</v>
      </c>
    </row>
    <row r="757" spans="2:6">
      <c r="B757" t="s">
        <v>1148</v>
      </c>
      <c r="C757">
        <f>F755*C756</f>
        <v>4414.2910000000002</v>
      </c>
      <c r="D757" t="s">
        <v>1149</v>
      </c>
    </row>
    <row r="759" spans="2:6">
      <c r="B759" t="s">
        <v>1150</v>
      </c>
    </row>
    <row r="760" spans="2:6">
      <c r="B760" t="s">
        <v>1060</v>
      </c>
      <c r="C760">
        <v>1.05</v>
      </c>
      <c r="D760" t="s">
        <v>2</v>
      </c>
      <c r="E760">
        <f>E752</f>
        <v>6925</v>
      </c>
      <c r="F760">
        <f>C760*E760</f>
        <v>7271.25</v>
      </c>
    </row>
    <row r="761" spans="2:6">
      <c r="B761" t="s">
        <v>272</v>
      </c>
      <c r="C761">
        <v>1.43</v>
      </c>
      <c r="D761" t="s">
        <v>126</v>
      </c>
      <c r="E761">
        <f>E753</f>
        <v>2913</v>
      </c>
      <c r="F761">
        <f>C761*E761</f>
        <v>4165.59</v>
      </c>
    </row>
    <row r="762" spans="2:6">
      <c r="F762">
        <f>ROUND((SUM(F760:F761)),2)</f>
        <v>11436.84</v>
      </c>
    </row>
    <row r="763" spans="2:6">
      <c r="B763" t="s">
        <v>1151</v>
      </c>
      <c r="C763">
        <v>0.14000000000000001</v>
      </c>
      <c r="D763" t="s">
        <v>2</v>
      </c>
    </row>
    <row r="764" spans="2:6">
      <c r="B764" t="s">
        <v>1148</v>
      </c>
      <c r="C764">
        <f>F762*C763</f>
        <v>1601.1576</v>
      </c>
      <c r="D764" t="s">
        <v>1149</v>
      </c>
    </row>
    <row r="765" spans="2:6">
      <c r="B765" t="s">
        <v>1152</v>
      </c>
      <c r="C765">
        <v>1</v>
      </c>
      <c r="D765" t="s">
        <v>3</v>
      </c>
      <c r="E765">
        <f>C764+C757</f>
        <v>6015.4485999999997</v>
      </c>
      <c r="F765">
        <f>E765*C765</f>
        <v>6015.4485999999997</v>
      </c>
    </row>
    <row r="766" spans="2:6">
      <c r="B766" t="s">
        <v>1153</v>
      </c>
      <c r="C766">
        <v>2.86</v>
      </c>
      <c r="D766" t="s">
        <v>11</v>
      </c>
      <c r="E766">
        <f>E707</f>
        <v>331.47330489199999</v>
      </c>
      <c r="F766">
        <f>E766*C766</f>
        <v>948.01365199112001</v>
      </c>
    </row>
    <row r="767" spans="2:6">
      <c r="B767" t="s">
        <v>177</v>
      </c>
      <c r="C767">
        <v>12.2</v>
      </c>
      <c r="D767" t="s">
        <v>13</v>
      </c>
      <c r="E767">
        <f>+F267</f>
        <v>82.214604270600006</v>
      </c>
      <c r="F767">
        <f>E767*C767</f>
        <v>1003.01817210132</v>
      </c>
    </row>
    <row r="768" spans="2:6">
      <c r="B768" t="s">
        <v>536</v>
      </c>
      <c r="C768">
        <v>1.76</v>
      </c>
      <c r="D768" t="s">
        <v>11</v>
      </c>
      <c r="E768">
        <f>+E735</f>
        <v>144</v>
      </c>
      <c r="F768">
        <f>E768*C768</f>
        <v>253.44</v>
      </c>
    </row>
    <row r="769" spans="2:6">
      <c r="B769" t="s">
        <v>1154</v>
      </c>
      <c r="C769" t="s">
        <v>1144</v>
      </c>
      <c r="F769">
        <f>ROUND((SUM(F765:F768)),2)</f>
        <v>8219.92</v>
      </c>
    </row>
    <row r="770" spans="2:6">
      <c r="B770" t="s">
        <v>1145</v>
      </c>
      <c r="C770" t="s">
        <v>1148</v>
      </c>
      <c r="E770">
        <f>F769</f>
        <v>8219.92</v>
      </c>
    </row>
    <row r="772" spans="2:6" hidden="1"/>
    <row r="773" spans="2:6" hidden="1"/>
    <row r="774" spans="2:6" hidden="1">
      <c r="B774" t="s">
        <v>1155</v>
      </c>
    </row>
    <row r="775" spans="2:6" hidden="1">
      <c r="B775" t="s">
        <v>271</v>
      </c>
      <c r="C775">
        <v>1.05</v>
      </c>
      <c r="D775" t="s">
        <v>2</v>
      </c>
      <c r="E775">
        <v>5525.27</v>
      </c>
      <c r="F775">
        <f>C775*E775</f>
        <v>5801.5334999999995</v>
      </c>
    </row>
    <row r="776" spans="2:6" hidden="1">
      <c r="B776" t="s">
        <v>1092</v>
      </c>
      <c r="C776">
        <v>6.38</v>
      </c>
      <c r="D776" t="s">
        <v>126</v>
      </c>
      <c r="E776">
        <f>+E628</f>
        <v>2590</v>
      </c>
      <c r="F776">
        <f>C776*E776</f>
        <v>16524.2</v>
      </c>
    </row>
    <row r="777" spans="2:6" hidden="1">
      <c r="B777" t="s">
        <v>1089</v>
      </c>
      <c r="C777">
        <v>25</v>
      </c>
      <c r="D777" t="s">
        <v>1</v>
      </c>
      <c r="E777">
        <v>250</v>
      </c>
      <c r="F777">
        <f>C777*E777</f>
        <v>6250</v>
      </c>
    </row>
    <row r="778" spans="2:6" hidden="1">
      <c r="B778" t="s">
        <v>1093</v>
      </c>
      <c r="C778">
        <v>25</v>
      </c>
      <c r="D778" t="s">
        <v>1</v>
      </c>
      <c r="E778">
        <v>85</v>
      </c>
      <c r="F778">
        <f>C778*E778</f>
        <v>2125</v>
      </c>
    </row>
    <row r="779" spans="2:6" hidden="1">
      <c r="E779" t="s">
        <v>1031</v>
      </c>
      <c r="F779">
        <f>ROUND(SUM(F775:F778),2)</f>
        <v>30700.73</v>
      </c>
    </row>
    <row r="780" spans="2:6" hidden="1"/>
    <row r="781" spans="2:6" hidden="1">
      <c r="B781" t="s">
        <v>1156</v>
      </c>
    </row>
    <row r="782" spans="2:6" hidden="1">
      <c r="B782" t="s">
        <v>271</v>
      </c>
      <c r="C782">
        <v>1.05</v>
      </c>
      <c r="D782" t="s">
        <v>2</v>
      </c>
      <c r="E782">
        <f>+E775</f>
        <v>5525.27</v>
      </c>
      <c r="F782">
        <f>C782*E782</f>
        <v>5801.5334999999995</v>
      </c>
    </row>
    <row r="783" spans="2:6" hidden="1">
      <c r="B783" t="s">
        <v>272</v>
      </c>
      <c r="C783">
        <v>1.35</v>
      </c>
      <c r="D783" t="s">
        <v>126</v>
      </c>
      <c r="E783">
        <f>+E635</f>
        <v>2913</v>
      </c>
      <c r="F783">
        <f>C783*E783</f>
        <v>3932.55</v>
      </c>
    </row>
    <row r="784" spans="2:6" hidden="1">
      <c r="B784" t="s">
        <v>1089</v>
      </c>
      <c r="C784">
        <v>7.69</v>
      </c>
      <c r="D784" t="s">
        <v>11</v>
      </c>
      <c r="E784">
        <v>225</v>
      </c>
      <c r="F784">
        <f>C784*E784</f>
        <v>1730.25</v>
      </c>
    </row>
    <row r="785" spans="2:6" hidden="1">
      <c r="E785" t="s">
        <v>1031</v>
      </c>
      <c r="F785">
        <f>ROUND(SUM(F782:F784),2)</f>
        <v>11464.33</v>
      </c>
    </row>
    <row r="787" spans="2:6">
      <c r="B787" t="s">
        <v>852</v>
      </c>
    </row>
    <row r="789" spans="2:6">
      <c r="B789" t="s">
        <v>1777</v>
      </c>
    </row>
    <row r="790" spans="2:6">
      <c r="B790" t="s">
        <v>1840</v>
      </c>
      <c r="C790">
        <v>1.05</v>
      </c>
      <c r="D790" t="s">
        <v>2</v>
      </c>
      <c r="E790">
        <f>+F43</f>
        <v>5050.6549999999997</v>
      </c>
      <c r="F790">
        <f>C790*E790</f>
        <v>5303.1877500000001</v>
      </c>
    </row>
    <row r="791" spans="2:6">
      <c r="B791" t="s">
        <v>1087</v>
      </c>
      <c r="C791">
        <v>0.66</v>
      </c>
      <c r="D791" t="s">
        <v>126</v>
      </c>
      <c r="E791">
        <f>+F62</f>
        <v>2913</v>
      </c>
      <c r="F791">
        <f>C791*E791</f>
        <v>1922.58</v>
      </c>
    </row>
    <row r="792" spans="2:6">
      <c r="E792" t="s">
        <v>1031</v>
      </c>
      <c r="F792">
        <f>ROUND(SUM(F790:F791),2)</f>
        <v>7225.77</v>
      </c>
    </row>
    <row r="794" spans="2:6">
      <c r="B794" t="s">
        <v>1778</v>
      </c>
    </row>
    <row r="795" spans="2:6">
      <c r="B795" t="s">
        <v>1840</v>
      </c>
      <c r="C795">
        <v>1.05</v>
      </c>
      <c r="D795" t="s">
        <v>2</v>
      </c>
      <c r="E795">
        <f>+E790</f>
        <v>5050.6549999999997</v>
      </c>
      <c r="F795">
        <f>C795*E795</f>
        <v>5303.1877500000001</v>
      </c>
    </row>
    <row r="796" spans="2:6">
      <c r="B796" t="s">
        <v>1087</v>
      </c>
      <c r="C796">
        <v>1.1499999999999999</v>
      </c>
      <c r="D796" t="s">
        <v>126</v>
      </c>
      <c r="E796">
        <f>+F62</f>
        <v>2913</v>
      </c>
      <c r="F796">
        <f>C796*E796</f>
        <v>3349.95</v>
      </c>
    </row>
    <row r="797" spans="2:6">
      <c r="E797" t="s">
        <v>1031</v>
      </c>
      <c r="F797">
        <f>ROUND(SUM(F795:F796),2)</f>
        <v>8653.14</v>
      </c>
    </row>
    <row r="799" spans="2:6">
      <c r="B799" t="s">
        <v>1779</v>
      </c>
    </row>
    <row r="800" spans="2:6">
      <c r="B800" t="s">
        <v>1225</v>
      </c>
      <c r="C800">
        <v>1.05</v>
      </c>
      <c r="D800" t="s">
        <v>2</v>
      </c>
      <c r="E800">
        <f>+E795</f>
        <v>5050.6549999999997</v>
      </c>
      <c r="F800">
        <f>C800*E800</f>
        <v>5303.1877500000001</v>
      </c>
    </row>
    <row r="801" spans="2:6">
      <c r="B801" t="s">
        <v>272</v>
      </c>
      <c r="C801">
        <v>2.78</v>
      </c>
      <c r="D801" t="s">
        <v>126</v>
      </c>
      <c r="E801">
        <f>+F62</f>
        <v>2913</v>
      </c>
      <c r="F801">
        <f>C801*E801</f>
        <v>8098.14</v>
      </c>
    </row>
    <row r="802" spans="2:6">
      <c r="B802" t="s">
        <v>1089</v>
      </c>
      <c r="C802">
        <f>1/(0.3*0.3)</f>
        <v>11.1111111111111</v>
      </c>
      <c r="D802" t="s">
        <v>11</v>
      </c>
      <c r="E802">
        <v>400</v>
      </c>
      <c r="F802">
        <f>C802*E802</f>
        <v>4444.4444444444398</v>
      </c>
    </row>
    <row r="803" spans="2:6">
      <c r="E803" t="s">
        <v>1031</v>
      </c>
      <c r="F803">
        <f>ROUND(SUM(F800:F802),2)</f>
        <v>17845.77</v>
      </c>
    </row>
    <row r="805" spans="2:6">
      <c r="B805" t="s">
        <v>1781</v>
      </c>
    </row>
    <row r="806" spans="2:6">
      <c r="B806" t="s">
        <v>1225</v>
      </c>
      <c r="C806">
        <v>1.05</v>
      </c>
      <c r="D806" t="s">
        <v>2</v>
      </c>
      <c r="E806">
        <f>+F47</f>
        <v>7063.5</v>
      </c>
      <c r="F806">
        <f>C806*E806</f>
        <v>7416.6750000000002</v>
      </c>
    </row>
    <row r="807" spans="2:6">
      <c r="B807" t="s">
        <v>272</v>
      </c>
      <c r="C807">
        <v>6.1</v>
      </c>
      <c r="D807" t="s">
        <v>126</v>
      </c>
      <c r="E807">
        <f>+F62</f>
        <v>2913</v>
      </c>
      <c r="F807">
        <f>C807*E807</f>
        <v>17769.3</v>
      </c>
    </row>
    <row r="808" spans="2:6">
      <c r="B808" t="s">
        <v>1089</v>
      </c>
      <c r="C808">
        <f>1/0.1</f>
        <v>10</v>
      </c>
      <c r="D808" t="s">
        <v>11</v>
      </c>
      <c r="E808">
        <v>350</v>
      </c>
      <c r="F808">
        <f>C808*E808</f>
        <v>3500</v>
      </c>
    </row>
    <row r="809" spans="2:6">
      <c r="E809" t="s">
        <v>1031</v>
      </c>
      <c r="F809">
        <f>ROUND(SUM(F806:F808),2)</f>
        <v>28685.98</v>
      </c>
    </row>
    <row r="811" spans="2:6">
      <c r="B811" t="s">
        <v>1783</v>
      </c>
    </row>
    <row r="812" spans="2:6">
      <c r="B812" t="s">
        <v>1225</v>
      </c>
      <c r="C812">
        <v>1.05</v>
      </c>
      <c r="D812" t="s">
        <v>2</v>
      </c>
      <c r="E812">
        <f>+F47</f>
        <v>7063.5</v>
      </c>
      <c r="F812">
        <f>C812*E812</f>
        <v>7416.6750000000002</v>
      </c>
    </row>
    <row r="813" spans="2:6">
      <c r="B813" t="s">
        <v>272</v>
      </c>
      <c r="C813">
        <v>1.24</v>
      </c>
      <c r="D813" t="s">
        <v>126</v>
      </c>
      <c r="E813">
        <f>+F62</f>
        <v>2913</v>
      </c>
      <c r="F813">
        <f>C813*E813</f>
        <v>3612.12</v>
      </c>
    </row>
    <row r="814" spans="2:6">
      <c r="B814" t="s">
        <v>1089</v>
      </c>
      <c r="C814">
        <f>1/0.12</f>
        <v>8.3333333333333304</v>
      </c>
      <c r="D814" t="s">
        <v>11</v>
      </c>
      <c r="E814">
        <v>350</v>
      </c>
      <c r="F814">
        <f>C814*E814</f>
        <v>2916.6666666666702</v>
      </c>
    </row>
    <row r="815" spans="2:6">
      <c r="E815" t="s">
        <v>1031</v>
      </c>
      <c r="F815">
        <f>ROUND(SUM(F812:F814),2)</f>
        <v>13945.46</v>
      </c>
    </row>
    <row r="817" spans="2:6">
      <c r="B817" t="s">
        <v>1054</v>
      </c>
    </row>
    <row r="818" spans="2:6">
      <c r="B818" t="s">
        <v>1055</v>
      </c>
      <c r="C818" t="s">
        <v>3</v>
      </c>
      <c r="D818">
        <v>13</v>
      </c>
      <c r="E818">
        <v>60</v>
      </c>
      <c r="F818">
        <f>E818*D818</f>
        <v>780</v>
      </c>
    </row>
    <row r="819" spans="2:6">
      <c r="B819" t="s">
        <v>1056</v>
      </c>
      <c r="C819" t="s">
        <v>3</v>
      </c>
      <c r="D819">
        <v>13</v>
      </c>
      <c r="E819">
        <v>25</v>
      </c>
      <c r="F819">
        <f>E819*D819</f>
        <v>325</v>
      </c>
    </row>
    <row r="820" spans="2:6">
      <c r="B820" t="s">
        <v>1057</v>
      </c>
      <c r="C820" t="s">
        <v>2</v>
      </c>
      <c r="D820">
        <v>8.6E-3</v>
      </c>
      <c r="E820">
        <f>F76</f>
        <v>5653.396342</v>
      </c>
      <c r="F820">
        <f>E820*D820</f>
        <v>48.619208541200003</v>
      </c>
    </row>
    <row r="821" spans="2:6">
      <c r="B821" t="s">
        <v>1058</v>
      </c>
      <c r="C821" t="s">
        <v>3</v>
      </c>
      <c r="D821">
        <v>0.13</v>
      </c>
      <c r="E821">
        <v>60</v>
      </c>
      <c r="F821">
        <f>E821*D821</f>
        <v>7.8</v>
      </c>
    </row>
    <row r="822" spans="2:6">
      <c r="E822" t="s">
        <v>1031</v>
      </c>
      <c r="F822">
        <f>SUM(F818:F821)</f>
        <v>1161.4192085412001</v>
      </c>
    </row>
    <row r="824" spans="2:6">
      <c r="B824" t="s">
        <v>1235</v>
      </c>
    </row>
    <row r="826" spans="2:6">
      <c r="B826" t="s">
        <v>1059</v>
      </c>
      <c r="C826" t="s">
        <v>11</v>
      </c>
      <c r="D826">
        <v>1</v>
      </c>
      <c r="E826">
        <v>18</v>
      </c>
      <c r="F826">
        <f>E826*D826</f>
        <v>18</v>
      </c>
    </row>
    <row r="827" spans="2:6">
      <c r="B827" t="s">
        <v>1060</v>
      </c>
      <c r="C827" t="s">
        <v>2</v>
      </c>
      <c r="D827">
        <v>0.105</v>
      </c>
      <c r="E827">
        <f>+F43</f>
        <v>5050.6549999999997</v>
      </c>
      <c r="F827">
        <f>E827*D827</f>
        <v>530.31877499999996</v>
      </c>
    </row>
    <row r="828" spans="2:6">
      <c r="B828" t="s">
        <v>154</v>
      </c>
      <c r="C828" t="s">
        <v>155</v>
      </c>
      <c r="D828">
        <v>2.1999999999999999E-2</v>
      </c>
      <c r="E828">
        <v>45</v>
      </c>
      <c r="F828">
        <f>E828*D828</f>
        <v>0.99</v>
      </c>
    </row>
    <row r="829" spans="2:6">
      <c r="B829" t="s">
        <v>1061</v>
      </c>
      <c r="C829" t="s">
        <v>11</v>
      </c>
      <c r="D829">
        <v>1</v>
      </c>
      <c r="E829">
        <v>70</v>
      </c>
      <c r="F829">
        <f>E829*D829</f>
        <v>70</v>
      </c>
    </row>
    <row r="830" spans="2:6">
      <c r="B830" t="s">
        <v>1062</v>
      </c>
      <c r="C830" t="s">
        <v>13</v>
      </c>
      <c r="D830">
        <f>1/0.8</f>
        <v>1.25</v>
      </c>
      <c r="E830">
        <f>+F267</f>
        <v>82.214604270600006</v>
      </c>
      <c r="F830">
        <f>E830*D830</f>
        <v>102.76825533825</v>
      </c>
    </row>
    <row r="831" spans="2:6">
      <c r="E831" t="s">
        <v>1031</v>
      </c>
      <c r="F831">
        <f>SUM(F826:F830)</f>
        <v>722.07703033824998</v>
      </c>
    </row>
    <row r="832" spans="2:6">
      <c r="F832">
        <f>ROUND(F831-F830+E830*1/0.6,2)</f>
        <v>756.33</v>
      </c>
    </row>
    <row r="833" spans="2:6">
      <c r="B833" t="s">
        <v>1668</v>
      </c>
    </row>
    <row r="835" spans="2:6">
      <c r="B835" t="s">
        <v>1680</v>
      </c>
    </row>
    <row r="837" spans="2:6">
      <c r="B837" t="s">
        <v>1681</v>
      </c>
    </row>
    <row r="838" spans="2:6">
      <c r="B838" t="s">
        <v>1682</v>
      </c>
      <c r="C838">
        <v>1.05</v>
      </c>
      <c r="D838" t="s">
        <v>2</v>
      </c>
      <c r="E838">
        <f>+$F$47</f>
        <v>7063.5</v>
      </c>
      <c r="F838">
        <f>ROUND(C838*E838,2)</f>
        <v>7416.68</v>
      </c>
    </row>
    <row r="839" spans="2:6">
      <c r="B839" t="s">
        <v>1683</v>
      </c>
      <c r="C839">
        <v>0.5</v>
      </c>
      <c r="D839" t="s">
        <v>126</v>
      </c>
      <c r="E839">
        <f>+$F$62</f>
        <v>2913</v>
      </c>
      <c r="F839">
        <f>ROUND(C839*E839,2)</f>
        <v>1456.5</v>
      </c>
    </row>
    <row r="840" spans="2:6">
      <c r="D840" t="s">
        <v>243</v>
      </c>
      <c r="F840">
        <f>SUM(F838:F839)</f>
        <v>8873.18</v>
      </c>
    </row>
    <row r="842" spans="2:6">
      <c r="B842" t="s">
        <v>1684</v>
      </c>
    </row>
    <row r="843" spans="2:6">
      <c r="B843" t="s">
        <v>1685</v>
      </c>
      <c r="C843">
        <v>1.05</v>
      </c>
      <c r="D843" t="s">
        <v>160</v>
      </c>
      <c r="E843">
        <f>+$F$303</f>
        <v>7531.68</v>
      </c>
      <c r="F843">
        <f>C843*E843</f>
        <v>7908.2640000000001</v>
      </c>
    </row>
    <row r="844" spans="2:6">
      <c r="B844" t="s">
        <v>1683</v>
      </c>
      <c r="C844">
        <v>4.47</v>
      </c>
      <c r="D844" t="s">
        <v>242</v>
      </c>
      <c r="E844">
        <f>+$F$62</f>
        <v>2913</v>
      </c>
      <c r="F844">
        <f>C844*E844</f>
        <v>13021.11</v>
      </c>
    </row>
    <row r="845" spans="2:6">
      <c r="B845" t="s">
        <v>245</v>
      </c>
      <c r="C845">
        <f>1/(0.15*0.2)</f>
        <v>33.3333333333333</v>
      </c>
      <c r="D845" t="s">
        <v>163</v>
      </c>
      <c r="E845">
        <v>150</v>
      </c>
      <c r="F845">
        <f>C845*E845</f>
        <v>5000</v>
      </c>
    </row>
    <row r="846" spans="2:6">
      <c r="D846" t="s">
        <v>243</v>
      </c>
      <c r="F846">
        <f>SUM(F843:F845)</f>
        <v>25929.374</v>
      </c>
    </row>
    <row r="848" spans="2:6">
      <c r="B848" t="s">
        <v>2629</v>
      </c>
    </row>
    <row r="849" spans="2:6">
      <c r="B849" t="s">
        <v>1685</v>
      </c>
      <c r="C849">
        <v>1.05</v>
      </c>
      <c r="D849" t="s">
        <v>160</v>
      </c>
      <c r="E849">
        <f>+$F$303</f>
        <v>7531.68</v>
      </c>
      <c r="F849">
        <f>C849*E849</f>
        <v>7908.2640000000001</v>
      </c>
    </row>
    <row r="850" spans="2:6">
      <c r="B850" t="s">
        <v>1683</v>
      </c>
      <c r="C850">
        <v>5.2</v>
      </c>
      <c r="D850" t="s">
        <v>242</v>
      </c>
      <c r="E850">
        <f>+$F$62</f>
        <v>2913</v>
      </c>
      <c r="F850">
        <f>C850*E850</f>
        <v>15147.6</v>
      </c>
    </row>
    <row r="851" spans="2:6">
      <c r="B851" t="s">
        <v>245</v>
      </c>
      <c r="C851">
        <v>33.33</v>
      </c>
      <c r="D851" t="s">
        <v>163</v>
      </c>
      <c r="E851">
        <v>150</v>
      </c>
      <c r="F851">
        <f>C851*E851</f>
        <v>4999.5</v>
      </c>
    </row>
    <row r="852" spans="2:6">
      <c r="D852" t="s">
        <v>243</v>
      </c>
      <c r="F852">
        <f>SUM(F849:F851)</f>
        <v>28055.364000000001</v>
      </c>
    </row>
    <row r="854" spans="2:6">
      <c r="B854" t="s">
        <v>1672</v>
      </c>
    </row>
    <row r="855" spans="2:6">
      <c r="B855" t="s">
        <v>1685</v>
      </c>
      <c r="C855">
        <v>1.05</v>
      </c>
      <c r="D855" t="s">
        <v>160</v>
      </c>
      <c r="E855">
        <f>+$F$303</f>
        <v>7531.68</v>
      </c>
      <c r="F855">
        <f>C855*E855</f>
        <v>7908.2640000000001</v>
      </c>
    </row>
    <row r="856" spans="2:6">
      <c r="B856" t="s">
        <v>1683</v>
      </c>
      <c r="C856">
        <v>1.71</v>
      </c>
      <c r="D856" t="s">
        <v>242</v>
      </c>
      <c r="E856">
        <f>+$F$62</f>
        <v>2913</v>
      </c>
      <c r="F856">
        <f>C856*E856</f>
        <v>4981.2299999999996</v>
      </c>
    </row>
    <row r="857" spans="2:6">
      <c r="B857" t="s">
        <v>245</v>
      </c>
      <c r="C857">
        <f>1/0.1</f>
        <v>10</v>
      </c>
      <c r="D857" t="s">
        <v>163</v>
      </c>
      <c r="E857">
        <v>150</v>
      </c>
      <c r="F857">
        <f>C857*E857</f>
        <v>1500</v>
      </c>
    </row>
    <row r="858" spans="2:6">
      <c r="D858" t="s">
        <v>243</v>
      </c>
      <c r="F858">
        <f>SUM(F855:F857)</f>
        <v>14389.494000000001</v>
      </c>
    </row>
    <row r="860" spans="2:6">
      <c r="B860" t="s">
        <v>1687</v>
      </c>
    </row>
    <row r="861" spans="2:6">
      <c r="B861" t="s">
        <v>1685</v>
      </c>
      <c r="C861">
        <v>1.05</v>
      </c>
      <c r="D861" t="s">
        <v>160</v>
      </c>
      <c r="E861">
        <f>+$F$303</f>
        <v>7531.68</v>
      </c>
      <c r="F861">
        <f>C861*E861</f>
        <v>7908.2640000000001</v>
      </c>
    </row>
    <row r="862" spans="2:6">
      <c r="B862" t="s">
        <v>1683</v>
      </c>
      <c r="C862">
        <v>2.67</v>
      </c>
      <c r="D862" t="s">
        <v>242</v>
      </c>
      <c r="E862">
        <f>+$F$62</f>
        <v>2913</v>
      </c>
      <c r="F862">
        <f>C862*E862</f>
        <v>7777.71</v>
      </c>
    </row>
    <row r="863" spans="2:6">
      <c r="B863" t="s">
        <v>245</v>
      </c>
      <c r="C863">
        <v>2.33</v>
      </c>
      <c r="D863" t="s">
        <v>163</v>
      </c>
      <c r="E863">
        <v>150</v>
      </c>
      <c r="F863">
        <f>C863*E863</f>
        <v>349.5</v>
      </c>
    </row>
    <row r="864" spans="2:6">
      <c r="D864" t="s">
        <v>243</v>
      </c>
      <c r="F864">
        <f>SUM(F861:F863)</f>
        <v>16035.474</v>
      </c>
    </row>
    <row r="866" spans="2:9">
      <c r="B866" t="s">
        <v>1688</v>
      </c>
    </row>
    <row r="867" spans="2:9">
      <c r="B867" t="s">
        <v>1689</v>
      </c>
    </row>
    <row r="868" spans="2:9">
      <c r="B868" t="s">
        <v>1690</v>
      </c>
      <c r="C868">
        <v>1</v>
      </c>
      <c r="D868" t="s">
        <v>1691</v>
      </c>
      <c r="E868">
        <f>1.3*1.18*52.41*1.15</f>
        <v>92.456480999999997</v>
      </c>
      <c r="F868">
        <f t="shared" ref="F868:F874" si="7">ROUND(C868*E868,2)</f>
        <v>92.46</v>
      </c>
    </row>
    <row r="869" spans="2:9">
      <c r="B869" t="s">
        <v>1692</v>
      </c>
      <c r="C869">
        <v>1</v>
      </c>
      <c r="D869" t="s">
        <v>1691</v>
      </c>
      <c r="E869">
        <v>45.24</v>
      </c>
      <c r="F869">
        <f t="shared" si="7"/>
        <v>45.24</v>
      </c>
    </row>
    <row r="870" spans="2:9">
      <c r="B870" t="s">
        <v>1693</v>
      </c>
      <c r="C870">
        <v>40</v>
      </c>
      <c r="D870" t="s">
        <v>1694</v>
      </c>
      <c r="E870">
        <f>6.36*1.05</f>
        <v>6.6779999999999999</v>
      </c>
      <c r="F870">
        <f t="shared" si="7"/>
        <v>267.12</v>
      </c>
    </row>
    <row r="871" spans="2:9">
      <c r="B871" t="s">
        <v>1695</v>
      </c>
      <c r="C871">
        <v>1</v>
      </c>
      <c r="D871" t="s">
        <v>1691</v>
      </c>
      <c r="E871">
        <v>65</v>
      </c>
      <c r="F871">
        <f t="shared" si="7"/>
        <v>65</v>
      </c>
    </row>
    <row r="872" spans="2:9">
      <c r="B872" t="s">
        <v>1696</v>
      </c>
      <c r="C872">
        <v>0.05</v>
      </c>
      <c r="D872" t="s">
        <v>1691</v>
      </c>
      <c r="E872">
        <v>383.33</v>
      </c>
      <c r="F872">
        <f t="shared" si="7"/>
        <v>19.170000000000002</v>
      </c>
      <c r="I872">
        <f>+E872*3</f>
        <v>1149.99</v>
      </c>
    </row>
    <row r="873" spans="2:9">
      <c r="B873" t="s">
        <v>1697</v>
      </c>
      <c r="C873">
        <v>0.01</v>
      </c>
      <c r="D873" t="s">
        <v>1691</v>
      </c>
      <c r="E873">
        <v>294.70999999999998</v>
      </c>
      <c r="F873">
        <f t="shared" si="7"/>
        <v>2.95</v>
      </c>
    </row>
    <row r="874" spans="2:9">
      <c r="B874" t="s">
        <v>1698</v>
      </c>
      <c r="C874">
        <v>1</v>
      </c>
      <c r="D874" t="s">
        <v>1691</v>
      </c>
      <c r="E874">
        <v>200</v>
      </c>
      <c r="F874">
        <f t="shared" si="7"/>
        <v>200</v>
      </c>
    </row>
    <row r="875" spans="2:9">
      <c r="B875" t="s">
        <v>1699</v>
      </c>
      <c r="E875">
        <v>0.2</v>
      </c>
      <c r="F875">
        <f>ROUND(E875*(SUM(F868:F874)),2)</f>
        <v>138.38999999999999</v>
      </c>
    </row>
    <row r="876" spans="2:9">
      <c r="E876" t="s">
        <v>1039</v>
      </c>
      <c r="F876">
        <f>ROUND((SUM(F868:F875)),2)</f>
        <v>830.33</v>
      </c>
    </row>
    <row r="878" spans="2:9">
      <c r="B878" t="s">
        <v>1700</v>
      </c>
    </row>
    <row r="879" spans="2:9">
      <c r="B879" t="s">
        <v>1690</v>
      </c>
      <c r="C879">
        <v>1</v>
      </c>
      <c r="D879" t="s">
        <v>1691</v>
      </c>
      <c r="E879">
        <f>+E868</f>
        <v>92.456480999999997</v>
      </c>
      <c r="F879">
        <f t="shared" ref="F879:F886" si="8">ROUND(C879*E879,2)</f>
        <v>92.46</v>
      </c>
    </row>
    <row r="880" spans="2:9">
      <c r="B880" t="s">
        <v>1701</v>
      </c>
      <c r="C880">
        <v>1</v>
      </c>
      <c r="D880" t="s">
        <v>1691</v>
      </c>
      <c r="E880">
        <f>+E869</f>
        <v>45.24</v>
      </c>
      <c r="F880">
        <f t="shared" si="8"/>
        <v>45.24</v>
      </c>
    </row>
    <row r="881" spans="2:6">
      <c r="B881" t="s">
        <v>1693</v>
      </c>
      <c r="C881">
        <v>40</v>
      </c>
      <c r="D881" t="s">
        <v>1694</v>
      </c>
      <c r="E881">
        <f>+E870</f>
        <v>6.6779999999999999</v>
      </c>
      <c r="F881">
        <f t="shared" si="8"/>
        <v>267.12</v>
      </c>
    </row>
    <row r="882" spans="2:6">
      <c r="B882" t="s">
        <v>1702</v>
      </c>
      <c r="C882">
        <v>1</v>
      </c>
      <c r="D882" t="s">
        <v>1691</v>
      </c>
      <c r="E882">
        <v>90</v>
      </c>
      <c r="F882">
        <f t="shared" si="8"/>
        <v>90</v>
      </c>
    </row>
    <row r="883" spans="2:6">
      <c r="B883" t="s">
        <v>1703</v>
      </c>
      <c r="C883">
        <v>1</v>
      </c>
      <c r="D883" t="s">
        <v>1691</v>
      </c>
      <c r="E883">
        <v>4</v>
      </c>
      <c r="F883">
        <f t="shared" si="8"/>
        <v>4</v>
      </c>
    </row>
    <row r="884" spans="2:6">
      <c r="B884" t="s">
        <v>1696</v>
      </c>
      <c r="C884">
        <v>0.05</v>
      </c>
      <c r="D884" t="s">
        <v>1691</v>
      </c>
      <c r="E884">
        <f>+E872</f>
        <v>383.33</v>
      </c>
      <c r="F884">
        <f t="shared" si="8"/>
        <v>19.170000000000002</v>
      </c>
    </row>
    <row r="885" spans="2:6">
      <c r="B885" t="s">
        <v>1697</v>
      </c>
      <c r="C885">
        <v>0.01</v>
      </c>
      <c r="D885" t="s">
        <v>1691</v>
      </c>
      <c r="E885">
        <f>+E873</f>
        <v>294.70999999999998</v>
      </c>
      <c r="F885">
        <f t="shared" si="8"/>
        <v>2.95</v>
      </c>
    </row>
    <row r="886" spans="2:6">
      <c r="B886" t="s">
        <v>1698</v>
      </c>
      <c r="C886">
        <v>1</v>
      </c>
      <c r="D886" t="s">
        <v>1691</v>
      </c>
      <c r="E886">
        <f>+E874</f>
        <v>200</v>
      </c>
      <c r="F886">
        <f t="shared" si="8"/>
        <v>200</v>
      </c>
    </row>
    <row r="887" spans="2:6">
      <c r="B887" t="s">
        <v>1704</v>
      </c>
      <c r="E887">
        <f>+E875</f>
        <v>0.2</v>
      </c>
      <c r="F887">
        <f>ROUND(E887*(SUM(F879:F886)),2)</f>
        <v>144.19</v>
      </c>
    </row>
    <row r="888" spans="2:6">
      <c r="E888" t="s">
        <v>1039</v>
      </c>
      <c r="F888">
        <f>ROUND(SUM(F879:F887),2)</f>
        <v>865.13</v>
      </c>
    </row>
    <row r="890" spans="2:6">
      <c r="B890" t="s">
        <v>1705</v>
      </c>
    </row>
    <row r="891" spans="2:6">
      <c r="B891" t="s">
        <v>1690</v>
      </c>
      <c r="C891">
        <v>1</v>
      </c>
      <c r="D891" t="s">
        <v>1691</v>
      </c>
      <c r="E891">
        <f>+E868</f>
        <v>92.456480999999997</v>
      </c>
      <c r="F891">
        <f t="shared" ref="F891:F898" si="9">ROUND(C891*E891,2)</f>
        <v>92.46</v>
      </c>
    </row>
    <row r="892" spans="2:6">
      <c r="B892" t="s">
        <v>1706</v>
      </c>
      <c r="C892">
        <v>1</v>
      </c>
      <c r="D892" t="s">
        <v>1691</v>
      </c>
      <c r="E892">
        <f>+E880</f>
        <v>45.24</v>
      </c>
      <c r="F892">
        <f t="shared" si="9"/>
        <v>45.24</v>
      </c>
    </row>
    <row r="893" spans="2:6">
      <c r="B893" t="s">
        <v>1693</v>
      </c>
      <c r="C893">
        <v>60</v>
      </c>
      <c r="D893" t="s">
        <v>1694</v>
      </c>
      <c r="E893">
        <f>+E881</f>
        <v>6.6779999999999999</v>
      </c>
      <c r="F893">
        <f t="shared" si="9"/>
        <v>400.68</v>
      </c>
    </row>
    <row r="894" spans="2:6">
      <c r="B894" t="s">
        <v>1702</v>
      </c>
      <c r="C894">
        <v>1</v>
      </c>
      <c r="D894" t="s">
        <v>1691</v>
      </c>
      <c r="E894">
        <f>+E882</f>
        <v>90</v>
      </c>
      <c r="F894">
        <f t="shared" si="9"/>
        <v>90</v>
      </c>
    </row>
    <row r="895" spans="2:6">
      <c r="B895" t="s">
        <v>1703</v>
      </c>
      <c r="C895">
        <v>1</v>
      </c>
      <c r="D895" t="s">
        <v>1691</v>
      </c>
      <c r="E895">
        <v>4</v>
      </c>
      <c r="F895">
        <f t="shared" si="9"/>
        <v>4</v>
      </c>
    </row>
    <row r="896" spans="2:6">
      <c r="B896" t="s">
        <v>1696</v>
      </c>
      <c r="C896">
        <v>0.05</v>
      </c>
      <c r="D896" t="s">
        <v>1691</v>
      </c>
      <c r="E896">
        <f>+E884</f>
        <v>383.33</v>
      </c>
      <c r="F896">
        <f t="shared" si="9"/>
        <v>19.170000000000002</v>
      </c>
    </row>
    <row r="897" spans="2:6">
      <c r="B897" t="s">
        <v>1697</v>
      </c>
      <c r="C897">
        <v>0.01</v>
      </c>
      <c r="D897" t="s">
        <v>1691</v>
      </c>
      <c r="E897">
        <f>+E885</f>
        <v>294.70999999999998</v>
      </c>
      <c r="F897">
        <f t="shared" si="9"/>
        <v>2.95</v>
      </c>
    </row>
    <row r="898" spans="2:6">
      <c r="B898" t="s">
        <v>1698</v>
      </c>
      <c r="C898">
        <v>1</v>
      </c>
      <c r="D898" t="s">
        <v>1691</v>
      </c>
      <c r="E898">
        <v>200</v>
      </c>
      <c r="F898">
        <f t="shared" si="9"/>
        <v>200</v>
      </c>
    </row>
    <row r="899" spans="2:6">
      <c r="B899" t="s">
        <v>1704</v>
      </c>
      <c r="E899">
        <v>0.2</v>
      </c>
      <c r="F899">
        <f>ROUND(E899*(SUM(F891:F898)),2)</f>
        <v>170.9</v>
      </c>
    </row>
    <row r="900" spans="2:6">
      <c r="E900" t="s">
        <v>1039</v>
      </c>
      <c r="F900">
        <f>ROUND(SUM(F891:F899),2)</f>
        <v>1025.4000000000001</v>
      </c>
    </row>
    <row r="902" spans="2:6">
      <c r="B902" t="s">
        <v>1707</v>
      </c>
    </row>
    <row r="903" spans="2:6">
      <c r="B903" t="s">
        <v>1690</v>
      </c>
      <c r="C903">
        <v>1</v>
      </c>
      <c r="D903" t="s">
        <v>1691</v>
      </c>
      <c r="E903">
        <f>+E891</f>
        <v>92.456480999999997</v>
      </c>
      <c r="F903">
        <f t="shared" ref="F903:F910" si="10">ROUND(C903*E903,2)</f>
        <v>92.46</v>
      </c>
    </row>
    <row r="904" spans="2:6">
      <c r="B904" t="s">
        <v>1706</v>
      </c>
      <c r="C904">
        <v>1</v>
      </c>
      <c r="D904" t="s">
        <v>1691</v>
      </c>
      <c r="E904">
        <f>+E892</f>
        <v>45.24</v>
      </c>
      <c r="F904">
        <f t="shared" si="10"/>
        <v>45.24</v>
      </c>
    </row>
    <row r="905" spans="2:6">
      <c r="B905" t="s">
        <v>1708</v>
      </c>
      <c r="C905">
        <v>60</v>
      </c>
      <c r="D905" t="s">
        <v>1694</v>
      </c>
      <c r="E905">
        <f>+E893</f>
        <v>6.6779999999999999</v>
      </c>
      <c r="F905">
        <f t="shared" si="10"/>
        <v>400.68</v>
      </c>
    </row>
    <row r="906" spans="2:6">
      <c r="B906" t="s">
        <v>1702</v>
      </c>
      <c r="C906">
        <v>1</v>
      </c>
      <c r="D906" t="s">
        <v>1691</v>
      </c>
      <c r="E906">
        <f>+E894</f>
        <v>90</v>
      </c>
      <c r="F906">
        <f t="shared" si="10"/>
        <v>90</v>
      </c>
    </row>
    <row r="907" spans="2:6">
      <c r="B907" t="s">
        <v>1703</v>
      </c>
      <c r="C907">
        <v>2</v>
      </c>
      <c r="D907" t="s">
        <v>1691</v>
      </c>
      <c r="E907">
        <v>4</v>
      </c>
      <c r="F907">
        <f t="shared" si="10"/>
        <v>8</v>
      </c>
    </row>
    <row r="908" spans="2:6">
      <c r="B908" t="s">
        <v>1696</v>
      </c>
      <c r="C908">
        <v>0.05</v>
      </c>
      <c r="D908" t="s">
        <v>1691</v>
      </c>
      <c r="E908">
        <f>+E896</f>
        <v>383.33</v>
      </c>
      <c r="F908">
        <f t="shared" si="10"/>
        <v>19.170000000000002</v>
      </c>
    </row>
    <row r="909" spans="2:6">
      <c r="B909" t="s">
        <v>1697</v>
      </c>
      <c r="C909">
        <v>0.01</v>
      </c>
      <c r="D909" t="s">
        <v>1691</v>
      </c>
      <c r="E909">
        <f>+E897</f>
        <v>294.70999999999998</v>
      </c>
      <c r="F909">
        <f t="shared" si="10"/>
        <v>2.95</v>
      </c>
    </row>
    <row r="910" spans="2:6">
      <c r="B910" t="s">
        <v>1698</v>
      </c>
      <c r="C910">
        <v>1</v>
      </c>
      <c r="D910" t="s">
        <v>1691</v>
      </c>
      <c r="E910">
        <v>200</v>
      </c>
      <c r="F910">
        <f t="shared" si="10"/>
        <v>200</v>
      </c>
    </row>
    <row r="911" spans="2:6">
      <c r="B911" t="s">
        <v>1704</v>
      </c>
      <c r="E911">
        <v>0.2</v>
      </c>
      <c r="F911">
        <f>ROUND(E911*(SUM(F903:F910)),2)</f>
        <v>171.7</v>
      </c>
    </row>
    <row r="912" spans="2:6">
      <c r="E912" t="s">
        <v>1039</v>
      </c>
      <c r="F912">
        <f>ROUND(SUM(F903:F911),2)</f>
        <v>1030.2</v>
      </c>
    </row>
    <row r="914" spans="2:6">
      <c r="B914" t="s">
        <v>1709</v>
      </c>
    </row>
    <row r="915" spans="2:6">
      <c r="B915" t="s">
        <v>1710</v>
      </c>
      <c r="C915">
        <v>2</v>
      </c>
      <c r="D915" t="s">
        <v>1691</v>
      </c>
      <c r="E915">
        <f>2.42*52.41*1.18*1.15*10/19</f>
        <v>90.584892315789503</v>
      </c>
      <c r="F915">
        <f t="shared" ref="F915:F923" si="11">ROUND(C915*E915,2)</f>
        <v>181.17</v>
      </c>
    </row>
    <row r="916" spans="2:6">
      <c r="B916" t="s">
        <v>1711</v>
      </c>
      <c r="C916">
        <v>1</v>
      </c>
      <c r="D916" t="s">
        <v>1691</v>
      </c>
      <c r="E916">
        <v>47.61</v>
      </c>
      <c r="F916">
        <f t="shared" si="11"/>
        <v>47.61</v>
      </c>
    </row>
    <row r="917" spans="2:6">
      <c r="B917" t="s">
        <v>1712</v>
      </c>
      <c r="C917">
        <v>80</v>
      </c>
      <c r="D917" t="s">
        <v>1694</v>
      </c>
      <c r="E917">
        <f>20.3*1.05</f>
        <v>21.315000000000001</v>
      </c>
      <c r="F917">
        <f t="shared" si="11"/>
        <v>1705.2</v>
      </c>
    </row>
    <row r="918" spans="2:6">
      <c r="B918" t="s">
        <v>1708</v>
      </c>
      <c r="C918">
        <v>40</v>
      </c>
      <c r="D918" t="s">
        <v>1694</v>
      </c>
      <c r="E918">
        <f>+E905</f>
        <v>6.6779999999999999</v>
      </c>
      <c r="F918">
        <f t="shared" si="11"/>
        <v>267.12</v>
      </c>
    </row>
    <row r="919" spans="2:6">
      <c r="B919" t="s">
        <v>1702</v>
      </c>
      <c r="C919">
        <v>1</v>
      </c>
      <c r="D919" t="s">
        <v>1691</v>
      </c>
      <c r="E919">
        <f>+E906</f>
        <v>90</v>
      </c>
      <c r="F919">
        <f t="shared" si="11"/>
        <v>90</v>
      </c>
    </row>
    <row r="920" spans="2:6">
      <c r="B920" t="s">
        <v>1713</v>
      </c>
      <c r="C920">
        <v>2</v>
      </c>
      <c r="D920" t="s">
        <v>1691</v>
      </c>
      <c r="E920">
        <v>5</v>
      </c>
      <c r="F920">
        <f t="shared" si="11"/>
        <v>10</v>
      </c>
    </row>
    <row r="921" spans="2:6">
      <c r="B921" t="s">
        <v>1696</v>
      </c>
      <c r="C921">
        <v>0.05</v>
      </c>
      <c r="D921" t="s">
        <v>1691</v>
      </c>
      <c r="E921">
        <f>+E908</f>
        <v>383.33</v>
      </c>
      <c r="F921">
        <f t="shared" si="11"/>
        <v>19.170000000000002</v>
      </c>
    </row>
    <row r="922" spans="2:6">
      <c r="B922" t="s">
        <v>1697</v>
      </c>
      <c r="C922">
        <v>0.01</v>
      </c>
      <c r="D922" t="s">
        <v>1691</v>
      </c>
      <c r="E922">
        <f>+E909</f>
        <v>294.70999999999998</v>
      </c>
      <c r="F922">
        <f t="shared" si="11"/>
        <v>2.95</v>
      </c>
    </row>
    <row r="923" spans="2:6">
      <c r="B923" t="s">
        <v>1698</v>
      </c>
      <c r="C923">
        <v>1</v>
      </c>
      <c r="D923" t="s">
        <v>1691</v>
      </c>
      <c r="E923">
        <f>+E910</f>
        <v>200</v>
      </c>
      <c r="F923">
        <f t="shared" si="11"/>
        <v>200</v>
      </c>
    </row>
    <row r="924" spans="2:6">
      <c r="B924" t="s">
        <v>1704</v>
      </c>
      <c r="E924">
        <v>0.2</v>
      </c>
      <c r="F924">
        <f>ROUND(E924*(SUM(F915:F923)),2)</f>
        <v>504.64</v>
      </c>
    </row>
    <row r="925" spans="2:6">
      <c r="E925" t="s">
        <v>1039</v>
      </c>
      <c r="F925">
        <f>ROUND(SUM(F915:F924),2)</f>
        <v>3027.86</v>
      </c>
    </row>
    <row r="927" spans="2:6">
      <c r="B927" t="s">
        <v>1714</v>
      </c>
    </row>
    <row r="928" spans="2:6">
      <c r="B928" t="s">
        <v>1715</v>
      </c>
      <c r="C928">
        <v>6</v>
      </c>
      <c r="D928" t="s">
        <v>1691</v>
      </c>
      <c r="E928">
        <v>75</v>
      </c>
      <c r="F928">
        <f>ROUND(C928*E928,2)</f>
        <v>450</v>
      </c>
    </row>
    <row r="929" spans="2:6">
      <c r="B929" t="s">
        <v>1716</v>
      </c>
      <c r="C929">
        <v>1</v>
      </c>
      <c r="D929" t="s">
        <v>1691</v>
      </c>
      <c r="E929">
        <v>500</v>
      </c>
      <c r="F929">
        <f>ROUND(C929*E929,2)</f>
        <v>500</v>
      </c>
    </row>
    <row r="930" spans="2:6">
      <c r="B930" t="s">
        <v>1717</v>
      </c>
      <c r="C930">
        <v>1</v>
      </c>
      <c r="D930" t="s">
        <v>1691</v>
      </c>
      <c r="E930">
        <v>350</v>
      </c>
      <c r="F930">
        <f>ROUND(C930*E930,2)</f>
        <v>350</v>
      </c>
    </row>
    <row r="931" spans="2:6">
      <c r="B931" t="s">
        <v>1718</v>
      </c>
      <c r="C931">
        <f>C928</f>
        <v>6</v>
      </c>
      <c r="D931" t="s">
        <v>1691</v>
      </c>
      <c r="E931">
        <v>120</v>
      </c>
      <c r="F931">
        <f>ROUND(C931*E931,2)</f>
        <v>720</v>
      </c>
    </row>
    <row r="932" spans="2:6">
      <c r="B932" t="s">
        <v>1704</v>
      </c>
      <c r="E932">
        <v>0.2</v>
      </c>
      <c r="F932">
        <f>ROUND(E932*(SUM(F928:F931)),2)</f>
        <v>404</v>
      </c>
    </row>
    <row r="933" spans="2:6">
      <c r="E933" t="s">
        <v>1039</v>
      </c>
      <c r="F933">
        <f>ROUND(SUM(F928:F932),2)</f>
        <v>2424</v>
      </c>
    </row>
    <row r="935" spans="2:6">
      <c r="B935" t="s">
        <v>1719</v>
      </c>
    </row>
    <row r="936" spans="2:6">
      <c r="B936" t="s">
        <v>1720</v>
      </c>
    </row>
    <row r="937" spans="2:6">
      <c r="B937" t="s">
        <v>1721</v>
      </c>
      <c r="C937">
        <v>1</v>
      </c>
      <c r="D937" t="s">
        <v>1691</v>
      </c>
      <c r="E937">
        <v>1900</v>
      </c>
      <c r="F937">
        <f t="shared" ref="F937:F947" si="12">ROUND(C937*E937,2)</f>
        <v>1900</v>
      </c>
    </row>
    <row r="938" spans="2:6">
      <c r="B938" t="s">
        <v>3518</v>
      </c>
      <c r="C938">
        <v>1</v>
      </c>
      <c r="D938" t="s">
        <v>1691</v>
      </c>
      <c r="E938">
        <v>41.2</v>
      </c>
      <c r="F938">
        <f t="shared" si="12"/>
        <v>41.2</v>
      </c>
    </row>
    <row r="939" spans="2:6">
      <c r="B939" t="s">
        <v>1722</v>
      </c>
      <c r="C939">
        <v>1</v>
      </c>
      <c r="D939" t="s">
        <v>1723</v>
      </c>
      <c r="E939">
        <v>15</v>
      </c>
      <c r="F939">
        <f t="shared" si="12"/>
        <v>15</v>
      </c>
    </row>
    <row r="940" spans="2:6">
      <c r="B940" t="s">
        <v>1724</v>
      </c>
      <c r="C940">
        <v>1</v>
      </c>
      <c r="D940" t="s">
        <v>1691</v>
      </c>
      <c r="E940">
        <v>15.08</v>
      </c>
      <c r="F940">
        <f t="shared" si="12"/>
        <v>15.08</v>
      </c>
    </row>
    <row r="941" spans="2:6">
      <c r="B941" t="s">
        <v>1725</v>
      </c>
      <c r="C941">
        <v>0.04</v>
      </c>
      <c r="D941" t="s">
        <v>1726</v>
      </c>
      <c r="E941">
        <v>374.68</v>
      </c>
      <c r="F941">
        <f t="shared" si="12"/>
        <v>14.99</v>
      </c>
    </row>
    <row r="942" spans="2:6">
      <c r="B942" t="s">
        <v>1727</v>
      </c>
      <c r="C942">
        <v>1</v>
      </c>
      <c r="D942" t="s">
        <v>1691</v>
      </c>
      <c r="E942">
        <v>92.8</v>
      </c>
      <c r="F942">
        <f t="shared" si="12"/>
        <v>92.8</v>
      </c>
    </row>
    <row r="943" spans="2:6">
      <c r="B943" t="s">
        <v>1728</v>
      </c>
      <c r="C943">
        <v>1</v>
      </c>
      <c r="D943" t="s">
        <v>1691</v>
      </c>
      <c r="E943">
        <v>33.409999999999997</v>
      </c>
      <c r="F943">
        <f t="shared" si="12"/>
        <v>33.409999999999997</v>
      </c>
    </row>
    <row r="944" spans="2:6">
      <c r="B944" t="s">
        <v>1729</v>
      </c>
      <c r="C944">
        <v>1</v>
      </c>
      <c r="D944" t="s">
        <v>1691</v>
      </c>
      <c r="E944">
        <v>4.6399999999999997</v>
      </c>
      <c r="F944">
        <f t="shared" si="12"/>
        <v>4.6399999999999997</v>
      </c>
    </row>
    <row r="945" spans="2:6">
      <c r="B945" t="s">
        <v>1730</v>
      </c>
      <c r="C945">
        <v>1</v>
      </c>
      <c r="D945" t="s">
        <v>1691</v>
      </c>
      <c r="E945">
        <v>32.479999999999997</v>
      </c>
      <c r="F945">
        <f t="shared" si="12"/>
        <v>32.479999999999997</v>
      </c>
    </row>
    <row r="946" spans="2:6">
      <c r="B946" t="s">
        <v>1731</v>
      </c>
      <c r="C946">
        <v>0.1</v>
      </c>
      <c r="D946" t="s">
        <v>1732</v>
      </c>
      <c r="E946">
        <v>15</v>
      </c>
      <c r="F946">
        <f t="shared" si="12"/>
        <v>1.5</v>
      </c>
    </row>
    <row r="947" spans="2:6">
      <c r="B947" t="s">
        <v>1733</v>
      </c>
      <c r="C947">
        <v>1</v>
      </c>
      <c r="D947" t="s">
        <v>1691</v>
      </c>
      <c r="E947">
        <v>350</v>
      </c>
      <c r="F947">
        <f t="shared" si="12"/>
        <v>350</v>
      </c>
    </row>
    <row r="948" spans="2:6">
      <c r="E948" t="s">
        <v>1039</v>
      </c>
      <c r="F948">
        <f>ROUND(SUM(F937:F947),2)</f>
        <v>2501.1</v>
      </c>
    </row>
    <row r="950" spans="2:6">
      <c r="B950" t="s">
        <v>1734</v>
      </c>
    </row>
    <row r="951" spans="2:6">
      <c r="B951" t="s">
        <v>1735</v>
      </c>
      <c r="C951">
        <v>1</v>
      </c>
      <c r="D951" t="s">
        <v>1691</v>
      </c>
      <c r="E951">
        <v>226.2</v>
      </c>
      <c r="F951">
        <f>ROUND(C951*E951,2)</f>
        <v>226.2</v>
      </c>
    </row>
    <row r="952" spans="2:6">
      <c r="B952" t="s">
        <v>3515</v>
      </c>
      <c r="C952">
        <v>1</v>
      </c>
      <c r="D952" t="s">
        <v>1691</v>
      </c>
      <c r="E952">
        <v>88.16</v>
      </c>
      <c r="F952">
        <f>ROUND(C952*E952,2)</f>
        <v>88.16</v>
      </c>
    </row>
    <row r="953" spans="2:6">
      <c r="B953" t="s">
        <v>1725</v>
      </c>
      <c r="C953">
        <v>0.03</v>
      </c>
      <c r="D953" t="s">
        <v>1726</v>
      </c>
      <c r="E953">
        <v>374.68</v>
      </c>
      <c r="F953">
        <f>ROUND(C953*E953,2)</f>
        <v>11.24</v>
      </c>
    </row>
    <row r="954" spans="2:6">
      <c r="B954" t="s">
        <v>1731</v>
      </c>
      <c r="C954">
        <v>0.1</v>
      </c>
      <c r="D954" t="s">
        <v>1732</v>
      </c>
      <c r="E954">
        <v>15</v>
      </c>
      <c r="F954">
        <f>ROUND(C954*E954,2)</f>
        <v>1.5</v>
      </c>
    </row>
    <row r="955" spans="2:6">
      <c r="B955" t="s">
        <v>1736</v>
      </c>
      <c r="C955">
        <v>1</v>
      </c>
      <c r="D955" t="s">
        <v>1691</v>
      </c>
      <c r="E955">
        <v>200</v>
      </c>
      <c r="F955">
        <f>ROUND(C955*E955,2)</f>
        <v>200</v>
      </c>
    </row>
    <row r="956" spans="2:6">
      <c r="E956" t="s">
        <v>1039</v>
      </c>
      <c r="F956">
        <f>ROUND(SUM(F951:F955),2)</f>
        <v>527.1</v>
      </c>
    </row>
    <row r="958" spans="2:6">
      <c r="B958" t="s">
        <v>1737</v>
      </c>
    </row>
    <row r="959" spans="2:6">
      <c r="B959" t="s">
        <v>1738</v>
      </c>
      <c r="C959">
        <v>1</v>
      </c>
      <c r="D959" t="s">
        <v>1691</v>
      </c>
      <c r="E959">
        <v>750</v>
      </c>
      <c r="F959">
        <f t="shared" ref="F959:F969" si="13">ROUND(C959*E959,2)</f>
        <v>750</v>
      </c>
    </row>
    <row r="960" spans="2:6">
      <c r="B960" t="s">
        <v>1739</v>
      </c>
      <c r="C960">
        <v>1</v>
      </c>
      <c r="D960" t="s">
        <v>1691</v>
      </c>
      <c r="E960">
        <v>200</v>
      </c>
      <c r="F960">
        <f t="shared" si="13"/>
        <v>200</v>
      </c>
    </row>
    <row r="961" spans="2:6">
      <c r="B961" t="s">
        <v>1740</v>
      </c>
      <c r="C961">
        <v>1</v>
      </c>
      <c r="D961" t="s">
        <v>1691</v>
      </c>
      <c r="E961">
        <v>76.56</v>
      </c>
      <c r="F961">
        <f t="shared" si="13"/>
        <v>76.56</v>
      </c>
    </row>
    <row r="962" spans="2:6">
      <c r="B962" t="s">
        <v>1741</v>
      </c>
      <c r="C962">
        <v>1</v>
      </c>
      <c r="D962" t="s">
        <v>1691</v>
      </c>
      <c r="E962">
        <v>37.24</v>
      </c>
      <c r="F962">
        <f t="shared" si="13"/>
        <v>37.24</v>
      </c>
    </row>
    <row r="963" spans="2:6">
      <c r="B963" t="s">
        <v>1725</v>
      </c>
      <c r="C963">
        <v>0.03</v>
      </c>
      <c r="D963" t="s">
        <v>1726</v>
      </c>
      <c r="E963">
        <v>374.68</v>
      </c>
      <c r="F963">
        <f t="shared" si="13"/>
        <v>11.24</v>
      </c>
    </row>
    <row r="964" spans="2:6">
      <c r="B964" t="s">
        <v>1727</v>
      </c>
      <c r="C964">
        <v>2</v>
      </c>
      <c r="D964" t="s">
        <v>1691</v>
      </c>
      <c r="E964">
        <v>92.8</v>
      </c>
      <c r="F964">
        <f t="shared" si="13"/>
        <v>185.6</v>
      </c>
    </row>
    <row r="965" spans="2:6">
      <c r="B965" t="s">
        <v>1728</v>
      </c>
      <c r="C965">
        <v>2</v>
      </c>
      <c r="D965" t="s">
        <v>1691</v>
      </c>
      <c r="E965">
        <v>33.409999999999997</v>
      </c>
      <c r="F965">
        <f t="shared" si="13"/>
        <v>66.819999999999993</v>
      </c>
    </row>
    <row r="966" spans="2:6">
      <c r="B966" t="s">
        <v>1729</v>
      </c>
      <c r="C966">
        <v>2</v>
      </c>
      <c r="D966" t="s">
        <v>1691</v>
      </c>
      <c r="E966">
        <v>4.6399999999999997</v>
      </c>
      <c r="F966">
        <f t="shared" si="13"/>
        <v>9.2799999999999994</v>
      </c>
    </row>
    <row r="967" spans="2:6">
      <c r="B967" t="s">
        <v>1730</v>
      </c>
      <c r="C967">
        <v>2</v>
      </c>
      <c r="D967" t="s">
        <v>1691</v>
      </c>
      <c r="E967">
        <v>34.799999999999997</v>
      </c>
      <c r="F967">
        <f t="shared" si="13"/>
        <v>69.599999999999994</v>
      </c>
    </row>
    <row r="968" spans="2:6">
      <c r="B968" t="s">
        <v>1731</v>
      </c>
      <c r="C968">
        <v>0.1</v>
      </c>
      <c r="D968" t="s">
        <v>1732</v>
      </c>
      <c r="E968">
        <v>15</v>
      </c>
      <c r="F968">
        <f t="shared" si="13"/>
        <v>1.5</v>
      </c>
    </row>
    <row r="969" spans="2:6">
      <c r="B969" t="s">
        <v>1742</v>
      </c>
      <c r="C969">
        <v>1</v>
      </c>
      <c r="D969" t="s">
        <v>1691</v>
      </c>
      <c r="E969">
        <v>300</v>
      </c>
      <c r="F969">
        <f t="shared" si="13"/>
        <v>300</v>
      </c>
    </row>
    <row r="970" spans="2:6">
      <c r="E970" t="s">
        <v>1039</v>
      </c>
      <c r="F970">
        <f>ROUND(SUM(F959:F969),2)</f>
        <v>1707.84</v>
      </c>
    </row>
    <row r="972" spans="2:6">
      <c r="B972" t="s">
        <v>1743</v>
      </c>
    </row>
    <row r="973" spans="2:6">
      <c r="B973" t="s">
        <v>3516</v>
      </c>
      <c r="C973">
        <v>1</v>
      </c>
      <c r="D973" t="s">
        <v>1691</v>
      </c>
      <c r="E973">
        <v>95.7</v>
      </c>
      <c r="F973">
        <f>ROUND(C973*E973,2)</f>
        <v>95.7</v>
      </c>
    </row>
    <row r="974" spans="2:6">
      <c r="B974" t="s">
        <v>1744</v>
      </c>
      <c r="C974">
        <v>1</v>
      </c>
      <c r="D974" t="s">
        <v>1691</v>
      </c>
      <c r="E974">
        <v>33.06</v>
      </c>
      <c r="F974">
        <f>ROUND(C974*E974,2)</f>
        <v>33.06</v>
      </c>
    </row>
    <row r="975" spans="2:6">
      <c r="B975" t="s">
        <v>3519</v>
      </c>
      <c r="C975">
        <v>0.05</v>
      </c>
      <c r="D975" t="s">
        <v>1745</v>
      </c>
      <c r="E975">
        <v>374.68</v>
      </c>
      <c r="F975">
        <f>ROUND(C975*E975,2)</f>
        <v>18.73</v>
      </c>
    </row>
    <row r="976" spans="2:6">
      <c r="B976" t="s">
        <v>1746</v>
      </c>
      <c r="C976">
        <v>1</v>
      </c>
      <c r="D976" t="s">
        <v>1691</v>
      </c>
      <c r="E976">
        <v>75</v>
      </c>
      <c r="F976">
        <f>ROUND(C976*E976,2)</f>
        <v>75</v>
      </c>
    </row>
    <row r="977" spans="2:6">
      <c r="E977" t="s">
        <v>1039</v>
      </c>
      <c r="F977">
        <f>ROUND(SUM(F973:F976),2)</f>
        <v>222.49</v>
      </c>
    </row>
    <row r="979" spans="2:6">
      <c r="B979" t="s">
        <v>1747</v>
      </c>
    </row>
    <row r="980" spans="2:6">
      <c r="B980" t="s">
        <v>1748</v>
      </c>
      <c r="C980">
        <v>1</v>
      </c>
      <c r="D980" t="s">
        <v>1691</v>
      </c>
      <c r="E980">
        <v>2580.0100000000002</v>
      </c>
      <c r="F980">
        <f t="shared" ref="F980:F992" si="14">ROUND(C980*E980,2)</f>
        <v>2580.0100000000002</v>
      </c>
    </row>
    <row r="981" spans="2:6">
      <c r="B981" t="s">
        <v>1749</v>
      </c>
      <c r="C981">
        <v>1</v>
      </c>
      <c r="D981" t="s">
        <v>1691</v>
      </c>
      <c r="E981">
        <v>600</v>
      </c>
      <c r="F981">
        <f t="shared" si="14"/>
        <v>600</v>
      </c>
    </row>
    <row r="982" spans="2:6">
      <c r="B982" t="s">
        <v>1750</v>
      </c>
      <c r="C982">
        <v>2</v>
      </c>
      <c r="D982" t="s">
        <v>1691</v>
      </c>
      <c r="E982">
        <v>92.29</v>
      </c>
      <c r="F982">
        <f t="shared" si="14"/>
        <v>184.58</v>
      </c>
    </row>
    <row r="983" spans="2:6">
      <c r="B983" t="s">
        <v>3517</v>
      </c>
      <c r="C983">
        <v>1</v>
      </c>
      <c r="D983" t="s">
        <v>1691</v>
      </c>
      <c r="E983">
        <v>76.56</v>
      </c>
      <c r="F983">
        <f t="shared" si="14"/>
        <v>76.56</v>
      </c>
    </row>
    <row r="984" spans="2:6">
      <c r="B984" t="s">
        <v>3520</v>
      </c>
      <c r="C984">
        <v>1</v>
      </c>
      <c r="D984" t="s">
        <v>1691</v>
      </c>
      <c r="E984">
        <v>370.04</v>
      </c>
      <c r="F984">
        <f t="shared" si="14"/>
        <v>370.04</v>
      </c>
    </row>
    <row r="985" spans="2:6">
      <c r="B985" t="s">
        <v>1751</v>
      </c>
      <c r="C985">
        <v>1</v>
      </c>
      <c r="D985" t="s">
        <v>1691</v>
      </c>
      <c r="E985">
        <v>300</v>
      </c>
      <c r="F985">
        <f t="shared" si="14"/>
        <v>300</v>
      </c>
    </row>
    <row r="986" spans="2:6">
      <c r="B986" t="s">
        <v>1725</v>
      </c>
      <c r="C986">
        <v>0.03</v>
      </c>
      <c r="D986" t="s">
        <v>1726</v>
      </c>
      <c r="E986">
        <v>374.68</v>
      </c>
      <c r="F986">
        <f t="shared" si="14"/>
        <v>11.24</v>
      </c>
    </row>
    <row r="987" spans="2:6">
      <c r="B987" t="s">
        <v>1727</v>
      </c>
      <c r="C987">
        <v>2</v>
      </c>
      <c r="D987" t="s">
        <v>1691</v>
      </c>
      <c r="E987">
        <v>92.8</v>
      </c>
      <c r="F987">
        <f t="shared" si="14"/>
        <v>185.6</v>
      </c>
    </row>
    <row r="988" spans="2:6">
      <c r="B988" t="s">
        <v>1728</v>
      </c>
      <c r="C988">
        <v>2</v>
      </c>
      <c r="D988" t="s">
        <v>1691</v>
      </c>
      <c r="E988">
        <v>33.409999999999997</v>
      </c>
      <c r="F988">
        <f t="shared" si="14"/>
        <v>66.819999999999993</v>
      </c>
    </row>
    <row r="989" spans="2:6">
      <c r="B989" t="s">
        <v>1729</v>
      </c>
      <c r="C989">
        <v>2</v>
      </c>
      <c r="D989" t="s">
        <v>1691</v>
      </c>
      <c r="E989">
        <v>4.6399999999999997</v>
      </c>
      <c r="F989">
        <f t="shared" si="14"/>
        <v>9.2799999999999994</v>
      </c>
    </row>
    <row r="990" spans="2:6">
      <c r="B990" t="s">
        <v>1730</v>
      </c>
      <c r="C990">
        <v>2</v>
      </c>
      <c r="D990" t="s">
        <v>1691</v>
      </c>
      <c r="E990">
        <v>34.799999999999997</v>
      </c>
      <c r="F990">
        <f t="shared" si="14"/>
        <v>69.599999999999994</v>
      </c>
    </row>
    <row r="991" spans="2:6">
      <c r="B991" t="s">
        <v>1731</v>
      </c>
      <c r="C991">
        <v>0.1</v>
      </c>
      <c r="D991" t="s">
        <v>1732</v>
      </c>
      <c r="E991">
        <v>15</v>
      </c>
      <c r="F991">
        <f t="shared" si="14"/>
        <v>1.5</v>
      </c>
    </row>
    <row r="992" spans="2:6">
      <c r="B992" t="s">
        <v>1752</v>
      </c>
      <c r="C992">
        <v>1</v>
      </c>
      <c r="D992" t="s">
        <v>1691</v>
      </c>
      <c r="E992">
        <v>350</v>
      </c>
      <c r="F992">
        <f t="shared" si="14"/>
        <v>350</v>
      </c>
    </row>
    <row r="993" spans="2:6">
      <c r="E993" t="s">
        <v>1039</v>
      </c>
      <c r="F993">
        <f>ROUND(SUM(F980:F992),2)</f>
        <v>4805.2299999999996</v>
      </c>
    </row>
    <row r="995" spans="2:6">
      <c r="B995" t="s">
        <v>1753</v>
      </c>
    </row>
    <row r="996" spans="2:6">
      <c r="B996" t="s">
        <v>1754</v>
      </c>
      <c r="C996">
        <v>1.85</v>
      </c>
      <c r="D996" t="s">
        <v>11</v>
      </c>
      <c r="E996">
        <f>E728</f>
        <v>1500</v>
      </c>
      <c r="F996">
        <f>C996*E996</f>
        <v>2775</v>
      </c>
    </row>
    <row r="997" spans="2:6">
      <c r="B997" t="s">
        <v>1755</v>
      </c>
      <c r="C997">
        <v>8.8699999999999992</v>
      </c>
      <c r="D997" t="s">
        <v>11</v>
      </c>
      <c r="E997">
        <v>250</v>
      </c>
      <c r="F997">
        <f>C997*E997</f>
        <v>2217.5</v>
      </c>
    </row>
    <row r="998" spans="2:6">
      <c r="B998" t="s">
        <v>1756</v>
      </c>
      <c r="C998">
        <v>1</v>
      </c>
      <c r="D998" t="s">
        <v>3</v>
      </c>
      <c r="E998">
        <v>200</v>
      </c>
      <c r="F998">
        <f>C998*E998</f>
        <v>200</v>
      </c>
    </row>
    <row r="999" spans="2:6">
      <c r="D999" t="s">
        <v>1037</v>
      </c>
      <c r="E999" t="s">
        <v>1038</v>
      </c>
      <c r="F999">
        <f>ROUND(SUM(F996:F998),2)</f>
        <v>5192.5</v>
      </c>
    </row>
    <row r="1001" spans="2:6">
      <c r="B1001" t="s">
        <v>1757</v>
      </c>
    </row>
    <row r="1002" spans="2:6">
      <c r="B1002" t="s">
        <v>1064</v>
      </c>
      <c r="C1002">
        <v>0.1</v>
      </c>
      <c r="D1002" t="s">
        <v>2</v>
      </c>
      <c r="E1002">
        <f>E694</f>
        <v>70.16</v>
      </c>
      <c r="F1002">
        <f t="shared" ref="F1002:F1008" si="15">C1002*E1002</f>
        <v>7.016</v>
      </c>
    </row>
    <row r="1003" spans="2:6">
      <c r="B1003" t="s">
        <v>1758</v>
      </c>
      <c r="C1003">
        <v>1.68</v>
      </c>
      <c r="D1003" t="s">
        <v>11</v>
      </c>
      <c r="E1003">
        <f>E728</f>
        <v>1500</v>
      </c>
      <c r="F1003">
        <f t="shared" si="15"/>
        <v>2520</v>
      </c>
    </row>
    <row r="1004" spans="2:6">
      <c r="B1004" t="s">
        <v>1043</v>
      </c>
      <c r="C1004">
        <v>0.18</v>
      </c>
      <c r="D1004" t="s">
        <v>126</v>
      </c>
      <c r="E1004">
        <f>E678</f>
        <v>0</v>
      </c>
      <c r="F1004">
        <f t="shared" si="15"/>
        <v>0</v>
      </c>
    </row>
    <row r="1005" spans="2:6">
      <c r="B1005" t="s">
        <v>377</v>
      </c>
      <c r="C1005">
        <v>1.65</v>
      </c>
      <c r="D1005" t="s">
        <v>11</v>
      </c>
      <c r="E1005" t="str">
        <f>E637</f>
        <v>R.D.$</v>
      </c>
      <c r="F1005" t="e">
        <f t="shared" si="15"/>
        <v>#VALUE!</v>
      </c>
    </row>
    <row r="1006" spans="2:6">
      <c r="B1006" t="s">
        <v>1759</v>
      </c>
      <c r="C1006">
        <v>1</v>
      </c>
      <c r="D1006" t="s">
        <v>3</v>
      </c>
      <c r="E1006">
        <v>100</v>
      </c>
      <c r="F1006">
        <f t="shared" si="15"/>
        <v>100</v>
      </c>
    </row>
    <row r="1007" spans="2:6">
      <c r="B1007" t="s">
        <v>1760</v>
      </c>
      <c r="C1007">
        <v>0.39</v>
      </c>
      <c r="D1007" t="s">
        <v>2</v>
      </c>
      <c r="E1007">
        <v>85</v>
      </c>
      <c r="F1007">
        <f t="shared" si="15"/>
        <v>33.15</v>
      </c>
    </row>
    <row r="1008" spans="2:6">
      <c r="B1008" t="s">
        <v>1102</v>
      </c>
      <c r="C1008">
        <v>0.47</v>
      </c>
      <c r="D1008" t="s">
        <v>2</v>
      </c>
      <c r="E1008">
        <v>45</v>
      </c>
      <c r="F1008">
        <f t="shared" si="15"/>
        <v>21.15</v>
      </c>
    </row>
    <row r="1009" spans="2:6">
      <c r="D1009" t="s">
        <v>1037</v>
      </c>
      <c r="E1009" t="s">
        <v>1038</v>
      </c>
      <c r="F1009" t="e">
        <f>ROUND(SUM(F1002:F1008),2)</f>
        <v>#VALUE!</v>
      </c>
    </row>
    <row r="1011" spans="2:6">
      <c r="B1011" t="s">
        <v>1761</v>
      </c>
    </row>
    <row r="1012" spans="2:6">
      <c r="B1012" t="s">
        <v>1762</v>
      </c>
      <c r="C1012">
        <v>1.48</v>
      </c>
      <c r="D1012" t="s">
        <v>2</v>
      </c>
      <c r="E1012" t="e">
        <f>#REF!</f>
        <v>#REF!</v>
      </c>
      <c r="F1012" t="e">
        <f t="shared" ref="F1012:F1020" si="16">C1012*E1012</f>
        <v>#REF!</v>
      </c>
    </row>
    <row r="1013" spans="2:6">
      <c r="B1013" t="s">
        <v>1763</v>
      </c>
      <c r="C1013">
        <v>0.7</v>
      </c>
      <c r="D1013" t="s">
        <v>11</v>
      </c>
      <c r="E1013" t="e">
        <f>E1012</f>
        <v>#REF!</v>
      </c>
      <c r="F1013" t="e">
        <f t="shared" si="16"/>
        <v>#REF!</v>
      </c>
    </row>
    <row r="1014" spans="2:6">
      <c r="B1014" t="s">
        <v>1764</v>
      </c>
      <c r="C1014">
        <v>17.28</v>
      </c>
      <c r="D1014" t="s">
        <v>11</v>
      </c>
      <c r="E1014" t="str">
        <f>E717</f>
        <v>PRECIO</v>
      </c>
      <c r="F1014" t="e">
        <f t="shared" si="16"/>
        <v>#VALUE!</v>
      </c>
    </row>
    <row r="1015" spans="2:6">
      <c r="B1015" t="s">
        <v>1043</v>
      </c>
      <c r="C1015">
        <v>3.53</v>
      </c>
      <c r="D1015" t="s">
        <v>126</v>
      </c>
      <c r="E1015">
        <f>E678</f>
        <v>0</v>
      </c>
      <c r="F1015">
        <f t="shared" si="16"/>
        <v>0</v>
      </c>
    </row>
    <row r="1016" spans="2:6">
      <c r="B1016" t="s">
        <v>377</v>
      </c>
      <c r="C1016">
        <v>22.1</v>
      </c>
      <c r="D1016" t="s">
        <v>11</v>
      </c>
      <c r="E1016" t="str">
        <f>E1005</f>
        <v>R.D.$</v>
      </c>
      <c r="F1016" t="e">
        <f t="shared" si="16"/>
        <v>#VALUE!</v>
      </c>
    </row>
    <row r="1017" spans="2:6">
      <c r="B1017" t="s">
        <v>1765</v>
      </c>
      <c r="C1017">
        <v>13.32</v>
      </c>
      <c r="D1017" t="s">
        <v>2</v>
      </c>
      <c r="E1017">
        <v>85</v>
      </c>
      <c r="F1017">
        <f t="shared" si="16"/>
        <v>1132.2</v>
      </c>
    </row>
    <row r="1018" spans="2:6">
      <c r="B1018" t="s">
        <v>1766</v>
      </c>
      <c r="C1018">
        <v>15.98</v>
      </c>
      <c r="D1018" t="s">
        <v>2</v>
      </c>
      <c r="E1018">
        <v>45</v>
      </c>
      <c r="F1018">
        <f t="shared" si="16"/>
        <v>719.1</v>
      </c>
    </row>
    <row r="1019" spans="2:6">
      <c r="B1019" t="s">
        <v>1767</v>
      </c>
      <c r="C1019">
        <v>1</v>
      </c>
      <c r="D1019" t="s">
        <v>3</v>
      </c>
      <c r="E1019">
        <v>1600</v>
      </c>
      <c r="F1019">
        <f t="shared" si="16"/>
        <v>1600</v>
      </c>
    </row>
    <row r="1020" spans="2:6">
      <c r="B1020" t="s">
        <v>697</v>
      </c>
      <c r="C1020">
        <v>1</v>
      </c>
      <c r="D1020" t="s">
        <v>3</v>
      </c>
      <c r="E1020">
        <v>250</v>
      </c>
      <c r="F1020">
        <f t="shared" si="16"/>
        <v>250</v>
      </c>
    </row>
    <row r="1021" spans="2:6">
      <c r="D1021" t="s">
        <v>1037</v>
      </c>
      <c r="E1021" t="s">
        <v>1038</v>
      </c>
      <c r="F1021" t="e">
        <f>ROUND(SUM(F1012:F1020),2)</f>
        <v>#REF!</v>
      </c>
    </row>
    <row r="1023" spans="2:6">
      <c r="B1023" t="s">
        <v>900</v>
      </c>
    </row>
    <row r="1024" spans="2:6">
      <c r="B1024" t="s">
        <v>1064</v>
      </c>
      <c r="C1024">
        <v>0.3</v>
      </c>
      <c r="D1024" t="s">
        <v>2</v>
      </c>
      <c r="E1024">
        <f>E694</f>
        <v>70.16</v>
      </c>
      <c r="F1024">
        <f t="shared" ref="F1024:F1030" si="17">C1024*E1024</f>
        <v>21.047999999999998</v>
      </c>
    </row>
    <row r="1025" spans="1:6">
      <c r="B1025" t="s">
        <v>1764</v>
      </c>
      <c r="C1025">
        <v>4</v>
      </c>
      <c r="D1025" t="s">
        <v>11</v>
      </c>
      <c r="E1025" t="str">
        <f>E717</f>
        <v>PRECIO</v>
      </c>
      <c r="F1025">
        <f>+F552</f>
        <v>920.16885732000003</v>
      </c>
    </row>
    <row r="1026" spans="1:6">
      <c r="B1026" t="s">
        <v>1768</v>
      </c>
      <c r="C1026">
        <v>0.25</v>
      </c>
      <c r="D1026" t="s">
        <v>126</v>
      </c>
      <c r="E1026">
        <f>+F62</f>
        <v>2913</v>
      </c>
      <c r="F1026">
        <f>C1026*E1026</f>
        <v>728.25</v>
      </c>
    </row>
    <row r="1027" spans="1:6">
      <c r="B1027" t="s">
        <v>1769</v>
      </c>
      <c r="C1027">
        <v>4.12</v>
      </c>
      <c r="D1027" t="s">
        <v>11</v>
      </c>
      <c r="E1027">
        <f>+D254</f>
        <v>295.47330489199999</v>
      </c>
      <c r="F1027">
        <f t="shared" si="17"/>
        <v>1217.3500161550401</v>
      </c>
    </row>
    <row r="1028" spans="1:6">
      <c r="B1028" t="s">
        <v>1760</v>
      </c>
      <c r="C1028">
        <v>1.58</v>
      </c>
      <c r="D1028" t="s">
        <v>2</v>
      </c>
      <c r="E1028">
        <v>85</v>
      </c>
      <c r="F1028">
        <f t="shared" si="17"/>
        <v>134.30000000000001</v>
      </c>
    </row>
    <row r="1029" spans="1:6">
      <c r="B1029" t="s">
        <v>1102</v>
      </c>
      <c r="C1029">
        <v>1.9</v>
      </c>
      <c r="D1029" t="s">
        <v>2</v>
      </c>
      <c r="E1029">
        <v>45</v>
      </c>
      <c r="F1029">
        <f t="shared" si="17"/>
        <v>85.5</v>
      </c>
    </row>
    <row r="1030" spans="1:6">
      <c r="B1030" t="s">
        <v>697</v>
      </c>
      <c r="C1030">
        <v>1</v>
      </c>
      <c r="D1030" t="s">
        <v>3</v>
      </c>
      <c r="E1030">
        <v>2388.73</v>
      </c>
      <c r="F1030">
        <f t="shared" si="17"/>
        <v>2388.73</v>
      </c>
    </row>
    <row r="1031" spans="1:6">
      <c r="E1031" t="s">
        <v>1038</v>
      </c>
      <c r="F1031">
        <f>ROUND(SUM(F1024:F1030),2)</f>
        <v>5495.35</v>
      </c>
    </row>
    <row r="1033" spans="1:6">
      <c r="A1033" t="s">
        <v>1857</v>
      </c>
    </row>
    <row r="1034" spans="1:6" ht="12.6" customHeight="1"/>
    <row r="1035" spans="1:6" ht="12.6" customHeight="1">
      <c r="B1035" t="s">
        <v>1858</v>
      </c>
    </row>
    <row r="1036" spans="1:6" ht="12" customHeight="1">
      <c r="B1036" t="s">
        <v>1682</v>
      </c>
      <c r="C1036">
        <v>1.05</v>
      </c>
      <c r="D1036" t="s">
        <v>2</v>
      </c>
      <c r="E1036">
        <f>+F47</f>
        <v>7063.5</v>
      </c>
      <c r="F1036">
        <f>C1036*E1036</f>
        <v>7416.6750000000002</v>
      </c>
    </row>
    <row r="1037" spans="1:6" ht="12.6" customHeight="1">
      <c r="B1037" t="s">
        <v>1859</v>
      </c>
      <c r="C1037">
        <v>0.79</v>
      </c>
      <c r="D1037" t="s">
        <v>126</v>
      </c>
      <c r="E1037">
        <f>+F62</f>
        <v>2913</v>
      </c>
      <c r="F1037">
        <f>C1037*E1037</f>
        <v>2301.27</v>
      </c>
    </row>
    <row r="1038" spans="1:6" ht="12.6" customHeight="1">
      <c r="E1038" t="s">
        <v>1031</v>
      </c>
      <c r="F1038">
        <f>ROUND(SUM(F1036:F1037),2)</f>
        <v>9717.9500000000007</v>
      </c>
    </row>
    <row r="1039" spans="1:6" ht="12.6" customHeight="1"/>
    <row r="1040" spans="1:6" ht="12.6" customHeight="1">
      <c r="B1040" t="s">
        <v>1860</v>
      </c>
    </row>
    <row r="1041" spans="2:6" ht="12.6" customHeight="1">
      <c r="B1041" t="s">
        <v>1682</v>
      </c>
      <c r="C1041">
        <v>1.05</v>
      </c>
      <c r="D1041" t="s">
        <v>2</v>
      </c>
      <c r="E1041">
        <f>+F47</f>
        <v>7063.5</v>
      </c>
      <c r="F1041">
        <f>C1041*E1041</f>
        <v>7416.6750000000002</v>
      </c>
    </row>
    <row r="1042" spans="2:6" ht="12.6" customHeight="1">
      <c r="B1042" t="s">
        <v>272</v>
      </c>
      <c r="C1042">
        <v>4.58</v>
      </c>
      <c r="D1042" t="s">
        <v>126</v>
      </c>
      <c r="E1042">
        <f>E1037</f>
        <v>2913</v>
      </c>
      <c r="F1042">
        <f>C1042*E1042</f>
        <v>13341.54</v>
      </c>
    </row>
    <row r="1043" spans="2:6" ht="12.6" customHeight="1">
      <c r="B1043" t="s">
        <v>1089</v>
      </c>
      <c r="C1043">
        <f>1/(0.2*0.2)</f>
        <v>25</v>
      </c>
      <c r="D1043" t="s">
        <v>1</v>
      </c>
      <c r="E1043">
        <v>325</v>
      </c>
      <c r="F1043">
        <f>C1043*E1043</f>
        <v>8125</v>
      </c>
    </row>
    <row r="1044" spans="2:6" ht="12.6" customHeight="1">
      <c r="E1044" t="s">
        <v>1031</v>
      </c>
      <c r="F1044">
        <f>ROUND(SUM(F1041:F1043),2)</f>
        <v>28883.22</v>
      </c>
    </row>
    <row r="1045" spans="2:6" ht="12.6" customHeight="1"/>
    <row r="1046" spans="2:6" ht="12.6" customHeight="1">
      <c r="B1046" t="s">
        <v>1861</v>
      </c>
    </row>
    <row r="1047" spans="2:6" ht="12.6" customHeight="1">
      <c r="B1047" t="s">
        <v>1682</v>
      </c>
      <c r="C1047">
        <v>1.05</v>
      </c>
      <c r="D1047" t="s">
        <v>2</v>
      </c>
      <c r="E1047">
        <f>E1041</f>
        <v>7063.5</v>
      </c>
      <c r="F1047">
        <f>C1047*E1047</f>
        <v>7416.6750000000002</v>
      </c>
    </row>
    <row r="1048" spans="2:6" ht="12.6" customHeight="1">
      <c r="B1048" t="s">
        <v>1859</v>
      </c>
      <c r="C1048">
        <v>11.14</v>
      </c>
      <c r="D1048" t="s">
        <v>126</v>
      </c>
      <c r="E1048">
        <f>E1042</f>
        <v>2913</v>
      </c>
      <c r="F1048">
        <f>C1048*E1048</f>
        <v>32450.82</v>
      </c>
    </row>
    <row r="1049" spans="2:6" ht="12.6" customHeight="1">
      <c r="B1049" t="s">
        <v>1862</v>
      </c>
      <c r="C1049">
        <f>1/(25*0.2)</f>
        <v>0.2</v>
      </c>
      <c r="D1049" t="s">
        <v>1</v>
      </c>
      <c r="E1049">
        <v>250</v>
      </c>
      <c r="F1049">
        <f>C1049*E1049</f>
        <v>50</v>
      </c>
    </row>
    <row r="1050" spans="2:6" ht="12.6" customHeight="1">
      <c r="E1050" t="s">
        <v>1031</v>
      </c>
      <c r="F1050">
        <f>ROUND(SUM(F1047:F1049),2)</f>
        <v>39917.5</v>
      </c>
    </row>
    <row r="1051" spans="2:6" ht="12.6" customHeight="1"/>
    <row r="1052" spans="2:6" ht="12.6" customHeight="1">
      <c r="B1052" t="s">
        <v>1863</v>
      </c>
    </row>
    <row r="1053" spans="2:6" ht="12.6" customHeight="1">
      <c r="B1053" t="s">
        <v>1682</v>
      </c>
      <c r="C1053">
        <v>1.05</v>
      </c>
      <c r="D1053" t="s">
        <v>2</v>
      </c>
      <c r="E1053">
        <f>E1047</f>
        <v>7063.5</v>
      </c>
      <c r="F1053">
        <f>C1053*E1053</f>
        <v>7416.6750000000002</v>
      </c>
    </row>
    <row r="1054" spans="2:6" ht="12.6" customHeight="1">
      <c r="B1054" t="s">
        <v>1859</v>
      </c>
      <c r="C1054">
        <v>5</v>
      </c>
      <c r="D1054" t="s">
        <v>126</v>
      </c>
      <c r="E1054">
        <f>E1048</f>
        <v>2913</v>
      </c>
      <c r="F1054">
        <f>C1054*E1054</f>
        <v>14565</v>
      </c>
    </row>
    <row r="1055" spans="2:6" ht="12.6" customHeight="1">
      <c r="B1055" t="s">
        <v>1862</v>
      </c>
      <c r="C1055">
        <f>1/(15*0.2)</f>
        <v>0.33333333333333298</v>
      </c>
      <c r="D1055" t="s">
        <v>1</v>
      </c>
      <c r="E1055">
        <v>250</v>
      </c>
      <c r="F1055">
        <f>C1055*E1055</f>
        <v>83.333333333333201</v>
      </c>
    </row>
    <row r="1056" spans="2:6" ht="12.6" customHeight="1">
      <c r="E1056" t="s">
        <v>1031</v>
      </c>
      <c r="F1056">
        <f>ROUND(SUM(F1053:F1055),2)</f>
        <v>22065.01</v>
      </c>
    </row>
    <row r="1057" spans="1:6" ht="12.6" customHeight="1"/>
    <row r="1058" spans="1:6" ht="12.6" customHeight="1">
      <c r="B1058" t="s">
        <v>1864</v>
      </c>
    </row>
    <row r="1059" spans="1:6" ht="12.6" customHeight="1">
      <c r="B1059" t="s">
        <v>1682</v>
      </c>
      <c r="C1059">
        <v>1.05</v>
      </c>
      <c r="D1059" t="s">
        <v>2</v>
      </c>
      <c r="E1059">
        <f>E1053</f>
        <v>7063.5</v>
      </c>
      <c r="F1059">
        <f>C1059*E1059</f>
        <v>7416.6750000000002</v>
      </c>
    </row>
    <row r="1060" spans="1:6" ht="12.6" customHeight="1">
      <c r="B1060" t="s">
        <v>1859</v>
      </c>
      <c r="C1060">
        <v>0.63</v>
      </c>
      <c r="D1060" t="s">
        <v>126</v>
      </c>
      <c r="E1060">
        <f>E1054</f>
        <v>2913</v>
      </c>
      <c r="F1060">
        <f>C1060*E1060</f>
        <v>1835.19</v>
      </c>
    </row>
    <row r="1061" spans="1:6" ht="12.6" customHeight="1">
      <c r="E1061" t="s">
        <v>1031</v>
      </c>
      <c r="F1061">
        <f>ROUND(SUM(F1057:F1060),2)</f>
        <v>9251.8700000000008</v>
      </c>
    </row>
    <row r="1062" spans="1:6" ht="12.6" customHeight="1"/>
    <row r="1063" spans="1:6" ht="12.6" customHeight="1">
      <c r="B1063" t="s">
        <v>1865</v>
      </c>
    </row>
    <row r="1064" spans="1:6" ht="12.6" customHeight="1">
      <c r="B1064" t="s">
        <v>1682</v>
      </c>
      <c r="C1064">
        <v>1.05</v>
      </c>
      <c r="D1064" t="s">
        <v>2</v>
      </c>
      <c r="E1064">
        <f>E1059</f>
        <v>7063.5</v>
      </c>
      <c r="F1064">
        <f>C1064*E1064</f>
        <v>7416.6750000000002</v>
      </c>
    </row>
    <row r="1065" spans="1:6" ht="12.6" customHeight="1">
      <c r="B1065" t="s">
        <v>1859</v>
      </c>
      <c r="C1065">
        <v>1.06</v>
      </c>
      <c r="D1065" t="s">
        <v>126</v>
      </c>
      <c r="E1065">
        <f>E1060</f>
        <v>2913</v>
      </c>
      <c r="F1065">
        <f>C1065*E1065</f>
        <v>3087.78</v>
      </c>
    </row>
    <row r="1066" spans="1:6" ht="12.6" customHeight="1">
      <c r="B1066" t="s">
        <v>1862</v>
      </c>
      <c r="C1066">
        <f>1/(0.13)</f>
        <v>7.6923076923076898</v>
      </c>
      <c r="D1066" t="s">
        <v>11</v>
      </c>
      <c r="E1066">
        <v>185</v>
      </c>
      <c r="F1066">
        <f>C1066*E1066</f>
        <v>1423.0769230769199</v>
      </c>
    </row>
    <row r="1067" spans="1:6">
      <c r="E1067" t="s">
        <v>1031</v>
      </c>
      <c r="F1067">
        <f>ROUND(SUM(F1064:F1066),2)</f>
        <v>11927.53</v>
      </c>
    </row>
    <row r="1068" spans="1:6">
      <c r="F1068">
        <f>ROUND(F1067-F1066+E1066*1/0.8,2)</f>
        <v>10735.7</v>
      </c>
    </row>
    <row r="1070" spans="1:6" ht="15.75" customHeight="1">
      <c r="A1070" t="s">
        <v>1915</v>
      </c>
    </row>
    <row r="1072" spans="1:6">
      <c r="B1072" t="s">
        <v>186</v>
      </c>
    </row>
    <row r="1074" spans="2:6">
      <c r="B1074" t="s">
        <v>187</v>
      </c>
    </row>
    <row r="1075" spans="2:6">
      <c r="B1075" t="s">
        <v>122</v>
      </c>
      <c r="C1075">
        <v>0.52</v>
      </c>
      <c r="D1075" t="s">
        <v>2</v>
      </c>
      <c r="E1075">
        <f>+F16</f>
        <v>1115</v>
      </c>
      <c r="F1075">
        <f>C1075*E1075</f>
        <v>579.79999999999995</v>
      </c>
    </row>
    <row r="1076" spans="2:6">
      <c r="B1076" t="s">
        <v>124</v>
      </c>
      <c r="C1076">
        <v>0.85</v>
      </c>
      <c r="D1076" t="s">
        <v>2</v>
      </c>
      <c r="E1076">
        <f>+F21</f>
        <v>1215</v>
      </c>
      <c r="F1076">
        <f>C1076*E1076</f>
        <v>1032.75</v>
      </c>
    </row>
    <row r="1077" spans="2:6">
      <c r="B1077" t="s">
        <v>117</v>
      </c>
      <c r="C1077">
        <v>60</v>
      </c>
      <c r="D1077" t="s">
        <v>138</v>
      </c>
      <c r="E1077">
        <f>+F4</f>
        <v>325</v>
      </c>
      <c r="F1077">
        <f>C1077*E1077</f>
        <v>19500</v>
      </c>
    </row>
    <row r="1078" spans="2:6">
      <c r="B1078" t="s">
        <v>188</v>
      </c>
      <c r="C1078">
        <v>6.4</v>
      </c>
      <c r="D1078" t="s">
        <v>144</v>
      </c>
      <c r="E1078">
        <f>+F3</f>
        <v>2.5</v>
      </c>
      <c r="F1078">
        <f>C1078*E1078</f>
        <v>16</v>
      </c>
    </row>
    <row r="1079" spans="2:6">
      <c r="B1079" t="s">
        <v>189</v>
      </c>
      <c r="C1079">
        <v>0.5</v>
      </c>
      <c r="D1079" t="s">
        <v>148</v>
      </c>
      <c r="E1079">
        <v>659</v>
      </c>
      <c r="F1079">
        <f>C1079*E1079</f>
        <v>329.5</v>
      </c>
    </row>
    <row r="1080" spans="2:6">
      <c r="B1080" t="s">
        <v>190</v>
      </c>
      <c r="F1080">
        <f>SUM(F1075+F1077+F1078)*0.03</f>
        <v>602.87400000000002</v>
      </c>
    </row>
    <row r="1081" spans="2:6">
      <c r="E1081" t="s">
        <v>1031</v>
      </c>
      <c r="F1081">
        <f>SUM(F1075:F1080)</f>
        <v>22060.923999999999</v>
      </c>
    </row>
    <row r="1083" spans="2:6">
      <c r="B1083" t="s">
        <v>1917</v>
      </c>
    </row>
    <row r="1084" spans="2:6">
      <c r="B1084" t="s">
        <v>1918</v>
      </c>
      <c r="C1084">
        <v>13</v>
      </c>
      <c r="D1084" t="s">
        <v>3</v>
      </c>
      <c r="E1084">
        <v>28</v>
      </c>
      <c r="F1084">
        <f t="shared" ref="F1084:F1091" si="18">C1084*E1084</f>
        <v>364</v>
      </c>
    </row>
    <row r="1085" spans="2:6">
      <c r="B1085" t="s">
        <v>1056</v>
      </c>
      <c r="C1085">
        <v>13</v>
      </c>
      <c r="D1085" t="s">
        <v>3</v>
      </c>
      <c r="E1085">
        <v>18.850000000000001</v>
      </c>
      <c r="F1085">
        <f t="shared" si="18"/>
        <v>245.05</v>
      </c>
    </row>
    <row r="1086" spans="2:6">
      <c r="B1086" t="s">
        <v>1919</v>
      </c>
      <c r="C1086">
        <v>0.04</v>
      </c>
      <c r="D1086" t="s">
        <v>2</v>
      </c>
      <c r="E1086">
        <f>F84</f>
        <v>5506.4035999999996</v>
      </c>
      <c r="F1086">
        <f t="shared" si="18"/>
        <v>220.25614400000001</v>
      </c>
    </row>
    <row r="1087" spans="2:6">
      <c r="B1087" t="s">
        <v>1920</v>
      </c>
      <c r="C1087">
        <v>0.01</v>
      </c>
      <c r="D1087" t="s">
        <v>2</v>
      </c>
      <c r="E1087">
        <f>+F1081</f>
        <v>22060.923999999999</v>
      </c>
      <c r="F1087">
        <f t="shared" si="18"/>
        <v>220.60924</v>
      </c>
    </row>
    <row r="1088" spans="2:6">
      <c r="B1088" t="s">
        <v>1921</v>
      </c>
      <c r="C1088">
        <v>0.03</v>
      </c>
      <c r="D1088" t="s">
        <v>126</v>
      </c>
      <c r="E1088">
        <f>+F62</f>
        <v>2913</v>
      </c>
      <c r="F1088">
        <f t="shared" si="18"/>
        <v>87.39</v>
      </c>
    </row>
    <row r="1089" spans="2:9">
      <c r="B1089" t="s">
        <v>1053</v>
      </c>
      <c r="C1089">
        <v>0.18</v>
      </c>
      <c r="D1089" t="s">
        <v>155</v>
      </c>
      <c r="E1089">
        <v>35</v>
      </c>
      <c r="F1089">
        <f t="shared" si="18"/>
        <v>6.3</v>
      </c>
    </row>
    <row r="1090" spans="2:9">
      <c r="B1090" t="s">
        <v>198</v>
      </c>
      <c r="C1090">
        <v>0.02</v>
      </c>
      <c r="D1090" t="s">
        <v>148</v>
      </c>
      <c r="E1090">
        <v>659</v>
      </c>
      <c r="F1090">
        <f t="shared" si="18"/>
        <v>13.18</v>
      </c>
    </row>
    <row r="1091" spans="2:9">
      <c r="B1091" t="s">
        <v>1922</v>
      </c>
      <c r="C1091">
        <v>0.01</v>
      </c>
      <c r="D1091" t="s">
        <v>2</v>
      </c>
      <c r="E1091">
        <v>659</v>
      </c>
      <c r="F1091">
        <f t="shared" si="18"/>
        <v>6.59</v>
      </c>
    </row>
    <row r="1092" spans="2:9">
      <c r="E1092" t="s">
        <v>1031</v>
      </c>
      <c r="F1092">
        <f>SUM(F1084:F1091)</f>
        <v>1163.3753839999999</v>
      </c>
    </row>
    <row r="1093" spans="2:9" ht="12.95" customHeight="1">
      <c r="B1093" t="s">
        <v>1923</v>
      </c>
      <c r="E1093" t="s">
        <v>1924</v>
      </c>
      <c r="F1093">
        <f>+F1092</f>
        <v>1163.3753839999999</v>
      </c>
      <c r="I1093">
        <f>SUM(I1086:I1092)</f>
        <v>0</v>
      </c>
    </row>
    <row r="1094" spans="2:9" ht="12.95" customHeight="1">
      <c r="B1094" t="s">
        <v>1925</v>
      </c>
      <c r="E1094" t="s">
        <v>1926</v>
      </c>
      <c r="F1094">
        <f>F1093-(F1090+F1089)</f>
        <v>1143.8953839999999</v>
      </c>
    </row>
    <row r="1097" spans="2:9">
      <c r="B1097" t="s">
        <v>191</v>
      </c>
    </row>
    <row r="1098" spans="2:9">
      <c r="B1098" t="s">
        <v>192</v>
      </c>
      <c r="C1098">
        <v>13</v>
      </c>
      <c r="D1098" t="s">
        <v>3</v>
      </c>
      <c r="E1098">
        <v>25.93</v>
      </c>
      <c r="F1098">
        <f t="shared" ref="F1098:F1105" si="19">C1098*E1098</f>
        <v>337.09</v>
      </c>
    </row>
    <row r="1099" spans="2:9">
      <c r="B1099" t="s">
        <v>193</v>
      </c>
      <c r="C1099">
        <v>13</v>
      </c>
      <c r="D1099" t="s">
        <v>3</v>
      </c>
      <c r="E1099">
        <v>15.78</v>
      </c>
      <c r="F1099">
        <f t="shared" si="19"/>
        <v>205.14</v>
      </c>
    </row>
    <row r="1100" spans="2:9">
      <c r="B1100" t="s">
        <v>194</v>
      </c>
      <c r="C1100">
        <v>0.03</v>
      </c>
      <c r="D1100" t="s">
        <v>2</v>
      </c>
      <c r="E1100">
        <f>F713</f>
        <v>45603.89</v>
      </c>
      <c r="F1100">
        <f t="shared" si="19"/>
        <v>1368.1167</v>
      </c>
    </row>
    <row r="1101" spans="2:9">
      <c r="B1101" t="s">
        <v>195</v>
      </c>
      <c r="C1101">
        <v>0.01</v>
      </c>
      <c r="D1101" t="s">
        <v>2</v>
      </c>
      <c r="E1101">
        <f>SUM(F1081)</f>
        <v>22060.923999999999</v>
      </c>
      <c r="F1101">
        <f t="shared" si="19"/>
        <v>220.60924</v>
      </c>
    </row>
    <row r="1102" spans="2:9">
      <c r="B1102" t="s">
        <v>196</v>
      </c>
      <c r="C1102">
        <v>0.03</v>
      </c>
      <c r="D1102" t="s">
        <v>126</v>
      </c>
      <c r="E1102">
        <f>F1064</f>
        <v>7416.6750000000002</v>
      </c>
      <c r="F1102">
        <f t="shared" si="19"/>
        <v>222.50024999999999</v>
      </c>
    </row>
    <row r="1103" spans="2:9">
      <c r="B1103" t="s">
        <v>197</v>
      </c>
      <c r="C1103">
        <v>0.18</v>
      </c>
      <c r="D1103" t="s">
        <v>155</v>
      </c>
      <c r="E1103">
        <v>35</v>
      </c>
      <c r="F1103">
        <f t="shared" si="19"/>
        <v>6.3</v>
      </c>
    </row>
    <row r="1104" spans="2:9">
      <c r="B1104" t="s">
        <v>198</v>
      </c>
      <c r="C1104">
        <v>0.02</v>
      </c>
      <c r="D1104" t="s">
        <v>148</v>
      </c>
      <c r="E1104">
        <v>659</v>
      </c>
      <c r="F1104">
        <f t="shared" si="19"/>
        <v>13.18</v>
      </c>
    </row>
    <row r="1105" spans="2:9">
      <c r="B1105" t="s">
        <v>199</v>
      </c>
      <c r="C1105">
        <v>0.01</v>
      </c>
      <c r="D1105" t="s">
        <v>2</v>
      </c>
      <c r="E1105">
        <v>659</v>
      </c>
      <c r="F1105">
        <f t="shared" si="19"/>
        <v>6.59</v>
      </c>
    </row>
    <row r="1106" spans="2:9">
      <c r="E1106" t="s">
        <v>1031</v>
      </c>
      <c r="F1106">
        <f>SUM(F1098:F1105)</f>
        <v>2379.52619</v>
      </c>
    </row>
    <row r="1107" spans="2:9" ht="12.95" customHeight="1">
      <c r="B1107" t="s">
        <v>1927</v>
      </c>
      <c r="E1107" t="s">
        <v>1924</v>
      </c>
      <c r="F1107">
        <f>+F1106</f>
        <v>2379.52619</v>
      </c>
      <c r="I1107">
        <f>SUM(I1100:I1106)</f>
        <v>0</v>
      </c>
    </row>
    <row r="1108" spans="2:9" ht="12.95" customHeight="1">
      <c r="B1108" t="s">
        <v>1928</v>
      </c>
      <c r="E1108" t="s">
        <v>1926</v>
      </c>
      <c r="F1108">
        <f>F1107-(F1104+F1103)</f>
        <v>2360.04619</v>
      </c>
    </row>
    <row r="1111" spans="2:9">
      <c r="B1111" t="s">
        <v>1929</v>
      </c>
    </row>
    <row r="1112" spans="2:9">
      <c r="B1112" t="s">
        <v>1930</v>
      </c>
    </row>
    <row r="1113" spans="2:9">
      <c r="B1113" t="s">
        <v>192</v>
      </c>
      <c r="C1113">
        <v>13</v>
      </c>
      <c r="D1113" t="s">
        <v>3</v>
      </c>
      <c r="E1113">
        <v>25.93</v>
      </c>
      <c r="F1113">
        <f t="shared" ref="F1113:F1121" si="20">C1113*E1113</f>
        <v>337.09</v>
      </c>
    </row>
    <row r="1114" spans="2:9">
      <c r="B1114" t="s">
        <v>1931</v>
      </c>
      <c r="C1114">
        <v>13</v>
      </c>
      <c r="D1114" t="s">
        <v>3</v>
      </c>
      <c r="E1114">
        <f>+E1099</f>
        <v>15.78</v>
      </c>
      <c r="F1114">
        <f t="shared" si="20"/>
        <v>205.14</v>
      </c>
    </row>
    <row r="1115" spans="2:9">
      <c r="B1115" t="s">
        <v>1932</v>
      </c>
      <c r="C1115">
        <v>13</v>
      </c>
      <c r="D1115" t="s">
        <v>3</v>
      </c>
      <c r="E1115">
        <v>1.43</v>
      </c>
      <c r="F1115">
        <f t="shared" si="20"/>
        <v>18.59</v>
      </c>
    </row>
    <row r="1116" spans="2:9">
      <c r="B1116" t="s">
        <v>194</v>
      </c>
      <c r="C1116">
        <v>0.03</v>
      </c>
      <c r="D1116" t="s">
        <v>2</v>
      </c>
      <c r="E1116">
        <f>+E1100</f>
        <v>45603.89</v>
      </c>
      <c r="F1116">
        <f t="shared" si="20"/>
        <v>1368.1167</v>
      </c>
    </row>
    <row r="1117" spans="2:9">
      <c r="B1117" t="s">
        <v>195</v>
      </c>
      <c r="C1117">
        <v>0.01</v>
      </c>
      <c r="D1117" t="s">
        <v>2</v>
      </c>
      <c r="E1117">
        <f>+F47</f>
        <v>7063.5</v>
      </c>
      <c r="F1117">
        <f t="shared" si="20"/>
        <v>70.635000000000005</v>
      </c>
    </row>
    <row r="1118" spans="2:9">
      <c r="B1118" t="s">
        <v>196</v>
      </c>
      <c r="C1118">
        <v>0.03</v>
      </c>
      <c r="D1118" t="s">
        <v>126</v>
      </c>
      <c r="E1118">
        <f>+F62</f>
        <v>2913</v>
      </c>
      <c r="F1118">
        <f t="shared" si="20"/>
        <v>87.39</v>
      </c>
    </row>
    <row r="1119" spans="2:9">
      <c r="B1119" t="s">
        <v>197</v>
      </c>
      <c r="C1119">
        <v>0.18</v>
      </c>
      <c r="D1119" t="s">
        <v>155</v>
      </c>
      <c r="E1119">
        <v>35</v>
      </c>
      <c r="F1119">
        <f t="shared" si="20"/>
        <v>6.3</v>
      </c>
    </row>
    <row r="1120" spans="2:9">
      <c r="B1120" t="s">
        <v>198</v>
      </c>
      <c r="C1120">
        <v>0.02</v>
      </c>
      <c r="D1120" t="s">
        <v>148</v>
      </c>
      <c r="E1120">
        <v>659</v>
      </c>
      <c r="F1120">
        <f t="shared" si="20"/>
        <v>13.18</v>
      </c>
    </row>
    <row r="1121" spans="2:6">
      <c r="B1121" t="s">
        <v>199</v>
      </c>
      <c r="C1121">
        <v>0.01</v>
      </c>
      <c r="D1121" t="s">
        <v>2</v>
      </c>
      <c r="E1121">
        <v>659</v>
      </c>
      <c r="F1121">
        <f t="shared" si="20"/>
        <v>6.59</v>
      </c>
    </row>
    <row r="1122" spans="2:6">
      <c r="E1122" t="s">
        <v>1031</v>
      </c>
      <c r="F1122">
        <f>SUM(F1113:F1121)</f>
        <v>2113.0317</v>
      </c>
    </row>
    <row r="1123" spans="2:6">
      <c r="B1123" t="s">
        <v>1933</v>
      </c>
      <c r="F1123">
        <f>+F1122-(F1120+F1119)</f>
        <v>2093.5517</v>
      </c>
    </row>
    <row r="1124" spans="2:6">
      <c r="B1124" t="s">
        <v>1934</v>
      </c>
      <c r="F1124">
        <f>F1122-(F1117+F1118)+(E1117*0.02)+(E1118*0.06)</f>
        <v>2271.0567000000001</v>
      </c>
    </row>
    <row r="1125" spans="2:6">
      <c r="B1125" t="s">
        <v>1935</v>
      </c>
      <c r="F1125">
        <f>F1124-(F1119+F1120)</f>
        <v>2251.5767000000001</v>
      </c>
    </row>
    <row r="1126" spans="2:6">
      <c r="B1126" t="s">
        <v>1936</v>
      </c>
      <c r="F1126">
        <f>F1122-(F1117+F1118)+(E1117*0.05)+(E1118*0.15)</f>
        <v>2745.1316999999999</v>
      </c>
    </row>
    <row r="1127" spans="2:6">
      <c r="B1127" t="s">
        <v>1937</v>
      </c>
      <c r="F1127">
        <f>F1126-(F1119+F1120)</f>
        <v>2725.6516999999999</v>
      </c>
    </row>
    <row r="1129" spans="2:6">
      <c r="B1129" t="s">
        <v>1938</v>
      </c>
    </row>
    <row r="1130" spans="2:6">
      <c r="B1130" t="s">
        <v>1048</v>
      </c>
      <c r="C1130">
        <v>13</v>
      </c>
      <c r="D1130" t="s">
        <v>3</v>
      </c>
      <c r="E1130">
        <v>24.46</v>
      </c>
      <c r="F1130">
        <f t="shared" ref="F1130:F1137" si="21">C1130*E1130</f>
        <v>317.98</v>
      </c>
    </row>
    <row r="1131" spans="2:6">
      <c r="B1131" t="s">
        <v>1049</v>
      </c>
      <c r="C1131">
        <v>13</v>
      </c>
      <c r="D1131" t="s">
        <v>3</v>
      </c>
      <c r="E1131">
        <v>18</v>
      </c>
      <c r="F1131">
        <f t="shared" si="21"/>
        <v>234</v>
      </c>
    </row>
    <row r="1132" spans="2:6">
      <c r="B1132" t="s">
        <v>1050</v>
      </c>
      <c r="C1132">
        <v>0.02</v>
      </c>
      <c r="D1132" t="s">
        <v>2</v>
      </c>
      <c r="E1132">
        <f>F713</f>
        <v>45603.89</v>
      </c>
      <c r="F1132">
        <f t="shared" si="21"/>
        <v>912.07780000000002</v>
      </c>
    </row>
    <row r="1133" spans="2:6">
      <c r="B1133" t="s">
        <v>1051</v>
      </c>
      <c r="C1133">
        <v>0.01</v>
      </c>
      <c r="D1133" t="s">
        <v>2</v>
      </c>
      <c r="E1133">
        <f>SUM(F1081)</f>
        <v>22060.923999999999</v>
      </c>
      <c r="F1133">
        <f t="shared" si="21"/>
        <v>220.60924</v>
      </c>
    </row>
    <row r="1134" spans="2:6">
      <c r="B1134" t="s">
        <v>1052</v>
      </c>
      <c r="C1134">
        <v>0.03</v>
      </c>
      <c r="D1134" t="s">
        <v>126</v>
      </c>
      <c r="E1134">
        <f>F1064</f>
        <v>7416.6750000000002</v>
      </c>
      <c r="F1134">
        <f t="shared" si="21"/>
        <v>222.50024999999999</v>
      </c>
    </row>
    <row r="1135" spans="2:6">
      <c r="B1135" t="s">
        <v>1053</v>
      </c>
      <c r="C1135">
        <v>0.18</v>
      </c>
      <c r="D1135" t="s">
        <v>155</v>
      </c>
      <c r="E1135">
        <v>35</v>
      </c>
      <c r="F1135">
        <f t="shared" si="21"/>
        <v>6.3</v>
      </c>
    </row>
    <row r="1136" spans="2:6">
      <c r="B1136" t="s">
        <v>198</v>
      </c>
      <c r="C1136">
        <v>0.02</v>
      </c>
      <c r="D1136" t="s">
        <v>148</v>
      </c>
      <c r="E1136">
        <v>659</v>
      </c>
      <c r="F1136">
        <f t="shared" si="21"/>
        <v>13.18</v>
      </c>
    </row>
    <row r="1137" spans="2:8">
      <c r="B1137" t="s">
        <v>199</v>
      </c>
      <c r="C1137">
        <v>0.01</v>
      </c>
      <c r="D1137" t="s">
        <v>2</v>
      </c>
      <c r="E1137">
        <v>659</v>
      </c>
      <c r="F1137">
        <f t="shared" si="21"/>
        <v>6.59</v>
      </c>
    </row>
    <row r="1138" spans="2:8">
      <c r="E1138" t="s">
        <v>1031</v>
      </c>
      <c r="F1138">
        <f>SUM(F1130:F1137)</f>
        <v>1933.23729</v>
      </c>
    </row>
    <row r="1145" spans="2:8">
      <c r="B1145" t="s">
        <v>1908</v>
      </c>
    </row>
    <row r="1147" spans="2:8">
      <c r="B1147" t="s">
        <v>1909</v>
      </c>
      <c r="C1147">
        <f>4.1*1.4*1.82</f>
        <v>10.4468</v>
      </c>
      <c r="D1147" t="s">
        <v>2</v>
      </c>
      <c r="E1147">
        <v>340.5</v>
      </c>
      <c r="F1147">
        <f t="shared" ref="F1147:F1163" si="22">ROUND(C1147*E1147,2)</f>
        <v>3557.14</v>
      </c>
    </row>
    <row r="1148" spans="2:8">
      <c r="B1148" t="s">
        <v>1910</v>
      </c>
      <c r="C1148">
        <f>ROUND(C1147*1.35,2)</f>
        <v>14.1</v>
      </c>
      <c r="D1148" t="s">
        <v>2</v>
      </c>
      <c r="E1148">
        <v>165</v>
      </c>
      <c r="F1148">
        <f t="shared" si="22"/>
        <v>2326.5</v>
      </c>
      <c r="H1148">
        <f>0.8*0.8*0.8*1.25</f>
        <v>0.64</v>
      </c>
    </row>
    <row r="1149" spans="2:8">
      <c r="B1149" t="s">
        <v>1911</v>
      </c>
      <c r="C1149">
        <v>5.0199999999999996</v>
      </c>
      <c r="D1149" t="s">
        <v>2</v>
      </c>
      <c r="E1149">
        <f>+F808</f>
        <v>3500</v>
      </c>
      <c r="F1149">
        <f t="shared" si="22"/>
        <v>17570</v>
      </c>
    </row>
    <row r="1150" spans="2:8">
      <c r="B1150" t="s">
        <v>1912</v>
      </c>
      <c r="C1150">
        <v>0.18</v>
      </c>
      <c r="D1150" t="s">
        <v>126</v>
      </c>
      <c r="E1150">
        <f>+F791</f>
        <v>1922.58</v>
      </c>
      <c r="F1150">
        <f t="shared" si="22"/>
        <v>346.06</v>
      </c>
    </row>
    <row r="1152" spans="2:8">
      <c r="B1152" t="s">
        <v>1916</v>
      </c>
    </row>
    <row r="1153" spans="2:6">
      <c r="B1153" t="s">
        <v>901</v>
      </c>
      <c r="C1153">
        <v>7.28</v>
      </c>
      <c r="D1153" t="s">
        <v>11</v>
      </c>
      <c r="E1153">
        <f>+F1107</f>
        <v>2379.52619</v>
      </c>
      <c r="F1153">
        <f t="shared" si="22"/>
        <v>17322.95</v>
      </c>
    </row>
    <row r="1154" spans="2:6">
      <c r="B1154" t="s">
        <v>1944</v>
      </c>
      <c r="C1154">
        <v>3.64</v>
      </c>
      <c r="D1154" t="s">
        <v>11</v>
      </c>
      <c r="E1154">
        <f>+F1107</f>
        <v>2379.52619</v>
      </c>
      <c r="F1154">
        <f t="shared" si="22"/>
        <v>8661.48</v>
      </c>
    </row>
    <row r="1155" spans="2:6">
      <c r="B1155" t="s">
        <v>1945</v>
      </c>
      <c r="C1155">
        <v>3.92</v>
      </c>
      <c r="D1155" t="s">
        <v>11</v>
      </c>
      <c r="E1155">
        <f>+F1107</f>
        <v>2379.52619</v>
      </c>
      <c r="F1155">
        <f t="shared" si="22"/>
        <v>9327.74</v>
      </c>
    </row>
    <row r="1156" spans="2:6">
      <c r="B1156" t="s">
        <v>1947</v>
      </c>
    </row>
    <row r="1157" spans="2:6">
      <c r="B1157" t="s">
        <v>1949</v>
      </c>
      <c r="C1157">
        <v>4</v>
      </c>
      <c r="D1157" t="s">
        <v>976</v>
      </c>
      <c r="E1157">
        <v>1350.07</v>
      </c>
      <c r="F1157">
        <f>+E1157*C1157</f>
        <v>5400.28</v>
      </c>
    </row>
    <row r="1158" spans="2:6">
      <c r="B1158" t="s">
        <v>1948</v>
      </c>
      <c r="C1158">
        <v>2</v>
      </c>
      <c r="D1158" t="s">
        <v>976</v>
      </c>
      <c r="E1158">
        <v>226.42</v>
      </c>
      <c r="F1158">
        <f>+E1158*C1158</f>
        <v>452.84</v>
      </c>
    </row>
    <row r="1159" spans="2:6">
      <c r="B1159" t="s">
        <v>1946</v>
      </c>
      <c r="C1159">
        <f>0.9*1*0.7</f>
        <v>0.63</v>
      </c>
      <c r="D1159" t="s">
        <v>2</v>
      </c>
      <c r="E1159">
        <f>+F21</f>
        <v>1215</v>
      </c>
    </row>
    <row r="1160" spans="2:6">
      <c r="B1160" t="s">
        <v>1913</v>
      </c>
      <c r="C1160">
        <v>0.03</v>
      </c>
      <c r="D1160" t="s">
        <v>2</v>
      </c>
      <c r="E1160">
        <f>+E1149</f>
        <v>3500</v>
      </c>
      <c r="F1160">
        <f t="shared" si="22"/>
        <v>105</v>
      </c>
    </row>
    <row r="1161" spans="2:6">
      <c r="B1161" t="s">
        <v>1914</v>
      </c>
      <c r="C1161">
        <v>0.01</v>
      </c>
      <c r="D1161" t="s">
        <v>2</v>
      </c>
      <c r="E1161">
        <f>+E1160*1.07</f>
        <v>3745</v>
      </c>
      <c r="F1161">
        <f>ROUND(C1161*E1161,2)</f>
        <v>37.450000000000003</v>
      </c>
    </row>
    <row r="1162" spans="2:6">
      <c r="B1162" t="s">
        <v>1951</v>
      </c>
      <c r="C1162">
        <v>3</v>
      </c>
      <c r="D1162" t="s">
        <v>3</v>
      </c>
      <c r="E1162">
        <f>+F1177</f>
        <v>33145.550000000003</v>
      </c>
      <c r="F1162">
        <f>ROUND(C1162*E1162,2)</f>
        <v>99436.65</v>
      </c>
    </row>
    <row r="1163" spans="2:6">
      <c r="B1163" t="s">
        <v>1698</v>
      </c>
      <c r="C1163">
        <v>1</v>
      </c>
      <c r="D1163" t="s">
        <v>3</v>
      </c>
      <c r="E1163">
        <v>2000</v>
      </c>
      <c r="F1163">
        <f t="shared" si="22"/>
        <v>2000</v>
      </c>
    </row>
    <row r="1164" spans="2:6">
      <c r="E1164" t="s">
        <v>1039</v>
      </c>
      <c r="F1164">
        <f>SUM(F1147:F1163)</f>
        <v>166544.09</v>
      </c>
    </row>
    <row r="1166" spans="2:6">
      <c r="B1166" t="s">
        <v>1939</v>
      </c>
    </row>
    <row r="1167" spans="2:6">
      <c r="B1167" t="s">
        <v>1940</v>
      </c>
      <c r="C1167">
        <v>75</v>
      </c>
      <c r="D1167" t="s">
        <v>800</v>
      </c>
      <c r="E1167">
        <v>1000</v>
      </c>
      <c r="F1167">
        <f>ROUND(C1167*E1167,2)</f>
        <v>75000</v>
      </c>
    </row>
    <row r="1168" spans="2:6">
      <c r="B1168" t="s">
        <v>1941</v>
      </c>
      <c r="C1168">
        <v>75</v>
      </c>
      <c r="D1168" t="s">
        <v>800</v>
      </c>
      <c r="E1168">
        <v>300</v>
      </c>
      <c r="F1168">
        <f>ROUND(C1168*E1168,2)</f>
        <v>22500</v>
      </c>
    </row>
    <row r="1169" spans="2:10">
      <c r="B1169" t="s">
        <v>1942</v>
      </c>
      <c r="C1169">
        <v>50</v>
      </c>
      <c r="D1169" t="s">
        <v>800</v>
      </c>
      <c r="E1169">
        <v>35</v>
      </c>
      <c r="F1169">
        <f>ROUND(C1169*E1169,2)</f>
        <v>1750</v>
      </c>
    </row>
    <row r="1170" spans="2:10">
      <c r="B1170" t="s">
        <v>1943</v>
      </c>
      <c r="C1170">
        <v>75</v>
      </c>
      <c r="D1170" t="s">
        <v>800</v>
      </c>
      <c r="E1170">
        <v>1000</v>
      </c>
      <c r="F1170">
        <f>ROUND(C1170*E1170,2)</f>
        <v>75000</v>
      </c>
    </row>
    <row r="1171" spans="2:10">
      <c r="E1171" t="s">
        <v>11</v>
      </c>
      <c r="F1171">
        <f>ROUND(SUM(F1167:F1170),2)</f>
        <v>174250</v>
      </c>
    </row>
    <row r="1173" spans="2:10" ht="12.6" customHeight="1">
      <c r="B1173" t="s">
        <v>1950</v>
      </c>
    </row>
    <row r="1174" spans="2:10" ht="12.6" customHeight="1">
      <c r="B1174" t="s">
        <v>1682</v>
      </c>
      <c r="C1174">
        <f>0.7*0.7*0.05</f>
        <v>2.4500000000000001E-2</v>
      </c>
      <c r="D1174" t="s">
        <v>2</v>
      </c>
      <c r="E1174">
        <f>+F303</f>
        <v>7531.68</v>
      </c>
      <c r="F1174">
        <f>C1174*E1174</f>
        <v>184.52616</v>
      </c>
    </row>
    <row r="1175" spans="2:10" ht="12.6" customHeight="1">
      <c r="B1175" t="s">
        <v>1859</v>
      </c>
      <c r="C1175">
        <v>11.14</v>
      </c>
      <c r="D1175" t="s">
        <v>126</v>
      </c>
      <c r="E1175">
        <f>+F62</f>
        <v>2913</v>
      </c>
      <c r="F1175">
        <f>C1175*E1175</f>
        <v>32450.82</v>
      </c>
      <c r="H1175">
        <f>3*0.9*2</f>
        <v>5.4</v>
      </c>
    </row>
    <row r="1176" spans="2:10" ht="12.6" customHeight="1">
      <c r="B1176" t="s">
        <v>1862</v>
      </c>
      <c r="C1176">
        <f>1/(0.7*0.7)</f>
        <v>2.0408163265306101</v>
      </c>
      <c r="D1176" t="s">
        <v>1</v>
      </c>
      <c r="E1176">
        <v>250</v>
      </c>
      <c r="F1176">
        <f>C1176*E1176</f>
        <v>510.20408163265301</v>
      </c>
    </row>
    <row r="1177" spans="2:10" ht="12.6" customHeight="1">
      <c r="E1177" t="s">
        <v>1031</v>
      </c>
      <c r="F1177">
        <f>ROUND(SUM(F1174:F1176),2)</f>
        <v>33145.550000000003</v>
      </c>
      <c r="H1177">
        <v>8</v>
      </c>
      <c r="I1177">
        <v>0.75</v>
      </c>
      <c r="J1177">
        <f>+I1177*H1177</f>
        <v>6</v>
      </c>
    </row>
    <row r="1178" spans="2:10">
      <c r="J1178">
        <f>0.526*J1177</f>
        <v>3.1560000000000001</v>
      </c>
    </row>
    <row r="1179" spans="2:10">
      <c r="B1179" t="s">
        <v>900</v>
      </c>
    </row>
    <row r="1181" spans="2:10">
      <c r="B1181" t="s">
        <v>1952</v>
      </c>
      <c r="C1181">
        <v>0.28999999999999998</v>
      </c>
      <c r="D1181" t="s">
        <v>2</v>
      </c>
      <c r="E1181">
        <f>+F303</f>
        <v>7531.68</v>
      </c>
      <c r="F1181">
        <f t="shared" ref="F1181:F1186" si="23">ROUND(C1181*E1181,2)</f>
        <v>2184.19</v>
      </c>
    </row>
    <row r="1182" spans="2:10">
      <c r="B1182" t="s">
        <v>1953</v>
      </c>
      <c r="C1182">
        <v>3.78</v>
      </c>
      <c r="D1182" t="s">
        <v>11</v>
      </c>
      <c r="E1182">
        <f>+F1069</f>
        <v>0</v>
      </c>
      <c r="F1182">
        <f t="shared" si="23"/>
        <v>0</v>
      </c>
    </row>
    <row r="1183" spans="2:10">
      <c r="B1183" t="s">
        <v>1954</v>
      </c>
      <c r="C1183">
        <v>0.27</v>
      </c>
      <c r="D1183" t="s">
        <v>126</v>
      </c>
      <c r="E1183">
        <f>+F62</f>
        <v>2913</v>
      </c>
      <c r="F1183">
        <f t="shared" si="23"/>
        <v>786.51</v>
      </c>
    </row>
    <row r="1184" spans="2:10">
      <c r="B1184" t="s">
        <v>377</v>
      </c>
      <c r="C1184">
        <v>3.24</v>
      </c>
      <c r="D1184" t="s">
        <v>11</v>
      </c>
      <c r="E1184">
        <f>+C936</f>
        <v>0</v>
      </c>
      <c r="F1184">
        <f t="shared" si="23"/>
        <v>0</v>
      </c>
    </row>
    <row r="1185" spans="2:6">
      <c r="B1185" t="s">
        <v>1955</v>
      </c>
      <c r="C1185">
        <v>1.58</v>
      </c>
      <c r="D1185" t="s">
        <v>1896</v>
      </c>
      <c r="E1185">
        <v>315.23</v>
      </c>
      <c r="F1185">
        <f t="shared" si="23"/>
        <v>498.06</v>
      </c>
    </row>
    <row r="1186" spans="2:6">
      <c r="B1186" t="s">
        <v>697</v>
      </c>
      <c r="C1186">
        <v>1</v>
      </c>
      <c r="D1186" t="s">
        <v>3</v>
      </c>
      <c r="E1186">
        <v>450</v>
      </c>
      <c r="F1186">
        <f t="shared" si="23"/>
        <v>450</v>
      </c>
    </row>
    <row r="1187" spans="2:6">
      <c r="E1187" t="s">
        <v>1031</v>
      </c>
      <c r="F1187">
        <f>SUM(F1181:F1186)</f>
        <v>3918.76</v>
      </c>
    </row>
    <row r="1189" spans="2:6">
      <c r="B1189" t="s">
        <v>1159</v>
      </c>
    </row>
    <row r="1191" spans="2:6">
      <c r="B1191" t="s">
        <v>268</v>
      </c>
      <c r="C1191">
        <v>2.2599999999999998</v>
      </c>
      <c r="D1191" t="s">
        <v>269</v>
      </c>
    </row>
    <row r="1192" spans="2:6">
      <c r="B1192" t="s">
        <v>270</v>
      </c>
    </row>
    <row r="1193" spans="2:6">
      <c r="B1193" t="s">
        <v>271</v>
      </c>
      <c r="C1193">
        <v>1.05</v>
      </c>
      <c r="D1193" t="s">
        <v>2</v>
      </c>
      <c r="E1193">
        <f>+E1035</f>
        <v>0</v>
      </c>
      <c r="F1193">
        <f>C1193*E1193</f>
        <v>0</v>
      </c>
    </row>
    <row r="1194" spans="2:6">
      <c r="B1194" t="s">
        <v>272</v>
      </c>
      <c r="C1194">
        <f>+C1191</f>
        <v>2.2599999999999998</v>
      </c>
      <c r="D1194" t="s">
        <v>126</v>
      </c>
      <c r="E1194" t="e">
        <f>+#REF!</f>
        <v>#REF!</v>
      </c>
      <c r="F1194" t="e">
        <f>C1194*E1194</f>
        <v>#REF!</v>
      </c>
    </row>
    <row r="1195" spans="2:6">
      <c r="E1195" t="s">
        <v>274</v>
      </c>
      <c r="F1195" t="e">
        <f>SUM(F1193:F1194)</f>
        <v>#REF!</v>
      </c>
    </row>
    <row r="1196" spans="2:6">
      <c r="E1196" t="s">
        <v>275</v>
      </c>
      <c r="F1196" t="e">
        <v>#REF!</v>
      </c>
    </row>
    <row r="1197" spans="2:6">
      <c r="B1197" t="s">
        <v>276</v>
      </c>
    </row>
    <row r="1198" spans="2:6">
      <c r="B1198" t="s">
        <v>1158</v>
      </c>
      <c r="C1198">
        <v>0.25</v>
      </c>
      <c r="D1198" t="s">
        <v>3</v>
      </c>
      <c r="E1198">
        <v>1770.16</v>
      </c>
      <c r="F1198">
        <f>C1198*E1198</f>
        <v>442.54</v>
      </c>
    </row>
    <row r="1199" spans="2:6">
      <c r="B1199" t="s">
        <v>280</v>
      </c>
      <c r="C1199">
        <v>0.1</v>
      </c>
      <c r="D1199" t="s">
        <v>183</v>
      </c>
      <c r="E1199">
        <v>35</v>
      </c>
      <c r="F1199">
        <f>C1199*E1199</f>
        <v>3.5</v>
      </c>
    </row>
    <row r="1200" spans="2:6">
      <c r="B1200" t="s">
        <v>63</v>
      </c>
      <c r="C1200">
        <v>30</v>
      </c>
      <c r="D1200" t="s">
        <v>46</v>
      </c>
      <c r="E1200">
        <f>+SUM(F1198:F1199)</f>
        <v>446.04</v>
      </c>
      <c r="F1200">
        <f>+(C1200/100)*E1200</f>
        <v>133.81200000000001</v>
      </c>
    </row>
    <row r="1201" spans="2:6">
      <c r="E1201" t="s">
        <v>275</v>
      </c>
      <c r="F1201">
        <f>SUM(F1198:F1200)</f>
        <v>579.85199999999998</v>
      </c>
    </row>
    <row r="1203" spans="2:6">
      <c r="C1203" t="s">
        <v>281</v>
      </c>
      <c r="F1203" t="e">
        <f>+F1196+F1201</f>
        <v>#REF!</v>
      </c>
    </row>
    <row r="1205" spans="2:6">
      <c r="B1205" t="s">
        <v>1160</v>
      </c>
    </row>
    <row r="1207" spans="2:6">
      <c r="B1207" t="s">
        <v>268</v>
      </c>
      <c r="C1207">
        <v>3.26</v>
      </c>
      <c r="D1207" t="s">
        <v>269</v>
      </c>
    </row>
    <row r="1208" spans="2:6">
      <c r="B1208" t="s">
        <v>270</v>
      </c>
    </row>
    <row r="1209" spans="2:6">
      <c r="B1209" t="s">
        <v>271</v>
      </c>
      <c r="C1209">
        <v>1.05</v>
      </c>
      <c r="D1209" t="s">
        <v>2</v>
      </c>
      <c r="E1209">
        <f>+E1193</f>
        <v>0</v>
      </c>
      <c r="F1209">
        <f>C1209*E1209</f>
        <v>0</v>
      </c>
    </row>
    <row r="1210" spans="2:6">
      <c r="B1210" t="s">
        <v>272</v>
      </c>
      <c r="C1210">
        <f>+C1207</f>
        <v>3.26</v>
      </c>
      <c r="D1210" t="s">
        <v>126</v>
      </c>
      <c r="E1210">
        <f>+E1175</f>
        <v>2913</v>
      </c>
      <c r="F1210">
        <f>C1210*E1210</f>
        <v>9496.3799999999992</v>
      </c>
    </row>
    <row r="1211" spans="2:6">
      <c r="E1211" t="s">
        <v>274</v>
      </c>
      <c r="F1211">
        <f>SUM(F1209:F1210)</f>
        <v>9496.3799999999992</v>
      </c>
    </row>
    <row r="1212" spans="2:6">
      <c r="E1212" t="s">
        <v>275</v>
      </c>
      <c r="F1212">
        <v>3323.7330000000002</v>
      </c>
    </row>
    <row r="1213" spans="2:6">
      <c r="B1213" t="s">
        <v>276</v>
      </c>
    </row>
    <row r="1214" spans="2:6">
      <c r="B1214" t="s">
        <v>1956</v>
      </c>
      <c r="C1214">
        <v>0.25</v>
      </c>
      <c r="D1214" t="s">
        <v>3</v>
      </c>
      <c r="E1214">
        <v>1770.16</v>
      </c>
      <c r="F1214">
        <f>C1214*E1214</f>
        <v>442.54</v>
      </c>
    </row>
    <row r="1215" spans="2:6">
      <c r="B1215" t="s">
        <v>280</v>
      </c>
      <c r="C1215">
        <v>0.1</v>
      </c>
      <c r="D1215" t="s">
        <v>183</v>
      </c>
      <c r="E1215">
        <v>35</v>
      </c>
      <c r="F1215">
        <f>C1215*E1215</f>
        <v>3.5</v>
      </c>
    </row>
    <row r="1216" spans="2:6">
      <c r="B1216" t="s">
        <v>63</v>
      </c>
      <c r="C1216">
        <v>30</v>
      </c>
      <c r="D1216" t="s">
        <v>46</v>
      </c>
      <c r="E1216">
        <f>+SUM(F1214:F1215)</f>
        <v>446.04</v>
      </c>
      <c r="F1216">
        <f>+(C1216/100)*E1216</f>
        <v>133.81200000000001</v>
      </c>
    </row>
    <row r="1217" spans="2:6">
      <c r="E1217" t="s">
        <v>275</v>
      </c>
      <c r="F1217">
        <f>SUM(F1214:F1216)</f>
        <v>579.85199999999998</v>
      </c>
    </row>
    <row r="1219" spans="2:6">
      <c r="C1219" t="s">
        <v>281</v>
      </c>
      <c r="F1219">
        <f>+F1212+F1217</f>
        <v>3903.585</v>
      </c>
    </row>
    <row r="1221" spans="2:6">
      <c r="B1221" t="s">
        <v>1161</v>
      </c>
    </row>
    <row r="1222" spans="2:6">
      <c r="B1222" t="s">
        <v>358</v>
      </c>
      <c r="C1222">
        <v>1</v>
      </c>
      <c r="D1222" t="s">
        <v>47</v>
      </c>
      <c r="E1222">
        <v>425</v>
      </c>
      <c r="F1222">
        <f>C1222*E1222</f>
        <v>425</v>
      </c>
    </row>
    <row r="1223" spans="2:6">
      <c r="B1223" t="s">
        <v>331</v>
      </c>
      <c r="C1223">
        <v>2</v>
      </c>
      <c r="D1223" t="s">
        <v>138</v>
      </c>
      <c r="E1223">
        <v>196.87</v>
      </c>
      <c r="F1223">
        <f>C1223*E1223</f>
        <v>393.74</v>
      </c>
    </row>
    <row r="1224" spans="2:6">
      <c r="B1224" t="s">
        <v>1162</v>
      </c>
      <c r="E1224">
        <v>200</v>
      </c>
      <c r="F1224">
        <f>0.15*F1223</f>
        <v>59.061</v>
      </c>
    </row>
    <row r="1225" spans="2:6">
      <c r="B1225" t="s">
        <v>1163</v>
      </c>
      <c r="C1225">
        <v>1</v>
      </c>
      <c r="D1225" t="s">
        <v>47</v>
      </c>
      <c r="E1225">
        <v>100</v>
      </c>
      <c r="F1225">
        <f>C1225*E1225</f>
        <v>100</v>
      </c>
    </row>
    <row r="1226" spans="2:6">
      <c r="B1226" t="s">
        <v>1163</v>
      </c>
      <c r="C1226">
        <v>1</v>
      </c>
      <c r="D1226" t="s">
        <v>47</v>
      </c>
      <c r="E1226">
        <v>100</v>
      </c>
      <c r="F1226">
        <f>C1226*E1226</f>
        <v>100</v>
      </c>
    </row>
    <row r="1227" spans="2:6">
      <c r="B1227" t="s">
        <v>330</v>
      </c>
      <c r="C1227">
        <v>1</v>
      </c>
      <c r="D1227" t="s">
        <v>47</v>
      </c>
      <c r="E1227">
        <v>68.75</v>
      </c>
      <c r="F1227">
        <f>C1227*E1227</f>
        <v>68.75</v>
      </c>
    </row>
    <row r="1228" spans="2:6">
      <c r="B1228" t="s">
        <v>330</v>
      </c>
      <c r="C1228">
        <v>1</v>
      </c>
      <c r="D1228" t="s">
        <v>47</v>
      </c>
      <c r="E1228">
        <v>68.75</v>
      </c>
      <c r="F1228">
        <f>C1228*E1228</f>
        <v>68.75</v>
      </c>
    </row>
    <row r="1229" spans="2:6">
      <c r="B1229" t="s">
        <v>1164</v>
      </c>
      <c r="F1229">
        <f>250/8</f>
        <v>31.25</v>
      </c>
    </row>
    <row r="1230" spans="2:6">
      <c r="B1230" t="s">
        <v>1165</v>
      </c>
      <c r="F1230">
        <f>200/8/1.035</f>
        <v>24.154589371980698</v>
      </c>
    </row>
    <row r="1231" spans="2:6">
      <c r="E1231" t="s">
        <v>296</v>
      </c>
      <c r="F1231">
        <f>SUM(F1222:F1230)</f>
        <v>1270.7055893719801</v>
      </c>
    </row>
    <row r="1232" spans="2:6">
      <c r="B1232" t="s">
        <v>1166</v>
      </c>
      <c r="C1232">
        <v>0.64</v>
      </c>
    </row>
    <row r="1233" spans="2:6">
      <c r="E1233" t="s">
        <v>298</v>
      </c>
      <c r="F1233">
        <f>ROUND(F1231/C1232,2)</f>
        <v>1985.48</v>
      </c>
    </row>
    <row r="1235" spans="2:6">
      <c r="E1235" t="s">
        <v>1167</v>
      </c>
      <c r="F1235">
        <f>+F1231*8</f>
        <v>10165.644714975801</v>
      </c>
    </row>
    <row r="1237" spans="2:6">
      <c r="B1237" t="s">
        <v>1192</v>
      </c>
    </row>
    <row r="1239" spans="2:6">
      <c r="B1239" t="s">
        <v>268</v>
      </c>
      <c r="C1239">
        <v>0.84</v>
      </c>
      <c r="D1239" t="s">
        <v>269</v>
      </c>
    </row>
    <row r="1240" spans="2:6">
      <c r="B1240" t="s">
        <v>270</v>
      </c>
    </row>
    <row r="1241" spans="2:6">
      <c r="B1241" t="s">
        <v>271</v>
      </c>
      <c r="C1241">
        <v>1.05</v>
      </c>
      <c r="D1241" t="s">
        <v>2</v>
      </c>
      <c r="E1241" t="e">
        <f>+#REF!</f>
        <v>#REF!</v>
      </c>
      <c r="F1241" t="e">
        <f>C1241*E1241</f>
        <v>#REF!</v>
      </c>
    </row>
    <row r="1242" spans="2:6">
      <c r="B1242" t="s">
        <v>272</v>
      </c>
      <c r="C1242">
        <f>+C1239</f>
        <v>0.84</v>
      </c>
      <c r="D1242" t="s">
        <v>126</v>
      </c>
      <c r="E1242">
        <f>+F62</f>
        <v>2913</v>
      </c>
      <c r="F1242">
        <f>C1242*E1242</f>
        <v>2446.92</v>
      </c>
    </row>
    <row r="1243" spans="2:6">
      <c r="E1243" t="s">
        <v>274</v>
      </c>
      <c r="F1243" t="e">
        <f>SUM(F1241:F1242)</f>
        <v>#REF!</v>
      </c>
    </row>
    <row r="1244" spans="2:6">
      <c r="C1244">
        <v>1.64</v>
      </c>
      <c r="E1244" t="s">
        <v>1194</v>
      </c>
      <c r="F1244" t="e">
        <f>+C1244*F1243</f>
        <v>#REF!</v>
      </c>
    </row>
    <row r="1245" spans="2:6">
      <c r="B1245" t="s">
        <v>276</v>
      </c>
    </row>
    <row r="1246" spans="2:6" ht="27.75" customHeight="1">
      <c r="B1246" t="s">
        <v>1158</v>
      </c>
      <c r="C1246">
        <v>2</v>
      </c>
      <c r="D1246" t="s">
        <v>3</v>
      </c>
      <c r="E1246">
        <v>750</v>
      </c>
      <c r="F1246">
        <f>C1246*E1246</f>
        <v>1500</v>
      </c>
    </row>
    <row r="1247" spans="2:6">
      <c r="B1247" t="s">
        <v>278</v>
      </c>
      <c r="C1247">
        <v>1.03</v>
      </c>
      <c r="D1247" t="s">
        <v>279</v>
      </c>
      <c r="E1247">
        <v>45</v>
      </c>
      <c r="F1247">
        <f>+E1247*C1247</f>
        <v>46.35</v>
      </c>
    </row>
    <row r="1248" spans="2:6">
      <c r="B1248" t="s">
        <v>280</v>
      </c>
      <c r="C1248">
        <v>2</v>
      </c>
      <c r="D1248" t="s">
        <v>183</v>
      </c>
      <c r="E1248">
        <v>45</v>
      </c>
      <c r="F1248">
        <f>+E1248*C1248</f>
        <v>90</v>
      </c>
    </row>
    <row r="1249" spans="2:6">
      <c r="B1249" t="s">
        <v>63</v>
      </c>
      <c r="C1249">
        <v>1</v>
      </c>
      <c r="D1249" t="s">
        <v>42</v>
      </c>
      <c r="E1249">
        <v>1200</v>
      </c>
      <c r="F1249">
        <f>+(C1249)*E1249</f>
        <v>1200</v>
      </c>
    </row>
    <row r="1250" spans="2:6">
      <c r="E1250" t="s">
        <v>1195</v>
      </c>
      <c r="F1250">
        <f>SUM(F1246:F1249)</f>
        <v>2836.35</v>
      </c>
    </row>
    <row r="1252" spans="2:6">
      <c r="C1252" t="s">
        <v>281</v>
      </c>
      <c r="F1252" t="e">
        <f>+F1244+F1250</f>
        <v>#REF!</v>
      </c>
    </row>
    <row r="1254" spans="2:6">
      <c r="B1254" t="s">
        <v>38</v>
      </c>
    </row>
    <row r="1255" spans="2:6">
      <c r="B1255" t="s">
        <v>282</v>
      </c>
      <c r="C1255">
        <v>0.77</v>
      </c>
      <c r="D1255" t="s">
        <v>2</v>
      </c>
      <c r="E1255">
        <v>240.23</v>
      </c>
      <c r="F1255">
        <f>C1255*E1255</f>
        <v>184.97710000000001</v>
      </c>
    </row>
    <row r="1256" spans="2:6">
      <c r="F1256">
        <f>F1255</f>
        <v>184.97710000000001</v>
      </c>
    </row>
    <row r="1259" spans="2:6">
      <c r="E1259" t="s">
        <v>1196</v>
      </c>
      <c r="F1259" t="e">
        <f>F1256+F1252</f>
        <v>#REF!</v>
      </c>
    </row>
    <row r="1262" spans="2:6" ht="42" customHeight="1">
      <c r="C1262" t="s">
        <v>1168</v>
      </c>
    </row>
    <row r="1264" spans="2:6">
      <c r="C1264" t="s">
        <v>268</v>
      </c>
      <c r="D1264">
        <v>0.51</v>
      </c>
      <c r="E1264" t="s">
        <v>269</v>
      </c>
    </row>
    <row r="1265" spans="3:7">
      <c r="C1265" t="s">
        <v>270</v>
      </c>
    </row>
    <row r="1266" spans="3:7">
      <c r="C1266" t="s">
        <v>271</v>
      </c>
      <c r="D1266">
        <v>1.05</v>
      </c>
      <c r="E1266" t="s">
        <v>2</v>
      </c>
      <c r="F1266">
        <f>+F1201</f>
        <v>579.85199999999998</v>
      </c>
      <c r="G1266">
        <f>D1266*F1266</f>
        <v>608.84460000000001</v>
      </c>
    </row>
    <row r="1267" spans="3:7">
      <c r="C1267" t="s">
        <v>272</v>
      </c>
      <c r="D1267">
        <v>0.51</v>
      </c>
      <c r="E1267" t="s">
        <v>126</v>
      </c>
      <c r="F1267">
        <f>+F1202</f>
        <v>0</v>
      </c>
      <c r="G1267">
        <f>D1267*F1267</f>
        <v>0</v>
      </c>
    </row>
    <row r="1268" spans="3:7">
      <c r="C1268" t="s">
        <v>273</v>
      </c>
      <c r="D1268">
        <v>0.97</v>
      </c>
      <c r="E1268" t="s">
        <v>118</v>
      </c>
      <c r="F1268" t="e">
        <f>+F1203</f>
        <v>#REF!</v>
      </c>
      <c r="G1268" t="e">
        <f>D1268*F1268</f>
        <v>#REF!</v>
      </c>
    </row>
    <row r="1269" spans="3:7">
      <c r="F1269" t="s">
        <v>274</v>
      </c>
      <c r="G1269" t="e">
        <f>SUM(G1266:G1268)</f>
        <v>#REF!</v>
      </c>
    </row>
    <row r="1270" spans="3:7">
      <c r="F1270" t="s">
        <v>275</v>
      </c>
      <c r="G1270" t="e">
        <f>(0.6*0.75+0.3*0.45)/2*1.45*G1269</f>
        <v>#REF!</v>
      </c>
    </row>
    <row r="1271" spans="3:7">
      <c r="C1271" t="s">
        <v>276</v>
      </c>
    </row>
    <row r="1272" spans="3:7">
      <c r="C1272" t="s">
        <v>1158</v>
      </c>
      <c r="D1272">
        <v>1</v>
      </c>
      <c r="E1272" t="s">
        <v>3</v>
      </c>
      <c r="F1272">
        <v>1850</v>
      </c>
      <c r="G1272">
        <f>D1272*F1272</f>
        <v>1850</v>
      </c>
    </row>
    <row r="1273" spans="3:7">
      <c r="C1273" t="s">
        <v>278</v>
      </c>
      <c r="D1273">
        <v>3.46</v>
      </c>
      <c r="E1273" t="s">
        <v>279</v>
      </c>
      <c r="F1273">
        <v>45</v>
      </c>
      <c r="G1273">
        <f>D1273*F1273</f>
        <v>155.69999999999999</v>
      </c>
    </row>
    <row r="1274" spans="3:7">
      <c r="C1274" t="s">
        <v>280</v>
      </c>
      <c r="D1274">
        <v>0.1</v>
      </c>
      <c r="E1274" t="s">
        <v>183</v>
      </c>
      <c r="F1274">
        <v>15.78</v>
      </c>
      <c r="G1274">
        <f>D1274*F1274</f>
        <v>1.5780000000000001</v>
      </c>
    </row>
    <row r="1275" spans="3:7">
      <c r="C1275" t="s">
        <v>63</v>
      </c>
      <c r="D1275">
        <v>30</v>
      </c>
      <c r="E1275" t="s">
        <v>46</v>
      </c>
      <c r="F1275">
        <f>+SUM(G1272:G1274)</f>
        <v>2007.278</v>
      </c>
      <c r="G1275">
        <f>+(D1275/100)*F1275</f>
        <v>602.18340000000001</v>
      </c>
    </row>
    <row r="1276" spans="3:7">
      <c r="F1276" t="s">
        <v>275</v>
      </c>
      <c r="G1276">
        <f>SUM(G1272:G1275)</f>
        <v>2609.4614000000001</v>
      </c>
    </row>
    <row r="1278" spans="3:7">
      <c r="C1278" t="s">
        <v>1169</v>
      </c>
    </row>
    <row r="1279" spans="3:7">
      <c r="C1279" t="s">
        <v>1170</v>
      </c>
      <c r="D1279">
        <v>0.42</v>
      </c>
      <c r="E1279" t="s">
        <v>2</v>
      </c>
      <c r="F1279">
        <f>+F1214</f>
        <v>442.54</v>
      </c>
      <c r="G1279">
        <f>D1279*F1279</f>
        <v>185.86680000000001</v>
      </c>
    </row>
    <row r="1280" spans="3:7">
      <c r="C1280" t="s">
        <v>1171</v>
      </c>
      <c r="D1280">
        <f>D1279*1.2</f>
        <v>0.504</v>
      </c>
      <c r="E1280" t="s">
        <v>2</v>
      </c>
      <c r="F1280">
        <v>90</v>
      </c>
      <c r="G1280">
        <f>D1280*F1280</f>
        <v>45.36</v>
      </c>
    </row>
    <row r="1281" spans="3:7">
      <c r="F1281" t="s">
        <v>275</v>
      </c>
      <c r="G1281">
        <f>SUM(G1279:G1280)</f>
        <v>231.2268</v>
      </c>
    </row>
    <row r="1283" spans="3:7">
      <c r="C1283" t="s">
        <v>1172</v>
      </c>
    </row>
    <row r="1285" spans="3:7">
      <c r="C1285" t="s">
        <v>1173</v>
      </c>
    </row>
    <row r="1286" spans="3:7">
      <c r="C1286" t="s">
        <v>151</v>
      </c>
      <c r="D1286">
        <f>0.42*0.45</f>
        <v>0.189</v>
      </c>
      <c r="E1286" t="s">
        <v>2</v>
      </c>
      <c r="F1286">
        <f>935.52</f>
        <v>935.52</v>
      </c>
      <c r="G1286">
        <f>ROUND(F1286*D1286,2)</f>
        <v>176.81</v>
      </c>
    </row>
    <row r="1287" spans="3:7">
      <c r="C1287" t="s">
        <v>124</v>
      </c>
      <c r="D1287">
        <f>0.42*0.9</f>
        <v>0.378</v>
      </c>
      <c r="E1287" t="s">
        <v>2</v>
      </c>
      <c r="F1287">
        <f>+F1286</f>
        <v>935.52</v>
      </c>
      <c r="G1287">
        <f>ROUND(F1287*D1287,2)</f>
        <v>353.63</v>
      </c>
    </row>
    <row r="1288" spans="3:7">
      <c r="C1288" t="s">
        <v>142</v>
      </c>
      <c r="D1288">
        <f>0.42*13</f>
        <v>5.46</v>
      </c>
      <c r="E1288" t="s">
        <v>1026</v>
      </c>
      <c r="F1288">
        <f>49.77</f>
        <v>49.77</v>
      </c>
      <c r="G1288">
        <f>ROUND(F1288*D1288,2)</f>
        <v>271.74</v>
      </c>
    </row>
    <row r="1289" spans="3:7">
      <c r="C1289" t="s">
        <v>1174</v>
      </c>
      <c r="D1289">
        <f>0.42*0.51</f>
        <v>0.2142</v>
      </c>
      <c r="E1289" t="s">
        <v>126</v>
      </c>
      <c r="F1289">
        <f>111.8</f>
        <v>111.8</v>
      </c>
      <c r="G1289">
        <f>ROUND(F1289*D1289,2)</f>
        <v>23.95</v>
      </c>
    </row>
    <row r="1292" spans="3:7">
      <c r="C1292" t="s">
        <v>1175</v>
      </c>
    </row>
    <row r="1293" spans="3:7">
      <c r="C1293" t="s">
        <v>151</v>
      </c>
      <c r="D1293">
        <f>+D1286</f>
        <v>0.189</v>
      </c>
      <c r="E1293" t="s">
        <v>2</v>
      </c>
      <c r="F1293">
        <v>2069.1999999999998</v>
      </c>
      <c r="G1293">
        <f>ROUND(F1293*D1293,2)</f>
        <v>391.08</v>
      </c>
    </row>
    <row r="1294" spans="3:7">
      <c r="C1294" t="s">
        <v>124</v>
      </c>
      <c r="D1294">
        <f>+D1287</f>
        <v>0.378</v>
      </c>
      <c r="E1294" t="s">
        <v>2</v>
      </c>
      <c r="F1294">
        <f>+F1293</f>
        <v>2069.1999999999998</v>
      </c>
      <c r="G1294">
        <f>ROUND(F1294*D1294,2)</f>
        <v>782.16</v>
      </c>
    </row>
    <row r="1295" spans="3:7">
      <c r="C1295" t="s">
        <v>142</v>
      </c>
      <c r="D1295">
        <f>+D1288</f>
        <v>5.46</v>
      </c>
      <c r="E1295" t="s">
        <v>2</v>
      </c>
      <c r="F1295">
        <v>62.08</v>
      </c>
      <c r="G1295">
        <f>ROUND(F1295*D1295,2)</f>
        <v>338.96</v>
      </c>
    </row>
    <row r="1296" spans="3:7">
      <c r="C1296" t="s">
        <v>1174</v>
      </c>
      <c r="D1296">
        <f>+D1289</f>
        <v>0.2142</v>
      </c>
      <c r="E1296" t="s">
        <v>2</v>
      </c>
      <c r="F1296">
        <v>135.69</v>
      </c>
      <c r="G1296">
        <f>ROUND(F1296*D1296,2)</f>
        <v>29.06</v>
      </c>
    </row>
    <row r="1297" spans="2:7">
      <c r="G1297">
        <f>SUM(G1286:G1296)</f>
        <v>2367.39</v>
      </c>
    </row>
    <row r="1299" spans="2:7">
      <c r="D1299" t="s">
        <v>281</v>
      </c>
      <c r="G1299" t="e">
        <f>G1297+G1281+G1276+G1270</f>
        <v>#REF!</v>
      </c>
    </row>
    <row r="1302" spans="2:7">
      <c r="B1302" t="s">
        <v>2090</v>
      </c>
    </row>
    <row r="1303" spans="2:7">
      <c r="B1303" t="s">
        <v>1140</v>
      </c>
    </row>
    <row r="1304" spans="2:7">
      <c r="B1304" t="s">
        <v>1141</v>
      </c>
    </row>
    <row r="1305" spans="2:7">
      <c r="B1305" t="s">
        <v>1060</v>
      </c>
      <c r="C1305">
        <v>1.05</v>
      </c>
      <c r="D1305" t="s">
        <v>2</v>
      </c>
      <c r="E1305">
        <f>+F47</f>
        <v>7063.5</v>
      </c>
      <c r="F1305">
        <f>ROUND(C1305*E1305,2)</f>
        <v>7416.68</v>
      </c>
    </row>
    <row r="1306" spans="2:7">
      <c r="B1306" t="s">
        <v>272</v>
      </c>
      <c r="C1306">
        <v>8.15</v>
      </c>
      <c r="D1306" t="s">
        <v>126</v>
      </c>
      <c r="E1306">
        <f>+F62</f>
        <v>2913</v>
      </c>
      <c r="F1306">
        <f>ROUND(C1306*E1306,2)</f>
        <v>23740.95</v>
      </c>
    </row>
    <row r="1307" spans="2:7">
      <c r="B1307" t="s">
        <v>1089</v>
      </c>
      <c r="C1307">
        <f>1/(0.15*0.15)</f>
        <v>44.4444444444444</v>
      </c>
      <c r="D1307" t="s">
        <v>1</v>
      </c>
      <c r="E1307">
        <v>250</v>
      </c>
      <c r="F1307">
        <f>ROUND(C1307*E1307,2)</f>
        <v>11111.11</v>
      </c>
    </row>
    <row r="1308" spans="2:7">
      <c r="F1308">
        <f>SUM(F1305:F1307)</f>
        <v>42268.74</v>
      </c>
    </row>
    <row r="1309" spans="2:7">
      <c r="B1309" t="s">
        <v>1142</v>
      </c>
      <c r="C1309">
        <f>0.15*0.15*1</f>
        <v>2.2499999999999999E-2</v>
      </c>
      <c r="D1309" t="s">
        <v>2</v>
      </c>
    </row>
    <row r="1310" spans="2:7">
      <c r="B1310" t="s">
        <v>2106</v>
      </c>
      <c r="C1310">
        <v>1</v>
      </c>
      <c r="D1310" t="s">
        <v>3</v>
      </c>
      <c r="E1310">
        <f>C1309*F1308</f>
        <v>951.04665</v>
      </c>
      <c r="F1310">
        <f>ROUND(C1310*E1310,2)</f>
        <v>951.05</v>
      </c>
    </row>
    <row r="1311" spans="2:7">
      <c r="B1311" t="s">
        <v>1153</v>
      </c>
      <c r="C1311">
        <v>0</v>
      </c>
      <c r="D1311" t="s">
        <v>11</v>
      </c>
      <c r="E1311">
        <v>225</v>
      </c>
      <c r="F1311">
        <f>ROUND(C1311*E1311,2)</f>
        <v>0</v>
      </c>
    </row>
    <row r="1312" spans="2:7">
      <c r="B1312" t="s">
        <v>177</v>
      </c>
      <c r="C1312">
        <v>0</v>
      </c>
      <c r="D1312" t="s">
        <v>1</v>
      </c>
      <c r="E1312">
        <f>+F786</f>
        <v>0</v>
      </c>
      <c r="F1312">
        <f>ROUND(C1312*E1312,2)</f>
        <v>0</v>
      </c>
    </row>
    <row r="1313" spans="2:6">
      <c r="B1313" t="s">
        <v>978</v>
      </c>
      <c r="C1313" t="s">
        <v>1144</v>
      </c>
      <c r="E1313" t="s">
        <v>2091</v>
      </c>
      <c r="F1313">
        <f>SUM(F1310:F1312)</f>
        <v>951.05</v>
      </c>
    </row>
    <row r="1315" spans="2:6">
      <c r="B1315" t="s">
        <v>1145</v>
      </c>
    </row>
    <row r="1316" spans="2:6">
      <c r="B1316" t="s">
        <v>2092</v>
      </c>
    </row>
    <row r="1317" spans="2:6">
      <c r="B1317" t="s">
        <v>2093</v>
      </c>
      <c r="C1317">
        <v>1.05</v>
      </c>
      <c r="D1317" t="s">
        <v>2</v>
      </c>
      <c r="E1317">
        <f>+F47</f>
        <v>7063.5</v>
      </c>
      <c r="F1317">
        <f>ROUND(C1317*E1317,2)</f>
        <v>7416.68</v>
      </c>
    </row>
    <row r="1318" spans="2:6">
      <c r="B1318" t="s">
        <v>272</v>
      </c>
      <c r="C1318">
        <v>3.98</v>
      </c>
      <c r="D1318" t="s">
        <v>126</v>
      </c>
      <c r="E1318">
        <f>+F62</f>
        <v>2913</v>
      </c>
      <c r="F1318">
        <f>ROUND(C1318*E1318,2)</f>
        <v>11593.74</v>
      </c>
    </row>
    <row r="1319" spans="2:6">
      <c r="B1319" t="s">
        <v>1089</v>
      </c>
      <c r="C1319">
        <v>16</v>
      </c>
      <c r="D1319" t="s">
        <v>1</v>
      </c>
      <c r="E1319">
        <v>250</v>
      </c>
      <c r="F1319">
        <f>ROUND(C1319*E1319,2)</f>
        <v>4000</v>
      </c>
    </row>
    <row r="1320" spans="2:6">
      <c r="F1320">
        <f>SUM(F1317:F1319)</f>
        <v>23010.42</v>
      </c>
    </row>
    <row r="1321" spans="2:6">
      <c r="B1321" t="s">
        <v>1147</v>
      </c>
      <c r="C1321">
        <f>0.25*0.25*3.85</f>
        <v>0.24062500000000001</v>
      </c>
      <c r="D1321" t="s">
        <v>2</v>
      </c>
    </row>
    <row r="1322" spans="2:6">
      <c r="B1322" t="s">
        <v>1148</v>
      </c>
      <c r="C1322">
        <f>F1320*C1321</f>
        <v>5536.8823124999999</v>
      </c>
      <c r="D1322" t="s">
        <v>1149</v>
      </c>
    </row>
    <row r="1323" spans="2:6">
      <c r="B1323" t="s">
        <v>1150</v>
      </c>
    </row>
    <row r="1324" spans="2:6">
      <c r="B1324" t="s">
        <v>2093</v>
      </c>
      <c r="C1324">
        <v>1.05</v>
      </c>
      <c r="D1324" t="s">
        <v>2</v>
      </c>
      <c r="E1324">
        <f>+F47</f>
        <v>7063.5</v>
      </c>
      <c r="F1324">
        <f>ROUND(C1324*E1324,2)</f>
        <v>7416.68</v>
      </c>
    </row>
    <row r="1325" spans="2:6">
      <c r="B1325" t="s">
        <v>272</v>
      </c>
      <c r="C1325">
        <v>1.43</v>
      </c>
      <c r="D1325" t="s">
        <v>126</v>
      </c>
      <c r="E1325">
        <f>+F62</f>
        <v>2913</v>
      </c>
      <c r="F1325">
        <f>ROUND(C1325*E1325,2)</f>
        <v>4165.59</v>
      </c>
    </row>
    <row r="1326" spans="2:6">
      <c r="F1326">
        <f>SUM(F1324:F1325)</f>
        <v>11582.27</v>
      </c>
    </row>
    <row r="1327" spans="2:6">
      <c r="B1327" t="s">
        <v>1151</v>
      </c>
      <c r="C1327">
        <f>0.75*0.75*0.25</f>
        <v>0.140625</v>
      </c>
      <c r="D1327" t="s">
        <v>2</v>
      </c>
    </row>
    <row r="1328" spans="2:6">
      <c r="B1328" t="s">
        <v>1148</v>
      </c>
      <c r="C1328">
        <f>F1326*C1327</f>
        <v>1628.7567187499999</v>
      </c>
      <c r="D1328" t="s">
        <v>1149</v>
      </c>
    </row>
    <row r="1329" spans="2:6">
      <c r="B1329" t="s">
        <v>1152</v>
      </c>
      <c r="C1329">
        <v>1</v>
      </c>
      <c r="D1329" t="s">
        <v>3</v>
      </c>
      <c r="E1329">
        <f>C1328+C1322</f>
        <v>7165.6390312499998</v>
      </c>
      <c r="F1329">
        <f>ROUND(C1329*E1329,2)</f>
        <v>7165.64</v>
      </c>
    </row>
    <row r="1330" spans="2:6">
      <c r="B1330" t="s">
        <v>1153</v>
      </c>
      <c r="C1330">
        <v>2.86</v>
      </c>
      <c r="D1330" t="s">
        <v>11</v>
      </c>
      <c r="E1330">
        <f>+E1311</f>
        <v>225</v>
      </c>
      <c r="F1330">
        <f>ROUND(C1330*E1330,2)</f>
        <v>643.5</v>
      </c>
    </row>
    <row r="1331" spans="2:6">
      <c r="B1331" t="s">
        <v>177</v>
      </c>
      <c r="C1331">
        <v>12.2</v>
      </c>
      <c r="D1331" t="s">
        <v>1</v>
      </c>
      <c r="E1331">
        <v>70.16</v>
      </c>
      <c r="F1331">
        <f>ROUND(C1331*E1331,2)</f>
        <v>855.95</v>
      </c>
    </row>
    <row r="1332" spans="2:6">
      <c r="B1332" t="s">
        <v>536</v>
      </c>
      <c r="C1332">
        <f>+C1330</f>
        <v>2.86</v>
      </c>
      <c r="D1332" t="s">
        <v>11</v>
      </c>
      <c r="E1332">
        <v>126.86</v>
      </c>
      <c r="F1332">
        <f>ROUND(C1332*E1332,2)</f>
        <v>362.82</v>
      </c>
    </row>
    <row r="1333" spans="2:6">
      <c r="B1333" t="s">
        <v>1154</v>
      </c>
      <c r="C1333" t="s">
        <v>1144</v>
      </c>
      <c r="F1333">
        <f>SUM(F1329:F1332)</f>
        <v>9027.91</v>
      </c>
    </row>
    <row r="1334" spans="2:6">
      <c r="F1334">
        <f>+F1333*1.05</f>
        <v>9479.3055000000004</v>
      </c>
    </row>
    <row r="1335" spans="2:6">
      <c r="B1335" t="s">
        <v>2094</v>
      </c>
    </row>
    <row r="1336" spans="2:6">
      <c r="B1336" t="s">
        <v>2093</v>
      </c>
      <c r="C1336">
        <v>1.05</v>
      </c>
      <c r="D1336" t="s">
        <v>2</v>
      </c>
      <c r="E1336">
        <f>+F47</f>
        <v>7063.5</v>
      </c>
      <c r="F1336">
        <f>ROUND(C1336*E1336,2)</f>
        <v>7416.68</v>
      </c>
    </row>
    <row r="1337" spans="2:6">
      <c r="B1337" t="s">
        <v>272</v>
      </c>
      <c r="C1337">
        <v>2.98</v>
      </c>
      <c r="D1337" t="s">
        <v>126</v>
      </c>
      <c r="E1337">
        <f>+F62</f>
        <v>2913</v>
      </c>
      <c r="F1337">
        <f>ROUND(C1337*E1337,2)</f>
        <v>8680.74</v>
      </c>
    </row>
    <row r="1338" spans="2:6">
      <c r="B1338" t="s">
        <v>1089</v>
      </c>
      <c r="C1338">
        <v>25</v>
      </c>
      <c r="D1338" t="s">
        <v>1</v>
      </c>
      <c r="E1338">
        <v>250</v>
      </c>
      <c r="F1338">
        <f>ROUND(C1338*E1338,2)</f>
        <v>6250</v>
      </c>
    </row>
    <row r="1339" spans="2:6">
      <c r="F1339">
        <f>SUM(F1336:F1338)</f>
        <v>22347.42</v>
      </c>
    </row>
    <row r="1341" spans="2:6" ht="12.95" customHeight="1"/>
    <row r="1342" spans="2:6" ht="12.95" customHeight="1"/>
    <row r="1343" spans="2:6" ht="12.95" customHeight="1">
      <c r="B1343" t="s">
        <v>2095</v>
      </c>
    </row>
    <row r="1344" spans="2:6" ht="12.95" customHeight="1">
      <c r="B1344" t="s">
        <v>2096</v>
      </c>
      <c r="C1344">
        <v>18</v>
      </c>
      <c r="D1344" t="s">
        <v>1</v>
      </c>
      <c r="E1344">
        <v>307.38</v>
      </c>
      <c r="F1344">
        <f>ROUND(C1344*E1344,2)</f>
        <v>5532.84</v>
      </c>
    </row>
    <row r="1345" spans="2:6" ht="12.95" customHeight="1">
      <c r="B1345" t="s">
        <v>2097</v>
      </c>
      <c r="C1345">
        <v>2</v>
      </c>
      <c r="D1345" t="s">
        <v>3</v>
      </c>
      <c r="E1345">
        <v>75</v>
      </c>
      <c r="F1345">
        <f t="shared" ref="F1345:F1351" si="24">ROUND(C1345*E1345,2)</f>
        <v>150</v>
      </c>
    </row>
    <row r="1346" spans="2:6" ht="12.95" customHeight="1">
      <c r="B1346" t="s">
        <v>2098</v>
      </c>
      <c r="C1346">
        <v>5</v>
      </c>
      <c r="D1346" t="s">
        <v>3</v>
      </c>
      <c r="E1346">
        <v>118.81</v>
      </c>
      <c r="F1346">
        <f t="shared" si="24"/>
        <v>594.04999999999995</v>
      </c>
    </row>
    <row r="1347" spans="2:6" ht="12.95" customHeight="1">
      <c r="B1347" t="s">
        <v>2099</v>
      </c>
      <c r="C1347">
        <v>7</v>
      </c>
      <c r="D1347" t="s">
        <v>3</v>
      </c>
      <c r="E1347">
        <v>110</v>
      </c>
      <c r="F1347">
        <f t="shared" si="24"/>
        <v>770</v>
      </c>
    </row>
    <row r="1348" spans="2:6" ht="12.95" customHeight="1">
      <c r="B1348" t="s">
        <v>2100</v>
      </c>
      <c r="C1348">
        <v>7</v>
      </c>
      <c r="D1348" t="s">
        <v>3</v>
      </c>
      <c r="E1348">
        <v>300</v>
      </c>
      <c r="F1348">
        <f t="shared" si="24"/>
        <v>2100</v>
      </c>
    </row>
    <row r="1349" spans="2:6" ht="12.95" customHeight="1">
      <c r="B1349" t="s">
        <v>2101</v>
      </c>
      <c r="C1349">
        <v>2.15</v>
      </c>
      <c r="D1349" t="s">
        <v>11</v>
      </c>
      <c r="E1349">
        <v>110.95</v>
      </c>
      <c r="F1349">
        <f t="shared" si="24"/>
        <v>238.54</v>
      </c>
    </row>
    <row r="1350" spans="2:6">
      <c r="B1350" t="s">
        <v>2102</v>
      </c>
      <c r="C1350">
        <v>2.15</v>
      </c>
      <c r="D1350" t="s">
        <v>11</v>
      </c>
      <c r="E1350">
        <v>130.5</v>
      </c>
      <c r="F1350">
        <f t="shared" si="24"/>
        <v>280.58</v>
      </c>
    </row>
    <row r="1351" spans="2:6" ht="12.95" customHeight="1">
      <c r="B1351" t="s">
        <v>2103</v>
      </c>
      <c r="C1351">
        <v>1</v>
      </c>
      <c r="D1351" t="s">
        <v>3</v>
      </c>
      <c r="E1351">
        <v>5320</v>
      </c>
      <c r="F1351">
        <f t="shared" si="24"/>
        <v>5320</v>
      </c>
    </row>
    <row r="1352" spans="2:6" ht="12.95" customHeight="1">
      <c r="E1352" t="s">
        <v>2104</v>
      </c>
      <c r="F1352">
        <f>SUM(F1344:F1351)</f>
        <v>14986.01</v>
      </c>
    </row>
    <row r="1353" spans="2:6" ht="12.95" customHeight="1">
      <c r="E1353" t="s">
        <v>2105</v>
      </c>
      <c r="F1353">
        <f>F1352/6</f>
        <v>2497.6683333333299</v>
      </c>
    </row>
    <row r="1355" spans="2:6">
      <c r="B1355" t="s">
        <v>2107</v>
      </c>
    </row>
    <row r="1357" spans="2:6">
      <c r="B1357" t="s">
        <v>270</v>
      </c>
    </row>
    <row r="1359" spans="2:6">
      <c r="B1359" t="s">
        <v>271</v>
      </c>
      <c r="C1359">
        <v>1.05</v>
      </c>
      <c r="D1359" t="s">
        <v>2</v>
      </c>
      <c r="E1359">
        <f>+F303</f>
        <v>7531.68</v>
      </c>
      <c r="F1359">
        <f>C1359*E1359</f>
        <v>7908.2640000000001</v>
      </c>
    </row>
    <row r="1360" spans="2:6">
      <c r="B1360" t="s">
        <v>272</v>
      </c>
      <c r="C1360">
        <v>4.2</v>
      </c>
      <c r="D1360" t="s">
        <v>126</v>
      </c>
      <c r="E1360">
        <f>+F62</f>
        <v>2913</v>
      </c>
      <c r="F1360">
        <f>C1360*E1360</f>
        <v>12234.6</v>
      </c>
    </row>
    <row r="1361" spans="2:6">
      <c r="B1361" t="s">
        <v>1089</v>
      </c>
      <c r="C1361">
        <f>1/(0.25*0.25)</f>
        <v>16</v>
      </c>
      <c r="D1361" t="s">
        <v>1</v>
      </c>
      <c r="E1361">
        <v>250</v>
      </c>
      <c r="F1361">
        <f>ROUND(C1361*E1361,2)</f>
        <v>4000</v>
      </c>
    </row>
    <row r="1362" spans="2:6">
      <c r="E1362" t="s">
        <v>274</v>
      </c>
      <c r="F1362">
        <f>SUM(F1359:F1360)</f>
        <v>20142.864000000001</v>
      </c>
    </row>
    <row r="1363" spans="2:6">
      <c r="C1363">
        <v>1.64</v>
      </c>
      <c r="E1363" t="s">
        <v>1194</v>
      </c>
      <c r="F1363">
        <f>+C1363*F1362</f>
        <v>33034.29696</v>
      </c>
    </row>
    <row r="1365" spans="2:6">
      <c r="B1365" t="s">
        <v>271</v>
      </c>
      <c r="C1365">
        <v>1.05</v>
      </c>
      <c r="D1365" t="s">
        <v>2</v>
      </c>
      <c r="E1365">
        <f>+F303</f>
        <v>7531.68</v>
      </c>
      <c r="F1365">
        <f>C1365*E1365</f>
        <v>7908.2640000000001</v>
      </c>
    </row>
    <row r="1366" spans="2:6">
      <c r="B1366" t="s">
        <v>272</v>
      </c>
      <c r="C1366">
        <v>3.98</v>
      </c>
      <c r="D1366" t="s">
        <v>126</v>
      </c>
      <c r="E1366">
        <f>+F62</f>
        <v>2913</v>
      </c>
      <c r="F1366">
        <f>C1366*E1366</f>
        <v>11593.74</v>
      </c>
    </row>
    <row r="1367" spans="2:6">
      <c r="B1367" t="s">
        <v>1089</v>
      </c>
      <c r="C1367">
        <f>1/(0.25*0.25)</f>
        <v>16</v>
      </c>
      <c r="D1367" t="s">
        <v>1</v>
      </c>
      <c r="E1367">
        <v>250</v>
      </c>
      <c r="F1367">
        <f>ROUND(C1367*E1367,2)</f>
        <v>4000</v>
      </c>
    </row>
    <row r="1368" spans="2:6">
      <c r="E1368" t="s">
        <v>274</v>
      </c>
      <c r="F1368">
        <f>SUM(F1365:F1366)</f>
        <v>19502.004000000001</v>
      </c>
    </row>
    <row r="1369" spans="2:6">
      <c r="C1369">
        <v>0.2</v>
      </c>
      <c r="E1369" t="s">
        <v>1194</v>
      </c>
      <c r="F1369">
        <f>+C1369*F1368</f>
        <v>3900.4007999999999</v>
      </c>
    </row>
    <row r="1371" spans="2:6">
      <c r="B1371" t="s">
        <v>271</v>
      </c>
      <c r="C1371">
        <v>1.05</v>
      </c>
      <c r="D1371" t="s">
        <v>2</v>
      </c>
      <c r="E1371">
        <f>+F303</f>
        <v>7531.68</v>
      </c>
      <c r="F1371">
        <f>C1371*E1371</f>
        <v>7908.2640000000001</v>
      </c>
    </row>
    <row r="1372" spans="2:6">
      <c r="B1372" t="s">
        <v>272</v>
      </c>
      <c r="C1372">
        <v>0.7</v>
      </c>
      <c r="D1372" t="s">
        <v>126</v>
      </c>
      <c r="E1372">
        <f>+F62</f>
        <v>2913</v>
      </c>
      <c r="F1372">
        <f>C1372*E1372</f>
        <v>2039.1</v>
      </c>
    </row>
    <row r="1373" spans="2:6">
      <c r="E1373" t="s">
        <v>274</v>
      </c>
      <c r="F1373">
        <f>SUM(F1371:F1372)</f>
        <v>9947.3639999999996</v>
      </c>
    </row>
    <row r="1377" spans="2:6" ht="26.25" customHeight="1">
      <c r="B1377" t="s">
        <v>2444</v>
      </c>
    </row>
    <row r="1378" spans="2:6">
      <c r="B1378" t="s">
        <v>2442</v>
      </c>
    </row>
    <row r="1379" spans="2:6">
      <c r="B1379" t="s">
        <v>1085</v>
      </c>
      <c r="C1379">
        <v>1.05</v>
      </c>
      <c r="D1379" t="s">
        <v>2</v>
      </c>
      <c r="E1379">
        <f>+$F$25</f>
        <v>8154.9</v>
      </c>
      <c r="F1379">
        <f>C1379*E1379</f>
        <v>8562.6450000000004</v>
      </c>
    </row>
    <row r="1380" spans="2:6">
      <c r="B1380" t="s">
        <v>1087</v>
      </c>
      <c r="C1380">
        <v>3.88</v>
      </c>
      <c r="D1380" t="s">
        <v>126</v>
      </c>
      <c r="E1380">
        <f>+$F$62</f>
        <v>2913</v>
      </c>
      <c r="F1380">
        <f>C1380*E1380</f>
        <v>11302.44</v>
      </c>
    </row>
    <row r="1382" spans="2:6">
      <c r="E1382" t="s">
        <v>1031</v>
      </c>
      <c r="F1382">
        <f>ROUND(SUM(F1379:F1381),2)</f>
        <v>19865.09</v>
      </c>
    </row>
    <row r="1384" spans="2:6">
      <c r="B1384" t="s">
        <v>2434</v>
      </c>
    </row>
    <row r="1385" spans="2:6">
      <c r="B1385" t="s">
        <v>1085</v>
      </c>
      <c r="C1385">
        <v>1.05</v>
      </c>
      <c r="D1385" t="s">
        <v>2</v>
      </c>
      <c r="E1385">
        <f>+$F$25</f>
        <v>8154.9</v>
      </c>
      <c r="F1385">
        <f>C1385*E1385</f>
        <v>8562.6450000000004</v>
      </c>
    </row>
    <row r="1386" spans="2:6">
      <c r="B1386" t="s">
        <v>1087</v>
      </c>
      <c r="C1386">
        <v>3.24</v>
      </c>
      <c r="D1386" t="s">
        <v>126</v>
      </c>
      <c r="E1386">
        <f>+$F$62</f>
        <v>2913</v>
      </c>
      <c r="F1386">
        <f>C1386*E1386</f>
        <v>9438.1200000000008</v>
      </c>
    </row>
    <row r="1387" spans="2:6">
      <c r="B1387" t="s">
        <v>1089</v>
      </c>
      <c r="C1387">
        <f>1/0.25</f>
        <v>4</v>
      </c>
      <c r="D1387" t="s">
        <v>11</v>
      </c>
      <c r="E1387">
        <v>1200</v>
      </c>
      <c r="F1387">
        <f>C1387*E1387</f>
        <v>4800</v>
      </c>
    </row>
    <row r="1388" spans="2:6">
      <c r="E1388" t="s">
        <v>1031</v>
      </c>
      <c r="F1388">
        <f>ROUND(SUM(F1385:F1387),2)</f>
        <v>22800.77</v>
      </c>
    </row>
    <row r="1390" spans="2:6">
      <c r="B1390" t="s">
        <v>2443</v>
      </c>
    </row>
    <row r="1391" spans="2:6">
      <c r="B1391" t="s">
        <v>1085</v>
      </c>
      <c r="C1391">
        <v>1.05</v>
      </c>
      <c r="D1391" t="s">
        <v>2</v>
      </c>
      <c r="E1391">
        <f>+$F$25</f>
        <v>8154.9</v>
      </c>
      <c r="F1391">
        <f>C1391*E1391</f>
        <v>8562.6450000000004</v>
      </c>
    </row>
    <row r="1392" spans="2:6">
      <c r="B1392" t="s">
        <v>1087</v>
      </c>
      <c r="C1392">
        <v>3.61</v>
      </c>
      <c r="D1392" t="s">
        <v>126</v>
      </c>
      <c r="E1392">
        <f>+$F$62</f>
        <v>2913</v>
      </c>
      <c r="F1392">
        <f>C1392*E1392</f>
        <v>10515.93</v>
      </c>
    </row>
    <row r="1393" spans="2:7">
      <c r="B1393" t="s">
        <v>1089</v>
      </c>
      <c r="C1393">
        <f>1/0.15</f>
        <v>6.6666666666666696</v>
      </c>
      <c r="D1393" t="s">
        <v>11</v>
      </c>
      <c r="E1393">
        <v>350</v>
      </c>
      <c r="F1393">
        <f>C1393*E1393</f>
        <v>2333.3333333333298</v>
      </c>
    </row>
    <row r="1394" spans="2:7">
      <c r="E1394" t="s">
        <v>1031</v>
      </c>
      <c r="F1394">
        <f>ROUND(SUM(F1391:F1393),2)</f>
        <v>21411.91</v>
      </c>
    </row>
    <row r="1397" spans="2:7">
      <c r="B1397" t="s">
        <v>2438</v>
      </c>
    </row>
    <row r="1398" spans="2:7" ht="20.25" customHeight="1">
      <c r="B1398" t="s">
        <v>2547</v>
      </c>
      <c r="C1398">
        <v>1.05</v>
      </c>
      <c r="D1398" t="s">
        <v>2550</v>
      </c>
      <c r="F1398">
        <f>C1398*E1398</f>
        <v>0</v>
      </c>
    </row>
    <row r="1399" spans="2:7">
      <c r="B1399" t="s">
        <v>2548</v>
      </c>
      <c r="C1399">
        <f>0.3*3.1416*1</f>
        <v>0.94247999999999998</v>
      </c>
      <c r="D1399" t="s">
        <v>207</v>
      </c>
      <c r="F1399">
        <f>C1399*E1399</f>
        <v>0</v>
      </c>
    </row>
    <row r="1400" spans="2:7">
      <c r="B1400" t="s">
        <v>2549</v>
      </c>
      <c r="C1400">
        <v>1</v>
      </c>
      <c r="D1400" t="s">
        <v>2551</v>
      </c>
      <c r="F1400">
        <f>C1400*E1400</f>
        <v>0</v>
      </c>
    </row>
    <row r="1401" spans="2:7">
      <c r="E1401" t="s">
        <v>1031</v>
      </c>
      <c r="F1401">
        <f>ROUND(SUM(F1398:F1400),2)</f>
        <v>0</v>
      </c>
      <c r="G1401" t="s">
        <v>2551</v>
      </c>
    </row>
    <row r="1404" spans="2:7">
      <c r="B1404" t="s">
        <v>2439</v>
      </c>
    </row>
    <row r="1405" spans="2:7" ht="20.25" customHeight="1">
      <c r="B1405" t="s">
        <v>2552</v>
      </c>
      <c r="C1405">
        <v>1</v>
      </c>
      <c r="D1405" t="s">
        <v>2553</v>
      </c>
      <c r="F1405">
        <f>C1405*E1405</f>
        <v>0</v>
      </c>
    </row>
    <row r="1406" spans="2:7">
      <c r="B1406" t="s">
        <v>2548</v>
      </c>
      <c r="C1406">
        <f>0.3*3.1416*1</f>
        <v>0.94247999999999998</v>
      </c>
      <c r="D1406" t="s">
        <v>207</v>
      </c>
      <c r="F1406">
        <f>C1406*E1406</f>
        <v>0</v>
      </c>
    </row>
    <row r="1407" spans="2:7">
      <c r="B1407" t="s">
        <v>2554</v>
      </c>
      <c r="C1407">
        <f>0.71*0.32*3.1416</f>
        <v>0.71377151999999999</v>
      </c>
      <c r="D1407" t="s">
        <v>207</v>
      </c>
      <c r="F1407">
        <f>C1407*E1407</f>
        <v>0</v>
      </c>
    </row>
    <row r="1408" spans="2:7">
      <c r="E1408" t="s">
        <v>1031</v>
      </c>
      <c r="F1408">
        <f>ROUND(SUM(F1405:F1407),2)</f>
        <v>0</v>
      </c>
      <c r="G1408" t="s">
        <v>2551</v>
      </c>
    </row>
  </sheetData>
  <customSheetViews>
    <customSheetView guid="{43BC9397-3E8C-478C-B548-E4A845A7F82B}" hiddenRows="1" topLeftCell="A745">
      <selection activeCell="F803" sqref="F803"/>
      <rowBreaks count="1" manualBreakCount="1">
        <brk id="788" max="6" man="1"/>
      </rowBreaks>
      <pageMargins left="0.7" right="0.7" top="0.75" bottom="0.75" header="0.3" footer="0.3"/>
      <pageSetup orientation="portrait" r:id="rId1"/>
    </customSheetView>
  </customSheetViews>
  <pageMargins left="0.7" right="0.7" top="0.75" bottom="0.75" header="0.3" footer="0.3"/>
  <pageSetup orientation="portrait" r:id="rId2"/>
  <rowBreaks count="1" manualBreakCount="1">
    <brk id="788" max="6"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dimension ref="B2:M606"/>
  <sheetViews>
    <sheetView topLeftCell="A312" workbookViewId="0">
      <selection activeCell="I338" sqref="I338"/>
    </sheetView>
  </sheetViews>
  <sheetFormatPr baseColWidth="10" defaultColWidth="11.42578125" defaultRowHeight="12.75"/>
  <cols>
    <col min="1" max="1" width="5.140625" customWidth="1"/>
    <col min="2" max="2" width="23.140625"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121</v>
      </c>
      <c r="C5" t="s">
        <v>1026</v>
      </c>
      <c r="D5">
        <v>1</v>
      </c>
      <c r="E5">
        <v>90</v>
      </c>
      <c r="F5">
        <f t="shared" si="0"/>
        <v>90</v>
      </c>
    </row>
    <row r="6" spans="2:6">
      <c r="B6" t="s">
        <v>1027</v>
      </c>
      <c r="C6" t="s">
        <v>2</v>
      </c>
      <c r="D6">
        <v>1</v>
      </c>
      <c r="E6">
        <v>1100</v>
      </c>
      <c r="F6">
        <f t="shared" si="0"/>
        <v>1100</v>
      </c>
    </row>
    <row r="7" spans="2:6">
      <c r="B7" t="s">
        <v>1028</v>
      </c>
      <c r="C7" t="s">
        <v>2</v>
      </c>
      <c r="D7">
        <v>1</v>
      </c>
      <c r="E7">
        <v>1200</v>
      </c>
      <c r="F7">
        <f t="shared" si="0"/>
        <v>1200</v>
      </c>
    </row>
    <row r="8" spans="2:6">
      <c r="B8" t="s">
        <v>1029</v>
      </c>
      <c r="C8" t="s">
        <v>2</v>
      </c>
      <c r="D8">
        <v>1</v>
      </c>
      <c r="E8">
        <v>1100</v>
      </c>
      <c r="F8">
        <f t="shared" si="0"/>
        <v>1100</v>
      </c>
    </row>
    <row r="9" spans="2:6">
      <c r="B9" t="s">
        <v>1546</v>
      </c>
      <c r="C9" t="s">
        <v>127</v>
      </c>
      <c r="D9">
        <v>1</v>
      </c>
      <c r="E9">
        <v>1</v>
      </c>
      <c r="F9">
        <f t="shared" si="0"/>
        <v>1</v>
      </c>
    </row>
    <row r="10" spans="2:6">
      <c r="B10" t="s">
        <v>8</v>
      </c>
      <c r="C10" t="s">
        <v>127</v>
      </c>
      <c r="D10">
        <v>1</v>
      </c>
      <c r="E10">
        <v>20.5</v>
      </c>
      <c r="F10">
        <f t="shared" si="0"/>
        <v>20.5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C20" t="s">
        <v>2</v>
      </c>
      <c r="D20">
        <v>1</v>
      </c>
      <c r="E20">
        <v>15</v>
      </c>
      <c r="F20">
        <f>E20*D20</f>
        <v>15</v>
      </c>
    </row>
    <row r="21" spans="2:6">
      <c r="C21" t="s">
        <v>315</v>
      </c>
      <c r="F21">
        <f>SUM(F19:F20)</f>
        <v>1215</v>
      </c>
    </row>
    <row r="23" spans="2:6">
      <c r="B23" t="s">
        <v>2741</v>
      </c>
    </row>
    <row r="24" spans="2:6">
      <c r="B24" t="s">
        <v>122</v>
      </c>
      <c r="C24" t="s">
        <v>2</v>
      </c>
      <c r="D24">
        <v>0.45</v>
      </c>
      <c r="E24">
        <f>SUM(F16)</f>
        <v>1115</v>
      </c>
      <c r="F24">
        <f>E24*D24</f>
        <v>501.75</v>
      </c>
    </row>
    <row r="25" spans="2:6">
      <c r="B25" t="s">
        <v>124</v>
      </c>
      <c r="C25" t="s">
        <v>2</v>
      </c>
      <c r="D25">
        <v>0.9</v>
      </c>
      <c r="E25">
        <f>SUM(F21)</f>
        <v>1215</v>
      </c>
      <c r="F25">
        <f>E25*D25</f>
        <v>1093.5</v>
      </c>
    </row>
    <row r="26" spans="2:6">
      <c r="B26" t="s">
        <v>142</v>
      </c>
      <c r="C26" t="s">
        <v>1026</v>
      </c>
      <c r="D26">
        <v>16</v>
      </c>
      <c r="E26">
        <f>(F4)</f>
        <v>325</v>
      </c>
      <c r="F26">
        <f>E26*D26</f>
        <v>5200</v>
      </c>
    </row>
    <row r="27" spans="2:6">
      <c r="B27" t="s">
        <v>117</v>
      </c>
      <c r="C27" t="s">
        <v>118</v>
      </c>
      <c r="D27">
        <v>60</v>
      </c>
      <c r="E27">
        <f>F3</f>
        <v>2.5</v>
      </c>
      <c r="F27">
        <f>E27*D27</f>
        <v>150</v>
      </c>
    </row>
    <row r="28" spans="2:6">
      <c r="B28" t="s">
        <v>139</v>
      </c>
      <c r="C28" t="s">
        <v>2</v>
      </c>
      <c r="D28">
        <v>1</v>
      </c>
      <c r="E28">
        <v>950</v>
      </c>
      <c r="F28">
        <f>E28*D28</f>
        <v>950</v>
      </c>
    </row>
    <row r="29" spans="2:6">
      <c r="B29" t="s">
        <v>140</v>
      </c>
      <c r="F29">
        <f>SUM(F24+F25+F26+F27)*0.02</f>
        <v>138.905</v>
      </c>
    </row>
    <row r="30" spans="2:6">
      <c r="E30" t="s">
        <v>1031</v>
      </c>
      <c r="F30">
        <f>SUM(F24:F29)</f>
        <v>8034.1549999999997</v>
      </c>
    </row>
    <row r="32" spans="2:6">
      <c r="B32" t="s">
        <v>1032</v>
      </c>
    </row>
    <row r="33" spans="2:6">
      <c r="B33" t="s">
        <v>122</v>
      </c>
      <c r="C33" t="s">
        <v>2</v>
      </c>
      <c r="D33">
        <v>0.45</v>
      </c>
      <c r="E33">
        <f>+F16</f>
        <v>1115</v>
      </c>
      <c r="F33">
        <f>E33*D33</f>
        <v>501.75</v>
      </c>
    </row>
    <row r="34" spans="2:6">
      <c r="B34" t="s">
        <v>124</v>
      </c>
      <c r="C34" t="s">
        <v>2</v>
      </c>
      <c r="D34">
        <v>0.9</v>
      </c>
      <c r="E34">
        <f>+F21</f>
        <v>1215</v>
      </c>
      <c r="F34">
        <f>E34*D34</f>
        <v>1093.5</v>
      </c>
    </row>
    <row r="35" spans="2:6">
      <c r="B35" t="s">
        <v>142</v>
      </c>
      <c r="C35" t="s">
        <v>1026</v>
      </c>
      <c r="D35">
        <v>13</v>
      </c>
      <c r="E35">
        <f>+F4</f>
        <v>325</v>
      </c>
      <c r="F35">
        <f>E35*D35</f>
        <v>4225</v>
      </c>
    </row>
    <row r="36" spans="2:6">
      <c r="B36" t="s">
        <v>117</v>
      </c>
      <c r="C36" t="s">
        <v>118</v>
      </c>
      <c r="D36">
        <v>60</v>
      </c>
      <c r="E36">
        <f>+F3</f>
        <v>2.5</v>
      </c>
      <c r="F36">
        <f>E36*D36</f>
        <v>150</v>
      </c>
    </row>
    <row r="37" spans="2:6">
      <c r="B37" t="s">
        <v>139</v>
      </c>
      <c r="C37" t="s">
        <v>2</v>
      </c>
      <c r="D37">
        <v>1</v>
      </c>
      <c r="E37">
        <v>950</v>
      </c>
      <c r="F37">
        <f>E37*D37</f>
        <v>950</v>
      </c>
    </row>
    <row r="38" spans="2:6">
      <c r="B38" t="s">
        <v>140</v>
      </c>
      <c r="F38">
        <f>SUM(F33+F34+F35+F36)*0.02</f>
        <v>119.405</v>
      </c>
    </row>
    <row r="39" spans="2:6">
      <c r="E39" t="s">
        <v>1031</v>
      </c>
      <c r="F39">
        <f>SUM(F33:F38)</f>
        <v>7039.6549999999997</v>
      </c>
    </row>
    <row r="41" spans="2:6">
      <c r="B41" t="s">
        <v>141</v>
      </c>
    </row>
    <row r="42" spans="2:6">
      <c r="B42" t="s">
        <v>122</v>
      </c>
      <c r="C42" t="s">
        <v>2</v>
      </c>
      <c r="D42">
        <v>0.45</v>
      </c>
      <c r="E42">
        <f>+E33</f>
        <v>1115</v>
      </c>
      <c r="F42">
        <f>E42*D42</f>
        <v>501.75</v>
      </c>
    </row>
    <row r="43" spans="2:6">
      <c r="B43" t="s">
        <v>124</v>
      </c>
      <c r="C43" t="s">
        <v>2</v>
      </c>
      <c r="D43">
        <v>0.9</v>
      </c>
      <c r="E43">
        <f>+E34</f>
        <v>1215</v>
      </c>
      <c r="F43">
        <f>E43*D43</f>
        <v>1093.5</v>
      </c>
    </row>
    <row r="44" spans="2:6">
      <c r="B44" t="s">
        <v>142</v>
      </c>
      <c r="C44" t="s">
        <v>1026</v>
      </c>
      <c r="D44">
        <v>9</v>
      </c>
      <c r="E44">
        <f>+E35</f>
        <v>325</v>
      </c>
      <c r="F44">
        <f>E44*D44</f>
        <v>2925</v>
      </c>
    </row>
    <row r="45" spans="2:6">
      <c r="B45" t="s">
        <v>117</v>
      </c>
      <c r="C45" t="s">
        <v>118</v>
      </c>
      <c r="D45">
        <v>60</v>
      </c>
      <c r="E45">
        <f>+E36</f>
        <v>2.5</v>
      </c>
      <c r="F45">
        <f>E45*D45</f>
        <v>150</v>
      </c>
    </row>
    <row r="46" spans="2:6" ht="11.25" customHeight="1">
      <c r="B46" t="s">
        <v>139</v>
      </c>
      <c r="C46" t="s">
        <v>2</v>
      </c>
      <c r="D46">
        <v>1</v>
      </c>
      <c r="E46">
        <v>950</v>
      </c>
      <c r="F46">
        <f>E46*D46</f>
        <v>950</v>
      </c>
    </row>
    <row r="47" spans="2:6" ht="13.5" customHeight="1">
      <c r="B47" t="s">
        <v>140</v>
      </c>
      <c r="F47">
        <f>SUM(F42+F43+F44+F45)*0.02</f>
        <v>93.405000000000001</v>
      </c>
    </row>
    <row r="48" spans="2:6" ht="12.75" customHeight="1">
      <c r="E48" t="s">
        <v>1031</v>
      </c>
      <c r="F48">
        <f>SUM(F42:F47)</f>
        <v>5713.6549999999997</v>
      </c>
    </row>
    <row r="49" spans="2:6" ht="12.75" customHeight="1"/>
    <row r="50" spans="2:6">
      <c r="B50" t="s">
        <v>143</v>
      </c>
    </row>
    <row r="51" spans="2:6">
      <c r="B51" t="s">
        <v>122</v>
      </c>
      <c r="C51" t="s">
        <v>2</v>
      </c>
      <c r="D51">
        <v>0.52</v>
      </c>
      <c r="E51">
        <f>SUM(F16)</f>
        <v>1115</v>
      </c>
      <c r="F51">
        <f>E51*D51</f>
        <v>579.79999999999995</v>
      </c>
    </row>
    <row r="52" spans="2:6">
      <c r="B52" t="s">
        <v>124</v>
      </c>
      <c r="C52" t="s">
        <v>2</v>
      </c>
      <c r="D52">
        <v>0.85</v>
      </c>
      <c r="E52">
        <f>SUM(F21)</f>
        <v>1215</v>
      </c>
      <c r="F52">
        <f>E52*D52</f>
        <v>1032.75</v>
      </c>
    </row>
    <row r="53" spans="2:6">
      <c r="B53" t="s">
        <v>135</v>
      </c>
      <c r="C53" t="s">
        <v>1026</v>
      </c>
      <c r="D53">
        <v>7</v>
      </c>
      <c r="E53">
        <f>F4</f>
        <v>325</v>
      </c>
      <c r="F53">
        <f>E53*D53</f>
        <v>2275</v>
      </c>
    </row>
    <row r="54" spans="2:6">
      <c r="B54" t="s">
        <v>117</v>
      </c>
      <c r="C54" t="s">
        <v>118</v>
      </c>
      <c r="D54">
        <v>60</v>
      </c>
      <c r="E54">
        <f>F3</f>
        <v>2.5</v>
      </c>
      <c r="F54">
        <f>E54*D54</f>
        <v>150</v>
      </c>
    </row>
    <row r="55" spans="2:6">
      <c r="B55" t="s">
        <v>139</v>
      </c>
      <c r="C55" t="s">
        <v>2</v>
      </c>
      <c r="D55">
        <v>1</v>
      </c>
      <c r="E55">
        <v>950</v>
      </c>
      <c r="F55">
        <f>E55*D55</f>
        <v>950</v>
      </c>
    </row>
    <row r="56" spans="2:6">
      <c r="B56" t="s">
        <v>140</v>
      </c>
      <c r="F56">
        <f>SUM(F51+F52+F53+F54)*0.02</f>
        <v>80.751000000000005</v>
      </c>
    </row>
    <row r="57" spans="2:6">
      <c r="E57" t="s">
        <v>1031</v>
      </c>
      <c r="F57">
        <f>SUM(F51:F56)</f>
        <v>5068.3010000000004</v>
      </c>
    </row>
    <row r="59" spans="2:6">
      <c r="B59" t="s">
        <v>1033</v>
      </c>
    </row>
    <row r="60" spans="2:6">
      <c r="B60" t="s">
        <v>122</v>
      </c>
      <c r="C60" t="s">
        <v>2</v>
      </c>
      <c r="D60">
        <v>0.52</v>
      </c>
      <c r="E60">
        <f>SUM(F16)</f>
        <v>1115</v>
      </c>
      <c r="F60">
        <f>E60*D60</f>
        <v>579.79999999999995</v>
      </c>
    </row>
    <row r="61" spans="2:6">
      <c r="B61" t="s">
        <v>124</v>
      </c>
      <c r="C61" t="s">
        <v>2</v>
      </c>
      <c r="D61">
        <v>0.85</v>
      </c>
      <c r="E61">
        <f>F21</f>
        <v>1215</v>
      </c>
      <c r="F61">
        <f>E61*D61</f>
        <v>1032.75</v>
      </c>
    </row>
    <row r="62" spans="2:6">
      <c r="B62" t="s">
        <v>135</v>
      </c>
      <c r="C62" t="s">
        <v>1026</v>
      </c>
      <c r="D62">
        <v>6.44</v>
      </c>
      <c r="E62">
        <f>F4</f>
        <v>325</v>
      </c>
      <c r="F62">
        <f>E62*D62</f>
        <v>2093</v>
      </c>
    </row>
    <row r="63" spans="2:6">
      <c r="B63" t="s">
        <v>117</v>
      </c>
      <c r="C63" t="s">
        <v>118</v>
      </c>
      <c r="D63">
        <v>60</v>
      </c>
      <c r="E63">
        <f>F3</f>
        <v>2.5</v>
      </c>
      <c r="F63">
        <f>E63*D63</f>
        <v>150</v>
      </c>
    </row>
    <row r="64" spans="2:6">
      <c r="B64" t="s">
        <v>139</v>
      </c>
      <c r="C64" t="s">
        <v>2</v>
      </c>
      <c r="D64">
        <v>1</v>
      </c>
      <c r="E64">
        <v>850</v>
      </c>
      <c r="F64">
        <f>E64*D64</f>
        <v>850</v>
      </c>
    </row>
    <row r="65" spans="2:6">
      <c r="B65" t="s">
        <v>140</v>
      </c>
      <c r="F65">
        <f>SUM(F60+F61+F62+F63)*0.02</f>
        <v>77.111000000000004</v>
      </c>
    </row>
    <row r="66" spans="2:6">
      <c r="E66" t="s">
        <v>1031</v>
      </c>
      <c r="F66">
        <f>SUM(F60:F65)</f>
        <v>4782.6610000000001</v>
      </c>
    </row>
    <row r="68" spans="2:6">
      <c r="B68" t="s">
        <v>1034</v>
      </c>
    </row>
    <row r="69" spans="2:6">
      <c r="B69" t="s">
        <v>145</v>
      </c>
      <c r="C69" t="s">
        <v>2</v>
      </c>
      <c r="D69">
        <v>1</v>
      </c>
      <c r="E69">
        <f>+F8</f>
        <v>1100</v>
      </c>
      <c r="F69">
        <f>E69*D69</f>
        <v>1100</v>
      </c>
    </row>
    <row r="70" spans="2:6">
      <c r="B70" t="s">
        <v>131</v>
      </c>
      <c r="C70" t="s">
        <v>2</v>
      </c>
      <c r="D70">
        <v>1</v>
      </c>
      <c r="E70">
        <v>15</v>
      </c>
      <c r="F70">
        <f>E70*D70</f>
        <v>15</v>
      </c>
    </row>
    <row r="71" spans="2:6">
      <c r="E71" t="s">
        <v>1031</v>
      </c>
      <c r="F71">
        <f>SUM(F69:F70)</f>
        <v>1115</v>
      </c>
    </row>
    <row r="73" spans="2:6">
      <c r="B73" t="s">
        <v>146</v>
      </c>
    </row>
    <row r="74" spans="2:6">
      <c r="B74" t="s">
        <v>122</v>
      </c>
      <c r="C74" t="s">
        <v>2</v>
      </c>
      <c r="D74">
        <v>1.02</v>
      </c>
      <c r="E74">
        <f>SUM(F71)</f>
        <v>1115</v>
      </c>
      <c r="F74">
        <f>E74*D74</f>
        <v>1137.3</v>
      </c>
    </row>
    <row r="75" spans="2:6">
      <c r="B75" t="s">
        <v>135</v>
      </c>
      <c r="C75" t="s">
        <v>1026</v>
      </c>
      <c r="D75">
        <v>9.4600000000000009</v>
      </c>
      <c r="E75">
        <f>F4</f>
        <v>325</v>
      </c>
      <c r="F75">
        <f>E75*D75</f>
        <v>3074.5</v>
      </c>
    </row>
    <row r="76" spans="2:6">
      <c r="B76" t="s">
        <v>117</v>
      </c>
      <c r="C76" t="s">
        <v>118</v>
      </c>
      <c r="D76">
        <v>50</v>
      </c>
      <c r="E76">
        <f>F3</f>
        <v>2.5</v>
      </c>
      <c r="F76">
        <f>E76*D76</f>
        <v>125</v>
      </c>
    </row>
    <row r="77" spans="2:6">
      <c r="B77" t="s">
        <v>121</v>
      </c>
      <c r="C77" t="s">
        <v>1026</v>
      </c>
      <c r="D77">
        <v>3.07</v>
      </c>
      <c r="E77">
        <f>F5</f>
        <v>90</v>
      </c>
      <c r="F77">
        <f>E77*D77</f>
        <v>276.3</v>
      </c>
    </row>
    <row r="78" spans="2:6">
      <c r="B78" t="s">
        <v>147</v>
      </c>
      <c r="C78" t="s">
        <v>148</v>
      </c>
      <c r="D78">
        <v>0.5</v>
      </c>
      <c r="E78">
        <v>659</v>
      </c>
      <c r="F78">
        <f>E78*D78</f>
        <v>329.5</v>
      </c>
    </row>
    <row r="79" spans="2:6">
      <c r="B79" t="s">
        <v>149</v>
      </c>
      <c r="F79">
        <f>SUM(F75+F76+F74+F77)*0.03</f>
        <v>138.393</v>
      </c>
    </row>
    <row r="80" spans="2:6">
      <c r="B80" t="s">
        <v>43</v>
      </c>
      <c r="E80" t="s">
        <v>1031</v>
      </c>
      <c r="F80">
        <f>SUM(F74:F79)</f>
        <v>5080.9930000000004</v>
      </c>
    </row>
    <row r="82" spans="2:6">
      <c r="B82" t="s">
        <v>150</v>
      </c>
    </row>
    <row r="83" spans="2:6">
      <c r="B83" t="s">
        <v>151</v>
      </c>
      <c r="C83" t="s">
        <v>2</v>
      </c>
      <c r="D83">
        <v>0.998</v>
      </c>
      <c r="E83">
        <f>+F71</f>
        <v>1115</v>
      </c>
      <c r="F83">
        <f>E83*D83</f>
        <v>1112.77</v>
      </c>
    </row>
    <row r="84" spans="2:6">
      <c r="B84" t="s">
        <v>117</v>
      </c>
      <c r="C84" t="s">
        <v>118</v>
      </c>
      <c r="D84">
        <v>69.040000000000006</v>
      </c>
      <c r="E84">
        <f>F3</f>
        <v>2.5</v>
      </c>
      <c r="F84">
        <f>E84*D84</f>
        <v>172.6</v>
      </c>
    </row>
    <row r="85" spans="2:6">
      <c r="B85" t="s">
        <v>135</v>
      </c>
      <c r="C85" t="s">
        <v>1026</v>
      </c>
      <c r="D85">
        <v>11.51</v>
      </c>
      <c r="E85">
        <f>F4</f>
        <v>325</v>
      </c>
      <c r="F85">
        <f>E85*D85</f>
        <v>3740.75</v>
      </c>
    </row>
    <row r="86" spans="2:6">
      <c r="B86" t="s">
        <v>147</v>
      </c>
      <c r="C86" t="s">
        <v>148</v>
      </c>
      <c r="D86">
        <v>0.5</v>
      </c>
      <c r="E86">
        <v>659</v>
      </c>
      <c r="F86">
        <f>E86*D86</f>
        <v>329.5</v>
      </c>
    </row>
    <row r="87" spans="2:6">
      <c r="B87" t="s">
        <v>149</v>
      </c>
      <c r="F87">
        <f>SUM(F83+F84+F82+F85)*0.03</f>
        <v>150.78360000000001</v>
      </c>
    </row>
    <row r="88" spans="2:6">
      <c r="E88" t="s">
        <v>1031</v>
      </c>
      <c r="F88">
        <f>SUM(F83:F87)</f>
        <v>5506.4035999999996</v>
      </c>
    </row>
    <row r="90" spans="2:6">
      <c r="B90" t="s">
        <v>1035</v>
      </c>
    </row>
    <row r="91" spans="2:6">
      <c r="B91" t="s">
        <v>153</v>
      </c>
      <c r="C91" t="s">
        <v>2</v>
      </c>
      <c r="D91">
        <v>2.5999999999999999E-2</v>
      </c>
      <c r="E91">
        <f>SUM(F80)</f>
        <v>5080.9930000000004</v>
      </c>
      <c r="F91">
        <f>E91*D91</f>
        <v>132.105818</v>
      </c>
    </row>
    <row r="92" spans="2:6">
      <c r="B92" t="s">
        <v>154</v>
      </c>
      <c r="C92" t="s">
        <v>155</v>
      </c>
      <c r="D92">
        <v>3.3000000000000002E-2</v>
      </c>
      <c r="E92">
        <v>45</v>
      </c>
      <c r="F92">
        <f>E92*D92</f>
        <v>1.4850000000000001</v>
      </c>
    </row>
    <row r="93" spans="2:6">
      <c r="B93" t="s">
        <v>156</v>
      </c>
      <c r="C93" t="s">
        <v>42</v>
      </c>
      <c r="D93">
        <v>1</v>
      </c>
      <c r="E93">
        <v>10</v>
      </c>
      <c r="F93">
        <f>E93*D93</f>
        <v>10</v>
      </c>
    </row>
    <row r="94" spans="2:6">
      <c r="B94" t="s">
        <v>41</v>
      </c>
      <c r="C94" t="s">
        <v>11</v>
      </c>
      <c r="D94">
        <v>1</v>
      </c>
      <c r="E94">
        <v>151.19</v>
      </c>
      <c r="F94">
        <f>E94*D94</f>
        <v>151.19</v>
      </c>
    </row>
    <row r="95" spans="2:6">
      <c r="E95" t="s">
        <v>1031</v>
      </c>
      <c r="F95">
        <f>SUM(F91:F94)</f>
        <v>294.78081800000001</v>
      </c>
    </row>
    <row r="97" spans="2:6">
      <c r="B97" t="s">
        <v>165</v>
      </c>
    </row>
    <row r="98" spans="2:6">
      <c r="B98" t="s">
        <v>166</v>
      </c>
      <c r="C98" t="s">
        <v>2</v>
      </c>
      <c r="D98">
        <v>2.5999999999999999E-2</v>
      </c>
      <c r="E98">
        <f>SUM(F80)</f>
        <v>5080.9930000000004</v>
      </c>
      <c r="F98">
        <f>E98*D98</f>
        <v>132.105818</v>
      </c>
    </row>
    <row r="99" spans="2:6">
      <c r="B99" t="s">
        <v>154</v>
      </c>
      <c r="C99" t="s">
        <v>155</v>
      </c>
      <c r="D99">
        <v>3.3000000000000002E-2</v>
      </c>
      <c r="E99">
        <v>45</v>
      </c>
      <c r="F99">
        <f>E99*D99</f>
        <v>1.4850000000000001</v>
      </c>
    </row>
    <row r="100" spans="2:6">
      <c r="B100" t="s">
        <v>156</v>
      </c>
      <c r="C100" t="s">
        <v>42</v>
      </c>
      <c r="D100">
        <v>1</v>
      </c>
      <c r="E100">
        <v>10</v>
      </c>
      <c r="F100">
        <f>E100*D100</f>
        <v>10</v>
      </c>
    </row>
    <row r="101" spans="2:6">
      <c r="B101" t="s">
        <v>167</v>
      </c>
      <c r="C101" t="s">
        <v>1026</v>
      </c>
      <c r="D101">
        <v>5.2999999999999999E-2</v>
      </c>
      <c r="E101">
        <f>F4</f>
        <v>325</v>
      </c>
      <c r="F101">
        <f>E101*D101</f>
        <v>17.225000000000001</v>
      </c>
    </row>
    <row r="102" spans="2:6">
      <c r="B102" t="s">
        <v>162</v>
      </c>
      <c r="C102" t="s">
        <v>11</v>
      </c>
      <c r="D102">
        <v>1</v>
      </c>
      <c r="E102">
        <v>118.79</v>
      </c>
      <c r="F102">
        <f>E102*D102</f>
        <v>118.79</v>
      </c>
    </row>
    <row r="103" spans="2:6">
      <c r="E103" t="s">
        <v>1031</v>
      </c>
      <c r="F103">
        <f>SUM(F98:F102)</f>
        <v>279.605818</v>
      </c>
    </row>
    <row r="104" spans="2:6">
      <c r="B104" t="s">
        <v>158</v>
      </c>
      <c r="D104">
        <f>F103-F101</f>
        <v>262.38081799999998</v>
      </c>
    </row>
    <row r="106" spans="2:6">
      <c r="B106" t="s">
        <v>170</v>
      </c>
    </row>
    <row r="107" spans="2:6">
      <c r="B107" t="s">
        <v>171</v>
      </c>
      <c r="C107" t="s">
        <v>2</v>
      </c>
      <c r="D107">
        <v>6.3E-2</v>
      </c>
      <c r="E107">
        <f>+F88</f>
        <v>5506.4035999999996</v>
      </c>
      <c r="F107">
        <f t="shared" ref="F107:F112" si="1">E107*D107</f>
        <v>346.90342679999998</v>
      </c>
    </row>
    <row r="108" spans="2:6">
      <c r="B108" t="s">
        <v>154</v>
      </c>
      <c r="C108" t="s">
        <v>155</v>
      </c>
      <c r="D108">
        <v>0.33</v>
      </c>
      <c r="E108">
        <v>45</v>
      </c>
      <c r="F108">
        <f t="shared" si="1"/>
        <v>14.85</v>
      </c>
    </row>
    <row r="109" spans="2:6">
      <c r="B109" t="s">
        <v>156</v>
      </c>
      <c r="C109" t="s">
        <v>42</v>
      </c>
      <c r="D109">
        <v>1</v>
      </c>
      <c r="E109">
        <v>10</v>
      </c>
      <c r="F109">
        <f t="shared" si="1"/>
        <v>10</v>
      </c>
    </row>
    <row r="110" spans="2:6">
      <c r="B110" t="s">
        <v>172</v>
      </c>
      <c r="C110" t="s">
        <v>42</v>
      </c>
      <c r="D110">
        <v>1</v>
      </c>
      <c r="E110">
        <v>10</v>
      </c>
      <c r="F110">
        <f t="shared" si="1"/>
        <v>10</v>
      </c>
    </row>
    <row r="111" spans="2:6">
      <c r="B111" t="s">
        <v>1036</v>
      </c>
      <c r="C111" t="s">
        <v>11</v>
      </c>
      <c r="D111">
        <v>1</v>
      </c>
      <c r="E111">
        <v>90</v>
      </c>
      <c r="F111">
        <f t="shared" si="1"/>
        <v>90</v>
      </c>
    </row>
    <row r="112" spans="2:6">
      <c r="B112" t="s">
        <v>167</v>
      </c>
      <c r="C112" t="s">
        <v>1026</v>
      </c>
      <c r="D112">
        <v>5.2999999999999999E-2</v>
      </c>
      <c r="E112">
        <f>+E101</f>
        <v>325</v>
      </c>
      <c r="F112">
        <f t="shared" si="1"/>
        <v>17.225000000000001</v>
      </c>
    </row>
    <row r="113" spans="2:6">
      <c r="C113" t="s">
        <v>1037</v>
      </c>
      <c r="E113" t="s">
        <v>1038</v>
      </c>
      <c r="F113">
        <f>SUM(F107:F112)</f>
        <v>488.97842680000002</v>
      </c>
    </row>
    <row r="115" spans="2:6">
      <c r="B115" t="s">
        <v>174</v>
      </c>
    </row>
    <row r="116" spans="2:6">
      <c r="B116" t="s">
        <v>175</v>
      </c>
      <c r="C116" t="s">
        <v>2</v>
      </c>
      <c r="D116">
        <v>6.3E-2</v>
      </c>
      <c r="E116">
        <f>SUM(F88)</f>
        <v>5506.4035999999996</v>
      </c>
      <c r="F116">
        <f>E116*D116</f>
        <v>346.90342679999998</v>
      </c>
    </row>
    <row r="117" spans="2:6">
      <c r="B117" t="s">
        <v>154</v>
      </c>
      <c r="C117" t="s">
        <v>155</v>
      </c>
      <c r="D117">
        <v>0.33</v>
      </c>
      <c r="E117">
        <v>45</v>
      </c>
      <c r="F117">
        <f>E117*D117</f>
        <v>14.85</v>
      </c>
    </row>
    <row r="118" spans="2:6">
      <c r="B118" t="s">
        <v>176</v>
      </c>
      <c r="C118" t="s">
        <v>42</v>
      </c>
      <c r="D118">
        <v>1</v>
      </c>
      <c r="E118">
        <v>10</v>
      </c>
      <c r="F118">
        <f>E118*D118</f>
        <v>10</v>
      </c>
    </row>
    <row r="119" spans="2:6">
      <c r="B119" t="s">
        <v>41</v>
      </c>
      <c r="C119" t="s">
        <v>11</v>
      </c>
      <c r="D119">
        <v>1</v>
      </c>
      <c r="E119">
        <v>103.91</v>
      </c>
      <c r="F119">
        <f>E119*D119</f>
        <v>103.91</v>
      </c>
    </row>
    <row r="120" spans="2:6">
      <c r="C120" t="s">
        <v>1037</v>
      </c>
      <c r="E120" t="s">
        <v>1038</v>
      </c>
      <c r="F120">
        <f>SUM(F116:F119)</f>
        <v>475.66342680000002</v>
      </c>
    </row>
    <row r="122" spans="2:6">
      <c r="B122" t="s">
        <v>177</v>
      </c>
    </row>
    <row r="123" spans="2:6">
      <c r="B123" t="s">
        <v>178</v>
      </c>
      <c r="C123" t="s">
        <v>2</v>
      </c>
      <c r="D123">
        <v>4.3E-3</v>
      </c>
      <c r="E123">
        <f>SUM(F80)</f>
        <v>5080.9930000000004</v>
      </c>
      <c r="F123">
        <f>E123*D123</f>
        <v>21.848269899999998</v>
      </c>
    </row>
    <row r="124" spans="2:6">
      <c r="B124" t="s">
        <v>154</v>
      </c>
      <c r="C124" t="s">
        <v>155</v>
      </c>
      <c r="D124">
        <v>0.109</v>
      </c>
      <c r="E124">
        <v>45</v>
      </c>
      <c r="F124">
        <f>E124*D124</f>
        <v>4.9050000000000002</v>
      </c>
    </row>
    <row r="125" spans="2:6">
      <c r="B125" t="s">
        <v>41</v>
      </c>
      <c r="C125" t="s">
        <v>2</v>
      </c>
      <c r="D125">
        <v>1</v>
      </c>
      <c r="E125">
        <v>51.74</v>
      </c>
      <c r="F125">
        <f>E125*D125</f>
        <v>51.74</v>
      </c>
    </row>
    <row r="126" spans="2:6">
      <c r="C126" t="s">
        <v>1037</v>
      </c>
      <c r="E126" t="s">
        <v>1039</v>
      </c>
      <c r="F126">
        <f>SUM(F123:F125)</f>
        <v>78.493269900000001</v>
      </c>
    </row>
    <row r="128" spans="2:6">
      <c r="B128" t="s">
        <v>1040</v>
      </c>
    </row>
    <row r="129" spans="2:6">
      <c r="B129" t="s">
        <v>1041</v>
      </c>
      <c r="C129" t="s">
        <v>2</v>
      </c>
      <c r="D129">
        <v>8.7999999999999995E-2</v>
      </c>
      <c r="E129">
        <v>75</v>
      </c>
      <c r="F129">
        <f>E129*D129</f>
        <v>6.6</v>
      </c>
    </row>
    <row r="130" spans="2:6">
      <c r="B130" t="s">
        <v>1042</v>
      </c>
      <c r="C130" t="s">
        <v>11</v>
      </c>
      <c r="D130">
        <v>1</v>
      </c>
      <c r="E130">
        <v>29.7</v>
      </c>
      <c r="F130">
        <f>E130*D130</f>
        <v>29.7</v>
      </c>
    </row>
    <row r="131" spans="2:6">
      <c r="E131" t="s">
        <v>1031</v>
      </c>
      <c r="F131">
        <f>SUM(F129:F130)</f>
        <v>36.299999999999997</v>
      </c>
    </row>
    <row r="133" spans="2:6">
      <c r="B133" t="s">
        <v>1043</v>
      </c>
    </row>
    <row r="134" spans="2:6">
      <c r="B134" t="s">
        <v>181</v>
      </c>
      <c r="C134" t="s">
        <v>126</v>
      </c>
      <c r="D134">
        <v>1</v>
      </c>
      <c r="E134">
        <v>2500</v>
      </c>
      <c r="F134">
        <f>E134*D134</f>
        <v>2500</v>
      </c>
    </row>
    <row r="135" spans="2:6">
      <c r="B135" t="s">
        <v>41</v>
      </c>
      <c r="C135" t="s">
        <v>126</v>
      </c>
      <c r="D135">
        <v>1</v>
      </c>
      <c r="E135">
        <v>323</v>
      </c>
      <c r="F135">
        <f>E135*D135</f>
        <v>323</v>
      </c>
    </row>
    <row r="136" spans="2:6">
      <c r="B136" t="s">
        <v>1044</v>
      </c>
      <c r="C136" t="s">
        <v>183</v>
      </c>
      <c r="D136">
        <v>2</v>
      </c>
      <c r="E136">
        <v>45</v>
      </c>
      <c r="F136">
        <f>E136*D136</f>
        <v>90</v>
      </c>
    </row>
    <row r="137" spans="2:6">
      <c r="E137" t="s">
        <v>1031</v>
      </c>
      <c r="F137">
        <f>SUM(F134:F136)</f>
        <v>2913</v>
      </c>
    </row>
    <row r="139" spans="2:6">
      <c r="B139" t="s">
        <v>1045</v>
      </c>
    </row>
    <row r="140" spans="2:6">
      <c r="B140" t="s">
        <v>181</v>
      </c>
      <c r="C140" t="s">
        <v>126</v>
      </c>
      <c r="D140">
        <v>1</v>
      </c>
      <c r="E140">
        <f>+E134</f>
        <v>2500</v>
      </c>
      <c r="F140">
        <f>E140*D140</f>
        <v>2500</v>
      </c>
    </row>
    <row r="141" spans="2:6">
      <c r="B141" t="s">
        <v>1044</v>
      </c>
      <c r="C141" t="s">
        <v>183</v>
      </c>
      <c r="D141">
        <v>2</v>
      </c>
      <c r="E141">
        <v>45</v>
      </c>
      <c r="F141">
        <f>E141*D141</f>
        <v>90</v>
      </c>
    </row>
    <row r="142" spans="2:6">
      <c r="E142" t="s">
        <v>1031</v>
      </c>
      <c r="F142">
        <f>SUM(F140:F141)</f>
        <v>2590</v>
      </c>
    </row>
    <row r="144" spans="2:6">
      <c r="B144" t="s">
        <v>186</v>
      </c>
    </row>
    <row r="145" spans="2:6">
      <c r="B145" t="s">
        <v>187</v>
      </c>
    </row>
    <row r="146" spans="2:6">
      <c r="B146" t="s">
        <v>122</v>
      </c>
      <c r="C146" t="s">
        <v>2</v>
      </c>
      <c r="D146">
        <v>0.52</v>
      </c>
      <c r="E146">
        <f>F16</f>
        <v>1115</v>
      </c>
      <c r="F146">
        <f>E146*D146</f>
        <v>579.79999999999995</v>
      </c>
    </row>
    <row r="147" spans="2:6">
      <c r="B147" t="s">
        <v>124</v>
      </c>
      <c r="C147" t="s">
        <v>2</v>
      </c>
      <c r="D147">
        <v>0.85</v>
      </c>
      <c r="E147">
        <f>F21</f>
        <v>1215</v>
      </c>
      <c r="F147">
        <f>E147*D147</f>
        <v>1032.75</v>
      </c>
    </row>
    <row r="148" spans="2:6">
      <c r="B148" t="s">
        <v>117</v>
      </c>
      <c r="C148" t="s">
        <v>118</v>
      </c>
      <c r="D148">
        <v>60</v>
      </c>
      <c r="E148">
        <f>F3</f>
        <v>2.5</v>
      </c>
      <c r="F148">
        <f>E148*D148</f>
        <v>150</v>
      </c>
    </row>
    <row r="149" spans="2:6">
      <c r="B149" t="s">
        <v>188</v>
      </c>
      <c r="C149" t="s">
        <v>1026</v>
      </c>
      <c r="D149">
        <v>6.4</v>
      </c>
      <c r="E149">
        <f>F4</f>
        <v>325</v>
      </c>
      <c r="F149">
        <f>E149*D149</f>
        <v>2080</v>
      </c>
    </row>
    <row r="150" spans="2:6">
      <c r="B150" t="s">
        <v>189</v>
      </c>
      <c r="C150" t="s">
        <v>148</v>
      </c>
      <c r="D150">
        <v>0.5</v>
      </c>
      <c r="E150">
        <v>659</v>
      </c>
      <c r="F150">
        <f>E150*D150</f>
        <v>329.5</v>
      </c>
    </row>
    <row r="151" spans="2:6">
      <c r="B151" t="s">
        <v>190</v>
      </c>
      <c r="F151">
        <f>SUM(F146+F147+F148+F149)*0.03</f>
        <v>115.2765</v>
      </c>
    </row>
    <row r="152" spans="2:6">
      <c r="E152" t="s">
        <v>1031</v>
      </c>
      <c r="F152">
        <f>SUM(F146:F151)</f>
        <v>4287.3265000000001</v>
      </c>
    </row>
    <row r="154" spans="2:6">
      <c r="B154" t="s">
        <v>191</v>
      </c>
    </row>
    <row r="155" spans="2:6">
      <c r="B155" t="s">
        <v>192</v>
      </c>
      <c r="C155" t="s">
        <v>3</v>
      </c>
      <c r="D155">
        <v>13</v>
      </c>
      <c r="E155">
        <v>28.5</v>
      </c>
      <c r="F155">
        <f t="shared" ref="F155:F162" si="2">E155*D155</f>
        <v>370.5</v>
      </c>
    </row>
    <row r="156" spans="2:6">
      <c r="B156" t="s">
        <v>193</v>
      </c>
      <c r="C156" t="s">
        <v>3</v>
      </c>
      <c r="D156">
        <v>13</v>
      </c>
      <c r="E156">
        <v>18</v>
      </c>
      <c r="F156">
        <f t="shared" si="2"/>
        <v>234</v>
      </c>
    </row>
    <row r="157" spans="2:6">
      <c r="B157" t="s">
        <v>194</v>
      </c>
      <c r="C157" t="s">
        <v>2</v>
      </c>
      <c r="D157">
        <v>3.1199999999999999E-2</v>
      </c>
      <c r="E157">
        <f>F88</f>
        <v>5506.4035999999996</v>
      </c>
      <c r="F157">
        <f t="shared" si="2"/>
        <v>171.79979231999999</v>
      </c>
    </row>
    <row r="158" spans="2:6">
      <c r="B158" t="s">
        <v>195</v>
      </c>
      <c r="C158" t="s">
        <v>2</v>
      </c>
      <c r="D158">
        <v>0.01</v>
      </c>
      <c r="E158">
        <f>SUM(F152)</f>
        <v>4287.3265000000001</v>
      </c>
      <c r="F158">
        <f t="shared" si="2"/>
        <v>42.873265000000004</v>
      </c>
    </row>
    <row r="159" spans="2:6">
      <c r="B159" t="s">
        <v>196</v>
      </c>
      <c r="C159" t="s">
        <v>126</v>
      </c>
      <c r="D159">
        <v>2.9600000000000001E-2</v>
      </c>
      <c r="E159">
        <f>F137</f>
        <v>2913</v>
      </c>
      <c r="F159">
        <f t="shared" si="2"/>
        <v>86.224800000000002</v>
      </c>
    </row>
    <row r="160" spans="2:6">
      <c r="B160" t="s">
        <v>197</v>
      </c>
      <c r="C160" t="s">
        <v>155</v>
      </c>
      <c r="D160">
        <v>0.18179999999999999</v>
      </c>
      <c r="E160">
        <v>45</v>
      </c>
      <c r="F160">
        <f t="shared" si="2"/>
        <v>8.1809999999999992</v>
      </c>
    </row>
    <row r="161" spans="2:6">
      <c r="B161" t="s">
        <v>198</v>
      </c>
      <c r="C161" t="s">
        <v>148</v>
      </c>
      <c r="D161">
        <v>2.3E-2</v>
      </c>
      <c r="E161">
        <v>659</v>
      </c>
      <c r="F161">
        <f t="shared" si="2"/>
        <v>15.157</v>
      </c>
    </row>
    <row r="162" spans="2:6">
      <c r="B162" t="s">
        <v>199</v>
      </c>
      <c r="C162" t="s">
        <v>2</v>
      </c>
      <c r="D162">
        <v>0.01</v>
      </c>
      <c r="E162">
        <v>659</v>
      </c>
      <c r="F162">
        <f t="shared" si="2"/>
        <v>6.59</v>
      </c>
    </row>
    <row r="163" spans="2:6">
      <c r="E163" t="s">
        <v>1031</v>
      </c>
      <c r="F163">
        <f>SUM(F155:F162)</f>
        <v>935.32585731999995</v>
      </c>
    </row>
    <row r="164" spans="2:6">
      <c r="B164" t="s">
        <v>1046</v>
      </c>
      <c r="F164">
        <f>+F163-F161</f>
        <v>920.16885732000003</v>
      </c>
    </row>
    <row r="166" spans="2:6">
      <c r="B166" t="s">
        <v>1047</v>
      </c>
    </row>
    <row r="167" spans="2:6">
      <c r="B167" t="s">
        <v>1048</v>
      </c>
      <c r="C167" t="s">
        <v>3</v>
      </c>
      <c r="D167">
        <v>13</v>
      </c>
      <c r="E167">
        <v>27</v>
      </c>
      <c r="F167">
        <f t="shared" ref="F167:F174" si="3">E167*D167</f>
        <v>351</v>
      </c>
    </row>
    <row r="168" spans="2:6">
      <c r="B168" t="s">
        <v>1049</v>
      </c>
      <c r="C168" t="s">
        <v>3</v>
      </c>
      <c r="D168">
        <v>13</v>
      </c>
      <c r="E168">
        <v>17</v>
      </c>
      <c r="F168">
        <f t="shared" si="3"/>
        <v>221</v>
      </c>
    </row>
    <row r="169" spans="2:6">
      <c r="B169" t="s">
        <v>1050</v>
      </c>
      <c r="C169" t="s">
        <v>2</v>
      </c>
      <c r="D169">
        <v>0.02</v>
      </c>
      <c r="E169">
        <f>F88</f>
        <v>5506.4035999999996</v>
      </c>
      <c r="F169">
        <f t="shared" si="3"/>
        <v>110.128072</v>
      </c>
    </row>
    <row r="170" spans="2:6">
      <c r="B170" t="s">
        <v>1051</v>
      </c>
      <c r="C170" t="s">
        <v>2</v>
      </c>
      <c r="D170">
        <v>9.1999999999999998E-3</v>
      </c>
      <c r="E170">
        <f>SUM(F152)</f>
        <v>4287.3265000000001</v>
      </c>
      <c r="F170">
        <f t="shared" si="3"/>
        <v>39.443403799999999</v>
      </c>
    </row>
    <row r="171" spans="2:6">
      <c r="B171" t="s">
        <v>1052</v>
      </c>
      <c r="C171" t="s">
        <v>126</v>
      </c>
      <c r="D171">
        <v>2.9600000000000001E-2</v>
      </c>
      <c r="E171">
        <f>F137</f>
        <v>2913</v>
      </c>
      <c r="F171">
        <f t="shared" si="3"/>
        <v>86.224800000000002</v>
      </c>
    </row>
    <row r="172" spans="2:6">
      <c r="B172" t="s">
        <v>1053</v>
      </c>
      <c r="C172" t="s">
        <v>155</v>
      </c>
      <c r="D172">
        <v>0.18179999999999999</v>
      </c>
      <c r="E172">
        <v>23.15</v>
      </c>
      <c r="F172">
        <f t="shared" si="3"/>
        <v>4.2086699999999997</v>
      </c>
    </row>
    <row r="173" spans="2:6">
      <c r="B173" t="s">
        <v>198</v>
      </c>
      <c r="C173" t="s">
        <v>148</v>
      </c>
      <c r="D173">
        <v>2.3E-2</v>
      </c>
      <c r="E173">
        <v>659</v>
      </c>
      <c r="F173">
        <f t="shared" si="3"/>
        <v>15.157</v>
      </c>
    </row>
    <row r="174" spans="2:6">
      <c r="B174" t="s">
        <v>199</v>
      </c>
      <c r="C174" t="s">
        <v>2</v>
      </c>
      <c r="D174">
        <v>0.01</v>
      </c>
      <c r="E174">
        <v>659</v>
      </c>
      <c r="F174">
        <f t="shared" si="3"/>
        <v>6.59</v>
      </c>
    </row>
    <row r="175" spans="2:6">
      <c r="E175" t="s">
        <v>1031</v>
      </c>
      <c r="F175">
        <f>SUM(F167:F174)</f>
        <v>833.75194580000004</v>
      </c>
    </row>
    <row r="177" spans="2:6">
      <c r="B177" t="s">
        <v>1054</v>
      </c>
    </row>
    <row r="178" spans="2:6">
      <c r="B178" t="s">
        <v>1055</v>
      </c>
      <c r="C178" t="s">
        <v>3</v>
      </c>
      <c r="D178">
        <v>13</v>
      </c>
      <c r="E178">
        <v>60</v>
      </c>
      <c r="F178">
        <f>E178*D178</f>
        <v>780</v>
      </c>
    </row>
    <row r="179" spans="2:6">
      <c r="B179" t="s">
        <v>1056</v>
      </c>
      <c r="C179" t="s">
        <v>3</v>
      </c>
      <c r="D179">
        <v>13</v>
      </c>
      <c r="E179">
        <v>20</v>
      </c>
      <c r="F179">
        <f>E179*D179</f>
        <v>260</v>
      </c>
    </row>
    <row r="180" spans="2:6">
      <c r="B180" t="s">
        <v>1057</v>
      </c>
      <c r="C180" t="s">
        <v>2</v>
      </c>
      <c r="D180">
        <v>8.6E-3</v>
      </c>
      <c r="E180">
        <f>F80</f>
        <v>5080.9930000000004</v>
      </c>
      <c r="F180">
        <f>E180*D180</f>
        <v>43.696539799999996</v>
      </c>
    </row>
    <row r="181" spans="2:6">
      <c r="B181" t="s">
        <v>1058</v>
      </c>
      <c r="C181" t="s">
        <v>3</v>
      </c>
      <c r="D181">
        <v>0.13</v>
      </c>
      <c r="E181">
        <v>60</v>
      </c>
      <c r="F181">
        <f>E181*D181</f>
        <v>7.8</v>
      </c>
    </row>
    <row r="182" spans="2:6">
      <c r="E182" t="s">
        <v>1031</v>
      </c>
      <c r="F182">
        <f>SUM(F178:F181)</f>
        <v>1091.4965397999999</v>
      </c>
    </row>
    <row r="184" spans="2:6">
      <c r="B184" t="s">
        <v>1222</v>
      </c>
    </row>
    <row r="185" spans="2:6">
      <c r="B185" t="s">
        <v>1059</v>
      </c>
      <c r="C185" t="s">
        <v>11</v>
      </c>
      <c r="D185">
        <v>1</v>
      </c>
      <c r="E185">
        <v>18</v>
      </c>
      <c r="F185">
        <f>E185*D185</f>
        <v>18</v>
      </c>
    </row>
    <row r="186" spans="2:6">
      <c r="B186" t="s">
        <v>1060</v>
      </c>
      <c r="C186" t="s">
        <v>2</v>
      </c>
      <c r="D186">
        <v>0.105</v>
      </c>
      <c r="E186">
        <f>F57</f>
        <v>5068.3010000000004</v>
      </c>
      <c r="F186">
        <f>E186*D186</f>
        <v>532.171605</v>
      </c>
    </row>
    <row r="187" spans="2:6">
      <c r="B187" t="s">
        <v>154</v>
      </c>
      <c r="C187" t="s">
        <v>155</v>
      </c>
      <c r="D187">
        <v>2.1999999999999999E-2</v>
      </c>
      <c r="E187">
        <v>45</v>
      </c>
      <c r="F187">
        <f>E187*D187</f>
        <v>0.99</v>
      </c>
    </row>
    <row r="188" spans="2:6">
      <c r="B188" t="s">
        <v>1061</v>
      </c>
      <c r="C188" t="s">
        <v>11</v>
      </c>
      <c r="D188">
        <v>1</v>
      </c>
      <c r="E188">
        <v>70</v>
      </c>
      <c r="F188">
        <f>E188*D188</f>
        <v>70</v>
      </c>
    </row>
    <row r="189" spans="2:6">
      <c r="B189" t="s">
        <v>1062</v>
      </c>
      <c r="C189" t="s">
        <v>13</v>
      </c>
      <c r="D189">
        <f>1/0.8</f>
        <v>1.25</v>
      </c>
      <c r="E189">
        <f>+F126</f>
        <v>78.493269900000001</v>
      </c>
      <c r="F189">
        <f>E189*D189</f>
        <v>98.116587374999995</v>
      </c>
    </row>
    <row r="190" spans="2:6">
      <c r="E190" t="s">
        <v>1031</v>
      </c>
      <c r="F190">
        <f>SUM(F185:F189)</f>
        <v>719.278192375</v>
      </c>
    </row>
    <row r="191" spans="2:6">
      <c r="E191">
        <v>0.5</v>
      </c>
      <c r="F191">
        <f>ROUND(F190-F189+E189*1/0.5,2)</f>
        <v>778.15</v>
      </c>
    </row>
    <row r="192" spans="2:6">
      <c r="B192" t="s">
        <v>1063</v>
      </c>
    </row>
    <row r="193" spans="2:6">
      <c r="B193" t="s">
        <v>1064</v>
      </c>
      <c r="C193" t="s">
        <v>2</v>
      </c>
      <c r="D193">
        <v>0.08</v>
      </c>
      <c r="E193">
        <f>F152</f>
        <v>4287.3265000000001</v>
      </c>
      <c r="F193">
        <f t="shared" ref="F193:F198" si="4">E193*D193</f>
        <v>342.98612000000003</v>
      </c>
    </row>
    <row r="194" spans="2:6">
      <c r="B194" t="s">
        <v>1065</v>
      </c>
      <c r="C194" t="s">
        <v>2</v>
      </c>
      <c r="D194">
        <v>2.1999999999999999E-2</v>
      </c>
      <c r="E194">
        <f>F80</f>
        <v>5080.9930000000004</v>
      </c>
      <c r="F194">
        <f t="shared" si="4"/>
        <v>111.781846</v>
      </c>
    </row>
    <row r="195" spans="2:6">
      <c r="B195" t="s">
        <v>154</v>
      </c>
      <c r="C195" t="s">
        <v>155</v>
      </c>
      <c r="D195">
        <v>8.7999999999999995E-2</v>
      </c>
      <c r="E195">
        <v>45</v>
      </c>
      <c r="F195">
        <f t="shared" si="4"/>
        <v>3.96</v>
      </c>
    </row>
    <row r="196" spans="2:6">
      <c r="B196" t="s">
        <v>1066</v>
      </c>
      <c r="C196" t="s">
        <v>11</v>
      </c>
      <c r="D196">
        <v>1</v>
      </c>
      <c r="E196">
        <v>70</v>
      </c>
      <c r="F196">
        <f t="shared" si="4"/>
        <v>70</v>
      </c>
    </row>
    <row r="197" spans="2:6">
      <c r="B197" t="s">
        <v>1062</v>
      </c>
      <c r="C197" t="s">
        <v>1</v>
      </c>
      <c r="D197">
        <v>0.8</v>
      </c>
      <c r="E197">
        <f>F126</f>
        <v>78.493269900000001</v>
      </c>
      <c r="F197">
        <f t="shared" si="4"/>
        <v>62.794615919999998</v>
      </c>
    </row>
    <row r="198" spans="2:6">
      <c r="B198" t="s">
        <v>1067</v>
      </c>
      <c r="C198" t="s">
        <v>1026</v>
      </c>
      <c r="D198">
        <v>0.04</v>
      </c>
      <c r="E198">
        <f>F4</f>
        <v>325</v>
      </c>
      <c r="F198">
        <f t="shared" si="4"/>
        <v>13</v>
      </c>
    </row>
    <row r="199" spans="2:6">
      <c r="E199" t="s">
        <v>1031</v>
      </c>
      <c r="F199">
        <f>SUM(F193:F198)</f>
        <v>604.52258191999999</v>
      </c>
    </row>
    <row r="201" spans="2:6">
      <c r="B201" t="s">
        <v>1068</v>
      </c>
    </row>
    <row r="202" spans="2:6">
      <c r="B202" t="s">
        <v>1069</v>
      </c>
      <c r="C202" t="s">
        <v>2</v>
      </c>
      <c r="D202">
        <v>0.8</v>
      </c>
      <c r="E202">
        <f>F66</f>
        <v>4782.6610000000001</v>
      </c>
      <c r="F202">
        <f>E202*D202</f>
        <v>3826.1288</v>
      </c>
    </row>
    <row r="203" spans="2:6">
      <c r="B203" t="s">
        <v>1070</v>
      </c>
      <c r="C203" t="s">
        <v>2</v>
      </c>
      <c r="D203">
        <v>0.45</v>
      </c>
      <c r="E203">
        <v>750</v>
      </c>
      <c r="F203">
        <f>E203*D203</f>
        <v>337.5</v>
      </c>
    </row>
    <row r="204" spans="2:6">
      <c r="B204" t="s">
        <v>41</v>
      </c>
      <c r="C204" t="s">
        <v>2</v>
      </c>
      <c r="D204">
        <v>1</v>
      </c>
      <c r="E204">
        <v>659</v>
      </c>
      <c r="F204">
        <f>E204*D204</f>
        <v>659</v>
      </c>
    </row>
    <row r="205" spans="2:6">
      <c r="F205">
        <f>SUM(F202:F204)</f>
        <v>4822.6288000000004</v>
      </c>
    </row>
    <row r="207" spans="2:6">
      <c r="B207" t="s">
        <v>862</v>
      </c>
    </row>
    <row r="208" spans="2:6">
      <c r="B208" t="s">
        <v>1071</v>
      </c>
      <c r="C208" t="s">
        <v>11</v>
      </c>
      <c r="D208">
        <v>0.2</v>
      </c>
      <c r="E208">
        <f>+F163</f>
        <v>935.32585731999995</v>
      </c>
      <c r="F208">
        <f>E208*D208</f>
        <v>187.065171464</v>
      </c>
    </row>
    <row r="209" spans="2:7">
      <c r="B209" t="s">
        <v>259</v>
      </c>
      <c r="C209" t="s">
        <v>11</v>
      </c>
      <c r="D209">
        <v>0.55000000000000004</v>
      </c>
      <c r="E209">
        <f>+F95</f>
        <v>294.78081800000001</v>
      </c>
      <c r="F209">
        <f>E209*D209</f>
        <v>162.1294499</v>
      </c>
    </row>
    <row r="210" spans="2:7">
      <c r="B210" t="s">
        <v>618</v>
      </c>
      <c r="C210" t="s">
        <v>1</v>
      </c>
      <c r="D210">
        <v>2</v>
      </c>
      <c r="E210">
        <f>+F126</f>
        <v>78.493269900000001</v>
      </c>
      <c r="F210">
        <f>E210*D210</f>
        <v>156.9865398</v>
      </c>
    </row>
    <row r="211" spans="2:7">
      <c r="E211" t="s">
        <v>1031</v>
      </c>
      <c r="F211">
        <f>SUM(F208:F210)</f>
        <v>506.181161164</v>
      </c>
    </row>
    <row r="213" spans="2:7">
      <c r="B213" t="s">
        <v>1072</v>
      </c>
    </row>
    <row r="214" spans="2:7">
      <c r="B214" t="s">
        <v>1073</v>
      </c>
      <c r="C214" t="s">
        <v>1074</v>
      </c>
      <c r="D214">
        <v>0.08</v>
      </c>
      <c r="E214">
        <v>650</v>
      </c>
      <c r="F214">
        <f>E214*D214</f>
        <v>52</v>
      </c>
    </row>
    <row r="215" spans="2:7">
      <c r="B215" t="s">
        <v>1075</v>
      </c>
      <c r="C215" t="s">
        <v>118</v>
      </c>
      <c r="D215">
        <v>0.02</v>
      </c>
      <c r="E215">
        <v>350</v>
      </c>
      <c r="F215">
        <f>E215*D215</f>
        <v>7</v>
      </c>
    </row>
    <row r="216" spans="2:7">
      <c r="B216" t="s">
        <v>1076</v>
      </c>
      <c r="C216" t="s">
        <v>11</v>
      </c>
      <c r="D216">
        <v>1</v>
      </c>
      <c r="E216">
        <v>58.5</v>
      </c>
      <c r="F216">
        <f>E216*D216</f>
        <v>58.5</v>
      </c>
    </row>
    <row r="217" spans="2:7">
      <c r="B217" t="s">
        <v>1077</v>
      </c>
      <c r="C217" t="s">
        <v>3</v>
      </c>
      <c r="D217">
        <v>1</v>
      </c>
      <c r="E217">
        <f>SUM(F214:F215)*0.15</f>
        <v>8.85</v>
      </c>
      <c r="F217">
        <f>E217*D217</f>
        <v>8.85</v>
      </c>
    </row>
    <row r="218" spans="2:7">
      <c r="B218" t="s">
        <v>1078</v>
      </c>
      <c r="E218" t="s">
        <v>1031</v>
      </c>
      <c r="F218">
        <f>ROUND(SUM(F214:F217),2)</f>
        <v>126.35</v>
      </c>
    </row>
    <row r="220" spans="2:7">
      <c r="B220" t="s">
        <v>1079</v>
      </c>
    </row>
    <row r="221" spans="2:7">
      <c r="B221" t="s">
        <v>1080</v>
      </c>
      <c r="C221" t="s">
        <v>118</v>
      </c>
      <c r="D221">
        <v>1</v>
      </c>
      <c r="E221">
        <f>6914/5</f>
        <v>1382.8</v>
      </c>
      <c r="F221">
        <f>E221*D221</f>
        <v>1382.8</v>
      </c>
    </row>
    <row r="222" spans="2:7">
      <c r="B222" t="s">
        <v>1076</v>
      </c>
      <c r="C222" t="s">
        <v>11</v>
      </c>
      <c r="D222">
        <v>25</v>
      </c>
      <c r="E222">
        <v>60</v>
      </c>
      <c r="F222">
        <f>E222*D222</f>
        <v>1500</v>
      </c>
      <c r="G222">
        <f>E222/2</f>
        <v>30</v>
      </c>
    </row>
    <row r="223" spans="2:7">
      <c r="B223" t="s">
        <v>1077</v>
      </c>
      <c r="C223" t="s">
        <v>3</v>
      </c>
      <c r="D223">
        <v>1</v>
      </c>
      <c r="E223">
        <f>SUM(F221:F221)*0.15</f>
        <v>207.42</v>
      </c>
      <c r="F223">
        <f>E223*D223</f>
        <v>207.42</v>
      </c>
    </row>
    <row r="224" spans="2:7">
      <c r="B224" t="s">
        <v>1078</v>
      </c>
      <c r="E224" t="s">
        <v>1031</v>
      </c>
      <c r="F224">
        <f>ROUND(SUM(F221:F223),2)</f>
        <v>3090.22</v>
      </c>
    </row>
    <row r="226" spans="2:13">
      <c r="B226" t="s">
        <v>3541</v>
      </c>
    </row>
    <row r="227" spans="2:13">
      <c r="B227" t="s">
        <v>166</v>
      </c>
      <c r="C227">
        <v>1.0999999999999999E-2</v>
      </c>
      <c r="D227" t="s">
        <v>2</v>
      </c>
      <c r="E227">
        <f>+F80</f>
        <v>5080.9930000000004</v>
      </c>
      <c r="F227">
        <f>C227*E227</f>
        <v>55.890923000000001</v>
      </c>
    </row>
    <row r="228" spans="2:13">
      <c r="B228" t="s">
        <v>1081</v>
      </c>
      <c r="C228">
        <v>1</v>
      </c>
      <c r="D228" t="s">
        <v>11</v>
      </c>
      <c r="E228">
        <v>35</v>
      </c>
      <c r="F228">
        <f>C228*E228</f>
        <v>35</v>
      </c>
    </row>
    <row r="229" spans="2:13">
      <c r="B229" t="s">
        <v>1082</v>
      </c>
      <c r="C229">
        <v>1.0999999999999999E-2</v>
      </c>
      <c r="D229" t="s">
        <v>2</v>
      </c>
      <c r="E229">
        <v>150</v>
      </c>
      <c r="F229">
        <f>C229*E229</f>
        <v>1.65</v>
      </c>
    </row>
    <row r="230" spans="2:13">
      <c r="E230" t="s">
        <v>1031</v>
      </c>
      <c r="F230">
        <f>SUM(F227:F229)</f>
        <v>92.540923000000006</v>
      </c>
    </row>
    <row r="233" spans="2:13">
      <c r="B233" t="s">
        <v>1083</v>
      </c>
    </row>
    <row r="235" spans="2:13">
      <c r="B235" t="s">
        <v>1084</v>
      </c>
    </row>
    <row r="236" spans="2:13">
      <c r="B236" t="s">
        <v>1085</v>
      </c>
      <c r="C236">
        <v>1.05</v>
      </c>
      <c r="D236" t="s">
        <v>2</v>
      </c>
      <c r="E236">
        <f>F30</f>
        <v>8034.1549999999997</v>
      </c>
      <c r="F236">
        <f>C236*E236</f>
        <v>8435.8627500000002</v>
      </c>
      <c r="I236" t="s">
        <v>1086</v>
      </c>
    </row>
    <row r="237" spans="2:13">
      <c r="B237" t="s">
        <v>1087</v>
      </c>
      <c r="C237">
        <v>0.86</v>
      </c>
      <c r="D237" t="s">
        <v>126</v>
      </c>
      <c r="E237">
        <f>+F137</f>
        <v>2913</v>
      </c>
      <c r="F237">
        <f>C237*E237</f>
        <v>2505.1799999999998</v>
      </c>
      <c r="I237" t="s">
        <v>1085</v>
      </c>
      <c r="J237">
        <v>1.05</v>
      </c>
      <c r="K237" t="s">
        <v>2</v>
      </c>
      <c r="L237">
        <f>+E236</f>
        <v>8034.1549999999997</v>
      </c>
      <c r="M237">
        <f>J237*L237</f>
        <v>8435.8627500000002</v>
      </c>
    </row>
    <row r="238" spans="2:13">
      <c r="E238" t="s">
        <v>1031</v>
      </c>
      <c r="F238">
        <f>ROUND(SUM(F236:F237),2)</f>
        <v>10941.04</v>
      </c>
      <c r="I238" t="s">
        <v>1087</v>
      </c>
      <c r="J238">
        <v>1</v>
      </c>
      <c r="K238" t="s">
        <v>126</v>
      </c>
      <c r="L238">
        <f>+E237</f>
        <v>2913</v>
      </c>
      <c r="M238">
        <f>J238*L238</f>
        <v>2913</v>
      </c>
    </row>
    <row r="239" spans="2:13">
      <c r="L239" t="s">
        <v>1031</v>
      </c>
      <c r="M239">
        <f>ROUND(SUM(M237:M238),2)</f>
        <v>11348.86</v>
      </c>
    </row>
    <row r="240" spans="2:13">
      <c r="B240" t="s">
        <v>1086</v>
      </c>
    </row>
    <row r="241" spans="2:13">
      <c r="B241" t="s">
        <v>1085</v>
      </c>
      <c r="C241">
        <v>1.05</v>
      </c>
      <c r="D241" t="s">
        <v>2</v>
      </c>
      <c r="E241">
        <f>+E236</f>
        <v>8034.1549999999997</v>
      </c>
      <c r="F241">
        <f>C241*E241</f>
        <v>8435.8627500000002</v>
      </c>
    </row>
    <row r="242" spans="2:13">
      <c r="B242" t="s">
        <v>1087</v>
      </c>
      <c r="C242">
        <v>1</v>
      </c>
      <c r="D242" t="s">
        <v>126</v>
      </c>
      <c r="E242">
        <f>+F142</f>
        <v>2590</v>
      </c>
      <c r="F242">
        <f>C242*E242</f>
        <v>2590</v>
      </c>
    </row>
    <row r="243" spans="2:13">
      <c r="E243" t="s">
        <v>1031</v>
      </c>
      <c r="F243">
        <f>ROUND(SUM(F241:F242),2)</f>
        <v>11025.86</v>
      </c>
    </row>
    <row r="245" spans="2:13">
      <c r="B245" t="s">
        <v>1088</v>
      </c>
    </row>
    <row r="246" spans="2:13">
      <c r="B246" t="s">
        <v>1085</v>
      </c>
      <c r="C246">
        <v>1.05</v>
      </c>
      <c r="D246" t="s">
        <v>2</v>
      </c>
      <c r="E246">
        <f>+E236</f>
        <v>8034.1549999999997</v>
      </c>
      <c r="F246">
        <f>C246*E246</f>
        <v>8435.8627500000002</v>
      </c>
    </row>
    <row r="247" spans="2:13">
      <c r="B247" t="s">
        <v>1087</v>
      </c>
      <c r="C247">
        <v>2.79</v>
      </c>
      <c r="D247" t="s">
        <v>126</v>
      </c>
      <c r="E247">
        <f>+E237</f>
        <v>2913</v>
      </c>
      <c r="F247">
        <f>C247*E247</f>
        <v>8127.27</v>
      </c>
    </row>
    <row r="248" spans="2:13">
      <c r="B248" t="s">
        <v>1089</v>
      </c>
      <c r="C248">
        <f>1/0.25</f>
        <v>4</v>
      </c>
      <c r="D248" t="s">
        <v>1</v>
      </c>
      <c r="E248">
        <v>1100</v>
      </c>
      <c r="F248">
        <f>C248*E248</f>
        <v>4400</v>
      </c>
      <c r="I248" t="s">
        <v>1090</v>
      </c>
    </row>
    <row r="249" spans="2:13">
      <c r="E249" t="s">
        <v>1031</v>
      </c>
      <c r="F249">
        <f>ROUND(SUM(F246:F248),2)</f>
        <v>20963.13</v>
      </c>
      <c r="I249" t="s">
        <v>1085</v>
      </c>
      <c r="J249">
        <v>1.05</v>
      </c>
      <c r="K249" t="s">
        <v>2</v>
      </c>
      <c r="L249">
        <f>+E248</f>
        <v>1100</v>
      </c>
      <c r="M249">
        <f>J249*L249</f>
        <v>1155</v>
      </c>
    </row>
    <row r="250" spans="2:13">
      <c r="I250" t="s">
        <v>1087</v>
      </c>
      <c r="J250">
        <v>3.55</v>
      </c>
      <c r="K250" t="s">
        <v>126</v>
      </c>
      <c r="L250">
        <f>+L238</f>
        <v>2913</v>
      </c>
      <c r="M250">
        <f>J250*L250</f>
        <v>10341.15</v>
      </c>
    </row>
    <row r="251" spans="2:13">
      <c r="B251" t="s">
        <v>1091</v>
      </c>
    </row>
    <row r="252" spans="2:13">
      <c r="B252" t="s">
        <v>1085</v>
      </c>
      <c r="C252">
        <v>1.05</v>
      </c>
      <c r="D252" t="s">
        <v>2</v>
      </c>
      <c r="E252">
        <f>+E246</f>
        <v>8034.1549999999997</v>
      </c>
      <c r="F252">
        <f>C252*E252</f>
        <v>8435.8627500000002</v>
      </c>
    </row>
    <row r="253" spans="2:13">
      <c r="B253" t="s">
        <v>1092</v>
      </c>
      <c r="C253">
        <v>5.0199999999999996</v>
      </c>
      <c r="D253" t="s">
        <v>126</v>
      </c>
      <c r="E253">
        <f>+F142</f>
        <v>2590</v>
      </c>
      <c r="F253">
        <f>C253*E253</f>
        <v>13001.8</v>
      </c>
    </row>
    <row r="254" spans="2:13">
      <c r="B254" t="s">
        <v>1089</v>
      </c>
      <c r="C254">
        <f>1/(0.4*0.4)</f>
        <v>6.25</v>
      </c>
      <c r="D254" t="s">
        <v>1</v>
      </c>
      <c r="E254">
        <v>400</v>
      </c>
      <c r="F254">
        <f>C254*E254</f>
        <v>2500</v>
      </c>
    </row>
    <row r="255" spans="2:13">
      <c r="B255" t="s">
        <v>1093</v>
      </c>
      <c r="C255">
        <f>+C254</f>
        <v>6.25</v>
      </c>
      <c r="D255" t="s">
        <v>1</v>
      </c>
      <c r="E255">
        <v>110</v>
      </c>
      <c r="F255">
        <f>C255*E255</f>
        <v>687.5</v>
      </c>
    </row>
    <row r="256" spans="2:13">
      <c r="E256" t="s">
        <v>1031</v>
      </c>
      <c r="F256">
        <f>ROUND(SUM(F252:F255),2)</f>
        <v>24625.16</v>
      </c>
    </row>
    <row r="258" spans="2:13">
      <c r="B258" t="s">
        <v>1094</v>
      </c>
      <c r="L258" t="s">
        <v>1031</v>
      </c>
      <c r="M258">
        <f>ROUND(SUM(M249:M250),2)</f>
        <v>11496.15</v>
      </c>
    </row>
    <row r="259" spans="2:13">
      <c r="B259" t="s">
        <v>1085</v>
      </c>
      <c r="C259">
        <v>1.05</v>
      </c>
      <c r="D259" t="s">
        <v>2</v>
      </c>
      <c r="E259">
        <f>+E246</f>
        <v>8034.1549999999997</v>
      </c>
      <c r="F259">
        <f>C259*E259</f>
        <v>8435.8627500000002</v>
      </c>
    </row>
    <row r="260" spans="2:13">
      <c r="B260" t="s">
        <v>1092</v>
      </c>
      <c r="C260">
        <v>2.71</v>
      </c>
      <c r="D260" t="s">
        <v>126</v>
      </c>
      <c r="E260">
        <f>+F142</f>
        <v>2590</v>
      </c>
      <c r="F260">
        <f>C260*E260</f>
        <v>7018.9</v>
      </c>
    </row>
    <row r="261" spans="2:13">
      <c r="B261" t="s">
        <v>1089</v>
      </c>
      <c r="C261">
        <f>1/(0.4*0.2)</f>
        <v>12.5</v>
      </c>
      <c r="D261" t="s">
        <v>1</v>
      </c>
      <c r="E261">
        <v>350</v>
      </c>
      <c r="F261">
        <f>C261*E261</f>
        <v>4375</v>
      </c>
    </row>
    <row r="262" spans="2:13">
      <c r="B262" t="s">
        <v>1093</v>
      </c>
      <c r="C262">
        <f>+C261</f>
        <v>12.5</v>
      </c>
      <c r="D262" t="s">
        <v>1</v>
      </c>
      <c r="E262">
        <f>+E255</f>
        <v>110</v>
      </c>
      <c r="F262">
        <f>C262*E262</f>
        <v>1375</v>
      </c>
    </row>
    <row r="263" spans="2:13">
      <c r="E263" t="s">
        <v>1031</v>
      </c>
      <c r="F263">
        <f>ROUND(SUM(F259:F262),2)</f>
        <v>21204.76</v>
      </c>
      <c r="I263" t="s">
        <v>1091</v>
      </c>
    </row>
    <row r="264" spans="2:13">
      <c r="I264" t="s">
        <v>1085</v>
      </c>
      <c r="J264">
        <v>1.05</v>
      </c>
      <c r="K264" t="s">
        <v>2</v>
      </c>
      <c r="L264">
        <v>600</v>
      </c>
      <c r="M264">
        <f>J264*L264</f>
        <v>630</v>
      </c>
    </row>
    <row r="265" spans="2:13">
      <c r="B265" t="s">
        <v>1095</v>
      </c>
      <c r="I265" t="s">
        <v>1087</v>
      </c>
      <c r="J265">
        <v>5.0199999999999996</v>
      </c>
      <c r="K265" t="s">
        <v>126</v>
      </c>
      <c r="L265">
        <f>+L250</f>
        <v>2913</v>
      </c>
      <c r="M265">
        <f>J265*L265</f>
        <v>14623.26</v>
      </c>
    </row>
    <row r="266" spans="2:13">
      <c r="B266" t="s">
        <v>1085</v>
      </c>
      <c r="C266">
        <v>1.05</v>
      </c>
      <c r="D266" t="s">
        <v>2</v>
      </c>
      <c r="E266">
        <f>+E259</f>
        <v>8034.1549999999997</v>
      </c>
      <c r="F266">
        <f>C266*E266</f>
        <v>8435.8627500000002</v>
      </c>
      <c r="L266" t="s">
        <v>1031</v>
      </c>
      <c r="M266">
        <f>ROUND(SUM(M264:M265),2)</f>
        <v>15253.26</v>
      </c>
    </row>
    <row r="267" spans="2:13">
      <c r="B267" t="s">
        <v>272</v>
      </c>
      <c r="C267">
        <v>1.1499999999999999</v>
      </c>
      <c r="D267" t="s">
        <v>126</v>
      </c>
      <c r="E267">
        <f>+E237</f>
        <v>2913</v>
      </c>
      <c r="F267">
        <f>C267*E267</f>
        <v>3349.95</v>
      </c>
    </row>
    <row r="268" spans="2:13">
      <c r="B268" t="s">
        <v>1089</v>
      </c>
      <c r="C268">
        <f>1/0.15</f>
        <v>6.6666666666666696</v>
      </c>
      <c r="D268" t="s">
        <v>11</v>
      </c>
      <c r="E268">
        <v>350</v>
      </c>
      <c r="F268">
        <f>C268*E268</f>
        <v>2333.3333333333298</v>
      </c>
    </row>
    <row r="269" spans="2:13">
      <c r="E269" t="s">
        <v>1031</v>
      </c>
      <c r="F269">
        <f>ROUND(SUM(F266:F268),2)</f>
        <v>14119.15</v>
      </c>
    </row>
    <row r="271" spans="2:13">
      <c r="B271" t="s">
        <v>1010</v>
      </c>
    </row>
    <row r="273" spans="2:6">
      <c r="B273" t="s">
        <v>1256</v>
      </c>
    </row>
    <row r="274" spans="2:6">
      <c r="B274" t="s">
        <v>1097</v>
      </c>
      <c r="C274">
        <v>1.05</v>
      </c>
      <c r="D274" t="s">
        <v>2</v>
      </c>
      <c r="E274">
        <f>+E236</f>
        <v>8034.1549999999997</v>
      </c>
      <c r="F274">
        <f>C274*E274</f>
        <v>8435.8627500000002</v>
      </c>
    </row>
    <row r="275" spans="2:6">
      <c r="B275" t="s">
        <v>1087</v>
      </c>
      <c r="C275">
        <v>1.03</v>
      </c>
      <c r="D275" t="s">
        <v>126</v>
      </c>
      <c r="E275">
        <f>+E237</f>
        <v>2913</v>
      </c>
      <c r="F275">
        <f>C275*E275</f>
        <v>3000.39</v>
      </c>
    </row>
    <row r="276" spans="2:6">
      <c r="E276" t="s">
        <v>1031</v>
      </c>
      <c r="F276">
        <f>ROUND(SUM(F274:F275),2)</f>
        <v>11436.25</v>
      </c>
    </row>
    <row r="279" spans="2:6">
      <c r="B279" t="s">
        <v>1257</v>
      </c>
    </row>
    <row r="280" spans="2:6">
      <c r="B280" t="s">
        <v>1097</v>
      </c>
      <c r="C280">
        <v>1.05</v>
      </c>
      <c r="D280" t="s">
        <v>2</v>
      </c>
      <c r="E280">
        <f>E274</f>
        <v>8034.1549999999997</v>
      </c>
      <c r="F280">
        <f>C280*E280</f>
        <v>8435.8627500000002</v>
      </c>
    </row>
    <row r="281" spans="2:6">
      <c r="B281" t="s">
        <v>1087</v>
      </c>
      <c r="C281">
        <v>1.91</v>
      </c>
      <c r="D281" t="s">
        <v>126</v>
      </c>
      <c r="E281">
        <f>E275</f>
        <v>2913</v>
      </c>
      <c r="F281">
        <f>C281*E281</f>
        <v>5563.83</v>
      </c>
    </row>
    <row r="282" spans="2:6">
      <c r="E282" t="s">
        <v>1031</v>
      </c>
      <c r="F282">
        <f>ROUND(SUM(F280:F281),2)</f>
        <v>13999.69</v>
      </c>
    </row>
    <row r="284" spans="2:6">
      <c r="B284" t="s">
        <v>1258</v>
      </c>
    </row>
    <row r="285" spans="2:6">
      <c r="B285" t="s">
        <v>1097</v>
      </c>
      <c r="C285">
        <v>1.05</v>
      </c>
      <c r="D285" t="s">
        <v>2</v>
      </c>
      <c r="E285">
        <f>+E280</f>
        <v>8034.1549999999997</v>
      </c>
      <c r="F285">
        <f>C285*E285</f>
        <v>8435.8627500000002</v>
      </c>
    </row>
    <row r="286" spans="2:6">
      <c r="B286" t="s">
        <v>272</v>
      </c>
      <c r="C286">
        <v>1.51</v>
      </c>
      <c r="D286" t="s">
        <v>126</v>
      </c>
      <c r="E286">
        <f>+E267</f>
        <v>2913</v>
      </c>
      <c r="F286">
        <f>C286*E286</f>
        <v>4398.63</v>
      </c>
    </row>
    <row r="287" spans="2:6">
      <c r="E287" t="s">
        <v>1031</v>
      </c>
      <c r="F287">
        <f>ROUND(SUM(F285:F286),2)</f>
        <v>12834.49</v>
      </c>
    </row>
    <row r="289" spans="2:6">
      <c r="B289" t="s">
        <v>1259</v>
      </c>
    </row>
    <row r="290" spans="2:6">
      <c r="B290" t="s">
        <v>1097</v>
      </c>
      <c r="C290">
        <v>1.05</v>
      </c>
      <c r="D290" t="s">
        <v>2</v>
      </c>
      <c r="E290">
        <f>+E303</f>
        <v>8034.1549999999997</v>
      </c>
      <c r="F290">
        <f>C290*E290</f>
        <v>8435.8627500000002</v>
      </c>
    </row>
    <row r="291" spans="2:6">
      <c r="B291" t="s">
        <v>1087</v>
      </c>
      <c r="C291">
        <v>2.29</v>
      </c>
      <c r="D291" t="s">
        <v>126</v>
      </c>
      <c r="E291">
        <f>+E247</f>
        <v>2913</v>
      </c>
      <c r="F291">
        <f>C291*E291</f>
        <v>6670.77</v>
      </c>
    </row>
    <row r="292" spans="2:6">
      <c r="B292" t="s">
        <v>1089</v>
      </c>
      <c r="C292">
        <f>1/0.25</f>
        <v>4</v>
      </c>
      <c r="D292" t="s">
        <v>1</v>
      </c>
      <c r="E292">
        <v>1200</v>
      </c>
      <c r="F292">
        <f>C292*E292</f>
        <v>4800</v>
      </c>
    </row>
    <row r="293" spans="2:6">
      <c r="E293" t="s">
        <v>1031</v>
      </c>
      <c r="F293">
        <f>ROUND(SUM(F290:F292),2)</f>
        <v>19906.63</v>
      </c>
    </row>
    <row r="295" spans="2:6">
      <c r="B295" t="s">
        <v>1260</v>
      </c>
    </row>
    <row r="296" spans="2:6">
      <c r="B296" t="s">
        <v>1097</v>
      </c>
      <c r="C296">
        <v>1.05</v>
      </c>
      <c r="D296" t="s">
        <v>2</v>
      </c>
      <c r="E296">
        <f>+E285</f>
        <v>8034.1549999999997</v>
      </c>
      <c r="F296">
        <f>C296*E296</f>
        <v>8435.8627500000002</v>
      </c>
    </row>
    <row r="297" spans="2:6">
      <c r="B297" t="s">
        <v>1092</v>
      </c>
      <c r="C297">
        <v>3.98</v>
      </c>
      <c r="D297" t="s">
        <v>126</v>
      </c>
      <c r="E297">
        <f>+E253</f>
        <v>2590</v>
      </c>
      <c r="F297">
        <f>C297*E297</f>
        <v>10308.200000000001</v>
      </c>
    </row>
    <row r="298" spans="2:6">
      <c r="B298" t="s">
        <v>1089</v>
      </c>
      <c r="C298">
        <f>1/(0.3*0.3)</f>
        <v>11.1111111111111</v>
      </c>
      <c r="D298" t="s">
        <v>1</v>
      </c>
      <c r="E298">
        <v>400</v>
      </c>
      <c r="F298">
        <f>C298*E298</f>
        <v>4444.4444444444398</v>
      </c>
    </row>
    <row r="299" spans="2:6">
      <c r="B299" t="s">
        <v>1093</v>
      </c>
      <c r="C299">
        <f>+C298</f>
        <v>11.1111111111111</v>
      </c>
      <c r="D299" t="s">
        <v>1</v>
      </c>
      <c r="E299">
        <v>110</v>
      </c>
      <c r="F299">
        <f>C299*E299</f>
        <v>1222.2222222222199</v>
      </c>
    </row>
    <row r="300" spans="2:6">
      <c r="E300" t="s">
        <v>1031</v>
      </c>
      <c r="F300">
        <f>ROUND(SUM(F296:F299),2)</f>
        <v>24410.73</v>
      </c>
    </row>
    <row r="302" spans="2:6">
      <c r="B302" t="s">
        <v>1261</v>
      </c>
    </row>
    <row r="303" spans="2:6">
      <c r="B303" t="s">
        <v>1097</v>
      </c>
      <c r="C303">
        <v>1.05</v>
      </c>
      <c r="D303" t="s">
        <v>2</v>
      </c>
      <c r="E303">
        <f>+E296</f>
        <v>8034.1549999999997</v>
      </c>
      <c r="F303">
        <f>C303*E303</f>
        <v>8435.8627500000002</v>
      </c>
    </row>
    <row r="304" spans="2:6">
      <c r="B304" t="s">
        <v>1092</v>
      </c>
      <c r="C304">
        <v>5.07</v>
      </c>
      <c r="D304" t="s">
        <v>126</v>
      </c>
      <c r="E304">
        <f>+E297</f>
        <v>2590</v>
      </c>
      <c r="F304">
        <f>C304*E304</f>
        <v>13131.3</v>
      </c>
    </row>
    <row r="305" spans="2:6">
      <c r="B305" t="s">
        <v>1089</v>
      </c>
      <c r="C305">
        <f>1/(0.25*0.5)</f>
        <v>8</v>
      </c>
      <c r="D305" t="s">
        <v>1</v>
      </c>
      <c r="E305">
        <v>400</v>
      </c>
      <c r="F305">
        <f>C305*E305</f>
        <v>3200</v>
      </c>
    </row>
    <row r="306" spans="2:6">
      <c r="B306" t="s">
        <v>1093</v>
      </c>
      <c r="C306">
        <f>+C305</f>
        <v>8</v>
      </c>
      <c r="D306" t="s">
        <v>1</v>
      </c>
      <c r="E306">
        <v>110</v>
      </c>
      <c r="F306">
        <f>C306*E306</f>
        <v>880</v>
      </c>
    </row>
    <row r="307" spans="2:6">
      <c r="E307" t="s">
        <v>1031</v>
      </c>
      <c r="F307">
        <f>ROUND(SUM(F303:F306),2)</f>
        <v>25647.16</v>
      </c>
    </row>
    <row r="309" spans="2:6">
      <c r="B309" t="s">
        <v>1262</v>
      </c>
    </row>
    <row r="310" spans="2:6">
      <c r="B310" t="s">
        <v>1097</v>
      </c>
      <c r="C310">
        <v>1.05</v>
      </c>
      <c r="D310" t="s">
        <v>2</v>
      </c>
      <c r="E310">
        <f>+E290</f>
        <v>8034.1549999999997</v>
      </c>
      <c r="F310">
        <f>C310*E310</f>
        <v>8435.8627500000002</v>
      </c>
    </row>
    <row r="311" spans="2:6">
      <c r="B311" t="s">
        <v>272</v>
      </c>
      <c r="C311">
        <v>1.29</v>
      </c>
      <c r="D311" t="s">
        <v>126</v>
      </c>
      <c r="E311">
        <f>+E267</f>
        <v>2913</v>
      </c>
      <c r="F311">
        <f>C311*E311</f>
        <v>3757.77</v>
      </c>
    </row>
    <row r="312" spans="2:6">
      <c r="B312" t="s">
        <v>1089</v>
      </c>
      <c r="C312">
        <f>1/0.15</f>
        <v>6.6666666666666696</v>
      </c>
      <c r="D312" t="s">
        <v>11</v>
      </c>
      <c r="E312">
        <v>350</v>
      </c>
      <c r="F312">
        <f>C312*E312</f>
        <v>2333.3333333333298</v>
      </c>
    </row>
    <row r="313" spans="2:6">
      <c r="E313" t="s">
        <v>1031</v>
      </c>
      <c r="F313">
        <f>ROUND(SUM(F310:F312),2)</f>
        <v>14526.97</v>
      </c>
    </row>
    <row r="315" spans="2:6">
      <c r="B315" t="s">
        <v>1014</v>
      </c>
    </row>
    <row r="316" spans="2:6">
      <c r="B316" t="s">
        <v>271</v>
      </c>
      <c r="C316">
        <v>1.05</v>
      </c>
      <c r="D316" t="s">
        <v>2</v>
      </c>
      <c r="E316">
        <f>+E310</f>
        <v>8034.1549999999997</v>
      </c>
      <c r="F316">
        <f>C316*E316</f>
        <v>8435.8627500000002</v>
      </c>
    </row>
    <row r="317" spans="2:6">
      <c r="B317" t="s">
        <v>1092</v>
      </c>
      <c r="C317">
        <v>3.06</v>
      </c>
      <c r="D317" t="s">
        <v>126</v>
      </c>
      <c r="E317">
        <f>+E260</f>
        <v>2590</v>
      </c>
      <c r="F317">
        <f>C317*E317</f>
        <v>7925.4</v>
      </c>
    </row>
    <row r="318" spans="2:6">
      <c r="B318" t="s">
        <v>1089</v>
      </c>
      <c r="C318">
        <f>1/(0.4*0.25)</f>
        <v>10</v>
      </c>
      <c r="D318" t="s">
        <v>1</v>
      </c>
      <c r="E318">
        <v>350</v>
      </c>
      <c r="F318">
        <f>C318*E318</f>
        <v>3500</v>
      </c>
    </row>
    <row r="319" spans="2:6">
      <c r="B319" t="s">
        <v>1093</v>
      </c>
      <c r="C319">
        <f>+C318</f>
        <v>10</v>
      </c>
      <c r="D319" t="s">
        <v>1</v>
      </c>
      <c r="E319">
        <v>110</v>
      </c>
      <c r="F319">
        <f>C319*E319</f>
        <v>1100</v>
      </c>
    </row>
    <row r="320" spans="2:6">
      <c r="E320" t="s">
        <v>1031</v>
      </c>
      <c r="F320">
        <f>ROUND(SUM(F316:F319),2)</f>
        <v>20961.259999999998</v>
      </c>
    </row>
    <row r="322" spans="2:6">
      <c r="B322" t="s">
        <v>1293</v>
      </c>
    </row>
    <row r="324" spans="2:6">
      <c r="B324" t="s">
        <v>1297</v>
      </c>
    </row>
    <row r="325" spans="2:6">
      <c r="B325" t="s">
        <v>271</v>
      </c>
      <c r="C325">
        <v>1.05</v>
      </c>
      <c r="D325" t="s">
        <v>2</v>
      </c>
      <c r="E325">
        <f>+E316</f>
        <v>8034.1549999999997</v>
      </c>
      <c r="F325">
        <f>C325*E325</f>
        <v>8435.8627500000002</v>
      </c>
    </row>
    <row r="326" spans="2:6">
      <c r="B326" t="s">
        <v>1092</v>
      </c>
      <c r="C326">
        <v>5.12</v>
      </c>
      <c r="D326" t="s">
        <v>126</v>
      </c>
      <c r="E326">
        <f>+E317</f>
        <v>2590</v>
      </c>
      <c r="F326">
        <f>C326*E326</f>
        <v>13260.8</v>
      </c>
    </row>
    <row r="327" spans="2:6">
      <c r="B327" t="s">
        <v>1089</v>
      </c>
      <c r="C327">
        <f>1/(0.15*0.3)</f>
        <v>22.2222222222222</v>
      </c>
      <c r="D327" t="s">
        <v>1</v>
      </c>
      <c r="E327">
        <v>350</v>
      </c>
      <c r="F327">
        <f>C327*E327</f>
        <v>7777.7777777777701</v>
      </c>
    </row>
    <row r="328" spans="2:6">
      <c r="B328" t="s">
        <v>1093</v>
      </c>
      <c r="C328">
        <f>+C327</f>
        <v>22.2222222222222</v>
      </c>
      <c r="D328" t="s">
        <v>1</v>
      </c>
      <c r="E328">
        <v>110</v>
      </c>
      <c r="F328">
        <f>C328*E328</f>
        <v>2444.4444444444398</v>
      </c>
    </row>
    <row r="329" spans="2:6">
      <c r="E329" t="s">
        <v>1031</v>
      </c>
      <c r="F329">
        <f>ROUND(SUM(F325:F328),2)</f>
        <v>31918.880000000001</v>
      </c>
    </row>
    <row r="331" spans="2:6">
      <c r="B331" t="s">
        <v>1667</v>
      </c>
    </row>
    <row r="332" spans="2:6">
      <c r="B332" t="s">
        <v>1097</v>
      </c>
      <c r="C332">
        <v>1.05</v>
      </c>
      <c r="D332" t="s">
        <v>2</v>
      </c>
      <c r="E332">
        <f>+E310</f>
        <v>8034.1549999999997</v>
      </c>
      <c r="F332">
        <f>C332*E332</f>
        <v>8435.8627500000002</v>
      </c>
    </row>
    <row r="333" spans="2:6">
      <c r="B333" t="s">
        <v>272</v>
      </c>
      <c r="C333">
        <v>1.69</v>
      </c>
      <c r="D333" t="s">
        <v>126</v>
      </c>
      <c r="E333">
        <f>+E311</f>
        <v>2913</v>
      </c>
      <c r="F333">
        <f>C333*E333</f>
        <v>4922.97</v>
      </c>
    </row>
    <row r="334" spans="2:6">
      <c r="B334" t="s">
        <v>1089</v>
      </c>
      <c r="C334">
        <f>1/0.15</f>
        <v>6.6666666666666696</v>
      </c>
      <c r="D334" t="s">
        <v>11</v>
      </c>
      <c r="E334">
        <v>350</v>
      </c>
      <c r="F334">
        <f>C334*E334</f>
        <v>2333.3333333333298</v>
      </c>
    </row>
    <row r="335" spans="2:6">
      <c r="E335" t="s">
        <v>1031</v>
      </c>
      <c r="F335">
        <f>ROUND(SUM(F332:F334),2)</f>
        <v>15692.17</v>
      </c>
    </row>
    <row r="337" spans="2:6">
      <c r="B337" t="s">
        <v>2261</v>
      </c>
    </row>
    <row r="339" spans="2:6">
      <c r="B339" t="s">
        <v>2262</v>
      </c>
    </row>
    <row r="340" spans="2:6">
      <c r="B340" t="s">
        <v>1085</v>
      </c>
      <c r="C340">
        <v>1.05</v>
      </c>
      <c r="D340" t="s">
        <v>2</v>
      </c>
      <c r="E340">
        <f>+E290</f>
        <v>8034.1549999999997</v>
      </c>
      <c r="F340">
        <f>C340*E340</f>
        <v>8435.8627500000002</v>
      </c>
    </row>
    <row r="341" spans="2:6">
      <c r="B341" t="s">
        <v>1087</v>
      </c>
      <c r="C341">
        <v>2.6</v>
      </c>
      <c r="D341" t="s">
        <v>126</v>
      </c>
      <c r="E341">
        <f>+E291</f>
        <v>2913</v>
      </c>
      <c r="F341">
        <f>C341*E341</f>
        <v>7573.8</v>
      </c>
    </row>
    <row r="342" spans="2:6">
      <c r="B342" t="s">
        <v>1089</v>
      </c>
      <c r="C342">
        <f>1/0.25</f>
        <v>4</v>
      </c>
      <c r="D342" t="s">
        <v>1</v>
      </c>
      <c r="E342">
        <f>+E292</f>
        <v>1200</v>
      </c>
      <c r="F342">
        <f>C342*E342</f>
        <v>4800</v>
      </c>
    </row>
    <row r="343" spans="2:6">
      <c r="E343" t="s">
        <v>1031</v>
      </c>
      <c r="F343">
        <f>ROUND(SUM(F340:F342),2)</f>
        <v>20809.66</v>
      </c>
    </row>
    <row r="345" spans="2:6">
      <c r="B345" t="s">
        <v>2311</v>
      </c>
    </row>
    <row r="346" spans="2:6">
      <c r="B346" t="s">
        <v>1097</v>
      </c>
      <c r="C346">
        <v>1.05</v>
      </c>
      <c r="D346" t="s">
        <v>2</v>
      </c>
      <c r="E346">
        <f>E340</f>
        <v>8034.1549999999997</v>
      </c>
      <c r="F346">
        <f>C346*E346</f>
        <v>8435.8627500000002</v>
      </c>
    </row>
    <row r="347" spans="2:6">
      <c r="B347" t="s">
        <v>1087</v>
      </c>
      <c r="C347">
        <v>1.6</v>
      </c>
      <c r="D347" t="s">
        <v>126</v>
      </c>
      <c r="E347">
        <f>E341</f>
        <v>2913</v>
      </c>
      <c r="F347">
        <f>C347*E347</f>
        <v>4660.8</v>
      </c>
    </row>
    <row r="348" spans="2:6">
      <c r="E348" t="s">
        <v>1031</v>
      </c>
      <c r="F348">
        <f>ROUND(SUM(F346:F347),2)</f>
        <v>13096.66</v>
      </c>
    </row>
    <row r="350" spans="2:6">
      <c r="B350" t="s">
        <v>2263</v>
      </c>
    </row>
    <row r="351" spans="2:6">
      <c r="B351" t="s">
        <v>1097</v>
      </c>
      <c r="C351">
        <v>1.05</v>
      </c>
      <c r="D351" t="s">
        <v>2</v>
      </c>
      <c r="E351">
        <f>+E346</f>
        <v>8034.1549999999997</v>
      </c>
      <c r="F351">
        <f>C351*E351</f>
        <v>8435.8627500000002</v>
      </c>
    </row>
    <row r="352" spans="2:6">
      <c r="B352" t="s">
        <v>272</v>
      </c>
      <c r="C352">
        <v>1</v>
      </c>
      <c r="D352" t="s">
        <v>126</v>
      </c>
      <c r="E352">
        <f>+E347</f>
        <v>2913</v>
      </c>
      <c r="F352">
        <f>C352*E352</f>
        <v>2913</v>
      </c>
    </row>
    <row r="353" spans="2:6">
      <c r="B353" t="s">
        <v>1089</v>
      </c>
      <c r="C353">
        <f>1/0.15</f>
        <v>6.6666666666666696</v>
      </c>
      <c r="D353" t="s">
        <v>11</v>
      </c>
      <c r="E353">
        <v>350</v>
      </c>
      <c r="F353">
        <f>C353*E353</f>
        <v>2333.3333333333298</v>
      </c>
    </row>
    <row r="354" spans="2:6">
      <c r="E354" t="s">
        <v>1031</v>
      </c>
      <c r="F354">
        <f>ROUND(SUM(F351:F353),2)</f>
        <v>13682.2</v>
      </c>
    </row>
    <row r="356" spans="2:6">
      <c r="B356" t="s">
        <v>2278</v>
      </c>
    </row>
    <row r="358" spans="2:6">
      <c r="B358" t="s">
        <v>2280</v>
      </c>
    </row>
    <row r="359" spans="2:6">
      <c r="B359" t="s">
        <v>1097</v>
      </c>
      <c r="C359">
        <v>1.05</v>
      </c>
      <c r="D359" t="s">
        <v>2</v>
      </c>
      <c r="E359">
        <f>+E351</f>
        <v>8034.1549999999997</v>
      </c>
      <c r="F359">
        <f>C359*E359</f>
        <v>8435.8627500000002</v>
      </c>
    </row>
    <row r="360" spans="2:6">
      <c r="B360" t="s">
        <v>272</v>
      </c>
      <c r="C360">
        <v>1.8</v>
      </c>
      <c r="D360" t="s">
        <v>126</v>
      </c>
      <c r="E360">
        <f>+E352</f>
        <v>2913</v>
      </c>
      <c r="F360">
        <f>C360*E360</f>
        <v>5243.4</v>
      </c>
    </row>
    <row r="361" spans="2:6">
      <c r="E361" t="s">
        <v>1031</v>
      </c>
      <c r="F361">
        <f>ROUND(SUM(F359:F360),2)</f>
        <v>13679.26</v>
      </c>
    </row>
    <row r="377" spans="2:6">
      <c r="B377" t="s">
        <v>1098</v>
      </c>
    </row>
    <row r="378" spans="2:6">
      <c r="B378" t="s">
        <v>1099</v>
      </c>
    </row>
    <row r="379" spans="2:6">
      <c r="B379" t="s">
        <v>1060</v>
      </c>
      <c r="C379">
        <v>1.05</v>
      </c>
      <c r="D379" t="s">
        <v>2</v>
      </c>
      <c r="E379">
        <f>F57</f>
        <v>5068.3010000000004</v>
      </c>
      <c r="F379">
        <f>ROUND(C379*E379,2)</f>
        <v>5321.72</v>
      </c>
    </row>
    <row r="380" spans="2:6">
      <c r="B380" t="s">
        <v>272</v>
      </c>
      <c r="C380">
        <v>0.6</v>
      </c>
      <c r="D380" t="s">
        <v>126</v>
      </c>
      <c r="E380">
        <f>+E311</f>
        <v>2913</v>
      </c>
      <c r="F380">
        <f>ROUND(C380*E380,2)</f>
        <v>1747.8</v>
      </c>
    </row>
    <row r="381" spans="2:6">
      <c r="F381">
        <f>SUM(F379:F380)</f>
        <v>7069.52</v>
      </c>
    </row>
    <row r="383" spans="2:6">
      <c r="B383" t="s">
        <v>37</v>
      </c>
      <c r="C383">
        <v>1</v>
      </c>
      <c r="D383" t="s">
        <v>1100</v>
      </c>
      <c r="E383">
        <v>500</v>
      </c>
      <c r="F383">
        <f>ROUND(C383*E383,2)</f>
        <v>500</v>
      </c>
    </row>
    <row r="384" spans="2:6">
      <c r="B384" t="s">
        <v>1101</v>
      </c>
      <c r="C384">
        <v>2.7</v>
      </c>
      <c r="D384" t="s">
        <v>2</v>
      </c>
      <c r="E384">
        <v>297.56</v>
      </c>
      <c r="F384">
        <f t="shared" ref="F384:F403" si="5">ROUND(C384*E384,2)</f>
        <v>803.41</v>
      </c>
    </row>
    <row r="385" spans="2:9">
      <c r="B385" t="s">
        <v>96</v>
      </c>
      <c r="C385">
        <v>0.86</v>
      </c>
      <c r="D385" t="s">
        <v>2</v>
      </c>
      <c r="E385">
        <v>70.16</v>
      </c>
      <c r="F385">
        <f t="shared" si="5"/>
        <v>60.34</v>
      </c>
    </row>
    <row r="386" spans="2:9">
      <c r="B386" t="s">
        <v>1102</v>
      </c>
      <c r="C386">
        <v>2.21</v>
      </c>
      <c r="D386" t="s">
        <v>2</v>
      </c>
      <c r="E386">
        <v>150</v>
      </c>
      <c r="F386">
        <f t="shared" si="5"/>
        <v>331.5</v>
      </c>
    </row>
    <row r="387" spans="2:9">
      <c r="B387" t="s">
        <v>1103</v>
      </c>
      <c r="C387">
        <v>1.35</v>
      </c>
      <c r="D387" t="s">
        <v>2</v>
      </c>
      <c r="E387">
        <f>+F381</f>
        <v>7069.52</v>
      </c>
      <c r="F387">
        <f t="shared" si="5"/>
        <v>9543.85</v>
      </c>
    </row>
    <row r="388" spans="2:9">
      <c r="B388" t="s">
        <v>1104</v>
      </c>
      <c r="C388">
        <v>7.2</v>
      </c>
      <c r="D388" t="s">
        <v>11</v>
      </c>
      <c r="E388">
        <f>+F163</f>
        <v>935.32585731999995</v>
      </c>
      <c r="F388">
        <f t="shared" si="5"/>
        <v>6734.35</v>
      </c>
    </row>
    <row r="389" spans="2:9">
      <c r="B389" t="s">
        <v>1105</v>
      </c>
      <c r="C389">
        <v>12</v>
      </c>
      <c r="D389" t="s">
        <v>13</v>
      </c>
      <c r="E389">
        <v>52</v>
      </c>
      <c r="F389">
        <f t="shared" si="5"/>
        <v>624</v>
      </c>
    </row>
    <row r="390" spans="2:9">
      <c r="B390" t="s">
        <v>43</v>
      </c>
      <c r="C390">
        <v>4</v>
      </c>
      <c r="D390" t="s">
        <v>3</v>
      </c>
      <c r="E390">
        <f>480.43*1.18</f>
        <v>566.90740000000005</v>
      </c>
      <c r="F390">
        <f t="shared" si="5"/>
        <v>2267.63</v>
      </c>
    </row>
    <row r="391" spans="2:9">
      <c r="B391" t="s">
        <v>1106</v>
      </c>
      <c r="C391">
        <v>2</v>
      </c>
      <c r="D391" t="s">
        <v>3</v>
      </c>
      <c r="E391">
        <f>546.71*1.18</f>
        <v>645.11779999999999</v>
      </c>
      <c r="F391">
        <f t="shared" si="5"/>
        <v>1290.24</v>
      </c>
    </row>
    <row r="392" spans="2:9">
      <c r="B392" t="s">
        <v>1107</v>
      </c>
      <c r="C392">
        <v>21.6</v>
      </c>
      <c r="D392" t="s">
        <v>11</v>
      </c>
      <c r="E392">
        <v>191.27</v>
      </c>
      <c r="F392">
        <f t="shared" si="5"/>
        <v>4131.43</v>
      </c>
      <c r="G392">
        <f>6/3.28</f>
        <v>1.82926829268293</v>
      </c>
    </row>
    <row r="393" spans="2:9">
      <c r="B393" t="s">
        <v>1108</v>
      </c>
      <c r="C393">
        <v>2</v>
      </c>
      <c r="D393" t="s">
        <v>3</v>
      </c>
      <c r="E393">
        <v>47.2</v>
      </c>
      <c r="F393">
        <f t="shared" si="5"/>
        <v>94.4</v>
      </c>
      <c r="G393">
        <f>50/3.28</f>
        <v>15.243902439024399</v>
      </c>
      <c r="H393">
        <f>G393*G392</f>
        <v>27.8851873884593</v>
      </c>
      <c r="I393">
        <f>4525/H393</f>
        <v>162.272533333333</v>
      </c>
    </row>
    <row r="394" spans="2:9">
      <c r="B394" t="s">
        <v>1109</v>
      </c>
      <c r="C394">
        <v>3</v>
      </c>
      <c r="D394" t="s">
        <v>3</v>
      </c>
      <c r="E394">
        <v>32.42</v>
      </c>
      <c r="F394">
        <f t="shared" si="5"/>
        <v>97.26</v>
      </c>
      <c r="I394">
        <f>I393*1.18</f>
        <v>191.48158933333301</v>
      </c>
    </row>
    <row r="395" spans="2:9">
      <c r="B395" t="s">
        <v>1110</v>
      </c>
      <c r="C395">
        <v>4</v>
      </c>
      <c r="D395" t="s">
        <v>3</v>
      </c>
      <c r="E395">
        <v>236</v>
      </c>
      <c r="F395">
        <f t="shared" si="5"/>
        <v>944</v>
      </c>
    </row>
    <row r="396" spans="2:9">
      <c r="B396" t="s">
        <v>1111</v>
      </c>
      <c r="C396">
        <v>72</v>
      </c>
      <c r="D396" t="s">
        <v>13</v>
      </c>
      <c r="E396">
        <v>5.2</v>
      </c>
      <c r="F396">
        <f t="shared" si="5"/>
        <v>374.4</v>
      </c>
      <c r="G396">
        <f>485/110</f>
        <v>4.4090909090909101</v>
      </c>
      <c r="H396">
        <f>G396*1.18</f>
        <v>5.2027272727272704</v>
      </c>
    </row>
    <row r="397" spans="2:9">
      <c r="B397" t="s">
        <v>1112</v>
      </c>
      <c r="C397">
        <v>1</v>
      </c>
      <c r="D397" t="s">
        <v>183</v>
      </c>
      <c r="E397">
        <v>32.5</v>
      </c>
      <c r="F397">
        <f t="shared" si="5"/>
        <v>32.5</v>
      </c>
    </row>
    <row r="398" spans="2:9">
      <c r="B398" t="s">
        <v>1113</v>
      </c>
      <c r="C398">
        <v>10.08</v>
      </c>
      <c r="D398" t="s">
        <v>11</v>
      </c>
      <c r="E398">
        <f>+F95</f>
        <v>294.78081800000001</v>
      </c>
      <c r="F398">
        <f t="shared" si="5"/>
        <v>2971.39</v>
      </c>
    </row>
    <row r="399" spans="2:9">
      <c r="B399" t="s">
        <v>1114</v>
      </c>
      <c r="C399">
        <v>34.200000000000003</v>
      </c>
      <c r="D399" t="s">
        <v>11</v>
      </c>
      <c r="E399">
        <v>130.5</v>
      </c>
      <c r="F399">
        <f t="shared" si="5"/>
        <v>4463.1000000000004</v>
      </c>
    </row>
    <row r="400" spans="2:9">
      <c r="B400" t="s">
        <v>1115</v>
      </c>
      <c r="C400">
        <v>2</v>
      </c>
      <c r="D400" t="s">
        <v>3</v>
      </c>
      <c r="E400">
        <v>180</v>
      </c>
      <c r="F400">
        <f t="shared" si="5"/>
        <v>360</v>
      </c>
    </row>
    <row r="401" spans="2:6">
      <c r="B401" t="s">
        <v>1116</v>
      </c>
      <c r="C401">
        <v>6</v>
      </c>
      <c r="D401" t="s">
        <v>3</v>
      </c>
      <c r="E401">
        <v>24.54</v>
      </c>
      <c r="F401">
        <f t="shared" si="5"/>
        <v>147.24</v>
      </c>
    </row>
    <row r="402" spans="2:6">
      <c r="B402" t="s">
        <v>41</v>
      </c>
      <c r="C402">
        <v>12</v>
      </c>
      <c r="D402" t="s">
        <v>13</v>
      </c>
      <c r="E402">
        <v>418.06</v>
      </c>
      <c r="F402">
        <f t="shared" si="5"/>
        <v>5016.72</v>
      </c>
    </row>
    <row r="403" spans="2:6">
      <c r="B403" t="s">
        <v>1117</v>
      </c>
      <c r="C403">
        <v>12.6</v>
      </c>
      <c r="D403" t="s">
        <v>11</v>
      </c>
      <c r="E403">
        <v>107.16</v>
      </c>
      <c r="F403">
        <f t="shared" si="5"/>
        <v>1350.22</v>
      </c>
    </row>
    <row r="404" spans="2:6">
      <c r="B404" t="s">
        <v>1118</v>
      </c>
      <c r="F404">
        <f>SUM(F383:F403)</f>
        <v>42137.98</v>
      </c>
    </row>
    <row r="405" spans="2:6">
      <c r="B405" t="s">
        <v>1119</v>
      </c>
      <c r="E405" t="s">
        <v>1120</v>
      </c>
      <c r="F405">
        <f>ROUND(F404/12,2)</f>
        <v>3511.5</v>
      </c>
    </row>
    <row r="407" spans="2:6">
      <c r="B407" t="s">
        <v>1121</v>
      </c>
    </row>
    <row r="408" spans="2:6">
      <c r="B408" t="s">
        <v>285</v>
      </c>
      <c r="C408" t="s">
        <v>286</v>
      </c>
      <c r="D408" t="s">
        <v>340</v>
      </c>
      <c r="E408" t="s">
        <v>288</v>
      </c>
      <c r="F408" t="s">
        <v>289</v>
      </c>
    </row>
    <row r="409" spans="2:6">
      <c r="B409" t="s">
        <v>1122</v>
      </c>
      <c r="C409">
        <v>4</v>
      </c>
      <c r="D409" t="s">
        <v>3</v>
      </c>
      <c r="E409">
        <f>E390</f>
        <v>566.90740000000005</v>
      </c>
      <c r="F409">
        <f t="shared" ref="F409:F426" si="6">C409*E409</f>
        <v>2267.6296000000002</v>
      </c>
    </row>
    <row r="410" spans="2:6">
      <c r="B410" t="s">
        <v>1123</v>
      </c>
      <c r="C410">
        <v>8</v>
      </c>
      <c r="D410" t="s">
        <v>3</v>
      </c>
      <c r="E410">
        <f>+E391</f>
        <v>645.11779999999999</v>
      </c>
      <c r="F410">
        <f t="shared" si="6"/>
        <v>5160.9423999999999</v>
      </c>
    </row>
    <row r="411" spans="2:6">
      <c r="B411" t="s">
        <v>1124</v>
      </c>
      <c r="C411">
        <v>2</v>
      </c>
      <c r="D411" t="s">
        <v>3</v>
      </c>
      <c r="E411">
        <f>+E393</f>
        <v>47.2</v>
      </c>
      <c r="F411">
        <f t="shared" si="6"/>
        <v>94.4</v>
      </c>
    </row>
    <row r="412" spans="2:6">
      <c r="B412" t="s">
        <v>1125</v>
      </c>
      <c r="C412">
        <v>4</v>
      </c>
      <c r="D412" t="s">
        <v>3</v>
      </c>
      <c r="E412">
        <f>+E394</f>
        <v>32.42</v>
      </c>
      <c r="F412">
        <f t="shared" si="6"/>
        <v>129.68</v>
      </c>
    </row>
    <row r="413" spans="2:6">
      <c r="B413" t="s">
        <v>977</v>
      </c>
      <c r="C413">
        <v>8.25</v>
      </c>
      <c r="D413" t="s">
        <v>11</v>
      </c>
      <c r="E413">
        <f>+E392</f>
        <v>191.27</v>
      </c>
      <c r="F413">
        <f t="shared" si="6"/>
        <v>1577.9775</v>
      </c>
    </row>
    <row r="414" spans="2:6">
      <c r="B414" t="s">
        <v>1126</v>
      </c>
      <c r="C414">
        <v>2</v>
      </c>
      <c r="D414" t="s">
        <v>3</v>
      </c>
      <c r="E414">
        <f>+E400</f>
        <v>180</v>
      </c>
      <c r="F414">
        <f t="shared" si="6"/>
        <v>360</v>
      </c>
    </row>
    <row r="415" spans="2:6">
      <c r="B415" t="s">
        <v>1116</v>
      </c>
      <c r="C415">
        <v>6</v>
      </c>
      <c r="D415" t="s">
        <v>3</v>
      </c>
      <c r="E415">
        <f>+E401</f>
        <v>24.54</v>
      </c>
      <c r="F415">
        <f t="shared" si="6"/>
        <v>147.24</v>
      </c>
    </row>
    <row r="416" spans="2:6">
      <c r="B416" t="s">
        <v>1127</v>
      </c>
      <c r="C416">
        <v>2</v>
      </c>
      <c r="D416" t="s">
        <v>1128</v>
      </c>
      <c r="E416">
        <f>+E397</f>
        <v>32.5</v>
      </c>
      <c r="F416">
        <f t="shared" si="6"/>
        <v>65</v>
      </c>
    </row>
    <row r="417" spans="2:6">
      <c r="B417" t="s">
        <v>1129</v>
      </c>
      <c r="C417">
        <v>1</v>
      </c>
      <c r="D417" t="s">
        <v>148</v>
      </c>
      <c r="E417">
        <v>2500</v>
      </c>
      <c r="F417">
        <f t="shared" si="6"/>
        <v>2500</v>
      </c>
    </row>
    <row r="418" spans="2:6">
      <c r="B418" t="s">
        <v>1130</v>
      </c>
      <c r="F418">
        <f t="shared" si="6"/>
        <v>0</v>
      </c>
    </row>
    <row r="419" spans="2:6">
      <c r="B419" t="s">
        <v>1131</v>
      </c>
      <c r="C419">
        <v>1</v>
      </c>
      <c r="D419" t="s">
        <v>148</v>
      </c>
      <c r="E419">
        <v>1500</v>
      </c>
      <c r="F419">
        <f t="shared" si="6"/>
        <v>1500</v>
      </c>
    </row>
    <row r="420" spans="2:6">
      <c r="B420" t="s">
        <v>1132</v>
      </c>
      <c r="C420">
        <v>1</v>
      </c>
      <c r="D420" t="s">
        <v>148</v>
      </c>
      <c r="E420">
        <v>850</v>
      </c>
      <c r="F420">
        <f t="shared" si="6"/>
        <v>850</v>
      </c>
    </row>
    <row r="421" spans="2:6">
      <c r="B421" t="s">
        <v>1133</v>
      </c>
      <c r="C421">
        <v>1</v>
      </c>
      <c r="D421" t="s">
        <v>148</v>
      </c>
      <c r="E421">
        <v>750</v>
      </c>
      <c r="F421">
        <f t="shared" si="6"/>
        <v>750</v>
      </c>
    </row>
    <row r="422" spans="2:6">
      <c r="B422" t="s">
        <v>1134</v>
      </c>
      <c r="C422">
        <v>1</v>
      </c>
      <c r="D422" t="s">
        <v>3</v>
      </c>
      <c r="E422">
        <v>450</v>
      </c>
      <c r="F422">
        <f t="shared" si="6"/>
        <v>450</v>
      </c>
    </row>
    <row r="423" spans="2:6">
      <c r="B423" t="s">
        <v>1135</v>
      </c>
      <c r="C423">
        <v>1</v>
      </c>
      <c r="D423" t="s">
        <v>3</v>
      </c>
      <c r="E423">
        <v>145</v>
      </c>
      <c r="F423">
        <f t="shared" si="6"/>
        <v>145</v>
      </c>
    </row>
    <row r="424" spans="2:6">
      <c r="B424" t="s">
        <v>1136</v>
      </c>
      <c r="C424">
        <v>6</v>
      </c>
      <c r="D424" t="s">
        <v>3</v>
      </c>
      <c r="E424">
        <v>87.65</v>
      </c>
      <c r="F424">
        <f t="shared" si="6"/>
        <v>525.9</v>
      </c>
    </row>
    <row r="425" spans="2:6">
      <c r="B425" t="s">
        <v>1137</v>
      </c>
      <c r="C425">
        <v>12</v>
      </c>
      <c r="D425" t="s">
        <v>13</v>
      </c>
      <c r="E425">
        <f>+E396</f>
        <v>5.2</v>
      </c>
      <c r="F425">
        <f t="shared" si="6"/>
        <v>62.4</v>
      </c>
    </row>
    <row r="426" spans="2:6">
      <c r="B426" t="s">
        <v>536</v>
      </c>
      <c r="C426">
        <v>16.34</v>
      </c>
      <c r="D426" t="s">
        <v>11</v>
      </c>
      <c r="E426">
        <f>+E403</f>
        <v>107.16</v>
      </c>
      <c r="F426">
        <f t="shared" si="6"/>
        <v>1750.9944</v>
      </c>
    </row>
    <row r="427" spans="2:6">
      <c r="B427" t="s">
        <v>1138</v>
      </c>
      <c r="E427" t="s">
        <v>42</v>
      </c>
      <c r="F427">
        <v>2500</v>
      </c>
    </row>
    <row r="428" spans="2:6">
      <c r="B428" t="s">
        <v>8</v>
      </c>
      <c r="E428" t="s">
        <v>42</v>
      </c>
      <c r="F428">
        <v>1500</v>
      </c>
    </row>
    <row r="429" spans="2:6">
      <c r="B429" t="s">
        <v>1139</v>
      </c>
      <c r="E429" t="s">
        <v>1039</v>
      </c>
      <c r="F429">
        <f>ROUND(SUM(F409:F428),2)</f>
        <v>22337.16</v>
      </c>
    </row>
    <row r="431" spans="2:6">
      <c r="B431" t="s">
        <v>1140</v>
      </c>
    </row>
    <row r="432" spans="2:6">
      <c r="B432" t="s">
        <v>1141</v>
      </c>
    </row>
    <row r="433" spans="2:6">
      <c r="B433" t="s">
        <v>1060</v>
      </c>
      <c r="C433">
        <v>1.05</v>
      </c>
      <c r="D433" t="s">
        <v>2</v>
      </c>
      <c r="E433">
        <f>+E379</f>
        <v>5068.3010000000004</v>
      </c>
      <c r="F433">
        <f>C433*E433</f>
        <v>5321.71605</v>
      </c>
    </row>
    <row r="434" spans="2:6">
      <c r="B434" t="s">
        <v>272</v>
      </c>
      <c r="C434">
        <v>8.15</v>
      </c>
      <c r="D434" t="s">
        <v>126</v>
      </c>
      <c r="E434">
        <f>+E380</f>
        <v>2913</v>
      </c>
      <c r="F434">
        <f>C434*E434</f>
        <v>23740.95</v>
      </c>
    </row>
    <row r="435" spans="2:6">
      <c r="B435" t="s">
        <v>1089</v>
      </c>
      <c r="C435">
        <f>1/(0.15*0.15)</f>
        <v>44.4444444444444</v>
      </c>
      <c r="D435" t="s">
        <v>13</v>
      </c>
      <c r="E435">
        <v>250</v>
      </c>
      <c r="F435">
        <f>C435*E435</f>
        <v>11111.1111111111</v>
      </c>
    </row>
    <row r="436" spans="2:6">
      <c r="F436">
        <f>ROUND((SUM(F433:F435)),2)</f>
        <v>40173.78</v>
      </c>
    </row>
    <row r="437" spans="2:6">
      <c r="B437" t="s">
        <v>1142</v>
      </c>
      <c r="C437">
        <v>1.2999999999999999E-2</v>
      </c>
      <c r="D437" t="s">
        <v>2</v>
      </c>
    </row>
    <row r="438" spans="2:6">
      <c r="B438" t="s">
        <v>1143</v>
      </c>
      <c r="C438">
        <v>1</v>
      </c>
      <c r="D438" t="s">
        <v>3</v>
      </c>
      <c r="E438">
        <f>C437*F436</f>
        <v>522.25914</v>
      </c>
      <c r="F438">
        <f>E438*C438</f>
        <v>522.25914</v>
      </c>
    </row>
    <row r="439" spans="2:6">
      <c r="B439" t="s">
        <v>978</v>
      </c>
      <c r="C439" t="s">
        <v>1144</v>
      </c>
      <c r="F439">
        <f>ROUND((SUM(F438:F438)),2)</f>
        <v>522.26</v>
      </c>
    </row>
    <row r="441" spans="2:6">
      <c r="B441" t="s">
        <v>1145</v>
      </c>
    </row>
    <row r="442" spans="2:6">
      <c r="B442" t="s">
        <v>1146</v>
      </c>
    </row>
    <row r="443" spans="2:6">
      <c r="B443" t="s">
        <v>1060</v>
      </c>
      <c r="C443">
        <v>1.05</v>
      </c>
      <c r="D443" t="s">
        <v>2</v>
      </c>
      <c r="E443">
        <f>E433</f>
        <v>5068.3010000000004</v>
      </c>
      <c r="F443">
        <f>C443*E443</f>
        <v>5321.71605</v>
      </c>
    </row>
    <row r="444" spans="2:6">
      <c r="B444" t="s">
        <v>272</v>
      </c>
      <c r="C444">
        <v>4.79</v>
      </c>
      <c r="D444" t="s">
        <v>126</v>
      </c>
      <c r="E444">
        <f>E434</f>
        <v>2913</v>
      </c>
      <c r="F444">
        <f>C444*E444</f>
        <v>13953.27</v>
      </c>
    </row>
    <row r="445" spans="2:6">
      <c r="B445" t="s">
        <v>1089</v>
      </c>
      <c r="C445">
        <f>1/(0.25*0.25)</f>
        <v>16</v>
      </c>
      <c r="D445" t="s">
        <v>13</v>
      </c>
      <c r="E445">
        <v>250</v>
      </c>
      <c r="F445">
        <f>C445*E445</f>
        <v>4000</v>
      </c>
    </row>
    <row r="446" spans="2:6">
      <c r="F446">
        <f>ROUND((SUM(F443:F445)),2)</f>
        <v>23274.99</v>
      </c>
    </row>
    <row r="447" spans="2:6">
      <c r="B447" t="s">
        <v>1147</v>
      </c>
      <c r="C447">
        <v>0.17499999999999999</v>
      </c>
      <c r="D447" t="s">
        <v>2</v>
      </c>
    </row>
    <row r="448" spans="2:6">
      <c r="B448" t="s">
        <v>1148</v>
      </c>
      <c r="C448">
        <f>F446*C447</f>
        <v>4073.1232500000001</v>
      </c>
      <c r="D448" t="s">
        <v>1149</v>
      </c>
    </row>
    <row r="450" spans="2:6">
      <c r="B450" t="s">
        <v>1150</v>
      </c>
    </row>
    <row r="451" spans="2:6">
      <c r="B451" t="s">
        <v>1060</v>
      </c>
      <c r="C451">
        <v>1.05</v>
      </c>
      <c r="D451" t="s">
        <v>2</v>
      </c>
      <c r="E451">
        <f>E443</f>
        <v>5068.3010000000004</v>
      </c>
      <c r="F451">
        <f>C451*E451</f>
        <v>5321.71605</v>
      </c>
    </row>
    <row r="452" spans="2:6">
      <c r="B452" t="s">
        <v>272</v>
      </c>
      <c r="C452">
        <v>1.43</v>
      </c>
      <c r="D452" t="s">
        <v>126</v>
      </c>
      <c r="E452">
        <f>E444</f>
        <v>2913</v>
      </c>
      <c r="F452">
        <f>C452*E452</f>
        <v>4165.59</v>
      </c>
    </row>
    <row r="453" spans="2:6">
      <c r="F453">
        <f>ROUND((SUM(F451:F452)),2)</f>
        <v>9487.31</v>
      </c>
    </row>
    <row r="454" spans="2:6">
      <c r="B454" t="s">
        <v>1151</v>
      </c>
      <c r="C454">
        <v>0.14000000000000001</v>
      </c>
      <c r="D454" t="s">
        <v>2</v>
      </c>
    </row>
    <row r="455" spans="2:6">
      <c r="B455" t="s">
        <v>1148</v>
      </c>
      <c r="C455">
        <f>F453*C454</f>
        <v>1328.2234000000001</v>
      </c>
      <c r="D455" t="s">
        <v>1149</v>
      </c>
    </row>
    <row r="456" spans="2:6">
      <c r="B456" t="s">
        <v>1152</v>
      </c>
      <c r="C456">
        <v>1</v>
      </c>
      <c r="D456" t="s">
        <v>3</v>
      </c>
      <c r="E456">
        <f>C455+C448</f>
        <v>5401.3466500000004</v>
      </c>
      <c r="F456">
        <f>E456*C456</f>
        <v>5401.3466500000004</v>
      </c>
    </row>
    <row r="457" spans="2:6">
      <c r="B457" t="s">
        <v>1153</v>
      </c>
      <c r="C457">
        <v>2.86</v>
      </c>
      <c r="D457" t="s">
        <v>11</v>
      </c>
      <c r="E457">
        <f>E398</f>
        <v>294.78081800000001</v>
      </c>
      <c r="F457">
        <f>E457*C457</f>
        <v>843.07313948000001</v>
      </c>
    </row>
    <row r="458" spans="2:6">
      <c r="B458" t="s">
        <v>177</v>
      </c>
      <c r="C458">
        <v>12.2</v>
      </c>
      <c r="D458" t="s">
        <v>13</v>
      </c>
      <c r="E458">
        <f>+F126</f>
        <v>78.493269900000001</v>
      </c>
      <c r="F458">
        <f>E458*C458</f>
        <v>957.61789278000003</v>
      </c>
    </row>
    <row r="459" spans="2:6">
      <c r="B459" t="s">
        <v>536</v>
      </c>
      <c r="C459">
        <v>1.76</v>
      </c>
      <c r="D459" t="s">
        <v>11</v>
      </c>
      <c r="E459">
        <f>+E426</f>
        <v>107.16</v>
      </c>
      <c r="F459">
        <f>E459*C459</f>
        <v>188.60159999999999</v>
      </c>
    </row>
    <row r="460" spans="2:6">
      <c r="B460" t="s">
        <v>1154</v>
      </c>
      <c r="C460" t="s">
        <v>1144</v>
      </c>
      <c r="F460">
        <f>ROUND((SUM(F456:F459)),2)</f>
        <v>7390.64</v>
      </c>
    </row>
    <row r="461" spans="2:6">
      <c r="B461" t="s">
        <v>1145</v>
      </c>
      <c r="C461" t="s">
        <v>1148</v>
      </c>
      <c r="E461">
        <f>F460</f>
        <v>7390.64</v>
      </c>
    </row>
    <row r="463" spans="2:6" hidden="1"/>
    <row r="464" spans="2:6" hidden="1"/>
    <row r="465" spans="2:6" hidden="1">
      <c r="B465" t="s">
        <v>1155</v>
      </c>
    </row>
    <row r="466" spans="2:6" hidden="1">
      <c r="B466" t="s">
        <v>271</v>
      </c>
      <c r="C466">
        <v>1.05</v>
      </c>
      <c r="D466" t="s">
        <v>2</v>
      </c>
      <c r="E466">
        <v>5525.27</v>
      </c>
      <c r="F466">
        <f>C466*E466</f>
        <v>5801.5334999999995</v>
      </c>
    </row>
    <row r="467" spans="2:6" hidden="1">
      <c r="B467" t="s">
        <v>1092</v>
      </c>
      <c r="C467">
        <v>6.38</v>
      </c>
      <c r="D467" t="s">
        <v>126</v>
      </c>
      <c r="E467">
        <f>+E260</f>
        <v>2590</v>
      </c>
      <c r="F467">
        <f>C467*E467</f>
        <v>16524.2</v>
      </c>
    </row>
    <row r="468" spans="2:6" hidden="1">
      <c r="B468" t="s">
        <v>1089</v>
      </c>
      <c r="C468">
        <v>25</v>
      </c>
      <c r="D468" t="s">
        <v>1</v>
      </c>
      <c r="E468">
        <v>250</v>
      </c>
      <c r="F468">
        <f>C468*E468</f>
        <v>6250</v>
      </c>
    </row>
    <row r="469" spans="2:6" hidden="1">
      <c r="B469" t="s">
        <v>1093</v>
      </c>
      <c r="C469">
        <v>25</v>
      </c>
      <c r="D469" t="s">
        <v>1</v>
      </c>
      <c r="E469">
        <v>85</v>
      </c>
      <c r="F469">
        <f>C469*E469</f>
        <v>2125</v>
      </c>
    </row>
    <row r="470" spans="2:6" hidden="1">
      <c r="E470" t="s">
        <v>1031</v>
      </c>
      <c r="F470">
        <f>ROUND(SUM(F466:F469),2)</f>
        <v>30700.73</v>
      </c>
    </row>
    <row r="471" spans="2:6" hidden="1"/>
    <row r="472" spans="2:6" hidden="1">
      <c r="B472" t="s">
        <v>1156</v>
      </c>
    </row>
    <row r="473" spans="2:6" hidden="1">
      <c r="B473" t="s">
        <v>271</v>
      </c>
      <c r="C473">
        <v>1.05</v>
      </c>
      <c r="D473" t="s">
        <v>2</v>
      </c>
      <c r="E473">
        <f>+E466</f>
        <v>5525.27</v>
      </c>
      <c r="F473">
        <f>C473*E473</f>
        <v>5801.5334999999995</v>
      </c>
    </row>
    <row r="474" spans="2:6" hidden="1">
      <c r="B474" t="s">
        <v>272</v>
      </c>
      <c r="C474">
        <v>1.35</v>
      </c>
      <c r="D474" t="s">
        <v>126</v>
      </c>
      <c r="E474">
        <f>+E267</f>
        <v>2913</v>
      </c>
      <c r="F474">
        <f>C474*E474</f>
        <v>3932.55</v>
      </c>
    </row>
    <row r="475" spans="2:6" hidden="1">
      <c r="B475" t="s">
        <v>1089</v>
      </c>
      <c r="C475">
        <v>7.69</v>
      </c>
      <c r="D475" t="s">
        <v>11</v>
      </c>
      <c r="E475">
        <v>225</v>
      </c>
      <c r="F475">
        <f>C475*E475</f>
        <v>1730.25</v>
      </c>
    </row>
    <row r="476" spans="2:6" hidden="1">
      <c r="E476" t="s">
        <v>1031</v>
      </c>
      <c r="F476">
        <f>ROUND(SUM(F473:F475),2)</f>
        <v>11464.33</v>
      </c>
    </row>
    <row r="478" spans="2:6">
      <c r="B478" t="s">
        <v>1157</v>
      </c>
    </row>
    <row r="480" spans="2:6">
      <c r="B480" t="s">
        <v>268</v>
      </c>
      <c r="C480">
        <v>3.11</v>
      </c>
      <c r="D480" t="s">
        <v>269</v>
      </c>
    </row>
    <row r="481" spans="2:6">
      <c r="B481" t="s">
        <v>270</v>
      </c>
    </row>
    <row r="482" spans="2:6">
      <c r="B482" t="s">
        <v>271</v>
      </c>
      <c r="C482">
        <v>1.05</v>
      </c>
      <c r="D482" t="s">
        <v>2</v>
      </c>
      <c r="E482">
        <f>+F30</f>
        <v>8034.1549999999997</v>
      </c>
      <c r="F482">
        <f>C482*E482</f>
        <v>8435.8627500000002</v>
      </c>
    </row>
    <row r="483" spans="2:6">
      <c r="B483" t="s">
        <v>272</v>
      </c>
      <c r="C483">
        <f>+C480</f>
        <v>3.11</v>
      </c>
      <c r="D483" t="s">
        <v>126</v>
      </c>
      <c r="E483">
        <f>+F137</f>
        <v>2913</v>
      </c>
      <c r="F483">
        <f>C483*E483</f>
        <v>9059.43</v>
      </c>
    </row>
    <row r="484" spans="2:6">
      <c r="E484" t="s">
        <v>274</v>
      </c>
      <c r="F484">
        <f>SUM(F482:F483)</f>
        <v>17495.292750000001</v>
      </c>
    </row>
    <row r="485" spans="2:6">
      <c r="E485" t="s">
        <v>275</v>
      </c>
      <c r="F485">
        <v>9272.5051574999998</v>
      </c>
    </row>
    <row r="486" spans="2:6">
      <c r="B486" t="s">
        <v>276</v>
      </c>
    </row>
    <row r="487" spans="2:6">
      <c r="B487" t="s">
        <v>1158</v>
      </c>
      <c r="C487">
        <v>0.25</v>
      </c>
      <c r="D487" t="s">
        <v>3</v>
      </c>
      <c r="E487">
        <v>1770.16</v>
      </c>
      <c r="F487">
        <f>C487*E487</f>
        <v>442.54</v>
      </c>
    </row>
    <row r="488" spans="2:6">
      <c r="B488" t="s">
        <v>280</v>
      </c>
      <c r="C488">
        <v>0.1</v>
      </c>
      <c r="D488" t="s">
        <v>183</v>
      </c>
      <c r="E488">
        <v>35</v>
      </c>
      <c r="F488">
        <f>C488*E488</f>
        <v>3.5</v>
      </c>
    </row>
    <row r="489" spans="2:6">
      <c r="B489" t="s">
        <v>63</v>
      </c>
      <c r="C489">
        <v>30</v>
      </c>
      <c r="D489" t="s">
        <v>46</v>
      </c>
      <c r="E489">
        <f>+SUM(F487:F488)</f>
        <v>446.04</v>
      </c>
      <c r="F489">
        <f>+(C489/100)*E489</f>
        <v>133.81200000000001</v>
      </c>
    </row>
    <row r="490" spans="2:6">
      <c r="E490" t="s">
        <v>275</v>
      </c>
      <c r="F490">
        <f>SUM(F487:F489)</f>
        <v>579.85199999999998</v>
      </c>
    </row>
    <row r="492" spans="2:6">
      <c r="C492" t="s">
        <v>281</v>
      </c>
      <c r="F492">
        <f>+F485+F490</f>
        <v>9852.3571575000005</v>
      </c>
    </row>
    <row r="495" spans="2:6">
      <c r="B495" t="s">
        <v>1159</v>
      </c>
    </row>
    <row r="497" spans="2:6">
      <c r="B497" t="s">
        <v>268</v>
      </c>
      <c r="C497">
        <v>2.2599999999999998</v>
      </c>
      <c r="D497" t="s">
        <v>269</v>
      </c>
    </row>
    <row r="498" spans="2:6">
      <c r="B498" t="s">
        <v>270</v>
      </c>
    </row>
    <row r="499" spans="2:6">
      <c r="B499" t="s">
        <v>271</v>
      </c>
      <c r="C499">
        <v>1.05</v>
      </c>
      <c r="D499" t="s">
        <v>2</v>
      </c>
      <c r="E499">
        <f>+E482</f>
        <v>8034.1549999999997</v>
      </c>
      <c r="F499">
        <f>C499*E499</f>
        <v>8435.8627500000002</v>
      </c>
    </row>
    <row r="500" spans="2:6">
      <c r="B500" t="s">
        <v>272</v>
      </c>
      <c r="C500">
        <f>+C497</f>
        <v>2.2599999999999998</v>
      </c>
      <c r="D500" t="s">
        <v>126</v>
      </c>
      <c r="E500">
        <f>+E483</f>
        <v>2913</v>
      </c>
      <c r="F500">
        <f>C500*E500</f>
        <v>6583.38</v>
      </c>
    </row>
    <row r="501" spans="2:6">
      <c r="E501" t="s">
        <v>274</v>
      </c>
      <c r="F501">
        <f>SUM(F499:F500)</f>
        <v>15019.242749999999</v>
      </c>
    </row>
    <row r="502" spans="2:6">
      <c r="E502" t="s">
        <v>275</v>
      </c>
      <c r="F502">
        <v>6908.8516650000001</v>
      </c>
    </row>
    <row r="503" spans="2:6">
      <c r="B503" t="s">
        <v>276</v>
      </c>
    </row>
    <row r="504" spans="2:6">
      <c r="B504" t="s">
        <v>1158</v>
      </c>
      <c r="C504">
        <v>0.25</v>
      </c>
      <c r="D504" t="s">
        <v>3</v>
      </c>
      <c r="E504">
        <v>1770.16</v>
      </c>
      <c r="F504">
        <f>C504*E504</f>
        <v>442.54</v>
      </c>
    </row>
    <row r="505" spans="2:6">
      <c r="B505" t="s">
        <v>280</v>
      </c>
      <c r="C505">
        <v>0.1</v>
      </c>
      <c r="D505" t="s">
        <v>183</v>
      </c>
      <c r="E505">
        <v>35</v>
      </c>
      <c r="F505">
        <f>C505*E505</f>
        <v>3.5</v>
      </c>
    </row>
    <row r="506" spans="2:6">
      <c r="B506" t="s">
        <v>63</v>
      </c>
      <c r="C506">
        <v>30</v>
      </c>
      <c r="D506" t="s">
        <v>46</v>
      </c>
      <c r="E506">
        <f>+SUM(F504:F505)</f>
        <v>446.04</v>
      </c>
      <c r="F506">
        <f>+(C506/100)*E506</f>
        <v>133.81200000000001</v>
      </c>
    </row>
    <row r="507" spans="2:6">
      <c r="E507" t="s">
        <v>275</v>
      </c>
      <c r="F507">
        <f>SUM(F504:F506)</f>
        <v>579.85199999999998</v>
      </c>
    </row>
    <row r="509" spans="2:6">
      <c r="C509" t="s">
        <v>281</v>
      </c>
      <c r="F509">
        <f>+F502+F507</f>
        <v>7488.703665</v>
      </c>
    </row>
    <row r="511" spans="2:6">
      <c r="B511" t="s">
        <v>1160</v>
      </c>
    </row>
    <row r="513" spans="2:6">
      <c r="B513" t="s">
        <v>268</v>
      </c>
      <c r="C513">
        <v>3.26</v>
      </c>
      <c r="D513" t="s">
        <v>269</v>
      </c>
    </row>
    <row r="514" spans="2:6">
      <c r="B514" t="s">
        <v>270</v>
      </c>
    </row>
    <row r="515" spans="2:6">
      <c r="B515" t="s">
        <v>271</v>
      </c>
      <c r="C515">
        <v>1.05</v>
      </c>
      <c r="D515" t="s">
        <v>2</v>
      </c>
      <c r="E515">
        <f>+E499</f>
        <v>8034.1549999999997</v>
      </c>
      <c r="F515">
        <f>C515*E515</f>
        <v>8435.8627500000002</v>
      </c>
    </row>
    <row r="516" spans="2:6">
      <c r="B516" t="s">
        <v>272</v>
      </c>
      <c r="C516">
        <f>+C513</f>
        <v>3.26</v>
      </c>
      <c r="D516" t="s">
        <v>126</v>
      </c>
      <c r="E516">
        <f>+E500</f>
        <v>2913</v>
      </c>
      <c r="F516">
        <f>C516*E516</f>
        <v>9496.3799999999992</v>
      </c>
    </row>
    <row r="517" spans="2:6">
      <c r="E517" t="s">
        <v>274</v>
      </c>
      <c r="F517">
        <f>SUM(F515:F516)</f>
        <v>17932.242750000001</v>
      </c>
    </row>
    <row r="518" spans="2:6">
      <c r="E518" t="s">
        <v>275</v>
      </c>
      <c r="F518">
        <v>6276.2849624999999</v>
      </c>
    </row>
    <row r="519" spans="2:6">
      <c r="B519" t="s">
        <v>276</v>
      </c>
    </row>
    <row r="520" spans="2:6">
      <c r="B520" t="s">
        <v>1158</v>
      </c>
      <c r="C520">
        <v>0.25</v>
      </c>
      <c r="D520" t="s">
        <v>3</v>
      </c>
      <c r="E520">
        <v>1770.16</v>
      </c>
      <c r="F520">
        <f>C520*E520</f>
        <v>442.54</v>
      </c>
    </row>
    <row r="521" spans="2:6">
      <c r="B521" t="s">
        <v>280</v>
      </c>
      <c r="C521">
        <v>0.1</v>
      </c>
      <c r="D521" t="s">
        <v>183</v>
      </c>
      <c r="E521">
        <v>35</v>
      </c>
      <c r="F521">
        <f>C521*E521</f>
        <v>3.5</v>
      </c>
    </row>
    <row r="522" spans="2:6">
      <c r="B522" t="s">
        <v>63</v>
      </c>
      <c r="C522">
        <v>30</v>
      </c>
      <c r="D522" t="s">
        <v>46</v>
      </c>
      <c r="E522">
        <f>+SUM(F520:F521)</f>
        <v>446.04</v>
      </c>
      <c r="F522">
        <f>+(C522/100)*E522</f>
        <v>133.81200000000001</v>
      </c>
    </row>
    <row r="523" spans="2:6">
      <c r="E523" t="s">
        <v>275</v>
      </c>
      <c r="F523">
        <f>SUM(F520:F522)</f>
        <v>579.85199999999998</v>
      </c>
    </row>
    <row r="525" spans="2:6">
      <c r="C525" t="s">
        <v>281</v>
      </c>
      <c r="F525">
        <f>+F518+F523</f>
        <v>6856.1369624999998</v>
      </c>
    </row>
    <row r="527" spans="2:6">
      <c r="B527" t="s">
        <v>1161</v>
      </c>
    </row>
    <row r="528" spans="2:6">
      <c r="B528" t="s">
        <v>358</v>
      </c>
      <c r="C528">
        <v>1</v>
      </c>
      <c r="D528" t="s">
        <v>47</v>
      </c>
      <c r="E528">
        <v>425</v>
      </c>
      <c r="F528">
        <f>C528*E528</f>
        <v>425</v>
      </c>
    </row>
    <row r="529" spans="2:6">
      <c r="B529" t="s">
        <v>331</v>
      </c>
      <c r="C529">
        <v>2</v>
      </c>
      <c r="D529" t="s">
        <v>138</v>
      </c>
      <c r="E529">
        <v>196.87</v>
      </c>
      <c r="F529">
        <f>C529*E529</f>
        <v>393.74</v>
      </c>
    </row>
    <row r="530" spans="2:6">
      <c r="B530" t="s">
        <v>1162</v>
      </c>
      <c r="F530">
        <f>0.15*F529</f>
        <v>59.061</v>
      </c>
    </row>
    <row r="531" spans="2:6">
      <c r="B531" t="s">
        <v>1163</v>
      </c>
      <c r="C531">
        <v>1</v>
      </c>
      <c r="D531" t="s">
        <v>47</v>
      </c>
      <c r="E531">
        <f>1100/8</f>
        <v>137.5</v>
      </c>
      <c r="F531">
        <f>C531*E531</f>
        <v>137.5</v>
      </c>
    </row>
    <row r="532" spans="2:6">
      <c r="B532" t="s">
        <v>1163</v>
      </c>
      <c r="C532">
        <v>1</v>
      </c>
      <c r="D532" t="s">
        <v>47</v>
      </c>
      <c r="E532">
        <f>+E531</f>
        <v>137.5</v>
      </c>
      <c r="F532">
        <f>C532*E532</f>
        <v>137.5</v>
      </c>
    </row>
    <row r="533" spans="2:6">
      <c r="B533" t="s">
        <v>330</v>
      </c>
      <c r="C533">
        <v>1</v>
      </c>
      <c r="D533" t="s">
        <v>47</v>
      </c>
      <c r="E533">
        <f>750/8</f>
        <v>93.75</v>
      </c>
      <c r="F533">
        <f>C533*E533</f>
        <v>93.75</v>
      </c>
    </row>
    <row r="534" spans="2:6">
      <c r="B534" t="s">
        <v>330</v>
      </c>
      <c r="C534">
        <v>1</v>
      </c>
      <c r="D534" t="s">
        <v>47</v>
      </c>
      <c r="E534">
        <f>+E533</f>
        <v>93.75</v>
      </c>
      <c r="F534">
        <f>C534*E534</f>
        <v>93.75</v>
      </c>
    </row>
    <row r="535" spans="2:6">
      <c r="B535" t="s">
        <v>1164</v>
      </c>
      <c r="F535">
        <f>250/8</f>
        <v>31.25</v>
      </c>
    </row>
    <row r="536" spans="2:6">
      <c r="B536" t="s">
        <v>1165</v>
      </c>
      <c r="F536">
        <f>200/8/1.035</f>
        <v>24.154589371980698</v>
      </c>
    </row>
    <row r="537" spans="2:6">
      <c r="E537" t="s">
        <v>296</v>
      </c>
      <c r="F537">
        <f>SUM(F528:F536)</f>
        <v>1395.7055893719801</v>
      </c>
    </row>
    <row r="538" spans="2:6">
      <c r="B538" t="s">
        <v>1166</v>
      </c>
      <c r="C538">
        <v>0.64</v>
      </c>
    </row>
    <row r="539" spans="2:6">
      <c r="E539" t="s">
        <v>298</v>
      </c>
      <c r="F539">
        <f>ROUND(F537/C538,2)</f>
        <v>2180.79</v>
      </c>
    </row>
    <row r="541" spans="2:6">
      <c r="E541" t="s">
        <v>1167</v>
      </c>
      <c r="F541">
        <f>+F537*8</f>
        <v>11165.644714975801</v>
      </c>
    </row>
    <row r="543" spans="2:6">
      <c r="B543" t="s">
        <v>1192</v>
      </c>
    </row>
    <row r="545" spans="2:6">
      <c r="B545" t="s">
        <v>268</v>
      </c>
      <c r="C545">
        <v>0.84</v>
      </c>
      <c r="D545" t="s">
        <v>269</v>
      </c>
    </row>
    <row r="546" spans="2:6">
      <c r="B546" t="s">
        <v>270</v>
      </c>
    </row>
    <row r="547" spans="2:6">
      <c r="B547" t="s">
        <v>271</v>
      </c>
      <c r="C547">
        <v>1.05</v>
      </c>
      <c r="D547" t="s">
        <v>2</v>
      </c>
      <c r="E547">
        <f>+F48</f>
        <v>5713.6549999999997</v>
      </c>
      <c r="F547">
        <f>C547*E547</f>
        <v>5999.3377499999997</v>
      </c>
    </row>
    <row r="548" spans="2:6">
      <c r="B548" t="s">
        <v>272</v>
      </c>
      <c r="C548">
        <f>+C545</f>
        <v>0.84</v>
      </c>
      <c r="D548" t="s">
        <v>126</v>
      </c>
      <c r="E548">
        <f>+F137</f>
        <v>2913</v>
      </c>
      <c r="F548">
        <f>C548*E548</f>
        <v>2446.92</v>
      </c>
    </row>
    <row r="549" spans="2:6">
      <c r="E549" t="s">
        <v>274</v>
      </c>
      <c r="F549">
        <f>SUM(F547:F548)</f>
        <v>8446.2577500000007</v>
      </c>
    </row>
    <row r="550" spans="2:6">
      <c r="C550">
        <v>1.64</v>
      </c>
      <c r="E550" t="s">
        <v>1194</v>
      </c>
      <c r="F550">
        <f>+C550*F549</f>
        <v>13851.862709999999</v>
      </c>
    </row>
    <row r="551" spans="2:6">
      <c r="B551" t="s">
        <v>276</v>
      </c>
    </row>
    <row r="552" spans="2:6" ht="27.75" customHeight="1">
      <c r="B552" t="s">
        <v>1158</v>
      </c>
      <c r="C552">
        <v>0.5</v>
      </c>
      <c r="D552" t="s">
        <v>3</v>
      </c>
      <c r="E552">
        <v>1950</v>
      </c>
      <c r="F552">
        <f>C552*E552</f>
        <v>975</v>
      </c>
    </row>
    <row r="553" spans="2:6">
      <c r="B553" t="s">
        <v>278</v>
      </c>
      <c r="C553">
        <v>1.03</v>
      </c>
      <c r="D553" t="s">
        <v>279</v>
      </c>
      <c r="E553">
        <v>45</v>
      </c>
      <c r="F553">
        <f>+E553*C553</f>
        <v>46.35</v>
      </c>
    </row>
    <row r="554" spans="2:6">
      <c r="B554" t="s">
        <v>280</v>
      </c>
      <c r="C554">
        <v>2</v>
      </c>
      <c r="D554" t="s">
        <v>183</v>
      </c>
      <c r="E554">
        <v>45</v>
      </c>
      <c r="F554">
        <f>+E554*C554</f>
        <v>90</v>
      </c>
    </row>
    <row r="555" spans="2:6">
      <c r="B555" t="s">
        <v>63</v>
      </c>
      <c r="C555">
        <v>1</v>
      </c>
      <c r="D555" t="s">
        <v>42</v>
      </c>
      <c r="E555">
        <v>1200</v>
      </c>
      <c r="F555">
        <f>+(C555)*E555</f>
        <v>1200</v>
      </c>
    </row>
    <row r="556" spans="2:6">
      <c r="E556" t="s">
        <v>1195</v>
      </c>
      <c r="F556">
        <f>SUM(F552:F555)</f>
        <v>2311.35</v>
      </c>
    </row>
    <row r="558" spans="2:6">
      <c r="C558" t="s">
        <v>281</v>
      </c>
      <c r="F558">
        <f>+F550+F556</f>
        <v>16163.21271</v>
      </c>
    </row>
    <row r="560" spans="2:6">
      <c r="B560" t="s">
        <v>38</v>
      </c>
    </row>
    <row r="561" spans="2:6">
      <c r="B561" t="s">
        <v>282</v>
      </c>
      <c r="C561">
        <v>0.77</v>
      </c>
      <c r="D561" t="s">
        <v>2</v>
      </c>
      <c r="E561">
        <v>240.23</v>
      </c>
      <c r="F561">
        <f>C561*E561</f>
        <v>184.97710000000001</v>
      </c>
    </row>
    <row r="562" spans="2:6">
      <c r="B562" t="s">
        <v>2221</v>
      </c>
      <c r="C562">
        <f>C561*1.25</f>
        <v>0.96250000000000002</v>
      </c>
      <c r="D562" t="s">
        <v>2</v>
      </c>
      <c r="E562">
        <v>70</v>
      </c>
      <c r="F562">
        <f>C562*E562</f>
        <v>67.375</v>
      </c>
    </row>
    <row r="563" spans="2:6">
      <c r="F563">
        <f>F561+F562</f>
        <v>252.35210000000001</v>
      </c>
    </row>
    <row r="566" spans="2:6">
      <c r="E566" t="s">
        <v>1196</v>
      </c>
      <c r="F566">
        <f>F563+F558</f>
        <v>16415.56481</v>
      </c>
    </row>
    <row r="569" spans="2:6" ht="18" customHeight="1">
      <c r="B569" t="s">
        <v>1168</v>
      </c>
    </row>
    <row r="571" spans="2:6">
      <c r="B571" t="s">
        <v>268</v>
      </c>
      <c r="C571">
        <v>0.51</v>
      </c>
      <c r="D571" t="s">
        <v>269</v>
      </c>
    </row>
    <row r="572" spans="2:6">
      <c r="B572" t="s">
        <v>270</v>
      </c>
    </row>
    <row r="573" spans="2:6">
      <c r="B573" t="s">
        <v>271</v>
      </c>
      <c r="C573">
        <v>1.05</v>
      </c>
      <c r="D573" t="s">
        <v>2</v>
      </c>
      <c r="E573">
        <f>+F507</f>
        <v>579.85199999999998</v>
      </c>
      <c r="F573">
        <f>C573*E573</f>
        <v>608.84460000000001</v>
      </c>
    </row>
    <row r="574" spans="2:6">
      <c r="B574" t="s">
        <v>272</v>
      </c>
      <c r="C574">
        <v>0.51</v>
      </c>
      <c r="D574" t="s">
        <v>126</v>
      </c>
      <c r="E574">
        <f>+F508</f>
        <v>0</v>
      </c>
      <c r="F574">
        <f>C574*E574</f>
        <v>0</v>
      </c>
    </row>
    <row r="575" spans="2:6">
      <c r="B575" t="s">
        <v>273</v>
      </c>
      <c r="C575">
        <v>0.97</v>
      </c>
      <c r="D575" t="s">
        <v>118</v>
      </c>
      <c r="E575">
        <f>+F509</f>
        <v>7488.703665</v>
      </c>
      <c r="F575">
        <f>C575*E575</f>
        <v>7264.0425550500004</v>
      </c>
    </row>
    <row r="576" spans="2:6">
      <c r="E576" t="s">
        <v>274</v>
      </c>
      <c r="F576">
        <f>SUM(F573:F575)</f>
        <v>7872.8871550499998</v>
      </c>
    </row>
    <row r="577" spans="2:6">
      <c r="E577" t="s">
        <v>275</v>
      </c>
      <c r="F577">
        <f>(0.6*0.75+0.3*0.45)/2*1.45*F576</f>
        <v>3339.0882646355799</v>
      </c>
    </row>
    <row r="578" spans="2:6">
      <c r="B578" t="s">
        <v>276</v>
      </c>
    </row>
    <row r="579" spans="2:6">
      <c r="B579" t="s">
        <v>1158</v>
      </c>
      <c r="C579">
        <v>1</v>
      </c>
      <c r="D579" t="s">
        <v>3</v>
      </c>
      <c r="E579">
        <v>1850</v>
      </c>
      <c r="F579">
        <f>C579*E579</f>
        <v>1850</v>
      </c>
    </row>
    <row r="580" spans="2:6">
      <c r="B580" t="s">
        <v>278</v>
      </c>
      <c r="C580">
        <v>3.46</v>
      </c>
      <c r="D580" t="s">
        <v>279</v>
      </c>
      <c r="E580">
        <v>45</v>
      </c>
      <c r="F580">
        <f>C580*E580</f>
        <v>155.69999999999999</v>
      </c>
    </row>
    <row r="581" spans="2:6">
      <c r="B581" t="s">
        <v>280</v>
      </c>
      <c r="C581">
        <v>0.1</v>
      </c>
      <c r="D581" t="s">
        <v>183</v>
      </c>
      <c r="E581">
        <v>15.78</v>
      </c>
      <c r="F581">
        <f>C581*E581</f>
        <v>1.5780000000000001</v>
      </c>
    </row>
    <row r="582" spans="2:6">
      <c r="B582" t="s">
        <v>63</v>
      </c>
      <c r="C582">
        <v>30</v>
      </c>
      <c r="D582" t="s">
        <v>46</v>
      </c>
      <c r="E582">
        <f>+SUM(F579:F581)</f>
        <v>2007.278</v>
      </c>
      <c r="F582">
        <f>+(C582/100)*E582</f>
        <v>602.18340000000001</v>
      </c>
    </row>
    <row r="583" spans="2:6">
      <c r="E583" t="s">
        <v>275</v>
      </c>
      <c r="F583">
        <f>SUM(F579:F582)</f>
        <v>2609.4614000000001</v>
      </c>
    </row>
    <row r="585" spans="2:6">
      <c r="B585" t="s">
        <v>1169</v>
      </c>
    </row>
    <row r="586" spans="2:6">
      <c r="B586" t="s">
        <v>1170</v>
      </c>
      <c r="C586">
        <v>0.42</v>
      </c>
      <c r="D586" t="s">
        <v>2</v>
      </c>
      <c r="E586">
        <f>+F520</f>
        <v>442.54</v>
      </c>
      <c r="F586">
        <f>C586*E586</f>
        <v>185.86680000000001</v>
      </c>
    </row>
    <row r="587" spans="2:6">
      <c r="B587" t="s">
        <v>1171</v>
      </c>
      <c r="C587">
        <f>C586*1.2</f>
        <v>0.504</v>
      </c>
      <c r="D587" t="s">
        <v>2</v>
      </c>
      <c r="E587">
        <v>90</v>
      </c>
      <c r="F587">
        <f>C587*E587</f>
        <v>45.36</v>
      </c>
    </row>
    <row r="588" spans="2:6">
      <c r="E588" t="s">
        <v>275</v>
      </c>
      <c r="F588">
        <f>SUM(F586:F587)</f>
        <v>231.2268</v>
      </c>
    </row>
    <row r="590" spans="2:6">
      <c r="B590" t="s">
        <v>1172</v>
      </c>
    </row>
    <row r="592" spans="2:6">
      <c r="B592" t="s">
        <v>1173</v>
      </c>
    </row>
    <row r="593" spans="2:6">
      <c r="B593" t="s">
        <v>151</v>
      </c>
      <c r="C593">
        <f>0.42*0.45</f>
        <v>0.189</v>
      </c>
      <c r="D593" t="s">
        <v>2</v>
      </c>
      <c r="E593">
        <f>935.52</f>
        <v>935.52</v>
      </c>
      <c r="F593">
        <f>ROUND(E593*C593,2)</f>
        <v>176.81</v>
      </c>
    </row>
    <row r="594" spans="2:6">
      <c r="B594" t="s">
        <v>124</v>
      </c>
      <c r="C594">
        <f>0.42*0.9</f>
        <v>0.378</v>
      </c>
      <c r="D594" t="s">
        <v>2</v>
      </c>
      <c r="E594">
        <f>+E593</f>
        <v>935.52</v>
      </c>
      <c r="F594">
        <f>ROUND(E594*C594,2)</f>
        <v>353.63</v>
      </c>
    </row>
    <row r="595" spans="2:6">
      <c r="B595" t="s">
        <v>142</v>
      </c>
      <c r="C595">
        <f>0.42*13</f>
        <v>5.46</v>
      </c>
      <c r="D595" t="s">
        <v>1026</v>
      </c>
      <c r="E595">
        <f>49.77</f>
        <v>49.77</v>
      </c>
      <c r="F595">
        <f>ROUND(E595*C595,2)</f>
        <v>271.74</v>
      </c>
    </row>
    <row r="596" spans="2:6">
      <c r="B596" t="s">
        <v>1174</v>
      </c>
      <c r="C596">
        <f>0.42*0.51</f>
        <v>0.2142</v>
      </c>
      <c r="D596" t="s">
        <v>126</v>
      </c>
      <c r="E596">
        <f>111.8</f>
        <v>111.8</v>
      </c>
      <c r="F596">
        <f>ROUND(E596*C596,2)</f>
        <v>23.95</v>
      </c>
    </row>
    <row r="599" spans="2:6">
      <c r="B599" t="s">
        <v>1175</v>
      </c>
    </row>
    <row r="600" spans="2:6">
      <c r="B600" t="s">
        <v>151</v>
      </c>
      <c r="C600">
        <f>+C593</f>
        <v>0.189</v>
      </c>
      <c r="D600" t="s">
        <v>2</v>
      </c>
      <c r="E600">
        <v>2069.1999999999998</v>
      </c>
      <c r="F600">
        <f>ROUND(E600*C600,2)</f>
        <v>391.08</v>
      </c>
    </row>
    <row r="601" spans="2:6">
      <c r="B601" t="s">
        <v>124</v>
      </c>
      <c r="C601">
        <f>+C594</f>
        <v>0.378</v>
      </c>
      <c r="D601" t="s">
        <v>2</v>
      </c>
      <c r="E601">
        <f>+E600</f>
        <v>2069.1999999999998</v>
      </c>
      <c r="F601">
        <f>ROUND(E601*C601,2)</f>
        <v>782.16</v>
      </c>
    </row>
    <row r="602" spans="2:6">
      <c r="B602" t="s">
        <v>142</v>
      </c>
      <c r="C602">
        <f>+C595</f>
        <v>5.46</v>
      </c>
      <c r="D602" t="s">
        <v>2</v>
      </c>
      <c r="E602">
        <v>62.08</v>
      </c>
      <c r="F602">
        <f>ROUND(E602*C602,2)</f>
        <v>338.96</v>
      </c>
    </row>
    <row r="603" spans="2:6">
      <c r="B603" t="s">
        <v>1174</v>
      </c>
      <c r="C603">
        <f>+C596</f>
        <v>0.2142</v>
      </c>
      <c r="D603" t="s">
        <v>2</v>
      </c>
      <c r="E603">
        <v>135.69</v>
      </c>
      <c r="F603">
        <f>ROUND(E603*C603,2)</f>
        <v>29.06</v>
      </c>
    </row>
    <row r="604" spans="2:6">
      <c r="F604">
        <f>SUM(F593:F603)</f>
        <v>2367.39</v>
      </c>
    </row>
    <row r="606" spans="2:6">
      <c r="C606" t="s">
        <v>281</v>
      </c>
      <c r="F606">
        <f>F604+F588+F583+F577</f>
        <v>8547.1664646355803</v>
      </c>
    </row>
  </sheetData>
  <customSheetViews>
    <customSheetView guid="{43BC9397-3E8C-478C-B548-E4A845A7F82B}" hiddenRows="1" topLeftCell="A312">
      <selection activeCell="F346" sqref="F346"/>
      <pageMargins left="0.7" right="0.7" top="0.75" bottom="0.75" header="0.3" footer="0.3"/>
      <pageSetup orientation="portrait" r:id="rId1"/>
    </customSheetView>
  </customSheetView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dimension ref="A1:E582"/>
  <sheetViews>
    <sheetView workbookViewId="0">
      <selection activeCell="F36" sqref="F36"/>
    </sheetView>
  </sheetViews>
  <sheetFormatPr baseColWidth="10" defaultColWidth="11.42578125" defaultRowHeight="12.75"/>
  <cols>
    <col min="1" max="1" width="31.85546875" style="3154" customWidth="1"/>
    <col min="2" max="2" width="10.42578125" style="3154" bestFit="1" customWidth="1"/>
    <col min="3" max="3" width="22.85546875" style="3154" customWidth="1"/>
    <col min="4" max="4" width="13.7109375" style="3154" customWidth="1"/>
    <col min="5" max="5" width="13.140625" style="3154" customWidth="1"/>
    <col min="6" max="16384" width="11.42578125" style="3154"/>
  </cols>
  <sheetData>
    <row r="1" spans="1:5">
      <c r="A1" s="5227" t="s">
        <v>1354</v>
      </c>
      <c r="B1" s="5227"/>
      <c r="C1" s="5227"/>
      <c r="D1" s="5227"/>
      <c r="E1" s="5227"/>
    </row>
    <row r="2" spans="1:5">
      <c r="A2" s="3765"/>
      <c r="B2" s="3766"/>
      <c r="C2" s="3767"/>
      <c r="D2" s="3768"/>
      <c r="E2" s="3768"/>
    </row>
    <row r="3" spans="1:5">
      <c r="A3" s="3769" t="s">
        <v>1355</v>
      </c>
      <c r="B3" s="3770"/>
      <c r="C3" s="3771"/>
      <c r="D3" s="3770"/>
      <c r="E3" s="3770"/>
    </row>
    <row r="4" spans="1:5">
      <c r="A4" s="3772" t="s">
        <v>1356</v>
      </c>
      <c r="B4" s="3773">
        <v>2</v>
      </c>
      <c r="C4" s="3771" t="s">
        <v>1357</v>
      </c>
      <c r="D4" s="3770"/>
      <c r="E4" s="3770"/>
    </row>
    <row r="5" spans="1:5">
      <c r="A5" s="3774"/>
      <c r="B5" s="3770"/>
      <c r="C5" s="3771"/>
      <c r="D5" s="3770"/>
      <c r="E5" s="3770"/>
    </row>
    <row r="6" spans="1:5">
      <c r="A6" s="3775" t="s">
        <v>1358</v>
      </c>
      <c r="B6" s="3773">
        <f>1/((B4*2.54/100)*1.3)</f>
        <v>15.14</v>
      </c>
      <c r="C6" s="3776" t="s">
        <v>11</v>
      </c>
      <c r="D6" s="3770"/>
      <c r="E6" s="3770"/>
    </row>
    <row r="7" spans="1:5">
      <c r="A7" s="3775"/>
      <c r="B7" s="3773"/>
      <c r="C7" s="3776"/>
      <c r="D7" s="3770"/>
      <c r="E7" s="3770"/>
    </row>
    <row r="8" spans="1:5">
      <c r="A8" s="3775"/>
      <c r="B8" s="3773"/>
      <c r="C8" s="3776"/>
      <c r="D8" s="3770"/>
      <c r="E8" s="3770"/>
    </row>
    <row r="9" spans="1:5">
      <c r="A9" s="3777" t="s">
        <v>436</v>
      </c>
      <c r="B9" s="3778"/>
      <c r="C9" s="3776"/>
      <c r="D9" s="3778"/>
      <c r="E9" s="3778"/>
    </row>
    <row r="10" spans="1:5">
      <c r="A10" s="3774" t="s">
        <v>437</v>
      </c>
      <c r="B10" s="3779">
        <v>1</v>
      </c>
      <c r="C10" s="3771" t="s">
        <v>215</v>
      </c>
      <c r="D10" s="3779">
        <v>1500</v>
      </c>
      <c r="E10" s="3779">
        <f t="shared" ref="E10:E15" si="0">+D10*B10</f>
        <v>1500</v>
      </c>
    </row>
    <row r="11" spans="1:5">
      <c r="A11" s="3774" t="s">
        <v>1359</v>
      </c>
      <c r="B11" s="3779">
        <v>1</v>
      </c>
      <c r="C11" s="3771" t="s">
        <v>215</v>
      </c>
      <c r="D11" s="3779">
        <v>1100</v>
      </c>
      <c r="E11" s="3779">
        <f t="shared" si="0"/>
        <v>1100</v>
      </c>
    </row>
    <row r="12" spans="1:5">
      <c r="A12" s="3774" t="s">
        <v>1360</v>
      </c>
      <c r="B12" s="3779">
        <v>1</v>
      </c>
      <c r="C12" s="3771" t="s">
        <v>215</v>
      </c>
      <c r="D12" s="3779">
        <v>659</v>
      </c>
      <c r="E12" s="3779">
        <f t="shared" si="0"/>
        <v>659</v>
      </c>
    </row>
    <row r="13" spans="1:5">
      <c r="A13" s="3774" t="s">
        <v>1361</v>
      </c>
      <c r="B13" s="3779">
        <v>1</v>
      </c>
      <c r="C13" s="3771" t="s">
        <v>440</v>
      </c>
      <c r="D13" s="3779">
        <v>1950</v>
      </c>
      <c r="E13" s="3779">
        <f t="shared" si="0"/>
        <v>1950</v>
      </c>
    </row>
    <row r="14" spans="1:5">
      <c r="A14" s="3774" t="s">
        <v>1362</v>
      </c>
      <c r="B14" s="3779">
        <v>1</v>
      </c>
      <c r="C14" s="3771" t="s">
        <v>440</v>
      </c>
      <c r="D14" s="3779">
        <v>1300</v>
      </c>
      <c r="E14" s="3779">
        <f t="shared" si="0"/>
        <v>1300</v>
      </c>
    </row>
    <row r="15" spans="1:5">
      <c r="A15" s="3774" t="s">
        <v>1363</v>
      </c>
      <c r="B15" s="3779">
        <v>1</v>
      </c>
      <c r="C15" s="3771" t="s">
        <v>440</v>
      </c>
      <c r="D15" s="3779">
        <v>1300</v>
      </c>
      <c r="E15" s="3779">
        <f t="shared" si="0"/>
        <v>1300</v>
      </c>
    </row>
    <row r="16" spans="1:5">
      <c r="A16" s="3774"/>
      <c r="B16" s="3770"/>
      <c r="C16" s="3771"/>
      <c r="D16" s="3780" t="s">
        <v>442</v>
      </c>
      <c r="E16" s="3778">
        <f>SUM(E10:E15)</f>
        <v>7809</v>
      </c>
    </row>
    <row r="17" spans="1:5">
      <c r="A17" s="3774"/>
      <c r="B17" s="3770"/>
      <c r="C17" s="3771"/>
      <c r="D17" s="3780"/>
      <c r="E17" s="3778"/>
    </row>
    <row r="18" spans="1:5">
      <c r="A18" s="3777" t="s">
        <v>1364</v>
      </c>
      <c r="B18" s="3778"/>
      <c r="C18" s="3776"/>
      <c r="D18" s="3778"/>
      <c r="E18" s="3778"/>
    </row>
    <row r="19" spans="1:5">
      <c r="A19" s="3781" t="s">
        <v>1365</v>
      </c>
      <c r="B19" s="3782">
        <v>8</v>
      </c>
      <c r="C19" s="3783" t="s">
        <v>47</v>
      </c>
      <c r="D19" s="3782">
        <v>459.29</v>
      </c>
      <c r="E19" s="3782">
        <f>D19*B19</f>
        <v>3674.32</v>
      </c>
    </row>
    <row r="20" spans="1:5">
      <c r="A20" s="3784" t="s">
        <v>1366</v>
      </c>
      <c r="B20" s="3782">
        <v>1</v>
      </c>
      <c r="C20" s="3783" t="s">
        <v>1100</v>
      </c>
      <c r="D20" s="3782">
        <v>225</v>
      </c>
      <c r="E20" s="3782">
        <f>D20*B20</f>
        <v>225</v>
      </c>
    </row>
    <row r="21" spans="1:5">
      <c r="A21" s="3785"/>
      <c r="B21" s="3786"/>
      <c r="C21" s="3787"/>
      <c r="D21" s="3786"/>
      <c r="E21" s="3786"/>
    </row>
    <row r="22" spans="1:5">
      <c r="A22" s="3769"/>
      <c r="B22" s="3778"/>
      <c r="C22" s="3776"/>
      <c r="D22" s="3778" t="s">
        <v>1367</v>
      </c>
      <c r="E22" s="3778">
        <f>SUM(E19:E20)</f>
        <v>3899.32</v>
      </c>
    </row>
    <row r="23" spans="1:5">
      <c r="A23" s="3774"/>
      <c r="B23" s="3770"/>
      <c r="C23" s="3771"/>
      <c r="D23" s="3780"/>
      <c r="E23" s="3778"/>
    </row>
    <row r="24" spans="1:5">
      <c r="A24" s="3769" t="s">
        <v>1368</v>
      </c>
      <c r="B24" s="3778"/>
      <c r="C24" s="3776"/>
      <c r="D24" s="3778"/>
      <c r="E24" s="3778">
        <f>E22+E16</f>
        <v>11708.32</v>
      </c>
    </row>
    <row r="25" spans="1:5">
      <c r="A25" s="3774"/>
      <c r="B25" s="3770"/>
      <c r="C25" s="3771"/>
      <c r="D25" s="3780"/>
      <c r="E25" s="3778"/>
    </row>
    <row r="26" spans="1:5">
      <c r="A26" s="3774" t="s">
        <v>1369</v>
      </c>
      <c r="B26" s="3770">
        <v>18</v>
      </c>
      <c r="C26" s="3771" t="s">
        <v>1370</v>
      </c>
      <c r="D26" s="3780"/>
      <c r="E26" s="3778"/>
    </row>
    <row r="27" spans="1:5">
      <c r="A27" s="3774" t="s">
        <v>1371</v>
      </c>
      <c r="B27" s="3770"/>
      <c r="C27" s="3771"/>
      <c r="D27" s="3780"/>
      <c r="E27" s="3778">
        <f>E24/B26</f>
        <v>650.46</v>
      </c>
    </row>
    <row r="28" spans="1:5">
      <c r="A28" s="3774"/>
      <c r="B28" s="3770"/>
      <c r="C28" s="3771"/>
      <c r="D28" s="3780"/>
      <c r="E28" s="3778"/>
    </row>
    <row r="29" spans="1:5">
      <c r="A29" s="3769" t="s">
        <v>1372</v>
      </c>
      <c r="B29" s="3770"/>
      <c r="C29" s="3771"/>
      <c r="D29" s="3780"/>
      <c r="E29" s="3780"/>
    </row>
    <row r="30" spans="1:5">
      <c r="A30" s="3774" t="s">
        <v>1373</v>
      </c>
      <c r="B30" s="3779">
        <v>1.25</v>
      </c>
      <c r="C30" s="3771" t="s">
        <v>1374</v>
      </c>
      <c r="D30" s="3779">
        <v>8850</v>
      </c>
      <c r="E30" s="3788">
        <f>D30*B30</f>
        <v>11062.5</v>
      </c>
    </row>
    <row r="31" spans="1:5">
      <c r="A31" s="3774" t="s">
        <v>1375</v>
      </c>
      <c r="B31" s="3779">
        <v>1</v>
      </c>
      <c r="C31" s="3771" t="s">
        <v>1374</v>
      </c>
      <c r="D31" s="3779">
        <f>E27</f>
        <v>650.46</v>
      </c>
      <c r="E31" s="3779">
        <f>+D31*B31</f>
        <v>650.46</v>
      </c>
    </row>
    <row r="32" spans="1:5">
      <c r="A32" s="3774"/>
      <c r="B32" s="3770"/>
      <c r="C32" s="3771"/>
      <c r="D32" s="3780" t="s">
        <v>1376</v>
      </c>
      <c r="E32" s="3778">
        <f>SUM(E30:E31)</f>
        <v>11712.96</v>
      </c>
    </row>
    <row r="33" spans="1:5">
      <c r="A33" s="3774"/>
      <c r="B33" s="3770"/>
      <c r="C33" s="3771"/>
      <c r="D33" s="3770"/>
      <c r="E33" s="3770"/>
    </row>
    <row r="34" spans="1:5" ht="18.75">
      <c r="A34" s="3789" t="s">
        <v>1377</v>
      </c>
      <c r="B34" s="3790"/>
      <c r="C34" s="3791"/>
      <c r="D34" s="3770"/>
      <c r="E34" s="3790">
        <f>E32/B6</f>
        <v>773.64</v>
      </c>
    </row>
    <row r="35" spans="1:5">
      <c r="A35" s="3792"/>
      <c r="B35" s="3768"/>
      <c r="C35" s="3767"/>
      <c r="D35" s="3768"/>
      <c r="E35" s="3768"/>
    </row>
    <row r="36" spans="1:5">
      <c r="A36" s="5227" t="s">
        <v>1378</v>
      </c>
      <c r="B36" s="5227"/>
      <c r="C36" s="5227"/>
      <c r="D36" s="5227"/>
      <c r="E36" s="5227"/>
    </row>
    <row r="37" spans="1:5">
      <c r="A37" s="3793"/>
      <c r="B37" s="3793"/>
      <c r="C37" s="3793"/>
      <c r="D37" s="3793"/>
      <c r="E37" s="3793"/>
    </row>
    <row r="38" spans="1:5">
      <c r="A38" s="3793"/>
      <c r="B38" s="3793"/>
      <c r="C38" s="3793"/>
      <c r="D38" s="3793"/>
      <c r="E38" s="3793"/>
    </row>
    <row r="39" spans="1:5">
      <c r="A39" s="1548" t="s">
        <v>1379</v>
      </c>
      <c r="B39" s="1549"/>
      <c r="C39" s="1549" t="s">
        <v>1380</v>
      </c>
      <c r="D39" s="1550"/>
      <c r="E39" s="1551"/>
    </row>
    <row r="40" spans="1:5">
      <c r="A40" s="1552" t="s">
        <v>214</v>
      </c>
      <c r="B40" s="1553">
        <v>1</v>
      </c>
      <c r="C40" s="1554" t="s">
        <v>3</v>
      </c>
      <c r="D40" s="1555">
        <v>2000</v>
      </c>
      <c r="E40" s="1555">
        <f t="shared" ref="E40:E46" si="1">B40*D40</f>
        <v>2000</v>
      </c>
    </row>
    <row r="41" spans="1:5">
      <c r="A41" s="1549" t="s">
        <v>1381</v>
      </c>
      <c r="B41" s="1553">
        <v>1</v>
      </c>
      <c r="C41" s="1554" t="s">
        <v>3</v>
      </c>
      <c r="D41" s="1555">
        <v>850</v>
      </c>
      <c r="E41" s="1555">
        <f t="shared" si="1"/>
        <v>850</v>
      </c>
    </row>
    <row r="42" spans="1:5">
      <c r="A42" s="1549" t="s">
        <v>1382</v>
      </c>
      <c r="B42" s="1553">
        <v>1</v>
      </c>
      <c r="C42" s="1554" t="s">
        <v>3</v>
      </c>
      <c r="D42" s="1555">
        <v>659</v>
      </c>
      <c r="E42" s="1555">
        <f t="shared" si="1"/>
        <v>659</v>
      </c>
    </row>
    <row r="43" spans="1:5">
      <c r="A43" s="1549" t="s">
        <v>218</v>
      </c>
      <c r="B43" s="1553">
        <v>3</v>
      </c>
      <c r="C43" s="1556" t="s">
        <v>118</v>
      </c>
      <c r="D43" s="1555">
        <v>193.5</v>
      </c>
      <c r="E43" s="1555">
        <f t="shared" si="1"/>
        <v>580.5</v>
      </c>
    </row>
    <row r="44" spans="1:5">
      <c r="A44" s="1549" t="s">
        <v>1383</v>
      </c>
      <c r="B44" s="1553">
        <v>75</v>
      </c>
      <c r="C44" s="1556" t="s">
        <v>118</v>
      </c>
      <c r="D44" s="1555">
        <v>2.5</v>
      </c>
      <c r="E44" s="1555">
        <f t="shared" si="1"/>
        <v>187.5</v>
      </c>
    </row>
    <row r="45" spans="1:5">
      <c r="A45" s="1549" t="s">
        <v>1384</v>
      </c>
      <c r="B45" s="1553">
        <v>2</v>
      </c>
      <c r="C45" s="1556" t="s">
        <v>1385</v>
      </c>
      <c r="D45" s="1555">
        <v>250</v>
      </c>
      <c r="E45" s="1555">
        <f t="shared" si="1"/>
        <v>500</v>
      </c>
    </row>
    <row r="46" spans="1:5">
      <c r="A46" s="1549" t="s">
        <v>1386</v>
      </c>
      <c r="B46" s="1553">
        <v>1</v>
      </c>
      <c r="C46" s="1556" t="s">
        <v>3</v>
      </c>
      <c r="D46" s="1555">
        <v>80</v>
      </c>
      <c r="E46" s="1555">
        <f t="shared" si="1"/>
        <v>80</v>
      </c>
    </row>
    <row r="47" spans="1:5">
      <c r="A47" s="1549" t="s">
        <v>219</v>
      </c>
      <c r="B47" s="1553">
        <v>1</v>
      </c>
      <c r="C47" s="1556" t="s">
        <v>46</v>
      </c>
      <c r="D47" s="1555">
        <f>0.2*E43</f>
        <v>116.1</v>
      </c>
      <c r="E47" s="1551">
        <f>D47*B47</f>
        <v>116.1</v>
      </c>
    </row>
    <row r="48" spans="1:5">
      <c r="A48" s="1549"/>
      <c r="B48" s="1549"/>
      <c r="C48" s="1549"/>
      <c r="D48" s="1550"/>
      <c r="E48" s="1557">
        <f>SUM(E40:E47)</f>
        <v>4973.1000000000004</v>
      </c>
    </row>
    <row r="49" spans="1:5">
      <c r="A49" s="1550" t="s">
        <v>1387</v>
      </c>
      <c r="B49" s="1553">
        <v>150</v>
      </c>
      <c r="C49" s="1549" t="s">
        <v>1388</v>
      </c>
      <c r="D49" s="1550"/>
      <c r="E49" s="1557"/>
    </row>
    <row r="50" spans="1:5">
      <c r="A50" s="1550"/>
      <c r="B50" s="1553"/>
      <c r="C50" s="1549"/>
      <c r="D50" s="1550"/>
      <c r="E50" s="1557"/>
    </row>
    <row r="51" spans="1:5">
      <c r="A51" s="1558" t="s">
        <v>1389</v>
      </c>
      <c r="B51" s="1559">
        <f>+E48/B49</f>
        <v>33.15</v>
      </c>
      <c r="C51" s="1549"/>
      <c r="D51" s="1550"/>
      <c r="E51" s="1557"/>
    </row>
    <row r="52" spans="1:5">
      <c r="A52" s="1549"/>
      <c r="B52" s="1549"/>
      <c r="C52" s="1549"/>
      <c r="D52" s="1550"/>
      <c r="E52" s="1557"/>
    </row>
    <row r="53" spans="1:5">
      <c r="A53" s="1548" t="s">
        <v>220</v>
      </c>
      <c r="B53" s="1549"/>
      <c r="C53" s="1549"/>
      <c r="D53" s="1550"/>
      <c r="E53" s="1557"/>
    </row>
    <row r="54" spans="1:5" ht="25.5">
      <c r="A54" s="1552" t="s">
        <v>1390</v>
      </c>
      <c r="B54" s="1553">
        <v>1</v>
      </c>
      <c r="C54" s="1554" t="s">
        <v>3</v>
      </c>
      <c r="D54" s="1555">
        <v>11.14</v>
      </c>
      <c r="E54" s="1560">
        <f>B54*D54</f>
        <v>11.14</v>
      </c>
    </row>
    <row r="55" spans="1:5">
      <c r="A55" s="1549"/>
      <c r="B55" s="1549"/>
      <c r="C55" s="1549"/>
      <c r="D55" s="1550"/>
      <c r="E55" s="1557"/>
    </row>
    <row r="56" spans="1:5" ht="13.5" thickBot="1">
      <c r="A56" s="1549"/>
      <c r="B56" s="1549"/>
      <c r="C56" s="1549"/>
      <c r="D56" s="1550"/>
      <c r="E56" s="1557"/>
    </row>
    <row r="57" spans="1:5" ht="14.25" thickTop="1" thickBot="1">
      <c r="A57" s="3794" t="s">
        <v>1391</v>
      </c>
      <c r="B57" s="3795">
        <f>+B51+E54</f>
        <v>44.29</v>
      </c>
      <c r="C57" s="1549"/>
      <c r="D57" s="1550"/>
      <c r="E57" s="1557"/>
    </row>
    <row r="58" spans="1:5" ht="16.5" thickTop="1">
      <c r="A58" s="3792"/>
      <c r="B58" s="3768"/>
      <c r="C58" s="3767"/>
      <c r="D58" s="3768"/>
      <c r="E58" s="3796"/>
    </row>
    <row r="59" spans="1:5" ht="51">
      <c r="A59" s="3797" t="s">
        <v>1392</v>
      </c>
      <c r="B59" s="3797"/>
      <c r="C59" s="3797"/>
      <c r="D59" s="3797"/>
      <c r="E59" s="3798"/>
    </row>
    <row r="60" spans="1:5">
      <c r="A60" s="3792"/>
      <c r="B60" s="3799" t="s">
        <v>286</v>
      </c>
      <c r="C60" s="3799" t="s">
        <v>287</v>
      </c>
      <c r="D60" s="3799" t="s">
        <v>288</v>
      </c>
      <c r="E60" s="3799" t="s">
        <v>289</v>
      </c>
    </row>
    <row r="61" spans="1:5">
      <c r="A61" s="3800" t="s">
        <v>301</v>
      </c>
      <c r="B61" s="3801">
        <v>1</v>
      </c>
      <c r="C61" s="3802" t="s">
        <v>302</v>
      </c>
      <c r="D61" s="3803">
        <v>2200</v>
      </c>
      <c r="E61" s="3803">
        <f t="shared" ref="E61:E66" si="2">+D61*B61</f>
        <v>2200</v>
      </c>
    </row>
    <row r="62" spans="1:5">
      <c r="A62" s="3804" t="s">
        <v>1393</v>
      </c>
      <c r="B62" s="3805">
        <v>1</v>
      </c>
      <c r="C62" s="3802" t="s">
        <v>302</v>
      </c>
      <c r="D62" s="3803">
        <v>750</v>
      </c>
      <c r="E62" s="3803">
        <f t="shared" si="2"/>
        <v>750</v>
      </c>
    </row>
    <row r="63" spans="1:5">
      <c r="A63" s="3804" t="s">
        <v>1394</v>
      </c>
      <c r="B63" s="3805">
        <v>1</v>
      </c>
      <c r="C63" s="3802" t="s">
        <v>302</v>
      </c>
      <c r="D63" s="3803">
        <v>659</v>
      </c>
      <c r="E63" s="3803">
        <f t="shared" si="2"/>
        <v>659</v>
      </c>
    </row>
    <row r="64" spans="1:5">
      <c r="A64" s="3804" t="s">
        <v>1395</v>
      </c>
      <c r="B64" s="3805">
        <v>1</v>
      </c>
      <c r="C64" s="3802" t="s">
        <v>302</v>
      </c>
      <c r="D64" s="3803">
        <v>659</v>
      </c>
      <c r="E64" s="3803">
        <f t="shared" si="2"/>
        <v>659</v>
      </c>
    </row>
    <row r="65" spans="1:5">
      <c r="A65" s="3804" t="s">
        <v>304</v>
      </c>
      <c r="B65" s="3805">
        <v>1</v>
      </c>
      <c r="C65" s="3802" t="s">
        <v>302</v>
      </c>
      <c r="D65" s="3803">
        <v>659</v>
      </c>
      <c r="E65" s="3803">
        <f t="shared" si="2"/>
        <v>659</v>
      </c>
    </row>
    <row r="66" spans="1:5">
      <c r="A66" s="3804" t="s">
        <v>305</v>
      </c>
      <c r="B66" s="3805">
        <v>1</v>
      </c>
      <c r="C66" s="3802" t="s">
        <v>302</v>
      </c>
      <c r="D66" s="3803">
        <v>96</v>
      </c>
      <c r="E66" s="3803">
        <f t="shared" si="2"/>
        <v>96</v>
      </c>
    </row>
    <row r="67" spans="1:5">
      <c r="A67" s="3792"/>
      <c r="B67" s="3792"/>
      <c r="C67" s="3802"/>
      <c r="D67" s="3806" t="s">
        <v>306</v>
      </c>
      <c r="E67" s="3807">
        <f>SUM(E61:E66)</f>
        <v>5023</v>
      </c>
    </row>
    <row r="68" spans="1:5">
      <c r="A68" s="3808" t="s">
        <v>297</v>
      </c>
      <c r="B68" s="3809">
        <f>32*0.85</f>
        <v>27.2</v>
      </c>
      <c r="C68" s="3807" t="s">
        <v>1396</v>
      </c>
      <c r="D68" s="3810"/>
      <c r="E68" s="3810"/>
    </row>
    <row r="69" spans="1:5">
      <c r="A69" s="3811"/>
      <c r="B69" s="3810"/>
      <c r="C69" s="3810"/>
      <c r="D69" s="3806" t="s">
        <v>307</v>
      </c>
      <c r="E69" s="3812">
        <f>+ROUND(E67/B68,2)</f>
        <v>184.67</v>
      </c>
    </row>
    <row r="70" spans="1:5">
      <c r="A70" s="3813"/>
      <c r="B70" s="3768"/>
      <c r="C70" s="3767"/>
      <c r="D70" s="3768"/>
      <c r="E70" s="3768"/>
    </row>
    <row r="71" spans="1:5" ht="13.5" thickBot="1">
      <c r="A71" s="2985" t="s">
        <v>1397</v>
      </c>
      <c r="B71" s="2368" t="s">
        <v>1398</v>
      </c>
      <c r="C71" s="2985">
        <v>12</v>
      </c>
      <c r="D71" s="3814" t="s">
        <v>1399</v>
      </c>
      <c r="E71" s="3815">
        <v>2</v>
      </c>
    </row>
    <row r="72" spans="1:5" ht="13.5" thickTop="1">
      <c r="A72" s="2246" t="s">
        <v>314</v>
      </c>
      <c r="B72" s="2990">
        <v>1</v>
      </c>
      <c r="C72" s="2145" t="s">
        <v>2</v>
      </c>
      <c r="D72" s="2990">
        <v>900</v>
      </c>
      <c r="E72" s="3011">
        <f>ROUND(B72*D72,2)</f>
        <v>900</v>
      </c>
    </row>
    <row r="73" spans="1:5">
      <c r="A73" s="2068" t="s">
        <v>1400</v>
      </c>
      <c r="B73" s="2831">
        <v>1</v>
      </c>
      <c r="C73" s="2146" t="s">
        <v>2</v>
      </c>
      <c r="D73" s="2831">
        <f>3*54.9166666666667</f>
        <v>164.75</v>
      </c>
      <c r="E73" s="2992">
        <f>ROUND(B73*D73,2)</f>
        <v>164.75</v>
      </c>
    </row>
    <row r="74" spans="1:5">
      <c r="A74" s="3816" t="s">
        <v>1401</v>
      </c>
      <c r="B74" s="2831">
        <v>3</v>
      </c>
      <c r="C74" s="2146" t="s">
        <v>46</v>
      </c>
      <c r="D74" s="2831">
        <f>E73</f>
        <v>164.75</v>
      </c>
      <c r="E74" s="2992">
        <f>ROUND(B74*D74,2)/100</f>
        <v>4.9400000000000004</v>
      </c>
    </row>
    <row r="75" spans="1:5" ht="13.5" thickBot="1">
      <c r="A75" s="2099"/>
      <c r="B75" s="2993"/>
      <c r="C75" s="2105"/>
      <c r="D75" s="2994" t="s">
        <v>1402</v>
      </c>
      <c r="E75" s="2995">
        <f>SUM(E72:E74)</f>
        <v>1069.69</v>
      </c>
    </row>
    <row r="76" spans="1:5" ht="13.5" thickTop="1">
      <c r="A76" s="3792"/>
      <c r="B76" s="3768"/>
      <c r="C76" s="3767"/>
      <c r="D76" s="3768"/>
      <c r="E76" s="3817"/>
    </row>
    <row r="77" spans="1:5" ht="13.5" thickBot="1">
      <c r="A77" s="5227" t="s">
        <v>1403</v>
      </c>
      <c r="B77" s="5227"/>
      <c r="C77" s="5227"/>
      <c r="D77" s="5227"/>
      <c r="E77" s="5227"/>
    </row>
    <row r="78" spans="1:5" ht="13.5" thickTop="1">
      <c r="A78" s="2246" t="s">
        <v>1404</v>
      </c>
      <c r="B78" s="2990">
        <v>1</v>
      </c>
      <c r="C78" s="2145" t="s">
        <v>47</v>
      </c>
      <c r="D78" s="2990">
        <v>1229.5999999999999</v>
      </c>
      <c r="E78" s="3011">
        <f>ROUND(B78*D78,2)</f>
        <v>1229.5999999999999</v>
      </c>
    </row>
    <row r="79" spans="1:5">
      <c r="A79" s="2068" t="s">
        <v>1405</v>
      </c>
      <c r="B79" s="2831">
        <v>3.2</v>
      </c>
      <c r="C79" s="2146" t="s">
        <v>1406</v>
      </c>
      <c r="D79" s="2831">
        <v>193.5</v>
      </c>
      <c r="E79" s="2992">
        <f>ROUND(B79*D79,2)</f>
        <v>619.20000000000005</v>
      </c>
    </row>
    <row r="80" spans="1:5">
      <c r="A80" s="2068" t="s">
        <v>1407</v>
      </c>
      <c r="B80" s="2831">
        <v>20</v>
      </c>
      <c r="C80" s="2146" t="s">
        <v>46</v>
      </c>
      <c r="D80" s="2831">
        <f>E79</f>
        <v>619.20000000000005</v>
      </c>
      <c r="E80" s="2992">
        <f>ROUND(B80*D80,2)/100</f>
        <v>123.84</v>
      </c>
    </row>
    <row r="81" spans="1:5">
      <c r="A81" s="2068" t="s">
        <v>1408</v>
      </c>
      <c r="B81" s="2831">
        <v>1</v>
      </c>
      <c r="C81" s="2146" t="s">
        <v>47</v>
      </c>
      <c r="D81" s="2831">
        <v>162.5</v>
      </c>
      <c r="E81" s="2992">
        <f>ROUND(B81*D81,2)</f>
        <v>162.5</v>
      </c>
    </row>
    <row r="82" spans="1:5">
      <c r="A82" s="2068"/>
      <c r="B82" s="2831"/>
      <c r="C82" s="2146"/>
      <c r="D82" s="3818" t="s">
        <v>1409</v>
      </c>
      <c r="E82" s="3819">
        <f>SUM(E78:E81)</f>
        <v>2135.14</v>
      </c>
    </row>
    <row r="83" spans="1:5" ht="13.5" thickBot="1">
      <c r="A83" s="2099" t="s">
        <v>297</v>
      </c>
      <c r="B83" s="2993">
        <v>14.07</v>
      </c>
      <c r="C83" s="2105" t="s">
        <v>1410</v>
      </c>
      <c r="D83" s="2994" t="s">
        <v>1402</v>
      </c>
      <c r="E83" s="3820">
        <f>ROUND(E82/B83,2)</f>
        <v>151.75</v>
      </c>
    </row>
    <row r="84" spans="1:5" ht="13.5" thickTop="1">
      <c r="A84" s="3813"/>
      <c r="B84" s="3768"/>
      <c r="C84" s="3767"/>
      <c r="D84" s="3768"/>
      <c r="E84" s="3768"/>
    </row>
    <row r="85" spans="1:5" ht="13.5" thickBot="1">
      <c r="A85" s="5227" t="s">
        <v>428</v>
      </c>
      <c r="B85" s="5227"/>
      <c r="C85" s="5227"/>
      <c r="D85" s="5227"/>
      <c r="E85" s="5227"/>
    </row>
    <row r="86" spans="1:5" ht="13.5" thickTop="1">
      <c r="A86" s="2246" t="s">
        <v>1404</v>
      </c>
      <c r="B86" s="2990">
        <v>1</v>
      </c>
      <c r="C86" s="2145" t="s">
        <v>47</v>
      </c>
      <c r="D86" s="2990">
        <v>1229.5999999999999</v>
      </c>
      <c r="E86" s="3011">
        <f>ROUND(B86*D86,2)</f>
        <v>1229.5999999999999</v>
      </c>
    </row>
    <row r="87" spans="1:5">
      <c r="A87" s="2068" t="s">
        <v>1405</v>
      </c>
      <c r="B87" s="2831">
        <v>3.2</v>
      </c>
      <c r="C87" s="2146" t="s">
        <v>1406</v>
      </c>
      <c r="D87" s="2831">
        <v>193.5</v>
      </c>
      <c r="E87" s="2992">
        <f>ROUND(B87*D87,2)</f>
        <v>619.20000000000005</v>
      </c>
    </row>
    <row r="88" spans="1:5">
      <c r="A88" s="2068" t="s">
        <v>1407</v>
      </c>
      <c r="B88" s="2831">
        <v>20</v>
      </c>
      <c r="C88" s="2146" t="s">
        <v>46</v>
      </c>
      <c r="D88" s="2831">
        <f>E87</f>
        <v>619.20000000000005</v>
      </c>
      <c r="E88" s="2992">
        <f>ROUND(B88*D88,2)/100</f>
        <v>123.84</v>
      </c>
    </row>
    <row r="89" spans="1:5">
      <c r="A89" s="2068" t="s">
        <v>1411</v>
      </c>
      <c r="B89" s="2831">
        <v>1</v>
      </c>
      <c r="C89" s="2146" t="s">
        <v>47</v>
      </c>
      <c r="D89" s="2831">
        <v>162.5</v>
      </c>
      <c r="E89" s="2992">
        <f>ROUND(B89*D89,2)</f>
        <v>162.5</v>
      </c>
    </row>
    <row r="90" spans="1:5">
      <c r="A90" s="2068"/>
      <c r="B90" s="2831"/>
      <c r="C90" s="2146"/>
      <c r="D90" s="3818" t="s">
        <v>1409</v>
      </c>
      <c r="E90" s="3819">
        <f>SUM(E86:E89)</f>
        <v>2135.14</v>
      </c>
    </row>
    <row r="91" spans="1:5" ht="13.5" thickBot="1">
      <c r="A91" s="2099" t="s">
        <v>297</v>
      </c>
      <c r="B91" s="2993">
        <f>90*0.6</f>
        <v>54</v>
      </c>
      <c r="C91" s="2105" t="s">
        <v>1412</v>
      </c>
      <c r="D91" s="2994" t="s">
        <v>1402</v>
      </c>
      <c r="E91" s="3820">
        <f>ROUND(E90/B91,2)</f>
        <v>39.54</v>
      </c>
    </row>
    <row r="92" spans="1:5" ht="13.5" thickTop="1">
      <c r="A92" s="3792"/>
      <c r="B92" s="3821"/>
      <c r="C92" s="3767"/>
      <c r="D92" s="3821"/>
      <c r="E92" s="3821"/>
    </row>
    <row r="93" spans="1:5">
      <c r="A93" s="2985" t="s">
        <v>1413</v>
      </c>
      <c r="B93" s="2368" t="s">
        <v>1398</v>
      </c>
      <c r="C93" s="2985">
        <f>90*0.6</f>
        <v>54</v>
      </c>
      <c r="D93" s="3814" t="s">
        <v>1414</v>
      </c>
      <c r="E93" s="3815"/>
    </row>
    <row r="94" spans="1:5">
      <c r="A94" s="2068" t="s">
        <v>1415</v>
      </c>
      <c r="B94" s="2831">
        <v>1</v>
      </c>
      <c r="C94" s="2146" t="s">
        <v>148</v>
      </c>
      <c r="D94" s="2831">
        <v>1300</v>
      </c>
      <c r="E94" s="2992">
        <f>ROUND(B94*D94,2)</f>
        <v>1300</v>
      </c>
    </row>
    <row r="95" spans="1:5">
      <c r="A95" s="3816" t="s">
        <v>1401</v>
      </c>
      <c r="B95" s="2831">
        <v>3</v>
      </c>
      <c r="C95" s="2146" t="s">
        <v>46</v>
      </c>
      <c r="D95" s="2831">
        <f>E94</f>
        <v>1300</v>
      </c>
      <c r="E95" s="2992">
        <f>ROUND(B95*D95,2)/100</f>
        <v>39</v>
      </c>
    </row>
    <row r="96" spans="1:5" ht="13.5" thickBot="1">
      <c r="A96" s="2099"/>
      <c r="B96" s="2993"/>
      <c r="C96" s="2105"/>
      <c r="D96" s="2994" t="s">
        <v>1416</v>
      </c>
      <c r="E96" s="2995">
        <f>SUM(E94:E95)</f>
        <v>1339</v>
      </c>
    </row>
    <row r="97" spans="1:5" ht="14.25" thickTop="1" thickBot="1">
      <c r="A97" s="3792"/>
      <c r="B97" s="3768"/>
      <c r="C97" s="3767"/>
      <c r="D97" s="2994" t="s">
        <v>1417</v>
      </c>
      <c r="E97" s="2995">
        <f>E96/C93</f>
        <v>24.8</v>
      </c>
    </row>
    <row r="98" spans="1:5" ht="13.5" thickTop="1">
      <c r="A98" s="3813"/>
      <c r="B98" s="3768"/>
      <c r="C98" s="3767"/>
      <c r="D98" s="3768"/>
      <c r="E98" s="3768"/>
    </row>
    <row r="99" spans="1:5" ht="13.5" thickBot="1">
      <c r="A99" s="5227" t="s">
        <v>1418</v>
      </c>
      <c r="B99" s="5227"/>
      <c r="C99" s="5227"/>
      <c r="D99" s="5227"/>
      <c r="E99" s="5227"/>
    </row>
    <row r="100" spans="1:5" ht="13.5" thickTop="1">
      <c r="A100" s="1561" t="s">
        <v>1405</v>
      </c>
      <c r="B100" s="1562">
        <v>12</v>
      </c>
      <c r="C100" s="1563" t="s">
        <v>292</v>
      </c>
      <c r="D100" s="1564">
        <v>193.5</v>
      </c>
      <c r="E100" s="3011">
        <f>ROUND(B100*D100,2)</f>
        <v>2322</v>
      </c>
    </row>
    <row r="101" spans="1:5">
      <c r="A101" s="1565" t="s">
        <v>1419</v>
      </c>
      <c r="B101" s="1566">
        <v>20</v>
      </c>
      <c r="C101" s="1567" t="s">
        <v>46</v>
      </c>
      <c r="D101" s="1568">
        <f>E100</f>
        <v>2322</v>
      </c>
      <c r="E101" s="2992">
        <f>ROUND(B101*D101,2)/100</f>
        <v>464.4</v>
      </c>
    </row>
    <row r="102" spans="1:5">
      <c r="A102" s="1569" t="s">
        <v>385</v>
      </c>
      <c r="B102" s="1566">
        <v>1</v>
      </c>
      <c r="C102" s="1567" t="s">
        <v>47</v>
      </c>
      <c r="D102" s="1568">
        <v>162.5</v>
      </c>
      <c r="E102" s="2992">
        <f>ROUND(B102*D102,2)</f>
        <v>162.5</v>
      </c>
    </row>
    <row r="103" spans="1:5" ht="13.5" thickBot="1">
      <c r="A103" s="1570" t="s">
        <v>1420</v>
      </c>
      <c r="B103" s="1571">
        <v>1</v>
      </c>
      <c r="C103" s="1572" t="s">
        <v>47</v>
      </c>
      <c r="D103" s="1573">
        <v>3888.82</v>
      </c>
      <c r="E103" s="2992">
        <f>ROUND(B103*D103,2)</f>
        <v>3888.82</v>
      </c>
    </row>
    <row r="104" spans="1:5" ht="13.5" thickTop="1">
      <c r="A104" s="3822"/>
      <c r="B104" s="3823"/>
      <c r="C104" s="3824"/>
      <c r="D104" s="1574" t="s">
        <v>1409</v>
      </c>
      <c r="E104" s="1575">
        <f>SUM(E100:E103)</f>
        <v>6837.72</v>
      </c>
    </row>
    <row r="105" spans="1:5" ht="13.5" thickBot="1">
      <c r="A105" s="2099" t="s">
        <v>297</v>
      </c>
      <c r="B105" s="2993">
        <v>112</v>
      </c>
      <c r="C105" s="3825" t="s">
        <v>337</v>
      </c>
      <c r="D105" s="2994" t="s">
        <v>1402</v>
      </c>
      <c r="E105" s="3820">
        <f>ROUND(E104/B105,2)</f>
        <v>61.05</v>
      </c>
    </row>
    <row r="106" spans="1:5" ht="13.5" thickTop="1">
      <c r="A106" s="3792"/>
      <c r="B106" s="3821"/>
      <c r="C106" s="3767"/>
      <c r="D106" s="3821"/>
      <c r="E106" s="3821"/>
    </row>
    <row r="107" spans="1:5">
      <c r="A107" s="3826" t="s">
        <v>382</v>
      </c>
      <c r="B107" s="3826"/>
      <c r="C107" s="3826"/>
      <c r="D107" s="3826"/>
      <c r="E107" s="3826"/>
    </row>
    <row r="108" spans="1:5">
      <c r="A108" s="3827"/>
      <c r="B108" s="3828" t="s">
        <v>286</v>
      </c>
      <c r="C108" s="3828" t="s">
        <v>287</v>
      </c>
      <c r="D108" s="3828" t="s">
        <v>288</v>
      </c>
      <c r="E108" s="3828" t="s">
        <v>289</v>
      </c>
    </row>
    <row r="109" spans="1:5">
      <c r="A109" s="3827" t="s">
        <v>383</v>
      </c>
      <c r="B109" s="3829">
        <v>1</v>
      </c>
      <c r="C109" s="3830" t="s">
        <v>12</v>
      </c>
      <c r="D109" s="3831">
        <v>1899.6</v>
      </c>
      <c r="E109" s="3829">
        <f>+D109*B109</f>
        <v>1899.6</v>
      </c>
    </row>
    <row r="110" spans="1:5">
      <c r="A110" s="3827" t="s">
        <v>384</v>
      </c>
      <c r="B110" s="3829">
        <v>5.2</v>
      </c>
      <c r="C110" s="3830" t="s">
        <v>292</v>
      </c>
      <c r="D110" s="3829">
        <f>+D100</f>
        <v>193.5</v>
      </c>
      <c r="E110" s="3829">
        <f>+D110*B110</f>
        <v>1006.2</v>
      </c>
    </row>
    <row r="111" spans="1:5">
      <c r="A111" s="3827" t="s">
        <v>293</v>
      </c>
      <c r="B111" s="3829">
        <v>0.2</v>
      </c>
      <c r="C111" s="3830" t="s">
        <v>46</v>
      </c>
      <c r="D111" s="3829">
        <f>E110</f>
        <v>1006.2</v>
      </c>
      <c r="E111" s="3829">
        <f>+D111*B111</f>
        <v>201.24</v>
      </c>
    </row>
    <row r="112" spans="1:5">
      <c r="A112" s="3827" t="s">
        <v>1421</v>
      </c>
      <c r="B112" s="3829">
        <v>1</v>
      </c>
      <c r="C112" s="3830" t="s">
        <v>12</v>
      </c>
      <c r="D112" s="3831">
        <f>1000/8</f>
        <v>125</v>
      </c>
      <c r="E112" s="3829">
        <f>+D112*B112</f>
        <v>125</v>
      </c>
    </row>
    <row r="113" spans="1:5">
      <c r="A113" s="3832"/>
      <c r="B113" s="3832"/>
      <c r="C113" s="3833"/>
      <c r="D113" s="3834" t="s">
        <v>222</v>
      </c>
      <c r="E113" s="3835">
        <f>SUM(E109:E112)</f>
        <v>3232.04</v>
      </c>
    </row>
    <row r="114" spans="1:5">
      <c r="A114" s="3832"/>
      <c r="B114" s="3832"/>
      <c r="C114" s="3832"/>
      <c r="D114" s="3832"/>
      <c r="E114" s="3832"/>
    </row>
    <row r="115" spans="1:5">
      <c r="A115" s="3832" t="s">
        <v>386</v>
      </c>
      <c r="B115" s="3836">
        <v>112</v>
      </c>
      <c r="C115" s="3832" t="s">
        <v>337</v>
      </c>
      <c r="D115" s="3832"/>
      <c r="E115" s="3832"/>
    </row>
    <row r="116" spans="1:5" ht="13.5" thickBot="1">
      <c r="A116" s="3832"/>
      <c r="B116" s="3832"/>
      <c r="C116" s="3832"/>
      <c r="D116" s="3832"/>
      <c r="E116" s="3832"/>
    </row>
    <row r="117" spans="1:5" ht="13.5" thickBot="1">
      <c r="A117" s="3832"/>
      <c r="B117" s="3832"/>
      <c r="C117" s="3832"/>
      <c r="D117" s="3837" t="s">
        <v>388</v>
      </c>
      <c r="E117" s="3838">
        <f>E113/B115</f>
        <v>28.86</v>
      </c>
    </row>
    <row r="118" spans="1:5">
      <c r="A118" s="3813"/>
      <c r="B118" s="3768"/>
      <c r="C118" s="3767"/>
      <c r="D118" s="3768"/>
      <c r="E118" s="3768"/>
    </row>
    <row r="119" spans="1:5">
      <c r="A119" s="3839" t="s">
        <v>399</v>
      </c>
      <c r="B119" s="3839"/>
      <c r="C119" s="3839"/>
      <c r="D119" s="3839"/>
      <c r="E119" s="3840"/>
    </row>
    <row r="120" spans="1:5">
      <c r="A120" s="3841"/>
      <c r="B120" s="3842" t="s">
        <v>286</v>
      </c>
      <c r="C120" s="3842" t="s">
        <v>287</v>
      </c>
      <c r="D120" s="3842" t="s">
        <v>288</v>
      </c>
      <c r="E120" s="3842" t="s">
        <v>289</v>
      </c>
    </row>
    <row r="121" spans="1:5">
      <c r="A121" s="3843" t="s">
        <v>1422</v>
      </c>
      <c r="B121" s="3844">
        <v>1</v>
      </c>
      <c r="C121" s="3845" t="s">
        <v>2</v>
      </c>
      <c r="D121" s="3844">
        <v>75</v>
      </c>
      <c r="E121" s="3846">
        <f>B121*D121</f>
        <v>75</v>
      </c>
    </row>
    <row r="122" spans="1:5">
      <c r="A122" s="3843" t="s">
        <v>402</v>
      </c>
      <c r="B122" s="3844">
        <v>15</v>
      </c>
      <c r="C122" s="3845" t="s">
        <v>127</v>
      </c>
      <c r="D122" s="3847">
        <v>20</v>
      </c>
      <c r="E122" s="3846">
        <f>B122*D122</f>
        <v>300</v>
      </c>
    </row>
    <row r="123" spans="1:5">
      <c r="A123" s="3843" t="s">
        <v>404</v>
      </c>
      <c r="B123" s="3844">
        <v>1</v>
      </c>
      <c r="C123" s="3845" t="s">
        <v>2</v>
      </c>
      <c r="D123" s="3847">
        <f>+E105</f>
        <v>61.05</v>
      </c>
      <c r="E123" s="3846">
        <f>B123*D123</f>
        <v>61.05</v>
      </c>
    </row>
    <row r="124" spans="1:5">
      <c r="A124" s="3843" t="s">
        <v>405</v>
      </c>
      <c r="B124" s="3844">
        <v>1</v>
      </c>
      <c r="C124" s="3845" t="s">
        <v>2</v>
      </c>
      <c r="D124" s="3844">
        <v>15</v>
      </c>
      <c r="E124" s="3846">
        <f>B124*D124</f>
        <v>15</v>
      </c>
    </row>
    <row r="125" spans="1:5">
      <c r="A125" s="3843" t="s">
        <v>406</v>
      </c>
      <c r="B125" s="3844">
        <v>1</v>
      </c>
      <c r="C125" s="3845" t="s">
        <v>2</v>
      </c>
      <c r="D125" s="3844">
        <f>+E117</f>
        <v>28.86</v>
      </c>
      <c r="E125" s="3846">
        <f>B125*D125</f>
        <v>28.86</v>
      </c>
    </row>
    <row r="126" spans="1:5">
      <c r="A126" s="3848" t="s">
        <v>398</v>
      </c>
      <c r="B126" s="3841"/>
      <c r="C126" s="3849"/>
      <c r="D126" s="3846"/>
      <c r="E126" s="3850">
        <f>SUM(E121:E125)</f>
        <v>479.91</v>
      </c>
    </row>
    <row r="127" spans="1:5">
      <c r="A127" s="3792"/>
      <c r="B127" s="3821"/>
      <c r="C127" s="3767"/>
      <c r="D127" s="3821"/>
      <c r="E127" s="3821"/>
    </row>
    <row r="128" spans="1:5" ht="13.5" thickBot="1">
      <c r="A128" s="659" t="s">
        <v>1423</v>
      </c>
      <c r="B128" s="656">
        <v>300</v>
      </c>
      <c r="C128" s="1909" t="s">
        <v>1</v>
      </c>
      <c r="D128" s="3851"/>
      <c r="E128" s="3851"/>
    </row>
    <row r="129" spans="1:5">
      <c r="A129" s="3852" t="s">
        <v>1424</v>
      </c>
      <c r="B129" s="3853"/>
      <c r="C129" s="3854"/>
      <c r="D129" s="3853"/>
      <c r="E129" s="3855"/>
    </row>
    <row r="130" spans="1:5">
      <c r="A130" s="3856" t="s">
        <v>1425</v>
      </c>
      <c r="B130" s="3857">
        <v>1</v>
      </c>
      <c r="C130" s="3858" t="s">
        <v>215</v>
      </c>
      <c r="D130" s="3857">
        <v>1300</v>
      </c>
      <c r="E130" s="3859">
        <f>ROUND((B130*D130),2)</f>
        <v>1300</v>
      </c>
    </row>
    <row r="131" spans="1:5">
      <c r="A131" s="3856" t="s">
        <v>1426</v>
      </c>
      <c r="B131" s="3857">
        <v>1</v>
      </c>
      <c r="C131" s="3858" t="s">
        <v>42</v>
      </c>
      <c r="D131" s="3857">
        <v>75</v>
      </c>
      <c r="E131" s="3859">
        <f>ROUND((B131*D131),2)</f>
        <v>75</v>
      </c>
    </row>
    <row r="132" spans="1:5">
      <c r="A132" s="3856" t="s">
        <v>1427</v>
      </c>
      <c r="B132" s="3857">
        <v>2</v>
      </c>
      <c r="C132" s="3858" t="s">
        <v>3</v>
      </c>
      <c r="D132" s="3857">
        <v>125</v>
      </c>
      <c r="E132" s="3859">
        <f>ROUND((B132*D132),2)</f>
        <v>250</v>
      </c>
    </row>
    <row r="133" spans="1:5">
      <c r="A133" s="3856"/>
      <c r="B133" s="3857"/>
      <c r="C133" s="3858"/>
      <c r="D133" s="3857"/>
      <c r="E133" s="3859"/>
    </row>
    <row r="134" spans="1:5">
      <c r="A134" s="3860" t="s">
        <v>1428</v>
      </c>
      <c r="B134" s="3857"/>
      <c r="C134" s="3858"/>
      <c r="D134" s="3857"/>
      <c r="E134" s="3859"/>
    </row>
    <row r="135" spans="1:5">
      <c r="A135" s="3856" t="s">
        <v>1429</v>
      </c>
      <c r="B135" s="3857">
        <v>4</v>
      </c>
      <c r="C135" s="3858" t="s">
        <v>3</v>
      </c>
      <c r="D135" s="3857">
        <v>185</v>
      </c>
      <c r="E135" s="3859">
        <f>ROUND((B135*D135),2)</f>
        <v>740</v>
      </c>
    </row>
    <row r="136" spans="1:5">
      <c r="A136" s="3856" t="s">
        <v>1430</v>
      </c>
      <c r="B136" s="3857">
        <v>1</v>
      </c>
      <c r="C136" s="3858" t="s">
        <v>3</v>
      </c>
      <c r="D136" s="3857">
        <v>465</v>
      </c>
      <c r="E136" s="3859">
        <f>ROUND((B136*D136),2)</f>
        <v>465</v>
      </c>
    </row>
    <row r="137" spans="1:5" ht="13.5" thickBot="1">
      <c r="A137" s="3861" t="s">
        <v>1431</v>
      </c>
      <c r="B137" s="3862">
        <v>60</v>
      </c>
      <c r="C137" s="3863" t="s">
        <v>800</v>
      </c>
      <c r="D137" s="3862">
        <v>22.5</v>
      </c>
      <c r="E137" s="3864">
        <f>ROUND((B137*D137),2)</f>
        <v>1350</v>
      </c>
    </row>
    <row r="138" spans="1:5">
      <c r="A138" s="1909"/>
      <c r="B138" s="656"/>
      <c r="C138" s="656"/>
      <c r="D138" s="3865" t="s">
        <v>1432</v>
      </c>
      <c r="E138" s="3866">
        <f>SUM(E129:E137)</f>
        <v>4180</v>
      </c>
    </row>
    <row r="139" spans="1:5">
      <c r="A139" s="3867" t="s">
        <v>386</v>
      </c>
      <c r="B139" s="656">
        <v>300</v>
      </c>
      <c r="C139" s="656" t="s">
        <v>1</v>
      </c>
      <c r="D139" s="2659" t="s">
        <v>1433</v>
      </c>
      <c r="E139" s="3866">
        <f>ROUND(E138/B128,2)</f>
        <v>13.93</v>
      </c>
    </row>
    <row r="140" spans="1:5">
      <c r="A140" s="3792"/>
      <c r="B140" s="3821"/>
      <c r="C140" s="3767"/>
      <c r="D140" s="3821"/>
      <c r="E140" s="3821"/>
    </row>
    <row r="141" spans="1:5">
      <c r="A141" s="3792"/>
      <c r="B141" s="3821"/>
      <c r="C141" s="3767"/>
      <c r="D141" s="3821"/>
      <c r="E141" s="3821"/>
    </row>
    <row r="142" spans="1:5" ht="13.5" thickBot="1">
      <c r="A142" s="3868" t="s">
        <v>1434</v>
      </c>
      <c r="B142" s="2244"/>
      <c r="C142" s="2352"/>
      <c r="D142" s="2244"/>
      <c r="E142" s="2244"/>
    </row>
    <row r="143" spans="1:5" ht="13.5" thickTop="1">
      <c r="A143" s="2246" t="s">
        <v>130</v>
      </c>
      <c r="B143" s="2990">
        <v>1</v>
      </c>
      <c r="C143" s="2081" t="s">
        <v>2</v>
      </c>
      <c r="D143" s="3869">
        <v>1100</v>
      </c>
      <c r="E143" s="2991">
        <f>ROUND(B143*D143,2)</f>
        <v>1100</v>
      </c>
    </row>
    <row r="144" spans="1:5">
      <c r="A144" s="2068" t="s">
        <v>131</v>
      </c>
      <c r="B144" s="2831">
        <v>1</v>
      </c>
      <c r="C144" s="2083" t="s">
        <v>2</v>
      </c>
      <c r="D144" s="3870">
        <v>15</v>
      </c>
      <c r="E144" s="2992">
        <f>ROUND(B144*D144,2)</f>
        <v>15</v>
      </c>
    </row>
    <row r="145" spans="1:5" ht="13.5" thickBot="1">
      <c r="A145" s="3871"/>
      <c r="B145" s="3872"/>
      <c r="C145" s="3873"/>
      <c r="D145" s="3874" t="s">
        <v>315</v>
      </c>
      <c r="E145" s="3875">
        <f>SUM(E143:E144)</f>
        <v>1115</v>
      </c>
    </row>
    <row r="146" spans="1:5" ht="13.5" thickTop="1">
      <c r="A146" s="2352"/>
      <c r="B146" s="2244"/>
      <c r="C146" s="2226"/>
      <c r="D146" s="2244"/>
      <c r="E146" s="2244"/>
    </row>
    <row r="147" spans="1:5" ht="13.5" thickBot="1">
      <c r="A147" s="3868" t="s">
        <v>1435</v>
      </c>
      <c r="B147" s="2244"/>
      <c r="C147" s="2352"/>
      <c r="D147" s="2244"/>
      <c r="E147" s="2244"/>
    </row>
    <row r="148" spans="1:5" ht="13.5" thickTop="1">
      <c r="A148" s="2246" t="s">
        <v>130</v>
      </c>
      <c r="B148" s="2990">
        <v>1</v>
      </c>
      <c r="C148" s="2081" t="s">
        <v>2</v>
      </c>
      <c r="D148" s="3869">
        <v>1200</v>
      </c>
      <c r="E148" s="3011">
        <f>ROUND(B148*D148,2)</f>
        <v>1200</v>
      </c>
    </row>
    <row r="149" spans="1:5">
      <c r="A149" s="2068" t="s">
        <v>131</v>
      </c>
      <c r="B149" s="2831">
        <v>1</v>
      </c>
      <c r="C149" s="2083" t="s">
        <v>2</v>
      </c>
      <c r="D149" s="3870">
        <v>15</v>
      </c>
      <c r="E149" s="2992">
        <f>ROUND(B149*D149,2)</f>
        <v>15</v>
      </c>
    </row>
    <row r="150" spans="1:5" ht="13.5" thickBot="1">
      <c r="A150" s="2099"/>
      <c r="B150" s="3872"/>
      <c r="C150" s="3873"/>
      <c r="D150" s="3874" t="s">
        <v>315</v>
      </c>
      <c r="E150" s="2995">
        <f>SUM(E148:E149)</f>
        <v>1215</v>
      </c>
    </row>
    <row r="151" spans="1:5" ht="13.5" thickTop="1">
      <c r="A151" s="3792"/>
      <c r="B151" s="3821"/>
      <c r="C151" s="3767"/>
      <c r="D151" s="3821"/>
      <c r="E151" s="3821"/>
    </row>
    <row r="152" spans="1:5" ht="13.5" thickBot="1">
      <c r="A152" s="3868" t="s">
        <v>1436</v>
      </c>
      <c r="B152" s="2244"/>
      <c r="C152" s="2352"/>
      <c r="D152" s="2244"/>
      <c r="E152" s="2244"/>
    </row>
    <row r="153" spans="1:5" ht="13.5" thickTop="1">
      <c r="A153" s="2246" t="s">
        <v>122</v>
      </c>
      <c r="B153" s="2990">
        <v>0.45</v>
      </c>
      <c r="C153" s="3876" t="s">
        <v>2</v>
      </c>
      <c r="D153" s="3869">
        <f>+$E$145</f>
        <v>1115</v>
      </c>
      <c r="E153" s="3011">
        <f>ROUND(B153*D153,2)</f>
        <v>501.75</v>
      </c>
    </row>
    <row r="154" spans="1:5">
      <c r="A154" s="2068" t="s">
        <v>124</v>
      </c>
      <c r="B154" s="2831">
        <v>0.9</v>
      </c>
      <c r="C154" s="3877" t="s">
        <v>2</v>
      </c>
      <c r="D154" s="3870">
        <f>+$E$151</f>
        <v>0</v>
      </c>
      <c r="E154" s="2992">
        <f>ROUND(B154*D154,2)</f>
        <v>0</v>
      </c>
    </row>
    <row r="155" spans="1:5">
      <c r="A155" s="2068" t="s">
        <v>135</v>
      </c>
      <c r="B155" s="2831">
        <v>15</v>
      </c>
      <c r="C155" s="3877" t="s">
        <v>144</v>
      </c>
      <c r="D155" s="3870">
        <v>325</v>
      </c>
      <c r="E155" s="2992">
        <f>ROUND(B155*D155,2)</f>
        <v>4875</v>
      </c>
    </row>
    <row r="156" spans="1:5">
      <c r="A156" s="2068" t="s">
        <v>117</v>
      </c>
      <c r="B156" s="2831">
        <v>60</v>
      </c>
      <c r="C156" s="3877" t="s">
        <v>138</v>
      </c>
      <c r="D156" s="3870">
        <v>2.5</v>
      </c>
      <c r="E156" s="2992">
        <f>ROUND(B156*D156,2)</f>
        <v>150</v>
      </c>
    </row>
    <row r="157" spans="1:5">
      <c r="A157" s="2068" t="s">
        <v>139</v>
      </c>
      <c r="B157" s="2831">
        <v>1</v>
      </c>
      <c r="C157" s="3877" t="s">
        <v>2</v>
      </c>
      <c r="D157" s="3870">
        <v>950</v>
      </c>
      <c r="E157" s="2992">
        <f>ROUND(B157*D157,2)</f>
        <v>950</v>
      </c>
    </row>
    <row r="158" spans="1:5">
      <c r="A158" s="2068" t="s">
        <v>140</v>
      </c>
      <c r="B158" s="2831"/>
      <c r="C158" s="3877"/>
      <c r="D158" s="2831"/>
      <c r="E158" s="3878">
        <f>+SUM(E153:E156)*0.02</f>
        <v>110.54</v>
      </c>
    </row>
    <row r="159" spans="1:5" ht="13.5" thickBot="1">
      <c r="A159" s="2099"/>
      <c r="B159" s="2993"/>
      <c r="C159" s="3879"/>
      <c r="D159" s="3880" t="s">
        <v>1031</v>
      </c>
      <c r="E159" s="3881">
        <f>SUM(E153:E158)</f>
        <v>6587.29</v>
      </c>
    </row>
    <row r="160" spans="1:5" ht="13.5" thickTop="1">
      <c r="A160" s="3792"/>
      <c r="B160" s="3821"/>
      <c r="C160" s="3767"/>
      <c r="D160" s="3821"/>
      <c r="E160" s="3821"/>
    </row>
    <row r="161" spans="1:5" ht="13.5" thickBot="1">
      <c r="A161" s="3868" t="s">
        <v>1437</v>
      </c>
      <c r="B161" s="2244"/>
      <c r="C161" s="2352"/>
      <c r="D161" s="2244"/>
      <c r="E161" s="2244"/>
    </row>
    <row r="162" spans="1:5" ht="13.5" thickTop="1">
      <c r="A162" s="2246" t="s">
        <v>122</v>
      </c>
      <c r="B162" s="2990">
        <v>0.45</v>
      </c>
      <c r="C162" s="3876" t="s">
        <v>2</v>
      </c>
      <c r="D162" s="3869">
        <f>+$E$146</f>
        <v>0</v>
      </c>
      <c r="E162" s="3011">
        <f>ROUND(B162*D162,2)</f>
        <v>0</v>
      </c>
    </row>
    <row r="163" spans="1:5" ht="13.5" thickBot="1">
      <c r="A163" s="2068" t="s">
        <v>124</v>
      </c>
      <c r="B163" s="2831">
        <v>0.9</v>
      </c>
      <c r="C163" s="3877" t="s">
        <v>2</v>
      </c>
      <c r="D163" s="3870">
        <f>+$E$151</f>
        <v>0</v>
      </c>
      <c r="E163" s="2992">
        <f>ROUND(B163*D163,2)</f>
        <v>0</v>
      </c>
    </row>
    <row r="164" spans="1:5" ht="14.25" thickTop="1" thickBot="1">
      <c r="A164" s="2068" t="s">
        <v>135</v>
      </c>
      <c r="B164" s="2831">
        <v>13</v>
      </c>
      <c r="C164" s="3877" t="s">
        <v>144</v>
      </c>
      <c r="D164" s="3869">
        <f>+D155</f>
        <v>325</v>
      </c>
      <c r="E164" s="2992">
        <f>ROUND(B164*D164,2)</f>
        <v>4225</v>
      </c>
    </row>
    <row r="165" spans="1:5" ht="14.25" thickTop="1" thickBot="1">
      <c r="A165" s="2068" t="s">
        <v>117</v>
      </c>
      <c r="B165" s="2831">
        <v>60</v>
      </c>
      <c r="C165" s="3877" t="s">
        <v>138</v>
      </c>
      <c r="D165" s="3869">
        <f>+D156</f>
        <v>2.5</v>
      </c>
      <c r="E165" s="2992">
        <f>ROUND(B165*D165,2)</f>
        <v>150</v>
      </c>
    </row>
    <row r="166" spans="1:5" ht="13.5" thickTop="1">
      <c r="A166" s="2068" t="s">
        <v>139</v>
      </c>
      <c r="B166" s="2831">
        <v>1</v>
      </c>
      <c r="C166" s="3877" t="s">
        <v>2</v>
      </c>
      <c r="D166" s="3869">
        <f>+D157</f>
        <v>950</v>
      </c>
      <c r="E166" s="2992">
        <f>ROUND(B166*D166,2)</f>
        <v>950</v>
      </c>
    </row>
    <row r="167" spans="1:5">
      <c r="A167" s="2068" t="s">
        <v>140</v>
      </c>
      <c r="B167" s="2831"/>
      <c r="C167" s="3877"/>
      <c r="D167" s="2831"/>
      <c r="E167" s="3878">
        <f>SUM(E162+E163+E164+E165)*0.02</f>
        <v>87.5</v>
      </c>
    </row>
    <row r="168" spans="1:5" ht="13.5" thickBot="1">
      <c r="A168" s="2099"/>
      <c r="B168" s="2993"/>
      <c r="C168" s="3879"/>
      <c r="D168" s="3880" t="s">
        <v>1031</v>
      </c>
      <c r="E168" s="3881">
        <f>SUM(E162:E167)</f>
        <v>5412.5</v>
      </c>
    </row>
    <row r="169" spans="1:5" ht="13.5" thickTop="1">
      <c r="A169" s="3792"/>
      <c r="B169" s="3821"/>
      <c r="C169" s="3767"/>
      <c r="D169" s="3821"/>
      <c r="E169" s="3821"/>
    </row>
    <row r="170" spans="1:5" ht="13.5" thickBot="1">
      <c r="A170" s="3868" t="s">
        <v>1438</v>
      </c>
      <c r="B170" s="2244"/>
      <c r="C170" s="2352"/>
      <c r="D170" s="2244"/>
      <c r="E170" s="2244"/>
    </row>
    <row r="171" spans="1:5" ht="13.5" thickTop="1">
      <c r="A171" s="2246" t="s">
        <v>122</v>
      </c>
      <c r="B171" s="2990">
        <v>0.45</v>
      </c>
      <c r="C171" s="3876" t="s">
        <v>2</v>
      </c>
      <c r="D171" s="3869">
        <f>+$E$146</f>
        <v>0</v>
      </c>
      <c r="E171" s="3011">
        <f>ROUND(B171*D171,2)</f>
        <v>0</v>
      </c>
    </row>
    <row r="172" spans="1:5" ht="13.5" thickBot="1">
      <c r="A172" s="2068" t="s">
        <v>124</v>
      </c>
      <c r="B172" s="2831">
        <v>0.9</v>
      </c>
      <c r="C172" s="3877" t="s">
        <v>2</v>
      </c>
      <c r="D172" s="3870">
        <f>+$E$151</f>
        <v>0</v>
      </c>
      <c r="E172" s="2992">
        <f>ROUND(B172*D172,2)</f>
        <v>0</v>
      </c>
    </row>
    <row r="173" spans="1:5" ht="14.25" thickTop="1" thickBot="1">
      <c r="A173" s="2068" t="s">
        <v>135</v>
      </c>
      <c r="B173" s="2831">
        <v>9</v>
      </c>
      <c r="C173" s="3877" t="s">
        <v>144</v>
      </c>
      <c r="D173" s="3869">
        <f>+D164</f>
        <v>325</v>
      </c>
      <c r="E173" s="2992">
        <f>ROUND(B173*D173,2)</f>
        <v>2925</v>
      </c>
    </row>
    <row r="174" spans="1:5" ht="14.25" thickTop="1" thickBot="1">
      <c r="A174" s="2068" t="s">
        <v>117</v>
      </c>
      <c r="B174" s="2831">
        <v>60</v>
      </c>
      <c r="C174" s="3877" t="s">
        <v>138</v>
      </c>
      <c r="D174" s="3869">
        <f>+D165</f>
        <v>2.5</v>
      </c>
      <c r="E174" s="2992">
        <f>ROUND(B174*D174,2)</f>
        <v>150</v>
      </c>
    </row>
    <row r="175" spans="1:5" ht="13.5" thickTop="1">
      <c r="A175" s="2068" t="s">
        <v>139</v>
      </c>
      <c r="B175" s="2831">
        <v>1</v>
      </c>
      <c r="C175" s="3877" t="s">
        <v>2</v>
      </c>
      <c r="D175" s="3869">
        <f>+D166</f>
        <v>950</v>
      </c>
      <c r="E175" s="2992">
        <f>ROUND(B175*D175,2)</f>
        <v>950</v>
      </c>
    </row>
    <row r="176" spans="1:5">
      <c r="A176" s="2068" t="s">
        <v>140</v>
      </c>
      <c r="B176" s="2831"/>
      <c r="C176" s="3877"/>
      <c r="D176" s="2831"/>
      <c r="E176" s="3878">
        <f>SUM(E171+E172+E173+E174)*0.02</f>
        <v>61.5</v>
      </c>
    </row>
    <row r="177" spans="1:5" ht="13.5" thickBot="1">
      <c r="A177" s="2099"/>
      <c r="B177" s="2993"/>
      <c r="C177" s="3879"/>
      <c r="D177" s="3880" t="s">
        <v>1031</v>
      </c>
      <c r="E177" s="3881">
        <f>SUM(E171:E176)</f>
        <v>4086.5</v>
      </c>
    </row>
    <row r="178" spans="1:5" ht="13.5" thickTop="1">
      <c r="A178" s="3792"/>
      <c r="B178" s="3821"/>
      <c r="C178" s="3767"/>
      <c r="D178" s="3821"/>
      <c r="E178" s="3821"/>
    </row>
    <row r="179" spans="1:5" ht="13.5" thickBot="1">
      <c r="A179" s="3868" t="s">
        <v>143</v>
      </c>
      <c r="B179" s="2244"/>
      <c r="C179" s="2352"/>
      <c r="D179" s="2244"/>
      <c r="E179" s="2244"/>
    </row>
    <row r="180" spans="1:5" ht="13.5" thickTop="1">
      <c r="A180" s="2246" t="s">
        <v>122</v>
      </c>
      <c r="B180" s="2990">
        <v>0.52</v>
      </c>
      <c r="C180" s="3876" t="s">
        <v>2</v>
      </c>
      <c r="D180" s="3869">
        <f>+$E$146</f>
        <v>0</v>
      </c>
      <c r="E180" s="3011">
        <f>ROUND(B180*D180,2)</f>
        <v>0</v>
      </c>
    </row>
    <row r="181" spans="1:5">
      <c r="A181" s="2068" t="s">
        <v>124</v>
      </c>
      <c r="B181" s="2831">
        <v>0.85</v>
      </c>
      <c r="C181" s="3877" t="s">
        <v>2</v>
      </c>
      <c r="D181" s="3870">
        <f>+$E$151</f>
        <v>0</v>
      </c>
      <c r="E181" s="2992">
        <f>ROUND(B181*D181,2)</f>
        <v>0</v>
      </c>
    </row>
    <row r="182" spans="1:5">
      <c r="A182" s="2068" t="s">
        <v>135</v>
      </c>
      <c r="B182" s="2831">
        <v>7</v>
      </c>
      <c r="C182" s="3877" t="s">
        <v>144</v>
      </c>
      <c r="D182" s="2831">
        <f>+D155</f>
        <v>325</v>
      </c>
      <c r="E182" s="2992">
        <f>ROUND(B182*D182,2)</f>
        <v>2275</v>
      </c>
    </row>
    <row r="183" spans="1:5">
      <c r="A183" s="2068" t="s">
        <v>117</v>
      </c>
      <c r="B183" s="2831">
        <v>60</v>
      </c>
      <c r="C183" s="3877" t="s">
        <v>138</v>
      </c>
      <c r="D183" s="2831">
        <f>+D156</f>
        <v>2.5</v>
      </c>
      <c r="E183" s="2992">
        <f>ROUND(B183*D183,2)</f>
        <v>150</v>
      </c>
    </row>
    <row r="184" spans="1:5">
      <c r="A184" s="2068" t="s">
        <v>139</v>
      </c>
      <c r="B184" s="2831">
        <v>1</v>
      </c>
      <c r="C184" s="3877" t="s">
        <v>2</v>
      </c>
      <c r="D184" s="2831">
        <v>950</v>
      </c>
      <c r="E184" s="2992">
        <f>ROUND(B184*D184,2)</f>
        <v>950</v>
      </c>
    </row>
    <row r="185" spans="1:5">
      <c r="A185" s="2068" t="s">
        <v>140</v>
      </c>
      <c r="B185" s="2831"/>
      <c r="C185" s="3877"/>
      <c r="D185" s="2831"/>
      <c r="E185" s="3878">
        <f>SUM(E180+E181+E182+E183)*0.02</f>
        <v>48.5</v>
      </c>
    </row>
    <row r="186" spans="1:5" ht="13.5" thickBot="1">
      <c r="A186" s="2099"/>
      <c r="B186" s="2993"/>
      <c r="C186" s="3879"/>
      <c r="D186" s="3880" t="s">
        <v>1031</v>
      </c>
      <c r="E186" s="3881">
        <f>SUM(E180:E185)</f>
        <v>3423.5</v>
      </c>
    </row>
    <row r="187" spans="1:5" ht="13.5" thickTop="1">
      <c r="A187" s="2147"/>
      <c r="B187" s="2225"/>
      <c r="C187" s="2226"/>
      <c r="D187" s="2227" t="s">
        <v>1439</v>
      </c>
      <c r="E187" s="2227">
        <f>E186*1.05</f>
        <v>3594.68</v>
      </c>
    </row>
    <row r="188" spans="1:5">
      <c r="A188" s="3792"/>
      <c r="B188" s="3821"/>
      <c r="C188" s="3767"/>
      <c r="D188" s="3821"/>
      <c r="E188" s="3821"/>
    </row>
    <row r="189" spans="1:5">
      <c r="A189" s="3792"/>
      <c r="B189" s="3821"/>
      <c r="C189" s="3767"/>
      <c r="D189" s="3821"/>
      <c r="E189" s="3821"/>
    </row>
    <row r="190" spans="1:5">
      <c r="A190" s="3792"/>
      <c r="B190" s="3821"/>
      <c r="C190" s="3767"/>
      <c r="D190" s="3821"/>
      <c r="E190" s="3821"/>
    </row>
    <row r="191" spans="1:5">
      <c r="A191" s="3792"/>
      <c r="B191" s="3821"/>
      <c r="C191" s="3767"/>
      <c r="D191" s="3821"/>
      <c r="E191" s="3821"/>
    </row>
    <row r="192" spans="1:5">
      <c r="A192" s="3792"/>
      <c r="B192" s="3821"/>
      <c r="C192" s="3767"/>
      <c r="D192" s="3821"/>
      <c r="E192" s="3821"/>
    </row>
    <row r="193" spans="1:5">
      <c r="A193" s="3792"/>
      <c r="B193" s="3821"/>
      <c r="C193" s="3767"/>
      <c r="D193" s="3821"/>
      <c r="E193" s="3821"/>
    </row>
    <row r="194" spans="1:5">
      <c r="A194" s="3792"/>
      <c r="B194" s="3821"/>
      <c r="C194" s="3767"/>
      <c r="D194" s="3821"/>
      <c r="E194" s="3821"/>
    </row>
    <row r="195" spans="1:5">
      <c r="A195" s="3792"/>
      <c r="B195" s="3821"/>
      <c r="C195" s="3767"/>
      <c r="D195" s="3821"/>
      <c r="E195" s="3821"/>
    </row>
    <row r="196" spans="1:5">
      <c r="A196" s="3792"/>
      <c r="B196" s="3821"/>
      <c r="C196" s="3767"/>
      <c r="D196" s="3821"/>
      <c r="E196" s="3821"/>
    </row>
    <row r="197" spans="1:5">
      <c r="A197" s="3792"/>
      <c r="B197" s="3821"/>
      <c r="C197" s="3767"/>
      <c r="D197" s="3821"/>
      <c r="E197" s="3821"/>
    </row>
    <row r="198" spans="1:5">
      <c r="A198" s="3792"/>
      <c r="B198" s="3821"/>
      <c r="C198" s="3767"/>
      <c r="D198" s="3821"/>
      <c r="E198" s="3821"/>
    </row>
    <row r="199" spans="1:5">
      <c r="A199" s="3792"/>
      <c r="B199" s="3821"/>
      <c r="C199" s="3767"/>
      <c r="D199" s="3821"/>
      <c r="E199" s="3821"/>
    </row>
    <row r="200" spans="1:5" ht="13.5" thickBot="1">
      <c r="A200" s="2147" t="s">
        <v>1440</v>
      </c>
      <c r="B200" s="2225"/>
      <c r="C200" s="2352"/>
      <c r="D200" s="2227"/>
      <c r="E200" s="2227"/>
    </row>
    <row r="201" spans="1:5" ht="13.5" thickTop="1">
      <c r="A201" s="2246" t="s">
        <v>181</v>
      </c>
      <c r="B201" s="2990">
        <v>1</v>
      </c>
      <c r="C201" s="3876" t="s">
        <v>126</v>
      </c>
      <c r="D201" s="2990">
        <v>2500</v>
      </c>
      <c r="E201" s="3011">
        <f>ROUND(B201*D201,2)</f>
        <v>2500</v>
      </c>
    </row>
    <row r="202" spans="1:5">
      <c r="A202" s="2068" t="s">
        <v>1044</v>
      </c>
      <c r="B202" s="2831">
        <v>2</v>
      </c>
      <c r="C202" s="3877" t="s">
        <v>183</v>
      </c>
      <c r="D202" s="2831">
        <v>45</v>
      </c>
      <c r="E202" s="2992">
        <f>ROUND(B202*D202,2)</f>
        <v>90</v>
      </c>
    </row>
    <row r="203" spans="1:5" ht="13.5" thickBot="1">
      <c r="A203" s="2099"/>
      <c r="B203" s="2993"/>
      <c r="C203" s="3882"/>
      <c r="D203" s="3880" t="s">
        <v>1031</v>
      </c>
      <c r="E203" s="3881">
        <f>SUM(E201:E202)</f>
        <v>2590</v>
      </c>
    </row>
    <row r="204" spans="1:5" ht="13.5" thickTop="1">
      <c r="A204" s="2070"/>
      <c r="B204" s="2225"/>
      <c r="C204" s="2070"/>
      <c r="D204" s="2225"/>
      <c r="E204" s="2227"/>
    </row>
    <row r="205" spans="1:5" ht="13.5" thickBot="1">
      <c r="A205" s="2147" t="s">
        <v>180</v>
      </c>
      <c r="B205" s="2225"/>
      <c r="C205" s="3883"/>
      <c r="D205" s="2227"/>
      <c r="E205" s="2227"/>
    </row>
    <row r="206" spans="1:5" ht="13.5" thickTop="1">
      <c r="A206" s="2246" t="s">
        <v>181</v>
      </c>
      <c r="B206" s="2990">
        <v>1</v>
      </c>
      <c r="C206" s="3876" t="s">
        <v>126</v>
      </c>
      <c r="D206" s="2990">
        <f>+D201</f>
        <v>2500</v>
      </c>
      <c r="E206" s="3011">
        <f>ROUND(B206*D206,2)</f>
        <v>2500</v>
      </c>
    </row>
    <row r="207" spans="1:5">
      <c r="A207" s="3884" t="s">
        <v>1043</v>
      </c>
      <c r="B207" s="2831">
        <v>1</v>
      </c>
      <c r="C207" s="3877" t="s">
        <v>126</v>
      </c>
      <c r="D207" s="2831">
        <v>285</v>
      </c>
      <c r="E207" s="2992">
        <f>ROUND(B207*D207,2)</f>
        <v>285</v>
      </c>
    </row>
    <row r="208" spans="1:5">
      <c r="A208" s="2068" t="s">
        <v>1044</v>
      </c>
      <c r="B208" s="2831">
        <v>2</v>
      </c>
      <c r="C208" s="3877" t="s">
        <v>183</v>
      </c>
      <c r="D208" s="2831">
        <v>45</v>
      </c>
      <c r="E208" s="2992">
        <f>ROUND(B208*D208,2)</f>
        <v>90</v>
      </c>
    </row>
    <row r="209" spans="1:5" ht="13.5" thickBot="1">
      <c r="A209" s="2099"/>
      <c r="B209" s="2993"/>
      <c r="C209" s="3882"/>
      <c r="D209" s="3880" t="s">
        <v>1031</v>
      </c>
      <c r="E209" s="3881">
        <f>SUM(E206:E208)</f>
        <v>2875</v>
      </c>
    </row>
    <row r="210" spans="1:5" ht="13.5" thickTop="1">
      <c r="A210" s="3792"/>
      <c r="B210" s="3821"/>
      <c r="C210" s="3767"/>
      <c r="D210" s="3821"/>
      <c r="E210" s="3821"/>
    </row>
    <row r="211" spans="1:5" ht="24">
      <c r="A211" s="3885" t="s">
        <v>1441</v>
      </c>
      <c r="B211" s="3886"/>
      <c r="C211" s="3887"/>
      <c r="D211" s="3886"/>
      <c r="E211" s="3886"/>
    </row>
    <row r="212" spans="1:5">
      <c r="A212" s="3888"/>
      <c r="B212" s="3886"/>
      <c r="C212" s="3887"/>
      <c r="D212" s="3886"/>
      <c r="E212" s="3886"/>
    </row>
    <row r="213" spans="1:5" ht="13.5" thickBot="1">
      <c r="A213" s="2025" t="s">
        <v>1442</v>
      </c>
      <c r="B213" s="2244"/>
      <c r="C213" s="2352"/>
      <c r="D213" s="2244"/>
      <c r="E213" s="2244"/>
    </row>
    <row r="214" spans="1:5" ht="13.5" thickTop="1">
      <c r="A214" s="3007" t="s">
        <v>1443</v>
      </c>
      <c r="B214" s="3008">
        <v>1.05</v>
      </c>
      <c r="C214" s="3009" t="s">
        <v>2</v>
      </c>
      <c r="D214" s="3010">
        <f>+E168</f>
        <v>5412.5</v>
      </c>
      <c r="E214" s="3011">
        <f>ROUND(B214*D214,2)</f>
        <v>5683.13</v>
      </c>
    </row>
    <row r="215" spans="1:5">
      <c r="A215" s="3012" t="s">
        <v>272</v>
      </c>
      <c r="B215" s="3013">
        <v>1.07</v>
      </c>
      <c r="C215" s="3014" t="s">
        <v>126</v>
      </c>
      <c r="D215" s="3015">
        <f>+$E$204</f>
        <v>0</v>
      </c>
      <c r="E215" s="2992">
        <f>ROUND(B215*D215,2)</f>
        <v>0</v>
      </c>
    </row>
    <row r="216" spans="1:5">
      <c r="A216" s="3016" t="s">
        <v>1444</v>
      </c>
      <c r="B216" s="3017">
        <f>1/0.3</f>
        <v>3.33</v>
      </c>
      <c r="C216" s="3018" t="s">
        <v>1</v>
      </c>
      <c r="D216" s="3019">
        <v>100</v>
      </c>
      <c r="E216" s="2992">
        <f>ROUND(B216*D216,2)</f>
        <v>333</v>
      </c>
    </row>
    <row r="217" spans="1:5" ht="13.5" thickBot="1">
      <c r="A217" s="3020"/>
      <c r="B217" s="3021"/>
      <c r="C217" s="3021"/>
      <c r="D217" s="2994" t="s">
        <v>1402</v>
      </c>
      <c r="E217" s="3889">
        <f>SUM(E214:E216)</f>
        <v>6016.13</v>
      </c>
    </row>
    <row r="218" spans="1:5" ht="13.5" thickTop="1">
      <c r="A218" s="3888"/>
      <c r="B218" s="3886"/>
      <c r="C218" s="3887"/>
      <c r="D218" s="3886"/>
      <c r="E218" s="3886"/>
    </row>
    <row r="219" spans="1:5" ht="13.5" thickBot="1">
      <c r="A219" s="2025" t="s">
        <v>1445</v>
      </c>
      <c r="B219" s="2244"/>
      <c r="C219" s="2352"/>
      <c r="D219" s="2244"/>
      <c r="E219" s="2244"/>
    </row>
    <row r="220" spans="1:5" ht="13.5" thickTop="1">
      <c r="A220" s="3007" t="s">
        <v>1443</v>
      </c>
      <c r="B220" s="3008">
        <v>1.05</v>
      </c>
      <c r="C220" s="3009" t="s">
        <v>2</v>
      </c>
      <c r="D220" s="3010">
        <f>+D214</f>
        <v>5412.5</v>
      </c>
      <c r="E220" s="3011">
        <f>ROUND(B220*D220,2)</f>
        <v>5683.13</v>
      </c>
    </row>
    <row r="221" spans="1:5">
      <c r="A221" s="3012" t="s">
        <v>272</v>
      </c>
      <c r="B221" s="3013">
        <v>1.22</v>
      </c>
      <c r="C221" s="3014" t="s">
        <v>126</v>
      </c>
      <c r="D221" s="3015">
        <f>+$E$204</f>
        <v>0</v>
      </c>
      <c r="E221" s="2992">
        <f>ROUND(B221*D221,2)</f>
        <v>0</v>
      </c>
    </row>
    <row r="222" spans="1:5">
      <c r="A222" s="3016" t="s">
        <v>1444</v>
      </c>
      <c r="B222" s="3890">
        <f>1/0.35</f>
        <v>2.86</v>
      </c>
      <c r="C222" s="3018" t="s">
        <v>1</v>
      </c>
      <c r="D222" s="3019">
        <v>100</v>
      </c>
      <c r="E222" s="2992">
        <f>ROUND(B222*D222,2)</f>
        <v>286</v>
      </c>
    </row>
    <row r="223" spans="1:5" ht="13.5" thickBot="1">
      <c r="A223" s="3020"/>
      <c r="B223" s="3021"/>
      <c r="C223" s="3021"/>
      <c r="D223" s="2994" t="s">
        <v>1402</v>
      </c>
      <c r="E223" s="3889">
        <f>SUM(E220:E222)</f>
        <v>5969.13</v>
      </c>
    </row>
    <row r="224" spans="1:5" ht="13.5" thickTop="1">
      <c r="A224" s="3888"/>
      <c r="B224" s="3886"/>
      <c r="C224" s="3887"/>
      <c r="D224" s="3886"/>
      <c r="E224" s="3886"/>
    </row>
    <row r="225" spans="1:5" ht="13.5" thickBot="1">
      <c r="A225" s="2025" t="s">
        <v>1446</v>
      </c>
      <c r="B225" s="2244"/>
      <c r="C225" s="2352"/>
      <c r="D225" s="2244"/>
      <c r="E225" s="2244"/>
    </row>
    <row r="226" spans="1:5" ht="13.5" thickTop="1">
      <c r="A226" s="3007" t="s">
        <v>1447</v>
      </c>
      <c r="B226" s="3008">
        <v>1.05</v>
      </c>
      <c r="C226" s="3009" t="s">
        <v>2</v>
      </c>
      <c r="D226" s="3010">
        <f>+D220</f>
        <v>5412.5</v>
      </c>
      <c r="E226" s="3011">
        <f>ROUND(B226*D226,2)</f>
        <v>5683.13</v>
      </c>
    </row>
    <row r="227" spans="1:5">
      <c r="A227" s="3012" t="s">
        <v>272</v>
      </c>
      <c r="B227" s="3013">
        <v>1.51</v>
      </c>
      <c r="C227" s="3014" t="s">
        <v>126</v>
      </c>
      <c r="D227" s="3015">
        <f>+$E$210</f>
        <v>0</v>
      </c>
      <c r="E227" s="2992">
        <f>ROUND(B227*D227,2)</f>
        <v>0</v>
      </c>
    </row>
    <row r="228" spans="1:5" ht="13.5" thickBot="1">
      <c r="A228" s="3020"/>
      <c r="B228" s="3021"/>
      <c r="C228" s="3021"/>
      <c r="D228" s="2994" t="s">
        <v>1402</v>
      </c>
      <c r="E228" s="3889">
        <f>SUM(E226:E227)</f>
        <v>5683.13</v>
      </c>
    </row>
    <row r="229" spans="1:5" ht="13.5" thickTop="1">
      <c r="A229" s="3888"/>
      <c r="B229" s="3886"/>
      <c r="C229" s="3887"/>
      <c r="D229" s="3886"/>
      <c r="E229" s="3886"/>
    </row>
    <row r="230" spans="1:5" ht="13.5" thickBot="1">
      <c r="A230" s="2025" t="s">
        <v>1448</v>
      </c>
      <c r="B230" s="3005">
        <v>0.25</v>
      </c>
      <c r="C230" s="3891"/>
      <c r="D230" s="3891"/>
      <c r="E230" s="3892"/>
    </row>
    <row r="231" spans="1:5" ht="13.5" thickTop="1">
      <c r="A231" s="3007" t="s">
        <v>1447</v>
      </c>
      <c r="B231" s="3008">
        <v>1.05</v>
      </c>
      <c r="C231" s="3009" t="s">
        <v>2</v>
      </c>
      <c r="D231" s="3010">
        <f>+E159</f>
        <v>6587.29</v>
      </c>
      <c r="E231" s="3011">
        <f>ROUND(B231*D231,2)</f>
        <v>6916.65</v>
      </c>
    </row>
    <row r="232" spans="1:5">
      <c r="A232" s="3012" t="s">
        <v>272</v>
      </c>
      <c r="B232" s="3013">
        <v>2.29</v>
      </c>
      <c r="C232" s="3014" t="s">
        <v>126</v>
      </c>
      <c r="D232" s="3015">
        <f>+$E$210</f>
        <v>0</v>
      </c>
      <c r="E232" s="2992">
        <f>ROUND(B232*D232,2)</f>
        <v>0</v>
      </c>
    </row>
    <row r="233" spans="1:5">
      <c r="A233" s="3016" t="s">
        <v>1449</v>
      </c>
      <c r="B233" s="3017">
        <f>ROUND(1/B230,2)</f>
        <v>4</v>
      </c>
      <c r="C233" s="3018" t="s">
        <v>1</v>
      </c>
      <c r="D233" s="3019">
        <v>1000</v>
      </c>
      <c r="E233" s="2992">
        <f>ROUND(B233*D233,2)</f>
        <v>4000</v>
      </c>
    </row>
    <row r="234" spans="1:5" ht="13.5" thickBot="1">
      <c r="A234" s="3020"/>
      <c r="B234" s="3021"/>
      <c r="C234" s="3021"/>
      <c r="D234" s="2994" t="s">
        <v>1402</v>
      </c>
      <c r="E234" s="3889">
        <f>SUM(E231:E233)</f>
        <v>10916.65</v>
      </c>
    </row>
    <row r="235" spans="1:5" ht="13.5" thickTop="1">
      <c r="A235" s="3888"/>
      <c r="B235" s="3886"/>
      <c r="C235" s="3887"/>
      <c r="D235" s="3886"/>
      <c r="E235" s="3886"/>
    </row>
    <row r="236" spans="1:5" ht="13.5" thickBot="1">
      <c r="A236" s="2025" t="s">
        <v>1450</v>
      </c>
      <c r="B236" s="3005"/>
      <c r="C236" s="3891"/>
      <c r="D236" s="3891"/>
      <c r="E236" s="3892"/>
    </row>
    <row r="237" spans="1:5" ht="13.5" thickTop="1">
      <c r="A237" s="3007" t="s">
        <v>1447</v>
      </c>
      <c r="B237" s="3008">
        <v>1.05</v>
      </c>
      <c r="C237" s="3009" t="s">
        <v>2</v>
      </c>
      <c r="D237" s="3010">
        <f>+D231</f>
        <v>6587.29</v>
      </c>
      <c r="E237" s="3011">
        <f>ROUND(B237*D237,2)</f>
        <v>6916.65</v>
      </c>
    </row>
    <row r="238" spans="1:5">
      <c r="A238" s="3012" t="s">
        <v>272</v>
      </c>
      <c r="B238" s="3013">
        <v>3.98</v>
      </c>
      <c r="C238" s="3014" t="s">
        <v>126</v>
      </c>
      <c r="D238" s="3015">
        <f>+$E$204</f>
        <v>0</v>
      </c>
      <c r="E238" s="2992">
        <f>ROUND(B238*D238,2)</f>
        <v>0</v>
      </c>
    </row>
    <row r="239" spans="1:5">
      <c r="A239" s="3012" t="s">
        <v>1093</v>
      </c>
      <c r="B239" s="3013">
        <f>+B240</f>
        <v>8.16</v>
      </c>
      <c r="C239" s="3014" t="s">
        <v>126</v>
      </c>
      <c r="D239" s="3015">
        <v>100</v>
      </c>
      <c r="E239" s="2992">
        <f>ROUND(B239*D239,2)</f>
        <v>816</v>
      </c>
    </row>
    <row r="240" spans="1:5">
      <c r="A240" s="3016" t="s">
        <v>1449</v>
      </c>
      <c r="B240" s="3017">
        <f>1/(0.35*0.35)</f>
        <v>8.16</v>
      </c>
      <c r="C240" s="3018" t="s">
        <v>1</v>
      </c>
      <c r="D240" s="3019">
        <v>350</v>
      </c>
      <c r="E240" s="2992">
        <f>ROUND(B240*D240,2)</f>
        <v>2856</v>
      </c>
    </row>
    <row r="241" spans="1:5" ht="13.5" thickBot="1">
      <c r="A241" s="3020"/>
      <c r="B241" s="3021"/>
      <c r="C241" s="3021"/>
      <c r="D241" s="2994" t="s">
        <v>1402</v>
      </c>
      <c r="E241" s="3889">
        <f>SUM(E237:E240)</f>
        <v>10588.65</v>
      </c>
    </row>
    <row r="242" spans="1:5" ht="13.5" thickTop="1">
      <c r="A242" s="3888"/>
      <c r="B242" s="3886"/>
      <c r="C242" s="3887"/>
      <c r="D242" s="3886"/>
      <c r="E242" s="3886"/>
    </row>
    <row r="243" spans="1:5" ht="13.5" thickBot="1">
      <c r="A243" s="3893" t="s">
        <v>1451</v>
      </c>
      <c r="B243" s="3005"/>
      <c r="C243" s="3891"/>
      <c r="D243" s="3891"/>
      <c r="E243" s="3892"/>
    </row>
    <row r="244" spans="1:5" ht="13.5" thickTop="1">
      <c r="A244" s="3007" t="s">
        <v>1447</v>
      </c>
      <c r="B244" s="3008">
        <v>1.05</v>
      </c>
      <c r="C244" s="3009" t="s">
        <v>2</v>
      </c>
      <c r="D244" s="3010">
        <f>+D237</f>
        <v>6587.29</v>
      </c>
      <c r="E244" s="3011">
        <f>ROUND(B244*D244,2)</f>
        <v>6916.65</v>
      </c>
    </row>
    <row r="245" spans="1:5">
      <c r="A245" s="3012" t="s">
        <v>272</v>
      </c>
      <c r="B245" s="3013">
        <v>5.08</v>
      </c>
      <c r="C245" s="3014" t="s">
        <v>126</v>
      </c>
      <c r="D245" s="3015">
        <f>+$E$204</f>
        <v>0</v>
      </c>
      <c r="E245" s="2992">
        <f>ROUND(B245*D245,2)</f>
        <v>0</v>
      </c>
    </row>
    <row r="246" spans="1:5">
      <c r="A246" s="3012" t="s">
        <v>1093</v>
      </c>
      <c r="B246" s="3013">
        <f>+B245</f>
        <v>5.08</v>
      </c>
      <c r="C246" s="3014" t="s">
        <v>126</v>
      </c>
      <c r="D246" s="3015">
        <v>100</v>
      </c>
      <c r="E246" s="2992">
        <f>ROUND(B246*D246,2)</f>
        <v>508</v>
      </c>
    </row>
    <row r="247" spans="1:5">
      <c r="A247" s="3016" t="s">
        <v>1449</v>
      </c>
      <c r="B247" s="3017">
        <f>1/(0.25*0.5)</f>
        <v>8</v>
      </c>
      <c r="C247" s="3018" t="s">
        <v>1</v>
      </c>
      <c r="D247" s="3019">
        <v>350</v>
      </c>
      <c r="E247" s="2992">
        <f>ROUND(B247*D247,2)</f>
        <v>2800</v>
      </c>
    </row>
    <row r="248" spans="1:5" ht="13.5" thickBot="1">
      <c r="A248" s="3020"/>
      <c r="B248" s="3021"/>
      <c r="C248" s="3021"/>
      <c r="D248" s="2994" t="s">
        <v>1402</v>
      </c>
      <c r="E248" s="3023">
        <f>SUM(E244:E247)</f>
        <v>10224.65</v>
      </c>
    </row>
    <row r="249" spans="1:5" ht="13.5" thickTop="1">
      <c r="A249" s="3888"/>
      <c r="B249" s="3886"/>
      <c r="C249" s="3887"/>
      <c r="D249" s="3886"/>
      <c r="E249" s="3886"/>
    </row>
    <row r="250" spans="1:5" ht="13.5" thickBot="1">
      <c r="A250" s="3893" t="s">
        <v>1452</v>
      </c>
      <c r="B250" s="3005"/>
      <c r="C250" s="3891"/>
      <c r="D250" s="3891"/>
      <c r="E250" s="3892"/>
    </row>
    <row r="251" spans="1:5" ht="13.5" thickTop="1">
      <c r="A251" s="3007" t="s">
        <v>1447</v>
      </c>
      <c r="B251" s="3008">
        <v>1.05</v>
      </c>
      <c r="C251" s="3009" t="s">
        <v>2</v>
      </c>
      <c r="D251" s="3010">
        <f>+D244</f>
        <v>6587.29</v>
      </c>
      <c r="E251" s="3011">
        <f>ROUND(B251*D251,2)</f>
        <v>6916.65</v>
      </c>
    </row>
    <row r="252" spans="1:5">
      <c r="A252" s="3012" t="s">
        <v>272</v>
      </c>
      <c r="B252" s="3013">
        <v>5.21</v>
      </c>
      <c r="C252" s="3014" t="s">
        <v>126</v>
      </c>
      <c r="D252" s="3015">
        <f>+$E$204</f>
        <v>0</v>
      </c>
      <c r="E252" s="2992">
        <f>ROUND(B252*D252,2)</f>
        <v>0</v>
      </c>
    </row>
    <row r="253" spans="1:5">
      <c r="A253" s="3012" t="s">
        <v>1093</v>
      </c>
      <c r="B253" s="3013">
        <f>+B252</f>
        <v>5.21</v>
      </c>
      <c r="C253" s="3014" t="s">
        <v>126</v>
      </c>
      <c r="D253" s="3015">
        <v>100</v>
      </c>
      <c r="E253" s="2992">
        <f>ROUND(B253*D253,2)</f>
        <v>521</v>
      </c>
    </row>
    <row r="254" spans="1:5">
      <c r="A254" s="3016" t="s">
        <v>1449</v>
      </c>
      <c r="B254" s="3017">
        <f>1/(0.15+0.15+0.3)</f>
        <v>1.67</v>
      </c>
      <c r="C254" s="3018" t="s">
        <v>1</v>
      </c>
      <c r="D254" s="3019">
        <v>350</v>
      </c>
      <c r="E254" s="2992">
        <f>ROUND(B254*D254,2)</f>
        <v>584.5</v>
      </c>
    </row>
    <row r="255" spans="1:5" ht="13.5" thickBot="1">
      <c r="A255" s="3020"/>
      <c r="B255" s="3021"/>
      <c r="C255" s="3021"/>
      <c r="D255" s="2994" t="s">
        <v>1402</v>
      </c>
      <c r="E255" s="3023">
        <f>SUM(E251:E254)</f>
        <v>8022.15</v>
      </c>
    </row>
    <row r="256" spans="1:5" ht="13.5" thickTop="1">
      <c r="A256" s="3888"/>
      <c r="B256" s="3886"/>
      <c r="C256" s="3887"/>
      <c r="D256" s="3886"/>
      <c r="E256" s="3886"/>
    </row>
    <row r="257" spans="1:5" ht="13.5" thickBot="1">
      <c r="A257" s="3893" t="s">
        <v>1453</v>
      </c>
      <c r="B257" s="3005"/>
      <c r="C257" s="3891"/>
      <c r="D257" s="3891"/>
      <c r="E257" s="3892"/>
    </row>
    <row r="258" spans="1:5" ht="13.5" thickTop="1">
      <c r="A258" s="3007" t="s">
        <v>1447</v>
      </c>
      <c r="B258" s="3008">
        <v>1.05</v>
      </c>
      <c r="C258" s="3009" t="s">
        <v>2</v>
      </c>
      <c r="D258" s="3010">
        <f>+D244</f>
        <v>6587.29</v>
      </c>
      <c r="E258" s="3011">
        <f>ROUND(B258*D258,2)</f>
        <v>6916.65</v>
      </c>
    </row>
    <row r="259" spans="1:5">
      <c r="A259" s="3012" t="s">
        <v>272</v>
      </c>
      <c r="B259" s="3013">
        <v>1.7</v>
      </c>
      <c r="C259" s="3014" t="s">
        <v>126</v>
      </c>
      <c r="D259" s="3015">
        <f>+$E$210</f>
        <v>0</v>
      </c>
      <c r="E259" s="2992">
        <f>ROUND(B259*D259,2)</f>
        <v>0</v>
      </c>
    </row>
    <row r="260" spans="1:5">
      <c r="A260" s="3016" t="s">
        <v>1449</v>
      </c>
      <c r="B260" s="3017">
        <f>1/0.12</f>
        <v>8.33</v>
      </c>
      <c r="C260" s="3018" t="s">
        <v>1</v>
      </c>
      <c r="D260" s="3019">
        <v>350</v>
      </c>
      <c r="E260" s="2992">
        <f>ROUND(B260*D260,2)</f>
        <v>2915.5</v>
      </c>
    </row>
    <row r="261" spans="1:5" ht="13.5" thickBot="1">
      <c r="A261" s="3020"/>
      <c r="B261" s="3021"/>
      <c r="C261" s="3021"/>
      <c r="D261" s="2994" t="s">
        <v>1402</v>
      </c>
      <c r="E261" s="3889">
        <f>SUM(E258:E260)</f>
        <v>9832.15</v>
      </c>
    </row>
    <row r="262" spans="1:5" ht="13.5" thickTop="1">
      <c r="A262" s="3888"/>
      <c r="B262" s="3886"/>
      <c r="C262" s="3887"/>
      <c r="D262" s="3886"/>
      <c r="E262" s="3886"/>
    </row>
    <row r="263" spans="1:5" ht="13.5" thickBot="1">
      <c r="A263" s="3893" t="s">
        <v>1454</v>
      </c>
      <c r="B263" s="3005"/>
      <c r="C263" s="3891"/>
      <c r="D263" s="3891"/>
      <c r="E263" s="3892"/>
    </row>
    <row r="264" spans="1:5" ht="13.5" thickTop="1">
      <c r="A264" s="3007" t="s">
        <v>1447</v>
      </c>
      <c r="B264" s="3008">
        <v>1.05</v>
      </c>
      <c r="C264" s="3009" t="s">
        <v>2</v>
      </c>
      <c r="D264" s="3010">
        <f>+D258</f>
        <v>6587.29</v>
      </c>
      <c r="E264" s="3011">
        <f>ROUND(B264*D264,2)</f>
        <v>6916.65</v>
      </c>
    </row>
    <row r="265" spans="1:5">
      <c r="A265" s="3012" t="s">
        <v>272</v>
      </c>
      <c r="B265" s="3013">
        <v>1.29</v>
      </c>
      <c r="C265" s="3014" t="s">
        <v>126</v>
      </c>
      <c r="D265" s="3015">
        <f>+$E$210</f>
        <v>0</v>
      </c>
      <c r="E265" s="2992">
        <f>ROUND(B265*D265,2)</f>
        <v>0</v>
      </c>
    </row>
    <row r="266" spans="1:5">
      <c r="A266" s="3016" t="s">
        <v>1449</v>
      </c>
      <c r="B266" s="3017">
        <f>1/0.15</f>
        <v>6.67</v>
      </c>
      <c r="C266" s="3018" t="s">
        <v>1</v>
      </c>
      <c r="D266" s="3019">
        <v>350</v>
      </c>
      <c r="E266" s="2992">
        <f>ROUND(B266*D266,2)</f>
        <v>2334.5</v>
      </c>
    </row>
    <row r="267" spans="1:5" ht="13.5" thickBot="1">
      <c r="A267" s="3020"/>
      <c r="B267" s="3021"/>
      <c r="C267" s="3021"/>
      <c r="D267" s="2994" t="s">
        <v>1402</v>
      </c>
      <c r="E267" s="3023">
        <f>SUM(E264:E266)</f>
        <v>9251.15</v>
      </c>
    </row>
    <row r="268" spans="1:5" ht="13.5" thickTop="1">
      <c r="A268" s="3888"/>
      <c r="B268" s="3886"/>
      <c r="C268" s="3887"/>
      <c r="D268" s="3886"/>
      <c r="E268" s="3886"/>
    </row>
    <row r="269" spans="1:5" ht="13.5" thickBot="1">
      <c r="A269" s="1267" t="s">
        <v>3541</v>
      </c>
      <c r="B269" s="3005"/>
      <c r="C269" s="3891"/>
      <c r="D269" s="3891"/>
      <c r="E269" s="3892"/>
    </row>
    <row r="270" spans="1:5" ht="13.5" thickTop="1">
      <c r="A270" s="3007" t="s">
        <v>1447</v>
      </c>
      <c r="B270" s="3008">
        <v>1.05</v>
      </c>
      <c r="C270" s="3009" t="s">
        <v>2</v>
      </c>
      <c r="D270" s="3010">
        <f>+D258</f>
        <v>6587.29</v>
      </c>
      <c r="E270" s="3011">
        <f>ROUND(B270*D270,2)</f>
        <v>6916.65</v>
      </c>
    </row>
    <row r="271" spans="1:5">
      <c r="A271" s="3012" t="s">
        <v>272</v>
      </c>
      <c r="B271" s="3013">
        <v>0.85</v>
      </c>
      <c r="C271" s="3014" t="s">
        <v>126</v>
      </c>
      <c r="D271" s="3015">
        <f>+$E$204</f>
        <v>0</v>
      </c>
      <c r="E271" s="2992">
        <f>ROUND(B271*D271,2)</f>
        <v>0</v>
      </c>
    </row>
    <row r="272" spans="1:5">
      <c r="A272" s="3016" t="s">
        <v>1449</v>
      </c>
      <c r="B272" s="3017">
        <f>1/0.11</f>
        <v>9.09</v>
      </c>
      <c r="C272" s="3018" t="s">
        <v>1</v>
      </c>
      <c r="D272" s="3019">
        <v>150</v>
      </c>
      <c r="E272" s="2992">
        <f>ROUND(B272*D272,2)</f>
        <v>1363.5</v>
      </c>
    </row>
    <row r="273" spans="1:5" ht="13.5" thickBot="1">
      <c r="A273" s="3020"/>
      <c r="B273" s="3021"/>
      <c r="C273" s="3021"/>
      <c r="D273" s="2994" t="s">
        <v>1402</v>
      </c>
      <c r="E273" s="3023">
        <f>SUM(E270:E272)</f>
        <v>8280.15</v>
      </c>
    </row>
    <row r="274" spans="1:5" ht="14.25" thickTop="1" thickBot="1">
      <c r="A274" s="3888"/>
      <c r="B274" s="3886"/>
      <c r="C274" s="3887"/>
      <c r="D274" s="2994" t="s">
        <v>1120</v>
      </c>
      <c r="E274" s="3023">
        <f>E273*0.05</f>
        <v>414.01</v>
      </c>
    </row>
    <row r="275" spans="1:5" ht="13.5" thickTop="1">
      <c r="A275" s="3888"/>
      <c r="B275" s="3886"/>
      <c r="C275" s="3887"/>
      <c r="D275" s="3886"/>
      <c r="E275" s="3886"/>
    </row>
    <row r="276" spans="1:5">
      <c r="A276" s="3885" t="s">
        <v>1455</v>
      </c>
      <c r="B276" s="3886"/>
      <c r="C276" s="3887"/>
      <c r="D276" s="3886"/>
      <c r="E276" s="3886"/>
    </row>
    <row r="277" spans="1:5">
      <c r="A277" s="3888"/>
      <c r="B277" s="3886"/>
      <c r="C277" s="3887"/>
      <c r="D277" s="3886"/>
      <c r="E277" s="3886"/>
    </row>
    <row r="278" spans="1:5" ht="13.5" thickBot="1">
      <c r="A278" s="1422" t="s">
        <v>1456</v>
      </c>
      <c r="B278" s="2244"/>
      <c r="C278" s="2352"/>
      <c r="D278" s="2244"/>
      <c r="E278" s="2244"/>
    </row>
    <row r="279" spans="1:5" ht="13.5" thickTop="1">
      <c r="A279" s="3007" t="s">
        <v>1447</v>
      </c>
      <c r="B279" s="3008">
        <v>1.05</v>
      </c>
      <c r="C279" s="3009" t="s">
        <v>2</v>
      </c>
      <c r="D279" s="3010">
        <f>+D258</f>
        <v>6587.29</v>
      </c>
      <c r="E279" s="3011">
        <f>ROUND(B279*D279,2)</f>
        <v>6916.65</v>
      </c>
    </row>
    <row r="280" spans="1:5">
      <c r="A280" s="3012" t="s">
        <v>272</v>
      </c>
      <c r="B280" s="3013">
        <v>1.51</v>
      </c>
      <c r="C280" s="3014" t="s">
        <v>126</v>
      </c>
      <c r="D280" s="3015">
        <f>+$E$210</f>
        <v>0</v>
      </c>
      <c r="E280" s="2992">
        <f>ROUND(B280*D280,2)</f>
        <v>0</v>
      </c>
    </row>
    <row r="281" spans="1:5" ht="13.5" thickBot="1">
      <c r="A281" s="3020"/>
      <c r="B281" s="3021"/>
      <c r="C281" s="3021"/>
      <c r="D281" s="2994" t="s">
        <v>1402</v>
      </c>
      <c r="E281" s="3889">
        <f>SUM(E279:E280)</f>
        <v>6916.65</v>
      </c>
    </row>
    <row r="282" spans="1:5" ht="13.5" thickTop="1">
      <c r="A282" s="3888"/>
      <c r="B282" s="3886"/>
      <c r="C282" s="3887"/>
      <c r="D282" s="3886"/>
      <c r="E282" s="3886"/>
    </row>
    <row r="283" spans="1:5" ht="13.5" thickBot="1">
      <c r="A283" s="1422" t="s">
        <v>1457</v>
      </c>
      <c r="B283" s="2244"/>
      <c r="C283" s="2352"/>
      <c r="D283" s="2244"/>
      <c r="E283" s="2244"/>
    </row>
    <row r="284" spans="1:5" ht="13.5" thickTop="1">
      <c r="A284" s="3007" t="s">
        <v>1443</v>
      </c>
      <c r="B284" s="3008">
        <v>1.05</v>
      </c>
      <c r="C284" s="3009" t="s">
        <v>2</v>
      </c>
      <c r="D284" s="3010">
        <f>E168</f>
        <v>5412.5</v>
      </c>
      <c r="E284" s="3011">
        <f>ROUND(B284*D284,2)</f>
        <v>5683.13</v>
      </c>
    </row>
    <row r="285" spans="1:5">
      <c r="A285" s="3012" t="s">
        <v>272</v>
      </c>
      <c r="B285" s="3013">
        <v>1.03</v>
      </c>
      <c r="C285" s="3014" t="s">
        <v>126</v>
      </c>
      <c r="D285" s="3015">
        <f>+$E$204</f>
        <v>0</v>
      </c>
      <c r="E285" s="2992">
        <f>ROUND(B285*D285,2)</f>
        <v>0</v>
      </c>
    </row>
    <row r="286" spans="1:5">
      <c r="A286" s="3016" t="s">
        <v>1444</v>
      </c>
      <c r="B286" s="3017">
        <f>1/0.35</f>
        <v>2.86</v>
      </c>
      <c r="C286" s="3018" t="s">
        <v>1</v>
      </c>
      <c r="D286" s="3019">
        <v>100</v>
      </c>
      <c r="E286" s="2992">
        <f>ROUND(B286*D286,2)</f>
        <v>286</v>
      </c>
    </row>
    <row r="287" spans="1:5" ht="13.5" thickBot="1">
      <c r="A287" s="3020"/>
      <c r="B287" s="3021"/>
      <c r="C287" s="3021"/>
      <c r="D287" s="2994" t="s">
        <v>1402</v>
      </c>
      <c r="E287" s="3889">
        <f>SUM(E284:E286)</f>
        <v>5969.13</v>
      </c>
    </row>
    <row r="288" spans="1:5" ht="13.5" thickTop="1">
      <c r="A288" s="3888"/>
      <c r="B288" s="3886"/>
      <c r="C288" s="3887"/>
      <c r="D288" s="3886"/>
      <c r="E288" s="3886"/>
    </row>
    <row r="289" spans="1:5" ht="26.25" thickBot="1">
      <c r="A289" s="3894" t="s">
        <v>1458</v>
      </c>
      <c r="B289" s="2244"/>
      <c r="C289" s="2352"/>
      <c r="D289" s="2244"/>
      <c r="E289" s="2244"/>
    </row>
    <row r="290" spans="1:5" ht="13.5" thickTop="1">
      <c r="A290" s="3007" t="s">
        <v>1443</v>
      </c>
      <c r="B290" s="3008">
        <v>1.05</v>
      </c>
      <c r="C290" s="3009" t="s">
        <v>2</v>
      </c>
      <c r="D290" s="3010">
        <f>+D284</f>
        <v>5412.5</v>
      </c>
      <c r="E290" s="3011">
        <f>ROUND(B290*D290,2)</f>
        <v>5683.13</v>
      </c>
    </row>
    <row r="291" spans="1:5">
      <c r="A291" s="3012" t="s">
        <v>272</v>
      </c>
      <c r="B291" s="3013">
        <v>1.91</v>
      </c>
      <c r="C291" s="3014" t="s">
        <v>126</v>
      </c>
      <c r="D291" s="3015">
        <f>+D285</f>
        <v>0</v>
      </c>
      <c r="E291" s="2992">
        <f>ROUND(B291*D291,2)</f>
        <v>0</v>
      </c>
    </row>
    <row r="292" spans="1:5">
      <c r="A292" s="3016" t="s">
        <v>1444</v>
      </c>
      <c r="B292" s="3017">
        <f>1/0.35</f>
        <v>2.86</v>
      </c>
      <c r="C292" s="3018" t="s">
        <v>1</v>
      </c>
      <c r="D292" s="3019">
        <f>+D286</f>
        <v>100</v>
      </c>
      <c r="E292" s="2992">
        <f>ROUND(B292*D292,2)</f>
        <v>286</v>
      </c>
    </row>
    <row r="293" spans="1:5" ht="13.5" thickBot="1">
      <c r="A293" s="3020"/>
      <c r="B293" s="3021"/>
      <c r="C293" s="3021"/>
      <c r="D293" s="2994" t="s">
        <v>1402</v>
      </c>
      <c r="E293" s="3889">
        <f>SUM(E290:E292)</f>
        <v>5969.13</v>
      </c>
    </row>
    <row r="294" spans="1:5" ht="13.5" thickTop="1">
      <c r="A294" s="3888"/>
      <c r="B294" s="3886"/>
      <c r="C294" s="3887"/>
      <c r="D294" s="3886"/>
      <c r="E294" s="3886"/>
    </row>
    <row r="295" spans="1:5" ht="13.5" thickBot="1">
      <c r="A295" s="1422" t="s">
        <v>1259</v>
      </c>
      <c r="B295" s="3005"/>
      <c r="C295" s="3891"/>
      <c r="D295" s="3891"/>
      <c r="E295" s="3892"/>
    </row>
    <row r="296" spans="1:5" ht="13.5" thickTop="1">
      <c r="A296" s="3007" t="s">
        <v>1447</v>
      </c>
      <c r="B296" s="3008">
        <v>1.05</v>
      </c>
      <c r="C296" s="3009" t="s">
        <v>2</v>
      </c>
      <c r="D296" s="3010">
        <f>D279</f>
        <v>6587.29</v>
      </c>
      <c r="E296" s="3011">
        <f>ROUND(B296*D296,2)</f>
        <v>6916.65</v>
      </c>
    </row>
    <row r="297" spans="1:5">
      <c r="A297" s="3012" t="s">
        <v>272</v>
      </c>
      <c r="B297" s="3013">
        <v>2.29</v>
      </c>
      <c r="C297" s="3014" t="s">
        <v>126</v>
      </c>
      <c r="D297" s="3015">
        <f>+D285</f>
        <v>0</v>
      </c>
      <c r="E297" s="2992">
        <f>ROUND(B297*D297,2)</f>
        <v>0</v>
      </c>
    </row>
    <row r="298" spans="1:5">
      <c r="A298" s="3016" t="s">
        <v>1449</v>
      </c>
      <c r="B298" s="3017">
        <f>1/0.15</f>
        <v>6.67</v>
      </c>
      <c r="C298" s="3018" t="s">
        <v>1</v>
      </c>
      <c r="D298" s="3019">
        <v>1000</v>
      </c>
      <c r="E298" s="2992">
        <f>ROUND(B298*D298,2)</f>
        <v>6670</v>
      </c>
    </row>
    <row r="299" spans="1:5" ht="13.5" thickBot="1">
      <c r="A299" s="3020"/>
      <c r="B299" s="3021"/>
      <c r="C299" s="3021"/>
      <c r="D299" s="2994" t="s">
        <v>1402</v>
      </c>
      <c r="E299" s="3889">
        <f>SUM(E296:E298)</f>
        <v>13586.65</v>
      </c>
    </row>
    <row r="300" spans="1:5" ht="13.5" thickTop="1">
      <c r="A300" s="3888"/>
      <c r="B300" s="3886"/>
      <c r="C300" s="3887"/>
      <c r="D300" s="3886"/>
      <c r="E300" s="3886"/>
    </row>
    <row r="301" spans="1:5" ht="13.5" thickBot="1">
      <c r="A301" s="1422" t="s">
        <v>1260</v>
      </c>
      <c r="B301" s="3005"/>
      <c r="C301" s="3891"/>
      <c r="D301" s="3891"/>
      <c r="E301" s="3892"/>
    </row>
    <row r="302" spans="1:5" ht="13.5" thickTop="1">
      <c r="A302" s="3007" t="s">
        <v>1447</v>
      </c>
      <c r="B302" s="3008">
        <v>1.05</v>
      </c>
      <c r="C302" s="3009" t="s">
        <v>2</v>
      </c>
      <c r="D302" s="3010">
        <f>+D309</f>
        <v>6587.29</v>
      </c>
      <c r="E302" s="3011">
        <f>ROUND(B302*D302,2)</f>
        <v>6916.65</v>
      </c>
    </row>
    <row r="303" spans="1:5" ht="13.5" thickBot="1">
      <c r="A303" s="3012" t="s">
        <v>272</v>
      </c>
      <c r="B303" s="3013">
        <v>3.98</v>
      </c>
      <c r="C303" s="3014" t="s">
        <v>126</v>
      </c>
      <c r="D303" s="3015">
        <f>+$E$204</f>
        <v>0</v>
      </c>
      <c r="E303" s="2992">
        <f>ROUND(B303*D303,2)</f>
        <v>0</v>
      </c>
    </row>
    <row r="304" spans="1:5" ht="14.25" thickTop="1" thickBot="1">
      <c r="A304" s="3012" t="s">
        <v>1093</v>
      </c>
      <c r="B304" s="3013">
        <f>+B305</f>
        <v>11.11</v>
      </c>
      <c r="C304" s="3014" t="s">
        <v>126</v>
      </c>
      <c r="D304" s="3010">
        <v>100</v>
      </c>
      <c r="E304" s="2992">
        <f>ROUND(B304*D304,2)</f>
        <v>1111</v>
      </c>
    </row>
    <row r="305" spans="1:5" ht="13.5" thickTop="1">
      <c r="A305" s="3016" t="s">
        <v>1449</v>
      </c>
      <c r="B305" s="3017">
        <f>1/(0.3*0.3)</f>
        <v>11.11</v>
      </c>
      <c r="C305" s="3018" t="s">
        <v>1</v>
      </c>
      <c r="D305" s="3010">
        <v>1000</v>
      </c>
      <c r="E305" s="2992">
        <f>ROUND(B305*D305,2)</f>
        <v>11110</v>
      </c>
    </row>
    <row r="306" spans="1:5" ht="13.5" thickBot="1">
      <c r="A306" s="3020"/>
      <c r="B306" s="3021"/>
      <c r="C306" s="3021"/>
      <c r="D306" s="2994" t="s">
        <v>1402</v>
      </c>
      <c r="E306" s="3023">
        <f>SUM(E302:E305)</f>
        <v>19137.650000000001</v>
      </c>
    </row>
    <row r="307" spans="1:5" ht="13.5" thickTop="1">
      <c r="A307" s="3888"/>
      <c r="B307" s="3886"/>
      <c r="C307" s="3887"/>
      <c r="D307" s="3886"/>
      <c r="E307" s="3886"/>
    </row>
    <row r="308" spans="1:5" ht="13.5" thickBot="1">
      <c r="A308" s="1422" t="s">
        <v>1261</v>
      </c>
      <c r="B308" s="3005"/>
      <c r="C308" s="3891"/>
      <c r="D308" s="3891"/>
      <c r="E308" s="3892"/>
    </row>
    <row r="309" spans="1:5" ht="13.5" thickTop="1">
      <c r="A309" s="3007" t="s">
        <v>1447</v>
      </c>
      <c r="B309" s="3008">
        <v>1.05</v>
      </c>
      <c r="C309" s="3009" t="s">
        <v>2</v>
      </c>
      <c r="D309" s="3010">
        <f>+D244</f>
        <v>6587.29</v>
      </c>
      <c r="E309" s="3011">
        <f>ROUND(B309*D309,2)</f>
        <v>6916.65</v>
      </c>
    </row>
    <row r="310" spans="1:5" ht="13.5" thickBot="1">
      <c r="A310" s="3012" t="s">
        <v>272</v>
      </c>
      <c r="B310" s="3013">
        <v>5.07</v>
      </c>
      <c r="C310" s="3014" t="s">
        <v>126</v>
      </c>
      <c r="D310" s="3015">
        <f>+$E$204</f>
        <v>0</v>
      </c>
      <c r="E310" s="2992">
        <f>ROUND(B310*D310,2)</f>
        <v>0</v>
      </c>
    </row>
    <row r="311" spans="1:5" ht="14.25" thickTop="1" thickBot="1">
      <c r="A311" s="3012" t="s">
        <v>1093</v>
      </c>
      <c r="B311" s="3013">
        <f>+B312</f>
        <v>8</v>
      </c>
      <c r="C311" s="3014" t="s">
        <v>126</v>
      </c>
      <c r="D311" s="3010">
        <f>+D246</f>
        <v>100</v>
      </c>
      <c r="E311" s="2992">
        <f>ROUND(B311*D311,2)</f>
        <v>800</v>
      </c>
    </row>
    <row r="312" spans="1:5" ht="13.5" thickTop="1">
      <c r="A312" s="3016" t="s">
        <v>1449</v>
      </c>
      <c r="B312" s="3017">
        <f>1/(0.25*0.5)</f>
        <v>8</v>
      </c>
      <c r="C312" s="3018" t="s">
        <v>1</v>
      </c>
      <c r="D312" s="3010">
        <f>+D247</f>
        <v>350</v>
      </c>
      <c r="E312" s="2992">
        <f>ROUND(B312*D312,2)</f>
        <v>2800</v>
      </c>
    </row>
    <row r="313" spans="1:5" ht="13.5" thickBot="1">
      <c r="A313" s="3020"/>
      <c r="B313" s="3021"/>
      <c r="C313" s="3021"/>
      <c r="D313" s="2994" t="s">
        <v>1402</v>
      </c>
      <c r="E313" s="3023">
        <f>SUM(E309:E312)</f>
        <v>10516.65</v>
      </c>
    </row>
    <row r="314" spans="1:5" ht="13.5" thickTop="1">
      <c r="A314" s="3888"/>
      <c r="B314" s="3886"/>
      <c r="C314" s="3887"/>
      <c r="D314" s="3886"/>
      <c r="E314" s="3886"/>
    </row>
    <row r="315" spans="1:5" ht="13.5" thickBot="1">
      <c r="A315" s="1422" t="s">
        <v>1262</v>
      </c>
      <c r="B315" s="3005"/>
      <c r="C315" s="3891"/>
      <c r="D315" s="3891"/>
      <c r="E315" s="3892"/>
    </row>
    <row r="316" spans="1:5" ht="13.5" thickTop="1">
      <c r="A316" s="3007" t="s">
        <v>1447</v>
      </c>
      <c r="B316" s="3008">
        <v>1.05</v>
      </c>
      <c r="C316" s="3009" t="s">
        <v>2</v>
      </c>
      <c r="D316" s="3010">
        <f>+D309</f>
        <v>6587.29</v>
      </c>
      <c r="E316" s="3011">
        <f>ROUND(B316*D316,2)</f>
        <v>6916.65</v>
      </c>
    </row>
    <row r="317" spans="1:5">
      <c r="A317" s="3012" t="s">
        <v>272</v>
      </c>
      <c r="B317" s="3013">
        <v>1.29</v>
      </c>
      <c r="C317" s="3014" t="s">
        <v>126</v>
      </c>
      <c r="D317" s="3015">
        <f>+D297</f>
        <v>0</v>
      </c>
      <c r="E317" s="2992">
        <f>ROUND(B317*D317,2)</f>
        <v>0</v>
      </c>
    </row>
    <row r="318" spans="1:5">
      <c r="A318" s="3016" t="s">
        <v>1449</v>
      </c>
      <c r="B318" s="3017">
        <f>1/0.11</f>
        <v>9.09</v>
      </c>
      <c r="C318" s="3018" t="s">
        <v>1</v>
      </c>
      <c r="D318" s="3019">
        <v>350</v>
      </c>
      <c r="E318" s="2992">
        <f>ROUND(B318*D318,2)</f>
        <v>3181.5</v>
      </c>
    </row>
    <row r="319" spans="1:5" ht="13.5" thickBot="1">
      <c r="A319" s="3020"/>
      <c r="B319" s="3021"/>
      <c r="C319" s="3021"/>
      <c r="D319" s="2994" t="s">
        <v>1402</v>
      </c>
      <c r="E319" s="3889">
        <f>SUM(E316:E318)</f>
        <v>10098.15</v>
      </c>
    </row>
    <row r="320" spans="1:5" ht="13.5" thickTop="1">
      <c r="A320" s="3888"/>
      <c r="B320" s="3886"/>
      <c r="C320" s="3887"/>
      <c r="D320" s="3886"/>
      <c r="E320" s="3886"/>
    </row>
    <row r="321" spans="1:5">
      <c r="A321" s="3885" t="s">
        <v>1293</v>
      </c>
      <c r="B321" s="3886"/>
      <c r="C321" s="3887"/>
      <c r="D321" s="3886"/>
      <c r="E321" s="3886"/>
    </row>
    <row r="322" spans="1:5">
      <c r="A322" s="3888"/>
      <c r="B322" s="3886"/>
      <c r="C322" s="3887"/>
      <c r="D322" s="3886"/>
      <c r="E322" s="3886"/>
    </row>
    <row r="323" spans="1:5" ht="13.5" thickBot="1">
      <c r="A323" s="1422" t="s">
        <v>1459</v>
      </c>
      <c r="B323" s="3005"/>
      <c r="C323" s="3891"/>
      <c r="D323" s="3891"/>
      <c r="E323" s="3892"/>
    </row>
    <row r="324" spans="1:5" ht="13.5" thickTop="1">
      <c r="A324" s="3007" t="s">
        <v>1447</v>
      </c>
      <c r="B324" s="3008">
        <v>1.05</v>
      </c>
      <c r="C324" s="3009" t="s">
        <v>2</v>
      </c>
      <c r="D324" s="3010">
        <f>+D309</f>
        <v>6587.29</v>
      </c>
      <c r="E324" s="3011">
        <f>ROUND(B324*D324,2)</f>
        <v>6916.65</v>
      </c>
    </row>
    <row r="325" spans="1:5" ht="13.5" thickBot="1">
      <c r="A325" s="3012" t="s">
        <v>272</v>
      </c>
      <c r="B325" s="3013">
        <v>5.21</v>
      </c>
      <c r="C325" s="3014" t="s">
        <v>126</v>
      </c>
      <c r="D325" s="3015">
        <f>+$E$204</f>
        <v>0</v>
      </c>
      <c r="E325" s="2992">
        <f>ROUND(B325*D325,2)</f>
        <v>0</v>
      </c>
    </row>
    <row r="326" spans="1:5" ht="14.25" thickTop="1" thickBot="1">
      <c r="A326" s="3012" t="s">
        <v>1093</v>
      </c>
      <c r="B326" s="3013">
        <f>+B327</f>
        <v>8</v>
      </c>
      <c r="C326" s="3014" t="s">
        <v>126</v>
      </c>
      <c r="D326" s="3010">
        <f>+D311</f>
        <v>100</v>
      </c>
      <c r="E326" s="2992">
        <f>ROUND(B326*D326,2)</f>
        <v>800</v>
      </c>
    </row>
    <row r="327" spans="1:5" ht="13.5" thickTop="1">
      <c r="A327" s="3016" t="s">
        <v>1449</v>
      </c>
      <c r="B327" s="3017">
        <f>1/(0.25*0.5)</f>
        <v>8</v>
      </c>
      <c r="C327" s="3018" t="s">
        <v>1</v>
      </c>
      <c r="D327" s="3010">
        <f>+D312</f>
        <v>350</v>
      </c>
      <c r="E327" s="2992">
        <f>ROUND(B327*D327,2)</f>
        <v>2800</v>
      </c>
    </row>
    <row r="328" spans="1:5" ht="13.5" thickBot="1">
      <c r="A328" s="3020"/>
      <c r="B328" s="3021"/>
      <c r="C328" s="3021"/>
      <c r="D328" s="2994" t="s">
        <v>1402</v>
      </c>
      <c r="E328" s="3889">
        <f>SUM(E324:E327)</f>
        <v>10516.65</v>
      </c>
    </row>
    <row r="329" spans="1:5" ht="13.5" thickTop="1">
      <c r="A329" s="3888"/>
      <c r="B329" s="3886"/>
      <c r="C329" s="3887"/>
      <c r="D329" s="3886"/>
      <c r="E329" s="3886"/>
    </row>
    <row r="330" spans="1:5" ht="13.5" thickBot="1">
      <c r="A330" s="1422" t="s">
        <v>1460</v>
      </c>
      <c r="B330" s="3005"/>
      <c r="C330" s="3891"/>
      <c r="D330" s="3891"/>
      <c r="E330" s="3892"/>
    </row>
    <row r="331" spans="1:5" ht="14.25" thickTop="1" thickBot="1">
      <c r="A331" s="3007" t="s">
        <v>1447</v>
      </c>
      <c r="B331" s="3008">
        <v>1.05</v>
      </c>
      <c r="C331" s="3009" t="s">
        <v>2</v>
      </c>
      <c r="D331" s="3010">
        <f>+D324</f>
        <v>6587.29</v>
      </c>
      <c r="E331" s="3011">
        <f>ROUND(B331*D331,2)</f>
        <v>6916.65</v>
      </c>
    </row>
    <row r="332" spans="1:5" ht="14.25" thickTop="1" thickBot="1">
      <c r="A332" s="3012" t="s">
        <v>272</v>
      </c>
      <c r="B332" s="3013">
        <v>1.7</v>
      </c>
      <c r="C332" s="3014" t="s">
        <v>126</v>
      </c>
      <c r="D332" s="3010">
        <f>+D325</f>
        <v>0</v>
      </c>
      <c r="E332" s="2992">
        <f>ROUND(B332*D332,2)</f>
        <v>0</v>
      </c>
    </row>
    <row r="333" spans="1:5" ht="13.5" thickTop="1">
      <c r="A333" s="3016" t="s">
        <v>1449</v>
      </c>
      <c r="B333" s="3017">
        <f>1/0.11</f>
        <v>9.09</v>
      </c>
      <c r="C333" s="3018" t="s">
        <v>1</v>
      </c>
      <c r="D333" s="3010">
        <f>+D326</f>
        <v>100</v>
      </c>
      <c r="E333" s="2992">
        <f>ROUND(B333*D333,2)</f>
        <v>909</v>
      </c>
    </row>
    <row r="334" spans="1:5" ht="13.5" thickBot="1">
      <c r="A334" s="3020"/>
      <c r="B334" s="3021"/>
      <c r="C334" s="3021"/>
      <c r="D334" s="2994" t="s">
        <v>1402</v>
      </c>
      <c r="E334" s="3889">
        <f>SUM(E331:E333)</f>
        <v>7825.65</v>
      </c>
    </row>
    <row r="335" spans="1:5" ht="13.5" thickTop="1">
      <c r="A335" s="3888"/>
      <c r="B335" s="3886"/>
      <c r="C335" s="3887"/>
      <c r="D335" s="3886"/>
      <c r="E335" s="3886"/>
    </row>
    <row r="336" spans="1:5" ht="13.5" thickBot="1">
      <c r="A336" s="3868" t="s">
        <v>1461</v>
      </c>
      <c r="B336" s="2244"/>
      <c r="C336" s="2352"/>
      <c r="D336" s="2244"/>
      <c r="E336" s="2244"/>
    </row>
    <row r="337" spans="1:5" ht="13.5" thickTop="1">
      <c r="A337" s="2246" t="s">
        <v>122</v>
      </c>
      <c r="B337" s="2990">
        <v>1.02</v>
      </c>
      <c r="C337" s="3876" t="s">
        <v>2</v>
      </c>
      <c r="D337" s="2990">
        <f>+E145</f>
        <v>1115</v>
      </c>
      <c r="E337" s="3011">
        <f>ROUND(B337*D337,2)</f>
        <v>1137.3</v>
      </c>
    </row>
    <row r="338" spans="1:5">
      <c r="A338" s="2068" t="s">
        <v>135</v>
      </c>
      <c r="B338" s="2831">
        <v>9.4600000000000009</v>
      </c>
      <c r="C338" s="3877" t="s">
        <v>144</v>
      </c>
      <c r="D338" s="2831">
        <v>325</v>
      </c>
      <c r="E338" s="2992">
        <f>ROUND(B338*D338,2)</f>
        <v>3074.5</v>
      </c>
    </row>
    <row r="339" spans="1:5">
      <c r="A339" s="2068" t="s">
        <v>117</v>
      </c>
      <c r="B339" s="2831">
        <v>50</v>
      </c>
      <c r="C339" s="3877" t="s">
        <v>138</v>
      </c>
      <c r="D339" s="2831">
        <v>2.5</v>
      </c>
      <c r="E339" s="2992">
        <f>ROUND(B339*D339,2)</f>
        <v>125</v>
      </c>
    </row>
    <row r="340" spans="1:5">
      <c r="A340" s="2068" t="s">
        <v>121</v>
      </c>
      <c r="B340" s="2831">
        <v>3.07</v>
      </c>
      <c r="C340" s="3877" t="s">
        <v>144</v>
      </c>
      <c r="D340" s="2831">
        <v>260</v>
      </c>
      <c r="E340" s="2992">
        <f>ROUND(B340*D340,2)</f>
        <v>798.2</v>
      </c>
    </row>
    <row r="341" spans="1:5">
      <c r="A341" s="2068" t="s">
        <v>147</v>
      </c>
      <c r="B341" s="2831">
        <v>0.5</v>
      </c>
      <c r="C341" s="3877" t="s">
        <v>148</v>
      </c>
      <c r="D341" s="2831">
        <v>650</v>
      </c>
      <c r="E341" s="2992">
        <f>ROUND(B341*D341,2)</f>
        <v>325</v>
      </c>
    </row>
    <row r="342" spans="1:5">
      <c r="A342" s="2068" t="s">
        <v>149</v>
      </c>
      <c r="B342" s="2831"/>
      <c r="C342" s="3877"/>
      <c r="D342" s="2831"/>
      <c r="E342" s="3878">
        <f>SUM(E338+E339+E337+E340)*0.03</f>
        <v>154.05000000000001</v>
      </c>
    </row>
    <row r="343" spans="1:5" ht="13.5" thickBot="1">
      <c r="A343" s="2099" t="s">
        <v>43</v>
      </c>
      <c r="B343" s="2993"/>
      <c r="C343" s="3879"/>
      <c r="D343" s="3880" t="s">
        <v>1031</v>
      </c>
      <c r="E343" s="3881">
        <f>SUM(E337:E342)</f>
        <v>5614.05</v>
      </c>
    </row>
    <row r="344" spans="1:5" ht="13.5" thickTop="1">
      <c r="A344" s="2352"/>
      <c r="B344" s="2244"/>
      <c r="C344" s="2226"/>
      <c r="D344" s="2368"/>
      <c r="E344" s="2368"/>
    </row>
    <row r="345" spans="1:5" ht="13.5" thickBot="1">
      <c r="A345" s="3868" t="s">
        <v>150</v>
      </c>
      <c r="B345" s="2244"/>
      <c r="C345" s="2352"/>
      <c r="D345" s="2244"/>
      <c r="E345" s="2244"/>
    </row>
    <row r="346" spans="1:5" ht="13.5" thickTop="1">
      <c r="A346" s="2246" t="s">
        <v>151</v>
      </c>
      <c r="B346" s="2990">
        <v>1</v>
      </c>
      <c r="C346" s="3895" t="s">
        <v>2</v>
      </c>
      <c r="D346" s="2990">
        <f>+D337</f>
        <v>1115</v>
      </c>
      <c r="E346" s="3011">
        <f>ROUND(B346*D346,2)</f>
        <v>1115</v>
      </c>
    </row>
    <row r="347" spans="1:5" ht="13.5" thickBot="1">
      <c r="A347" s="2068" t="s">
        <v>117</v>
      </c>
      <c r="B347" s="2831">
        <v>69.040000000000006</v>
      </c>
      <c r="C347" s="3896" t="s">
        <v>138</v>
      </c>
      <c r="D347" s="2831">
        <v>2.5</v>
      </c>
      <c r="E347" s="2992">
        <f>ROUND(B347*D347,2)</f>
        <v>172.6</v>
      </c>
    </row>
    <row r="348" spans="1:5" ht="13.5" thickTop="1">
      <c r="A348" s="2068" t="s">
        <v>135</v>
      </c>
      <c r="B348" s="2831">
        <v>11.51</v>
      </c>
      <c r="C348" s="3896" t="s">
        <v>144</v>
      </c>
      <c r="D348" s="3869">
        <v>325</v>
      </c>
      <c r="E348" s="2992">
        <f>ROUND(B348*D348,2)</f>
        <v>3740.75</v>
      </c>
    </row>
    <row r="349" spans="1:5">
      <c r="A349" s="2068" t="s">
        <v>147</v>
      </c>
      <c r="B349" s="2831">
        <v>0.5</v>
      </c>
      <c r="C349" s="3896" t="s">
        <v>148</v>
      </c>
      <c r="D349" s="2831">
        <v>650</v>
      </c>
      <c r="E349" s="2992">
        <f>ROUND(B349*D349,2)</f>
        <v>325</v>
      </c>
    </row>
    <row r="350" spans="1:5">
      <c r="A350" s="2068" t="s">
        <v>149</v>
      </c>
      <c r="B350" s="2831"/>
      <c r="C350" s="3896"/>
      <c r="D350" s="2831"/>
      <c r="E350" s="3878">
        <f>SUM(E346+E347+E348)*0.03</f>
        <v>150.85</v>
      </c>
    </row>
    <row r="351" spans="1:5" ht="13.5" thickBot="1">
      <c r="A351" s="2099"/>
      <c r="B351" s="2993"/>
      <c r="C351" s="2114"/>
      <c r="D351" s="3880" t="s">
        <v>1031</v>
      </c>
      <c r="E351" s="3881">
        <f>SUM(E346:E350)</f>
        <v>5504.2</v>
      </c>
    </row>
    <row r="352" spans="1:5" ht="13.5" thickTop="1">
      <c r="A352" s="2070"/>
      <c r="B352" s="2225"/>
      <c r="C352" s="2070"/>
      <c r="D352" s="2227"/>
      <c r="E352" s="2227"/>
    </row>
    <row r="353" spans="1:5" ht="13.5" thickBot="1">
      <c r="A353" s="3868" t="s">
        <v>152</v>
      </c>
      <c r="B353" s="2244"/>
      <c r="C353" s="2226"/>
      <c r="D353" s="2244"/>
      <c r="E353" s="2244"/>
    </row>
    <row r="354" spans="1:5" ht="13.5" thickTop="1">
      <c r="A354" s="2246" t="s">
        <v>153</v>
      </c>
      <c r="B354" s="3897">
        <v>2.5999999999999999E-2</v>
      </c>
      <c r="C354" s="3895" t="s">
        <v>2</v>
      </c>
      <c r="D354" s="3898">
        <f>+E343</f>
        <v>5614.05</v>
      </c>
      <c r="E354" s="3011">
        <f>ROUND(B354*D354,2)</f>
        <v>145.97</v>
      </c>
    </row>
    <row r="355" spans="1:5">
      <c r="A355" s="2068" t="s">
        <v>154</v>
      </c>
      <c r="B355" s="2831">
        <v>0.33</v>
      </c>
      <c r="C355" s="3896" t="s">
        <v>155</v>
      </c>
      <c r="D355" s="3899">
        <v>45</v>
      </c>
      <c r="E355" s="2992">
        <f>ROUND(B355*D355,2)</f>
        <v>14.85</v>
      </c>
    </row>
    <row r="356" spans="1:5">
      <c r="A356" s="2068" t="s">
        <v>156</v>
      </c>
      <c r="B356" s="2831">
        <v>1</v>
      </c>
      <c r="C356" s="3896" t="s">
        <v>42</v>
      </c>
      <c r="D356" s="3899">
        <v>8</v>
      </c>
      <c r="E356" s="2992">
        <f>ROUND(B356*D356,2)</f>
        <v>8</v>
      </c>
    </row>
    <row r="357" spans="1:5">
      <c r="A357" s="2068" t="s">
        <v>41</v>
      </c>
      <c r="B357" s="2831">
        <v>1</v>
      </c>
      <c r="C357" s="3896" t="s">
        <v>11</v>
      </c>
      <c r="D357" s="3899">
        <v>153.15</v>
      </c>
      <c r="E357" s="2992">
        <f>ROUND(B357*D357,2)</f>
        <v>153.15</v>
      </c>
    </row>
    <row r="358" spans="1:5" ht="13.5" thickBot="1">
      <c r="A358" s="2099"/>
      <c r="B358" s="2993"/>
      <c r="C358" s="2114"/>
      <c r="D358" s="3880" t="s">
        <v>1031</v>
      </c>
      <c r="E358" s="3881">
        <f>ROUND(SUM(E354:E357),2)</f>
        <v>321.97000000000003</v>
      </c>
    </row>
    <row r="359" spans="1:5" ht="13.5" thickTop="1">
      <c r="A359" s="2352"/>
      <c r="B359" s="2244"/>
      <c r="C359" s="2226"/>
      <c r="D359" s="2368"/>
      <c r="E359" s="2368"/>
    </row>
    <row r="360" spans="1:5" ht="13.5" thickBot="1">
      <c r="A360" s="2985" t="s">
        <v>165</v>
      </c>
      <c r="B360" s="2244"/>
      <c r="C360" s="2352"/>
      <c r="D360" s="2244"/>
      <c r="E360" s="2244"/>
    </row>
    <row r="361" spans="1:5" ht="13.5" thickTop="1">
      <c r="A361" s="2246" t="s">
        <v>166</v>
      </c>
      <c r="B361" s="3897">
        <v>2.5999999999999999E-2</v>
      </c>
      <c r="C361" s="3895" t="s">
        <v>2</v>
      </c>
      <c r="D361" s="3898">
        <f>+E343</f>
        <v>5614.05</v>
      </c>
      <c r="E361" s="3011">
        <f>ROUND(B361*D361,2)</f>
        <v>145.97</v>
      </c>
    </row>
    <row r="362" spans="1:5">
      <c r="A362" s="2068" t="s">
        <v>154</v>
      </c>
      <c r="B362" s="2831">
        <v>0.33</v>
      </c>
      <c r="C362" s="3896" t="s">
        <v>155</v>
      </c>
      <c r="D362" s="3899">
        <v>45</v>
      </c>
      <c r="E362" s="2992">
        <f>ROUND(B362*D362,2)</f>
        <v>14.85</v>
      </c>
    </row>
    <row r="363" spans="1:5" ht="13.5" thickBot="1">
      <c r="A363" s="2068" t="s">
        <v>156</v>
      </c>
      <c r="B363" s="2831">
        <v>1</v>
      </c>
      <c r="C363" s="3896" t="s">
        <v>42</v>
      </c>
      <c r="D363" s="3899">
        <v>8</v>
      </c>
      <c r="E363" s="2992">
        <f>ROUND(B363*D363,2)</f>
        <v>8</v>
      </c>
    </row>
    <row r="364" spans="1:5" ht="13.5" thickTop="1">
      <c r="A364" s="2068" t="s">
        <v>167</v>
      </c>
      <c r="B364" s="2831">
        <v>0.05</v>
      </c>
      <c r="C364" s="3896" t="s">
        <v>120</v>
      </c>
      <c r="D364" s="3869">
        <v>325</v>
      </c>
      <c r="E364" s="2992">
        <f>ROUND(B364*D364,2)</f>
        <v>16.25</v>
      </c>
    </row>
    <row r="365" spans="1:5">
      <c r="A365" s="2068" t="s">
        <v>162</v>
      </c>
      <c r="B365" s="2831">
        <v>1</v>
      </c>
      <c r="C365" s="3896" t="s">
        <v>11</v>
      </c>
      <c r="D365" s="3899">
        <v>110.26</v>
      </c>
      <c r="E365" s="2992">
        <f>ROUND(B365*D365,2)</f>
        <v>110.26</v>
      </c>
    </row>
    <row r="366" spans="1:5" ht="13.5" thickBot="1">
      <c r="A366" s="2099"/>
      <c r="B366" s="2993"/>
      <c r="C366" s="3879"/>
      <c r="D366" s="3880" t="s">
        <v>1031</v>
      </c>
      <c r="E366" s="3881">
        <f>ROUND(SUM(E361:E365),2)</f>
        <v>295.33</v>
      </c>
    </row>
    <row r="367" spans="1:5" ht="14.25" thickTop="1" thickBot="1">
      <c r="A367" s="3900" t="s">
        <v>1462</v>
      </c>
      <c r="B367" s="3901"/>
      <c r="C367" s="3902"/>
      <c r="D367" s="3903"/>
      <c r="E367" s="3904">
        <f>ROUND(E366-E364,2)</f>
        <v>279.08</v>
      </c>
    </row>
    <row r="368" spans="1:5" ht="13.5" thickTop="1">
      <c r="A368" s="2352"/>
      <c r="B368" s="2244"/>
      <c r="C368" s="2226"/>
      <c r="D368" s="2368"/>
      <c r="E368" s="2380"/>
    </row>
    <row r="369" spans="1:5" ht="13.5" thickBot="1">
      <c r="A369" s="2985" t="s">
        <v>170</v>
      </c>
      <c r="B369" s="2244"/>
      <c r="C369" s="2226"/>
      <c r="D369" s="2244"/>
      <c r="E369" s="2244"/>
    </row>
    <row r="370" spans="1:5" ht="13.5" thickTop="1">
      <c r="A370" s="2246" t="s">
        <v>171</v>
      </c>
      <c r="B370" s="3897">
        <v>6.3E-2</v>
      </c>
      <c r="C370" s="3895" t="s">
        <v>2</v>
      </c>
      <c r="D370" s="3898">
        <f>+E351</f>
        <v>5504.2</v>
      </c>
      <c r="E370" s="3011">
        <f>ROUND(B370*D370,2)</f>
        <v>346.76</v>
      </c>
    </row>
    <row r="371" spans="1:5">
      <c r="A371" s="2068" t="s">
        <v>154</v>
      </c>
      <c r="B371" s="2831">
        <v>0.33</v>
      </c>
      <c r="C371" s="3877" t="s">
        <v>155</v>
      </c>
      <c r="D371" s="3899">
        <v>45</v>
      </c>
      <c r="E371" s="2992">
        <f>ROUND(B371*D371,2)</f>
        <v>14.85</v>
      </c>
    </row>
    <row r="372" spans="1:5">
      <c r="A372" s="2068" t="s">
        <v>156</v>
      </c>
      <c r="B372" s="2831">
        <v>1</v>
      </c>
      <c r="C372" s="3877" t="s">
        <v>42</v>
      </c>
      <c r="D372" s="3899">
        <v>8</v>
      </c>
      <c r="E372" s="2992">
        <f>ROUND(B372*D372,2)</f>
        <v>8</v>
      </c>
    </row>
    <row r="373" spans="1:5">
      <c r="A373" s="2068" t="s">
        <v>172</v>
      </c>
      <c r="B373" s="2831">
        <v>1</v>
      </c>
      <c r="C373" s="3877" t="s">
        <v>42</v>
      </c>
      <c r="D373" s="3899">
        <v>8</v>
      </c>
      <c r="E373" s="2992">
        <f>ROUND(B373*D373,2)</f>
        <v>8</v>
      </c>
    </row>
    <row r="374" spans="1:5">
      <c r="A374" s="2068" t="s">
        <v>41</v>
      </c>
      <c r="B374" s="2831">
        <v>1</v>
      </c>
      <c r="C374" s="3877" t="s">
        <v>11</v>
      </c>
      <c r="D374" s="3899">
        <v>115.23</v>
      </c>
      <c r="E374" s="2992">
        <f>ROUND(B374*D374,2)</f>
        <v>115.23</v>
      </c>
    </row>
    <row r="375" spans="1:5" ht="13.5" thickBot="1">
      <c r="A375" s="2099"/>
      <c r="B375" s="2993"/>
      <c r="C375" s="3882" t="s">
        <v>1037</v>
      </c>
      <c r="D375" s="3874" t="s">
        <v>1038</v>
      </c>
      <c r="E375" s="3881">
        <f>ROUND(SUM(E370:E374),2)</f>
        <v>492.84</v>
      </c>
    </row>
    <row r="376" spans="1:5" ht="13.5" thickTop="1">
      <c r="A376" s="3905" t="s">
        <v>1463</v>
      </c>
      <c r="B376" s="3906"/>
      <c r="C376" s="3907"/>
      <c r="D376" s="3908"/>
      <c r="E376" s="3909">
        <f>ROUND(E375+E364,2)</f>
        <v>509.09</v>
      </c>
    </row>
    <row r="377" spans="1:5">
      <c r="A377" s="2352"/>
      <c r="B377" s="2244"/>
      <c r="C377" s="2226"/>
      <c r="D377" s="2368"/>
      <c r="E377" s="2380"/>
    </row>
    <row r="378" spans="1:5" ht="13.5" thickBot="1">
      <c r="A378" s="2985" t="s">
        <v>174</v>
      </c>
      <c r="B378" s="2244"/>
      <c r="C378" s="2352"/>
      <c r="D378" s="2244"/>
      <c r="E378" s="2244"/>
    </row>
    <row r="379" spans="1:5" ht="13.5" thickTop="1">
      <c r="A379" s="2246" t="s">
        <v>175</v>
      </c>
      <c r="B379" s="3897">
        <v>6.3E-2</v>
      </c>
      <c r="C379" s="3876" t="s">
        <v>2</v>
      </c>
      <c r="D379" s="3898">
        <f>E351</f>
        <v>5504.2</v>
      </c>
      <c r="E379" s="3011">
        <f>ROUND(B379*D379,2)</f>
        <v>346.76</v>
      </c>
    </row>
    <row r="380" spans="1:5">
      <c r="A380" s="2068" t="s">
        <v>154</v>
      </c>
      <c r="B380" s="2831">
        <v>0.33</v>
      </c>
      <c r="C380" s="3877" t="s">
        <v>155</v>
      </c>
      <c r="D380" s="3899">
        <v>45</v>
      </c>
      <c r="E380" s="2992">
        <f>ROUND(B380*D380,2)</f>
        <v>14.85</v>
      </c>
    </row>
    <row r="381" spans="1:5">
      <c r="A381" s="2068" t="s">
        <v>176</v>
      </c>
      <c r="B381" s="2831">
        <v>1</v>
      </c>
      <c r="C381" s="3877" t="s">
        <v>42</v>
      </c>
      <c r="D381" s="3899">
        <v>8</v>
      </c>
      <c r="E381" s="2992">
        <f>ROUND(B381*D381,2)</f>
        <v>8</v>
      </c>
    </row>
    <row r="382" spans="1:5">
      <c r="A382" s="2068" t="s">
        <v>41</v>
      </c>
      <c r="B382" s="2831">
        <v>1</v>
      </c>
      <c r="C382" s="3877" t="s">
        <v>11</v>
      </c>
      <c r="D382" s="3899">
        <v>100</v>
      </c>
      <c r="E382" s="2992">
        <f>ROUND(B382*D382,2)</f>
        <v>100</v>
      </c>
    </row>
    <row r="383" spans="1:5" ht="13.5" thickBot="1">
      <c r="A383" s="2099"/>
      <c r="B383" s="2993"/>
      <c r="C383" s="3882" t="s">
        <v>1037</v>
      </c>
      <c r="D383" s="3874" t="s">
        <v>1038</v>
      </c>
      <c r="E383" s="3881">
        <f>ROUND(SUM(E379:E382),2)</f>
        <v>469.61</v>
      </c>
    </row>
    <row r="384" spans="1:5" ht="13.5" thickTop="1">
      <c r="A384" s="2646"/>
      <c r="B384" s="2225"/>
      <c r="C384" s="3883"/>
      <c r="D384" s="2227"/>
      <c r="E384" s="2227"/>
    </row>
    <row r="385" spans="1:5" ht="13.5" thickBot="1">
      <c r="A385" s="2985" t="s">
        <v>177</v>
      </c>
      <c r="B385" s="2244"/>
      <c r="C385" s="2226"/>
      <c r="D385" s="2244"/>
      <c r="E385" s="2244"/>
    </row>
    <row r="386" spans="1:5" ht="13.5" thickTop="1">
      <c r="A386" s="2246" t="s">
        <v>178</v>
      </c>
      <c r="B386" s="3910">
        <v>4.3E-3</v>
      </c>
      <c r="C386" s="3876" t="s">
        <v>2</v>
      </c>
      <c r="D386" s="3898">
        <f>+E343</f>
        <v>5614.05</v>
      </c>
      <c r="E386" s="3011">
        <f>ROUND(B386*D386,2)</f>
        <v>24.14</v>
      </c>
    </row>
    <row r="387" spans="1:5">
      <c r="A387" s="2068" t="s">
        <v>154</v>
      </c>
      <c r="B387" s="2831">
        <v>0.11</v>
      </c>
      <c r="C387" s="3877" t="s">
        <v>155</v>
      </c>
      <c r="D387" s="3899">
        <v>45</v>
      </c>
      <c r="E387" s="2992">
        <f>ROUND(B387*D387,2)</f>
        <v>4.95</v>
      </c>
    </row>
    <row r="388" spans="1:5">
      <c r="A388" s="2068" t="s">
        <v>41</v>
      </c>
      <c r="B388" s="2831">
        <v>1</v>
      </c>
      <c r="C388" s="3877" t="s">
        <v>1</v>
      </c>
      <c r="D388" s="3899">
        <v>53.15</v>
      </c>
      <c r="E388" s="2992">
        <f>ROUND(B388*D388,2)</f>
        <v>53.15</v>
      </c>
    </row>
    <row r="389" spans="1:5" ht="13.5" thickBot="1">
      <c r="A389" s="2099"/>
      <c r="B389" s="2993"/>
      <c r="C389" s="3882" t="s">
        <v>1037</v>
      </c>
      <c r="D389" s="3880" t="s">
        <v>1039</v>
      </c>
      <c r="E389" s="3881">
        <f>ROUND(SUM(E386:E388),2)</f>
        <v>82.24</v>
      </c>
    </row>
    <row r="390" spans="1:5" ht="13.5" thickTop="1">
      <c r="A390" s="3888"/>
      <c r="B390" s="3886"/>
      <c r="C390" s="3887"/>
      <c r="D390" s="3886"/>
      <c r="E390" s="3886"/>
    </row>
    <row r="391" spans="1:5" ht="13.5" thickBot="1">
      <c r="A391" s="3911" t="s">
        <v>1464</v>
      </c>
      <c r="B391" s="3912"/>
      <c r="C391" s="3913"/>
      <c r="D391" s="3912"/>
      <c r="E391" s="3912"/>
    </row>
    <row r="392" spans="1:5" ht="13.5" thickTop="1">
      <c r="A392" s="3914" t="s">
        <v>1465</v>
      </c>
      <c r="B392" s="3915">
        <v>0.08</v>
      </c>
      <c r="C392" s="3916" t="s">
        <v>118</v>
      </c>
      <c r="D392" s="3917">
        <v>210</v>
      </c>
      <c r="E392" s="3011">
        <f>ROUND(B392*D392,2)</f>
        <v>16.8</v>
      </c>
    </row>
    <row r="393" spans="1:5">
      <c r="A393" s="3918" t="s">
        <v>1466</v>
      </c>
      <c r="B393" s="3919">
        <v>1</v>
      </c>
      <c r="C393" s="3920" t="s">
        <v>11</v>
      </c>
      <c r="D393" s="3921">
        <v>35.68</v>
      </c>
      <c r="E393" s="2992">
        <f>ROUND(B393*D393,2)</f>
        <v>35.68</v>
      </c>
    </row>
    <row r="394" spans="1:5">
      <c r="A394" s="3918" t="s">
        <v>1467</v>
      </c>
      <c r="B394" s="3919">
        <v>15</v>
      </c>
      <c r="C394" s="3922" t="s">
        <v>46</v>
      </c>
      <c r="D394" s="3921">
        <f>E392</f>
        <v>16.8</v>
      </c>
      <c r="E394" s="2992">
        <f>ROUND(B394*D394,2)/100</f>
        <v>2.52</v>
      </c>
    </row>
    <row r="395" spans="1:5" ht="13.5" thickBot="1">
      <c r="A395" s="3923"/>
      <c r="B395" s="3924"/>
      <c r="C395" s="3925"/>
      <c r="D395" s="2994" t="s">
        <v>1468</v>
      </c>
      <c r="E395" s="3926">
        <f>SUM(E392:E394)</f>
        <v>55</v>
      </c>
    </row>
    <row r="396" spans="1:5">
      <c r="A396" s="2984"/>
      <c r="B396" s="2988"/>
      <c r="C396" s="2984"/>
      <c r="D396" s="2988"/>
      <c r="E396" s="2988"/>
    </row>
    <row r="397" spans="1:5" ht="13.5" thickBot="1">
      <c r="A397" s="3911" t="s">
        <v>1469</v>
      </c>
      <c r="B397" s="3912"/>
      <c r="C397" s="3913"/>
      <c r="D397" s="3912"/>
      <c r="E397" s="3912"/>
    </row>
    <row r="398" spans="1:5" ht="13.5" thickTop="1">
      <c r="A398" s="3914" t="s">
        <v>1470</v>
      </c>
      <c r="B398" s="3915">
        <v>0.08</v>
      </c>
      <c r="C398" s="3916" t="s">
        <v>118</v>
      </c>
      <c r="D398" s="3917">
        <f>4250/5</f>
        <v>850</v>
      </c>
      <c r="E398" s="2992">
        <f>ROUND(B398*D398,2)</f>
        <v>68</v>
      </c>
    </row>
    <row r="399" spans="1:5">
      <c r="A399" s="3918" t="s">
        <v>1471</v>
      </c>
      <c r="B399" s="3919">
        <v>1</v>
      </c>
      <c r="C399" s="3920" t="s">
        <v>11</v>
      </c>
      <c r="D399" s="3921">
        <v>45</v>
      </c>
      <c r="E399" s="2992">
        <f>ROUND(B399*D399,2)</f>
        <v>45</v>
      </c>
    </row>
    <row r="400" spans="1:5">
      <c r="A400" s="3918" t="s">
        <v>1472</v>
      </c>
      <c r="B400" s="3919">
        <v>15</v>
      </c>
      <c r="C400" s="3922" t="s">
        <v>46</v>
      </c>
      <c r="D400" s="3921">
        <f>E398</f>
        <v>68</v>
      </c>
      <c r="E400" s="2992">
        <f>ROUND(B400*D400,2)/100</f>
        <v>10.199999999999999</v>
      </c>
    </row>
    <row r="401" spans="1:5" ht="13.5" thickBot="1">
      <c r="A401" s="3923"/>
      <c r="B401" s="3924"/>
      <c r="C401" s="3925"/>
      <c r="D401" s="2994" t="s">
        <v>1468</v>
      </c>
      <c r="E401" s="3927">
        <f>SUM(E398:E400)</f>
        <v>123.2</v>
      </c>
    </row>
    <row r="402" spans="1:5">
      <c r="A402" s="3888"/>
      <c r="B402" s="3886"/>
      <c r="C402" s="3887"/>
      <c r="D402" s="3886"/>
      <c r="E402" s="3886"/>
    </row>
    <row r="403" spans="1:5">
      <c r="A403" s="3928" t="s">
        <v>186</v>
      </c>
      <c r="B403" s="3928"/>
      <c r="C403" s="3928"/>
      <c r="D403" s="3928"/>
      <c r="E403" s="3928"/>
    </row>
    <row r="404" spans="1:5">
      <c r="A404" s="3929"/>
      <c r="B404" s="3929"/>
      <c r="C404" s="3929"/>
      <c r="D404" s="3929"/>
      <c r="E404" s="3929"/>
    </row>
    <row r="405" spans="1:5" ht="13.5" thickBot="1">
      <c r="A405" s="3930" t="s">
        <v>187</v>
      </c>
      <c r="B405" s="3929"/>
      <c r="C405" s="3929"/>
      <c r="D405" s="3929"/>
      <c r="E405" s="3929"/>
    </row>
    <row r="406" spans="1:5" ht="13.5" thickTop="1">
      <c r="A406" s="3931" t="s">
        <v>122</v>
      </c>
      <c r="B406" s="3932">
        <v>0.52</v>
      </c>
      <c r="C406" s="3933" t="s">
        <v>2</v>
      </c>
      <c r="D406" s="3934">
        <f>E145</f>
        <v>1115</v>
      </c>
      <c r="E406" s="3935">
        <f>B406*D406</f>
        <v>579.79999999999995</v>
      </c>
    </row>
    <row r="407" spans="1:5">
      <c r="A407" s="3936" t="s">
        <v>124</v>
      </c>
      <c r="B407" s="3937">
        <v>0.85</v>
      </c>
      <c r="C407" s="3938" t="s">
        <v>2</v>
      </c>
      <c r="D407" s="3939">
        <f>+E150</f>
        <v>1215</v>
      </c>
      <c r="E407" s="3940">
        <f>B407*D407</f>
        <v>1032.75</v>
      </c>
    </row>
    <row r="408" spans="1:5" ht="13.5" thickBot="1">
      <c r="A408" s="3936" t="s">
        <v>117</v>
      </c>
      <c r="B408" s="3941">
        <v>60</v>
      </c>
      <c r="C408" s="3938" t="s">
        <v>138</v>
      </c>
      <c r="D408" s="3939">
        <v>2.5</v>
      </c>
      <c r="E408" s="3940">
        <f>B408*D408</f>
        <v>150</v>
      </c>
    </row>
    <row r="409" spans="1:5" ht="13.5" thickTop="1">
      <c r="A409" s="3936" t="s">
        <v>188</v>
      </c>
      <c r="B409" s="3941">
        <v>6.4</v>
      </c>
      <c r="C409" s="3942" t="s">
        <v>144</v>
      </c>
      <c r="D409" s="3869">
        <v>325</v>
      </c>
      <c r="E409" s="3940">
        <f>B409*D409</f>
        <v>2080</v>
      </c>
    </row>
    <row r="410" spans="1:5">
      <c r="A410" s="3936" t="s">
        <v>189</v>
      </c>
      <c r="B410" s="3941">
        <v>0.5</v>
      </c>
      <c r="C410" s="3938" t="s">
        <v>148</v>
      </c>
      <c r="D410" s="3939">
        <v>650</v>
      </c>
      <c r="E410" s="3940">
        <f>B410*D410</f>
        <v>325</v>
      </c>
    </row>
    <row r="411" spans="1:5">
      <c r="A411" s="3943" t="s">
        <v>190</v>
      </c>
      <c r="B411" s="3937"/>
      <c r="C411" s="3937"/>
      <c r="D411" s="3937"/>
      <c r="E411" s="3940">
        <f>SUM(E406+E408+E409)*0.03</f>
        <v>84.29</v>
      </c>
    </row>
    <row r="412" spans="1:5" ht="13.5" thickBot="1">
      <c r="A412" s="3944"/>
      <c r="B412" s="3945"/>
      <c r="C412" s="3945"/>
      <c r="D412" s="3946" t="s">
        <v>1031</v>
      </c>
      <c r="E412" s="3947">
        <f>ROUND((SUM(E406:E411)),2)</f>
        <v>4251.84</v>
      </c>
    </row>
    <row r="413" spans="1:5" ht="13.5" thickTop="1">
      <c r="A413" s="3888"/>
      <c r="B413" s="3886"/>
      <c r="C413" s="3887"/>
      <c r="D413" s="3886"/>
      <c r="E413" s="3886"/>
    </row>
    <row r="414" spans="1:5" ht="13.5" thickBot="1">
      <c r="A414" s="3948" t="s">
        <v>191</v>
      </c>
      <c r="B414" s="3929"/>
      <c r="C414" s="3929"/>
      <c r="D414" s="3929"/>
      <c r="E414" s="3929"/>
    </row>
    <row r="415" spans="1:5" ht="13.5" thickTop="1">
      <c r="A415" s="3931" t="s">
        <v>192</v>
      </c>
      <c r="B415" s="3949">
        <v>13</v>
      </c>
      <c r="C415" s="3933" t="s">
        <v>3</v>
      </c>
      <c r="D415" s="3934">
        <v>28.5</v>
      </c>
      <c r="E415" s="3935">
        <f t="shared" ref="E415:E422" si="3">B415*D415</f>
        <v>370.5</v>
      </c>
    </row>
    <row r="416" spans="1:5">
      <c r="A416" s="3936" t="s">
        <v>193</v>
      </c>
      <c r="B416" s="3941">
        <v>13</v>
      </c>
      <c r="C416" s="3938" t="s">
        <v>3</v>
      </c>
      <c r="D416" s="3939">
        <v>16</v>
      </c>
      <c r="E416" s="3940">
        <f t="shared" si="3"/>
        <v>208</v>
      </c>
    </row>
    <row r="417" spans="1:5">
      <c r="A417" s="3943" t="s">
        <v>194</v>
      </c>
      <c r="B417" s="3937">
        <v>3.1199999999999999E-2</v>
      </c>
      <c r="C417" s="3938" t="s">
        <v>2</v>
      </c>
      <c r="D417" s="3939">
        <f>+E343</f>
        <v>5614.05</v>
      </c>
      <c r="E417" s="3940">
        <f t="shared" si="3"/>
        <v>175.16</v>
      </c>
    </row>
    <row r="418" spans="1:5">
      <c r="A418" s="3936" t="s">
        <v>195</v>
      </c>
      <c r="B418" s="3950">
        <v>0.01</v>
      </c>
      <c r="C418" s="3938" t="s">
        <v>2</v>
      </c>
      <c r="D418" s="3939">
        <f>+E412</f>
        <v>4251.84</v>
      </c>
      <c r="E418" s="3940">
        <f t="shared" si="3"/>
        <v>42.52</v>
      </c>
    </row>
    <row r="419" spans="1:5">
      <c r="A419" s="3936" t="s">
        <v>196</v>
      </c>
      <c r="B419" s="3937">
        <v>2.9600000000000001E-2</v>
      </c>
      <c r="C419" s="3938" t="s">
        <v>126</v>
      </c>
      <c r="D419" s="3939">
        <f>+E209</f>
        <v>2875</v>
      </c>
      <c r="E419" s="3940">
        <f t="shared" si="3"/>
        <v>85.1</v>
      </c>
    </row>
    <row r="420" spans="1:5">
      <c r="A420" s="3936" t="s">
        <v>197</v>
      </c>
      <c r="B420" s="3937">
        <v>0.18179999999999999</v>
      </c>
      <c r="C420" s="3938" t="s">
        <v>155</v>
      </c>
      <c r="D420" s="3939">
        <v>45</v>
      </c>
      <c r="E420" s="3940">
        <f t="shared" si="3"/>
        <v>8.18</v>
      </c>
    </row>
    <row r="421" spans="1:5">
      <c r="A421" s="3936" t="s">
        <v>198</v>
      </c>
      <c r="B421" s="3937">
        <v>2.3E-2</v>
      </c>
      <c r="C421" s="3938" t="s">
        <v>148</v>
      </c>
      <c r="D421" s="3939">
        <v>650</v>
      </c>
      <c r="E421" s="3940">
        <f t="shared" si="3"/>
        <v>14.95</v>
      </c>
    </row>
    <row r="422" spans="1:5">
      <c r="A422" s="3936" t="s">
        <v>199</v>
      </c>
      <c r="B422" s="3950">
        <v>0.01</v>
      </c>
      <c r="C422" s="3938" t="s">
        <v>2</v>
      </c>
      <c r="D422" s="3939">
        <v>650</v>
      </c>
      <c r="E422" s="3940">
        <f t="shared" si="3"/>
        <v>6.5</v>
      </c>
    </row>
    <row r="423" spans="1:5" ht="13.5" thickBot="1">
      <c r="A423" s="3944"/>
      <c r="B423" s="3945"/>
      <c r="C423" s="3945"/>
      <c r="D423" s="3946" t="s">
        <v>1031</v>
      </c>
      <c r="E423" s="3947">
        <f>ROUND((SUM(E415:E422)),2)</f>
        <v>910.91</v>
      </c>
    </row>
    <row r="424" spans="1:5" ht="13.5" thickTop="1">
      <c r="A424" s="3948" t="s">
        <v>1473</v>
      </c>
      <c r="B424" s="3951">
        <f>E423-(E421+E420)</f>
        <v>887.78</v>
      </c>
      <c r="C424" s="3929"/>
      <c r="D424" s="3952"/>
      <c r="E424" s="3953"/>
    </row>
    <row r="425" spans="1:5">
      <c r="A425" s="3888"/>
      <c r="B425" s="3886"/>
      <c r="C425" s="3887"/>
      <c r="D425" s="3886"/>
      <c r="E425" s="3886"/>
    </row>
    <row r="426" spans="1:5">
      <c r="A426" s="3888"/>
      <c r="B426" s="3886"/>
      <c r="C426" s="3887"/>
      <c r="D426" s="3886"/>
      <c r="E426" s="3886"/>
    </row>
    <row r="427" spans="1:5">
      <c r="A427" s="3888"/>
      <c r="B427" s="3886"/>
      <c r="C427" s="3887"/>
      <c r="D427" s="3886"/>
      <c r="E427" s="3886"/>
    </row>
    <row r="428" spans="1:5">
      <c r="A428" s="3888"/>
      <c r="B428" s="3886"/>
      <c r="C428" s="3887"/>
      <c r="D428" s="3886"/>
      <c r="E428" s="3886"/>
    </row>
    <row r="429" spans="1:5">
      <c r="A429" s="3888"/>
      <c r="B429" s="3886"/>
      <c r="C429" s="3887"/>
      <c r="D429" s="3886"/>
      <c r="E429" s="3886"/>
    </row>
    <row r="430" spans="1:5">
      <c r="A430" s="3888"/>
      <c r="B430" s="3886"/>
      <c r="C430" s="3887"/>
      <c r="D430" s="3886"/>
      <c r="E430" s="3886"/>
    </row>
    <row r="431" spans="1:5">
      <c r="A431" s="3888"/>
      <c r="B431" s="3886"/>
      <c r="C431" s="3887"/>
      <c r="D431" s="3886"/>
      <c r="E431" s="3886"/>
    </row>
    <row r="432" spans="1:5">
      <c r="A432" s="3888"/>
      <c r="B432" s="3886"/>
      <c r="C432" s="3887"/>
      <c r="D432" s="3886"/>
      <c r="E432" s="3886"/>
    </row>
    <row r="433" spans="1:5">
      <c r="A433" s="3888"/>
      <c r="B433" s="3886"/>
      <c r="C433" s="3887"/>
      <c r="D433" s="3886"/>
      <c r="E433" s="3886"/>
    </row>
    <row r="434" spans="1:5">
      <c r="A434" s="3888"/>
      <c r="B434" s="3886"/>
      <c r="C434" s="3887"/>
      <c r="D434" s="3886"/>
      <c r="E434" s="3886"/>
    </row>
    <row r="435" spans="1:5">
      <c r="A435" s="3888"/>
      <c r="B435" s="3886"/>
      <c r="C435" s="3887"/>
      <c r="D435" s="3886"/>
      <c r="E435" s="3886"/>
    </row>
    <row r="436" spans="1:5">
      <c r="A436" s="3888"/>
      <c r="B436" s="3886"/>
      <c r="C436" s="3887"/>
      <c r="D436" s="3886"/>
      <c r="E436" s="3886"/>
    </row>
    <row r="437" spans="1:5">
      <c r="A437" s="3888"/>
      <c r="B437" s="3886"/>
      <c r="C437" s="3887"/>
      <c r="D437" s="3886"/>
      <c r="E437" s="3886"/>
    </row>
    <row r="438" spans="1:5">
      <c r="A438" s="3888"/>
      <c r="B438" s="3886"/>
      <c r="C438" s="3887"/>
      <c r="D438" s="3886"/>
      <c r="E438" s="3886"/>
    </row>
    <row r="439" spans="1:5">
      <c r="A439" s="3888"/>
      <c r="B439" s="3886"/>
      <c r="C439" s="3887"/>
      <c r="D439" s="3886"/>
      <c r="E439" s="3886"/>
    </row>
    <row r="440" spans="1:5">
      <c r="A440" s="3888"/>
      <c r="B440" s="3886"/>
      <c r="C440" s="3887"/>
      <c r="D440" s="3886"/>
      <c r="E440" s="3886"/>
    </row>
    <row r="441" spans="1:5">
      <c r="A441" s="3888"/>
      <c r="B441" s="3886"/>
      <c r="C441" s="3887"/>
      <c r="D441" s="3886"/>
      <c r="E441" s="3886"/>
    </row>
    <row r="442" spans="1:5">
      <c r="A442" s="3888"/>
      <c r="B442" s="3886"/>
      <c r="C442" s="3887"/>
      <c r="D442" s="3886"/>
      <c r="E442" s="3886"/>
    </row>
    <row r="443" spans="1:5">
      <c r="A443" s="5227" t="s">
        <v>1474</v>
      </c>
      <c r="B443" s="5227"/>
      <c r="C443" s="5227"/>
      <c r="D443" s="5227"/>
      <c r="E443" s="5227"/>
    </row>
    <row r="444" spans="1:5">
      <c r="A444" s="3954"/>
      <c r="B444" s="3954"/>
      <c r="C444" s="3954"/>
      <c r="D444" s="3954"/>
      <c r="E444" s="3955"/>
    </row>
    <row r="445" spans="1:5" ht="13.5" thickBot="1">
      <c r="A445" s="3956" t="s">
        <v>1475</v>
      </c>
      <c r="B445" s="3957"/>
      <c r="C445" s="3957"/>
      <c r="D445" s="3957"/>
      <c r="E445" s="3958"/>
    </row>
    <row r="446" spans="1:5" ht="13.5" thickTop="1">
      <c r="A446" s="3959" t="s">
        <v>1060</v>
      </c>
      <c r="B446" s="3960">
        <v>1.05</v>
      </c>
      <c r="C446" s="3961" t="s">
        <v>2</v>
      </c>
      <c r="D446" s="3962">
        <f>E187</f>
        <v>3594.68</v>
      </c>
      <c r="E446" s="3963">
        <f>B446*D446</f>
        <v>3774.41</v>
      </c>
    </row>
    <row r="447" spans="1:5">
      <c r="A447" s="3964" t="s">
        <v>272</v>
      </c>
      <c r="B447" s="3965">
        <v>0.6</v>
      </c>
      <c r="C447" s="3966" t="s">
        <v>126</v>
      </c>
      <c r="D447" s="3967">
        <f>+E209</f>
        <v>2875</v>
      </c>
      <c r="E447" s="3968">
        <f>B447*D447</f>
        <v>1725</v>
      </c>
    </row>
    <row r="448" spans="1:5" ht="13.5" thickBot="1">
      <c r="A448" s="3969"/>
      <c r="B448" s="3970"/>
      <c r="C448" s="3970"/>
      <c r="D448" s="3971"/>
      <c r="E448" s="3972">
        <f>SUM(E446:E447)</f>
        <v>5499.41</v>
      </c>
    </row>
    <row r="449" spans="1:5" ht="14.25" thickTop="1" thickBot="1">
      <c r="A449" s="3954"/>
      <c r="B449" s="3954"/>
      <c r="C449" s="3954"/>
      <c r="D449" s="3954"/>
      <c r="E449" s="3955"/>
    </row>
    <row r="450" spans="1:5">
      <c r="A450" s="3973" t="s">
        <v>285</v>
      </c>
      <c r="B450" s="3974" t="s">
        <v>286</v>
      </c>
      <c r="C450" s="3975" t="s">
        <v>340</v>
      </c>
      <c r="D450" s="3975" t="s">
        <v>288</v>
      </c>
      <c r="E450" s="3976" t="s">
        <v>289</v>
      </c>
    </row>
    <row r="451" spans="1:5">
      <c r="A451" s="3977" t="s">
        <v>37</v>
      </c>
      <c r="B451" s="3978">
        <v>12</v>
      </c>
      <c r="C451" s="3979" t="s">
        <v>1</v>
      </c>
      <c r="D451" s="3980">
        <v>8.5</v>
      </c>
      <c r="E451" s="3981">
        <f t="shared" ref="E451:E471" si="4">B451*D451</f>
        <v>102</v>
      </c>
    </row>
    <row r="452" spans="1:5">
      <c r="A452" s="3982" t="s">
        <v>1476</v>
      </c>
      <c r="B452" s="3983">
        <v>1.35</v>
      </c>
      <c r="C452" s="3984" t="s">
        <v>2</v>
      </c>
      <c r="D452" s="3985">
        <v>334.5</v>
      </c>
      <c r="E452" s="3986">
        <f t="shared" si="4"/>
        <v>451.58</v>
      </c>
    </row>
    <row r="453" spans="1:5">
      <c r="A453" s="3987" t="s">
        <v>1254</v>
      </c>
      <c r="B453" s="3988">
        <v>1.68</v>
      </c>
      <c r="C453" s="3984" t="s">
        <v>2</v>
      </c>
      <c r="D453" s="3985">
        <v>165</v>
      </c>
      <c r="E453" s="3986">
        <f t="shared" si="4"/>
        <v>277.2</v>
      </c>
    </row>
    <row r="454" spans="1:5">
      <c r="A454" s="3987" t="s">
        <v>1103</v>
      </c>
      <c r="B454" s="3988">
        <v>1.35</v>
      </c>
      <c r="C454" s="3984" t="s">
        <v>2</v>
      </c>
      <c r="D454" s="3989">
        <f>+E448</f>
        <v>5499.41</v>
      </c>
      <c r="E454" s="3986">
        <f t="shared" si="4"/>
        <v>7424.2</v>
      </c>
    </row>
    <row r="455" spans="1:5">
      <c r="A455" s="3987" t="s">
        <v>1477</v>
      </c>
      <c r="B455" s="3983">
        <v>7.2</v>
      </c>
      <c r="C455" s="3984" t="s">
        <v>11</v>
      </c>
      <c r="D455" s="3985">
        <f>E423</f>
        <v>910.91</v>
      </c>
      <c r="E455" s="3986">
        <f t="shared" si="4"/>
        <v>6558.55</v>
      </c>
    </row>
    <row r="456" spans="1:5">
      <c r="A456" s="3990" t="s">
        <v>1105</v>
      </c>
      <c r="B456" s="3991">
        <v>12</v>
      </c>
      <c r="C456" s="3992" t="s">
        <v>13</v>
      </c>
      <c r="D456" s="3993">
        <v>52.79</v>
      </c>
      <c r="E456" s="3994">
        <f t="shared" si="4"/>
        <v>633.48</v>
      </c>
    </row>
    <row r="457" spans="1:5">
      <c r="A457" s="3995" t="s">
        <v>1478</v>
      </c>
      <c r="B457" s="3991">
        <v>4</v>
      </c>
      <c r="C457" s="3992" t="s">
        <v>3</v>
      </c>
      <c r="D457" s="3993">
        <v>1493.33</v>
      </c>
      <c r="E457" s="3994">
        <f t="shared" si="4"/>
        <v>5973.32</v>
      </c>
    </row>
    <row r="458" spans="1:5">
      <c r="A458" s="3990" t="s">
        <v>1106</v>
      </c>
      <c r="B458" s="3991">
        <v>2</v>
      </c>
      <c r="C458" s="3992" t="s">
        <v>3</v>
      </c>
      <c r="D458" s="3993">
        <v>1205.8499999999999</v>
      </c>
      <c r="E458" s="3994">
        <f t="shared" si="4"/>
        <v>2411.6999999999998</v>
      </c>
    </row>
    <row r="459" spans="1:5">
      <c r="A459" s="3995" t="s">
        <v>1107</v>
      </c>
      <c r="B459" s="3991">
        <v>21.6</v>
      </c>
      <c r="C459" s="3992" t="s">
        <v>11</v>
      </c>
      <c r="D459" s="3993">
        <v>237.49</v>
      </c>
      <c r="E459" s="3994">
        <f t="shared" si="4"/>
        <v>5129.78</v>
      </c>
    </row>
    <row r="460" spans="1:5">
      <c r="A460" s="3990" t="s">
        <v>1108</v>
      </c>
      <c r="B460" s="3991">
        <v>2</v>
      </c>
      <c r="C460" s="3992" t="s">
        <v>3</v>
      </c>
      <c r="D460" s="3993">
        <v>33</v>
      </c>
      <c r="E460" s="3994">
        <f t="shared" si="4"/>
        <v>66</v>
      </c>
    </row>
    <row r="461" spans="1:5">
      <c r="A461" s="3990" t="s">
        <v>1109</v>
      </c>
      <c r="B461" s="3991">
        <v>3</v>
      </c>
      <c r="C461" s="3992" t="s">
        <v>3</v>
      </c>
      <c r="D461" s="3993">
        <v>35</v>
      </c>
      <c r="E461" s="3994">
        <f t="shared" si="4"/>
        <v>105</v>
      </c>
    </row>
    <row r="462" spans="1:5">
      <c r="A462" s="3995" t="s">
        <v>1110</v>
      </c>
      <c r="B462" s="3991">
        <v>4</v>
      </c>
      <c r="C462" s="3992" t="s">
        <v>3</v>
      </c>
      <c r="D462" s="3993">
        <v>130</v>
      </c>
      <c r="E462" s="3994">
        <f t="shared" si="4"/>
        <v>520</v>
      </c>
    </row>
    <row r="463" spans="1:5">
      <c r="A463" s="3990" t="s">
        <v>1111</v>
      </c>
      <c r="B463" s="3991">
        <v>36</v>
      </c>
      <c r="C463" s="3992" t="s">
        <v>13</v>
      </c>
      <c r="D463" s="3993">
        <v>6.5</v>
      </c>
      <c r="E463" s="3994">
        <f t="shared" si="4"/>
        <v>234</v>
      </c>
    </row>
    <row r="464" spans="1:5">
      <c r="A464" s="3995" t="s">
        <v>1112</v>
      </c>
      <c r="B464" s="3991">
        <v>1</v>
      </c>
      <c r="C464" s="3992" t="s">
        <v>183</v>
      </c>
      <c r="D464" s="3993">
        <v>36</v>
      </c>
      <c r="E464" s="3994">
        <f t="shared" si="4"/>
        <v>36</v>
      </c>
    </row>
    <row r="465" spans="1:5">
      <c r="A465" s="3990" t="s">
        <v>1113</v>
      </c>
      <c r="B465" s="3991">
        <v>19.2</v>
      </c>
      <c r="C465" s="3992" t="s">
        <v>11</v>
      </c>
      <c r="D465" s="3993">
        <f>+E358</f>
        <v>321.97000000000003</v>
      </c>
      <c r="E465" s="3994">
        <f t="shared" si="4"/>
        <v>6181.82</v>
      </c>
    </row>
    <row r="466" spans="1:5">
      <c r="A466" s="3990" t="s">
        <v>1479</v>
      </c>
      <c r="B466" s="3991">
        <v>34.200000000000003</v>
      </c>
      <c r="C466" s="3992" t="s">
        <v>11</v>
      </c>
      <c r="D466" s="3993">
        <f>+E395</f>
        <v>55</v>
      </c>
      <c r="E466" s="3994">
        <f>B466*D466</f>
        <v>1881</v>
      </c>
    </row>
    <row r="467" spans="1:5">
      <c r="A467" s="3990" t="s">
        <v>1480</v>
      </c>
      <c r="B467" s="3991">
        <v>34.200000000000003</v>
      </c>
      <c r="C467" s="3992" t="s">
        <v>11</v>
      </c>
      <c r="D467" s="3993">
        <f>+E401</f>
        <v>123.2</v>
      </c>
      <c r="E467" s="3994">
        <f t="shared" si="4"/>
        <v>4213.4399999999996</v>
      </c>
    </row>
    <row r="468" spans="1:5">
      <c r="A468" s="3990" t="s">
        <v>1115</v>
      </c>
      <c r="B468" s="3991">
        <v>2</v>
      </c>
      <c r="C468" s="3992" t="s">
        <v>3</v>
      </c>
      <c r="D468" s="3993">
        <v>316</v>
      </c>
      <c r="E468" s="3994">
        <f t="shared" si="4"/>
        <v>632</v>
      </c>
    </row>
    <row r="469" spans="1:5">
      <c r="A469" s="3990" t="s">
        <v>1116</v>
      </c>
      <c r="B469" s="3991">
        <v>6</v>
      </c>
      <c r="C469" s="3992" t="s">
        <v>3</v>
      </c>
      <c r="D469" s="3996">
        <v>26</v>
      </c>
      <c r="E469" s="3994">
        <f t="shared" si="4"/>
        <v>156</v>
      </c>
    </row>
    <row r="470" spans="1:5">
      <c r="A470" s="3990" t="s">
        <v>41</v>
      </c>
      <c r="B470" s="3991">
        <v>12</v>
      </c>
      <c r="C470" s="3992" t="s">
        <v>13</v>
      </c>
      <c r="D470" s="3993">
        <v>192.5</v>
      </c>
      <c r="E470" s="3994">
        <f t="shared" si="4"/>
        <v>2310</v>
      </c>
    </row>
    <row r="471" spans="1:5">
      <c r="A471" s="3990" t="s">
        <v>1481</v>
      </c>
      <c r="B471" s="3991">
        <v>16.8</v>
      </c>
      <c r="C471" s="3992" t="s">
        <v>11</v>
      </c>
      <c r="D471" s="3993">
        <f>+D467</f>
        <v>123.2</v>
      </c>
      <c r="E471" s="3994">
        <f t="shared" si="4"/>
        <v>2069.7600000000002</v>
      </c>
    </row>
    <row r="472" spans="1:5">
      <c r="A472" s="3997" t="s">
        <v>1118</v>
      </c>
      <c r="B472" s="3998"/>
      <c r="C472" s="3998"/>
      <c r="D472" s="3999"/>
      <c r="E472" s="4000">
        <f>SUM(E451:E471)</f>
        <v>47366.83</v>
      </c>
    </row>
    <row r="473" spans="1:5" ht="13.5" thickBot="1">
      <c r="A473" s="4001" t="s">
        <v>1482</v>
      </c>
      <c r="B473" s="4002"/>
      <c r="C473" s="4003"/>
      <c r="D473" s="4003"/>
      <c r="E473" s="4004">
        <f>ROUND(E472/12,2)</f>
        <v>3947.24</v>
      </c>
    </row>
    <row r="474" spans="1:5">
      <c r="A474" s="4005"/>
      <c r="B474" s="4005"/>
      <c r="C474" s="4005"/>
      <c r="D474" s="4005"/>
      <c r="E474" s="4006"/>
    </row>
    <row r="475" spans="1:5">
      <c r="A475" s="4007"/>
      <c r="B475" s="4007"/>
      <c r="C475" s="4007"/>
      <c r="D475" s="4007"/>
      <c r="E475" s="4008"/>
    </row>
    <row r="476" spans="1:5" ht="13.5" thickBot="1">
      <c r="A476" s="5227" t="s">
        <v>1121</v>
      </c>
      <c r="B476" s="5227"/>
      <c r="C476" s="5227"/>
      <c r="D476" s="5227"/>
      <c r="E476" s="5227"/>
    </row>
    <row r="477" spans="1:5" ht="13.5" thickBot="1">
      <c r="A477" s="4009" t="s">
        <v>285</v>
      </c>
      <c r="B477" s="4010" t="s">
        <v>286</v>
      </c>
      <c r="C477" s="4010" t="s">
        <v>340</v>
      </c>
      <c r="D477" s="4010" t="s">
        <v>288</v>
      </c>
      <c r="E477" s="4011" t="s">
        <v>289</v>
      </c>
    </row>
    <row r="478" spans="1:5">
      <c r="A478" s="4012" t="s">
        <v>1483</v>
      </c>
      <c r="B478" s="4013">
        <v>4</v>
      </c>
      <c r="C478" s="4014" t="s">
        <v>3</v>
      </c>
      <c r="D478" s="4015">
        <v>1908.5</v>
      </c>
      <c r="E478" s="4016">
        <f t="shared" ref="E478:E486" si="5">B478*D478</f>
        <v>7634</v>
      </c>
    </row>
    <row r="479" spans="1:5">
      <c r="A479" s="3990" t="s">
        <v>1122</v>
      </c>
      <c r="B479" s="4017">
        <v>8</v>
      </c>
      <c r="C479" s="3992" t="s">
        <v>3</v>
      </c>
      <c r="D479" s="3996">
        <f>+D457</f>
        <v>1493.33</v>
      </c>
      <c r="E479" s="3994">
        <f t="shared" si="5"/>
        <v>11946.64</v>
      </c>
    </row>
    <row r="480" spans="1:5">
      <c r="A480" s="3990" t="s">
        <v>1124</v>
      </c>
      <c r="B480" s="4017">
        <v>2</v>
      </c>
      <c r="C480" s="3992" t="s">
        <v>3</v>
      </c>
      <c r="D480" s="3996">
        <v>33</v>
      </c>
      <c r="E480" s="3994">
        <f t="shared" si="5"/>
        <v>66</v>
      </c>
    </row>
    <row r="481" spans="1:5">
      <c r="A481" s="3990" t="s">
        <v>1125</v>
      </c>
      <c r="B481" s="4017">
        <v>4</v>
      </c>
      <c r="C481" s="3992" t="s">
        <v>3</v>
      </c>
      <c r="D481" s="3996">
        <v>35</v>
      </c>
      <c r="E481" s="3994">
        <f t="shared" si="5"/>
        <v>140</v>
      </c>
    </row>
    <row r="482" spans="1:5">
      <c r="A482" s="3990" t="s">
        <v>977</v>
      </c>
      <c r="B482" s="4017">
        <v>8.25</v>
      </c>
      <c r="C482" s="3992" t="s">
        <v>11</v>
      </c>
      <c r="D482" s="3996">
        <v>237.49</v>
      </c>
      <c r="E482" s="3994">
        <f t="shared" si="5"/>
        <v>1959.29</v>
      </c>
    </row>
    <row r="483" spans="1:5">
      <c r="A483" s="3990" t="s">
        <v>1126</v>
      </c>
      <c r="B483" s="4017">
        <v>2</v>
      </c>
      <c r="C483" s="3992" t="s">
        <v>3</v>
      </c>
      <c r="D483" s="3993">
        <v>316</v>
      </c>
      <c r="E483" s="3994">
        <f t="shared" si="5"/>
        <v>632</v>
      </c>
    </row>
    <row r="484" spans="1:5">
      <c r="A484" s="3990" t="s">
        <v>1116</v>
      </c>
      <c r="B484" s="4017">
        <v>6</v>
      </c>
      <c r="C484" s="3992" t="s">
        <v>3</v>
      </c>
      <c r="D484" s="3996">
        <v>26</v>
      </c>
      <c r="E484" s="3994">
        <f t="shared" si="5"/>
        <v>156</v>
      </c>
    </row>
    <row r="485" spans="1:5">
      <c r="A485" s="3990" t="s">
        <v>1127</v>
      </c>
      <c r="B485" s="4017">
        <v>2</v>
      </c>
      <c r="C485" s="3992" t="s">
        <v>1128</v>
      </c>
      <c r="D485" s="3996">
        <v>36</v>
      </c>
      <c r="E485" s="3994">
        <f t="shared" si="5"/>
        <v>72</v>
      </c>
    </row>
    <row r="486" spans="1:5">
      <c r="A486" s="3995" t="s">
        <v>1129</v>
      </c>
      <c r="B486" s="4017">
        <v>1</v>
      </c>
      <c r="C486" s="3992" t="s">
        <v>148</v>
      </c>
      <c r="D486" s="3996">
        <v>2500</v>
      </c>
      <c r="E486" s="3994">
        <f t="shared" si="5"/>
        <v>2500</v>
      </c>
    </row>
    <row r="487" spans="1:5">
      <c r="A487" s="4018" t="s">
        <v>1130</v>
      </c>
      <c r="B487" s="4017"/>
      <c r="C487" s="3992"/>
      <c r="D487" s="3996"/>
      <c r="E487" s="3994"/>
    </row>
    <row r="488" spans="1:5">
      <c r="A488" s="3990" t="s">
        <v>1131</v>
      </c>
      <c r="B488" s="4017">
        <v>1</v>
      </c>
      <c r="C488" s="3992" t="s">
        <v>148</v>
      </c>
      <c r="D488" s="3996">
        <v>1977</v>
      </c>
      <c r="E488" s="3994">
        <f t="shared" ref="E488:E495" si="6">B488*D488</f>
        <v>1977</v>
      </c>
    </row>
    <row r="489" spans="1:5">
      <c r="A489" s="3995" t="s">
        <v>1132</v>
      </c>
      <c r="B489" s="4017">
        <v>1</v>
      </c>
      <c r="C489" s="3992" t="s">
        <v>148</v>
      </c>
      <c r="D489" s="3996">
        <v>850</v>
      </c>
      <c r="E489" s="3994">
        <f t="shared" si="6"/>
        <v>850</v>
      </c>
    </row>
    <row r="490" spans="1:5">
      <c r="A490" s="3990" t="s">
        <v>1133</v>
      </c>
      <c r="B490" s="4017">
        <v>1</v>
      </c>
      <c r="C490" s="3992" t="s">
        <v>148</v>
      </c>
      <c r="D490" s="3996">
        <v>650</v>
      </c>
      <c r="E490" s="3994">
        <f t="shared" si="6"/>
        <v>650</v>
      </c>
    </row>
    <row r="491" spans="1:5">
      <c r="A491" s="3990" t="s">
        <v>1134</v>
      </c>
      <c r="B491" s="4017">
        <v>1</v>
      </c>
      <c r="C491" s="3992" t="s">
        <v>3</v>
      </c>
      <c r="D491" s="3996">
        <v>450</v>
      </c>
      <c r="E491" s="3994">
        <f t="shared" si="6"/>
        <v>450</v>
      </c>
    </row>
    <row r="492" spans="1:5">
      <c r="A492" s="3990" t="s">
        <v>1135</v>
      </c>
      <c r="B492" s="4017">
        <v>1</v>
      </c>
      <c r="C492" s="3992" t="s">
        <v>3</v>
      </c>
      <c r="D492" s="3996">
        <v>145</v>
      </c>
      <c r="E492" s="3994">
        <f t="shared" si="6"/>
        <v>145</v>
      </c>
    </row>
    <row r="493" spans="1:5">
      <c r="A493" s="3990" t="s">
        <v>1136</v>
      </c>
      <c r="B493" s="4017">
        <v>6</v>
      </c>
      <c r="C493" s="3992" t="s">
        <v>3</v>
      </c>
      <c r="D493" s="3996">
        <v>87.65</v>
      </c>
      <c r="E493" s="3994">
        <f t="shared" si="6"/>
        <v>525.9</v>
      </c>
    </row>
    <row r="494" spans="1:5">
      <c r="A494" s="3990" t="s">
        <v>1137</v>
      </c>
      <c r="B494" s="4017">
        <v>12</v>
      </c>
      <c r="C494" s="3992" t="s">
        <v>13</v>
      </c>
      <c r="D494" s="3996">
        <v>6.5</v>
      </c>
      <c r="E494" s="3994">
        <f t="shared" si="6"/>
        <v>78</v>
      </c>
    </row>
    <row r="495" spans="1:5">
      <c r="A495" s="3990" t="s">
        <v>536</v>
      </c>
      <c r="B495" s="4017">
        <v>16.34</v>
      </c>
      <c r="C495" s="3992" t="s">
        <v>11</v>
      </c>
      <c r="D495" s="3996">
        <f>+D471</f>
        <v>123.2</v>
      </c>
      <c r="E495" s="3994">
        <f t="shared" si="6"/>
        <v>2013.09</v>
      </c>
    </row>
    <row r="496" spans="1:5">
      <c r="A496" s="3990" t="s">
        <v>1138</v>
      </c>
      <c r="B496" s="4017"/>
      <c r="C496" s="3992"/>
      <c r="D496" s="3996" t="s">
        <v>42</v>
      </c>
      <c r="E496" s="3994">
        <v>3500</v>
      </c>
    </row>
    <row r="497" spans="1:5">
      <c r="A497" s="3990" t="s">
        <v>8</v>
      </c>
      <c r="B497" s="4017"/>
      <c r="C497" s="3992"/>
      <c r="D497" s="3996" t="s">
        <v>42</v>
      </c>
      <c r="E497" s="3994">
        <v>1000</v>
      </c>
    </row>
    <row r="498" spans="1:5" ht="13.5" thickBot="1">
      <c r="A498" s="4001" t="s">
        <v>1139</v>
      </c>
      <c r="B498" s="4019"/>
      <c r="C498" s="4019"/>
      <c r="D498" s="4020" t="s">
        <v>1039</v>
      </c>
      <c r="E498" s="4004">
        <f>SUM(E478:E497)</f>
        <v>36294.92</v>
      </c>
    </row>
    <row r="499" spans="1:5">
      <c r="A499" s="3888"/>
      <c r="B499" s="3886"/>
      <c r="C499" s="3887"/>
      <c r="D499" s="3886"/>
      <c r="E499" s="3886"/>
    </row>
    <row r="500" spans="1:5">
      <c r="A500" s="3888"/>
      <c r="B500" s="3886"/>
      <c r="C500" s="3887"/>
      <c r="D500" s="3886"/>
      <c r="E500" s="3886"/>
    </row>
    <row r="501" spans="1:5">
      <c r="A501" s="4021" t="s">
        <v>1484</v>
      </c>
      <c r="B501" s="4022"/>
      <c r="C501" s="4023"/>
      <c r="D501" s="4024"/>
      <c r="E501" s="4025"/>
    </row>
    <row r="502" spans="1:5" ht="13.5" thickBot="1">
      <c r="A502" s="4021" t="s">
        <v>1485</v>
      </c>
      <c r="B502" s="4026"/>
      <c r="C502" s="4027"/>
      <c r="D502" s="4026"/>
      <c r="E502" s="4026"/>
    </row>
    <row r="503" spans="1:5" ht="13.5" thickTop="1">
      <c r="A503" s="4028" t="s">
        <v>1060</v>
      </c>
      <c r="B503" s="4029">
        <v>1.05</v>
      </c>
      <c r="C503" s="4030" t="s">
        <v>2</v>
      </c>
      <c r="D503" s="4031">
        <f>+E187</f>
        <v>3594.68</v>
      </c>
      <c r="E503" s="4032">
        <f>B503*D503</f>
        <v>3774.41</v>
      </c>
    </row>
    <row r="504" spans="1:5">
      <c r="A504" s="4033" t="s">
        <v>1486</v>
      </c>
      <c r="B504" s="4034">
        <v>4.79</v>
      </c>
      <c r="C504" s="4035" t="s">
        <v>126</v>
      </c>
      <c r="D504" s="4036">
        <f>+E203</f>
        <v>2590</v>
      </c>
      <c r="E504" s="4037">
        <f>B504*D504</f>
        <v>12406.1</v>
      </c>
    </row>
    <row r="505" spans="1:5">
      <c r="A505" s="4038" t="s">
        <v>41</v>
      </c>
      <c r="B505" s="4034">
        <f>1/(0.25*0.25)</f>
        <v>16</v>
      </c>
      <c r="C505" s="4035" t="s">
        <v>13</v>
      </c>
      <c r="D505" s="4036">
        <v>250</v>
      </c>
      <c r="E505" s="4037">
        <f>B505*D505</f>
        <v>4000</v>
      </c>
    </row>
    <row r="506" spans="1:5">
      <c r="A506" s="4033" t="s">
        <v>1089</v>
      </c>
      <c r="B506" s="4034">
        <f>1/(0.25*0.25)</f>
        <v>16</v>
      </c>
      <c r="C506" s="4035" t="s">
        <v>13</v>
      </c>
      <c r="D506" s="4036">
        <v>100</v>
      </c>
      <c r="E506" s="4037">
        <f>B506*D506</f>
        <v>1600</v>
      </c>
    </row>
    <row r="507" spans="1:5" ht="13.5" thickBot="1">
      <c r="A507" s="4039"/>
      <c r="B507" s="4040"/>
      <c r="C507" s="4041"/>
      <c r="D507" s="4042"/>
      <c r="E507" s="4043">
        <f>ROUND(SUM(E503:E506),2)</f>
        <v>21780.51</v>
      </c>
    </row>
    <row r="508" spans="1:5" ht="13.5" thickTop="1">
      <c r="A508" s="4044" t="s">
        <v>1147</v>
      </c>
      <c r="B508" s="4045">
        <v>0.22</v>
      </c>
      <c r="C508" s="4023" t="s">
        <v>2</v>
      </c>
      <c r="D508" s="4024"/>
      <c r="E508" s="4025"/>
    </row>
    <row r="509" spans="1:5">
      <c r="A509" s="4044" t="s">
        <v>1148</v>
      </c>
      <c r="B509" s="4046">
        <f>E507*B508</f>
        <v>4791.71</v>
      </c>
      <c r="C509" s="4023" t="s">
        <v>1149</v>
      </c>
      <c r="D509" s="4024"/>
      <c r="E509" s="4025"/>
    </row>
    <row r="510" spans="1:5">
      <c r="A510" s="4022"/>
      <c r="B510" s="4022"/>
      <c r="C510" s="4023"/>
      <c r="D510" s="4024"/>
      <c r="E510" s="4025"/>
    </row>
    <row r="511" spans="1:5" ht="13.5" thickBot="1">
      <c r="A511" s="4021" t="s">
        <v>1150</v>
      </c>
      <c r="B511" s="4026"/>
      <c r="C511" s="4027"/>
      <c r="D511" s="4026"/>
      <c r="E511" s="4026"/>
    </row>
    <row r="512" spans="1:5" ht="13.5" thickTop="1">
      <c r="A512" s="4028" t="s">
        <v>1060</v>
      </c>
      <c r="B512" s="4029">
        <v>1.05</v>
      </c>
      <c r="C512" s="4030" t="s">
        <v>2</v>
      </c>
      <c r="D512" s="4031">
        <f>+D503</f>
        <v>3594.68</v>
      </c>
      <c r="E512" s="4047">
        <f>B512*D512</f>
        <v>3774.41</v>
      </c>
    </row>
    <row r="513" spans="1:5">
      <c r="A513" s="4033" t="s">
        <v>272</v>
      </c>
      <c r="B513" s="4034">
        <v>1.43</v>
      </c>
      <c r="C513" s="4035" t="s">
        <v>126</v>
      </c>
      <c r="D513" s="4036">
        <f>+D447</f>
        <v>2875</v>
      </c>
      <c r="E513" s="4037">
        <f>B513*D513</f>
        <v>4111.25</v>
      </c>
    </row>
    <row r="514" spans="1:5" ht="13.5" thickBot="1">
      <c r="A514" s="4039"/>
      <c r="B514" s="4040"/>
      <c r="C514" s="4041"/>
      <c r="D514" s="4042"/>
      <c r="E514" s="4043">
        <f>ROUND(SUM(E511:E513),2)</f>
        <v>7885.66</v>
      </c>
    </row>
    <row r="515" spans="1:5" ht="13.5" thickTop="1">
      <c r="A515" s="4044" t="s">
        <v>1151</v>
      </c>
      <c r="B515" s="4022">
        <v>0.14000000000000001</v>
      </c>
      <c r="C515" s="4023" t="s">
        <v>2</v>
      </c>
      <c r="D515" s="4024"/>
      <c r="E515" s="4025"/>
    </row>
    <row r="516" spans="1:5">
      <c r="A516" s="4044" t="s">
        <v>1148</v>
      </c>
      <c r="B516" s="4046">
        <f>E514*B515</f>
        <v>1103.99</v>
      </c>
      <c r="C516" s="4023" t="s">
        <v>1149</v>
      </c>
      <c r="D516" s="4024"/>
      <c r="E516" s="4025"/>
    </row>
    <row r="517" spans="1:5">
      <c r="A517" s="4044" t="s">
        <v>1152</v>
      </c>
      <c r="B517" s="4023">
        <v>1</v>
      </c>
      <c r="C517" s="4048" t="s">
        <v>3</v>
      </c>
      <c r="D517" s="4049">
        <f>+D503</f>
        <v>3594.68</v>
      </c>
      <c r="E517" s="4025">
        <f>D517*B517</f>
        <v>3594.68</v>
      </c>
    </row>
    <row r="518" spans="1:5">
      <c r="A518" s="4044" t="s">
        <v>1153</v>
      </c>
      <c r="B518" s="4023">
        <v>2.3199999999999998</v>
      </c>
      <c r="C518" s="4050" t="s">
        <v>11</v>
      </c>
      <c r="D518" s="4050">
        <f>+E358</f>
        <v>321.97000000000003</v>
      </c>
      <c r="E518" s="4025">
        <f>D518*B518</f>
        <v>746.97</v>
      </c>
    </row>
    <row r="519" spans="1:5">
      <c r="A519" s="4044" t="s">
        <v>177</v>
      </c>
      <c r="B519" s="4023">
        <v>13.5</v>
      </c>
      <c r="C519" s="4050" t="s">
        <v>13</v>
      </c>
      <c r="D519" s="4050">
        <f>+E389</f>
        <v>82.24</v>
      </c>
      <c r="E519" s="4025">
        <f>D519*B519</f>
        <v>1110.24</v>
      </c>
    </row>
    <row r="520" spans="1:5">
      <c r="A520" s="4044" t="s">
        <v>1487</v>
      </c>
      <c r="B520" s="4023">
        <v>1.9</v>
      </c>
      <c r="C520" s="4050" t="s">
        <v>11</v>
      </c>
      <c r="D520" s="4050">
        <f>+D495</f>
        <v>123.2</v>
      </c>
      <c r="E520" s="4025">
        <f>D520*B520</f>
        <v>234.08</v>
      </c>
    </row>
    <row r="521" spans="1:5" ht="13.5" thickBot="1">
      <c r="A521" s="4044" t="s">
        <v>1154</v>
      </c>
      <c r="B521" s="5227" t="s">
        <v>1144</v>
      </c>
      <c r="C521" s="5227"/>
      <c r="D521" s="5227"/>
      <c r="E521" s="4051">
        <f>ROUND(SUM(E517:E520),2)</f>
        <v>5685.97</v>
      </c>
    </row>
    <row r="522" spans="1:5" ht="14.25" thickTop="1" thickBot="1">
      <c r="A522" s="4052" t="s">
        <v>1488</v>
      </c>
      <c r="B522" s="4053" t="s">
        <v>1148</v>
      </c>
      <c r="C522" s="4054"/>
      <c r="D522" s="4055">
        <f>ROUND(E521,2)</f>
        <v>5685.97</v>
      </c>
      <c r="E522" s="4025"/>
    </row>
    <row r="523" spans="1:5">
      <c r="A523" s="4026"/>
      <c r="B523" s="4056"/>
      <c r="C523" s="4048"/>
      <c r="D523" s="4056"/>
      <c r="E523" s="4056"/>
    </row>
    <row r="524" spans="1:5" ht="13.5" thickBot="1">
      <c r="A524" s="4021" t="s">
        <v>1489</v>
      </c>
      <c r="B524" s="4022"/>
      <c r="C524" s="4057"/>
      <c r="D524" s="4024"/>
      <c r="E524" s="4025"/>
    </row>
    <row r="525" spans="1:5" ht="13.5" thickTop="1">
      <c r="A525" s="4058" t="s">
        <v>1141</v>
      </c>
      <c r="B525" s="4059"/>
      <c r="C525" s="4059"/>
      <c r="D525" s="4059"/>
      <c r="E525" s="4060"/>
    </row>
    <row r="526" spans="1:5">
      <c r="A526" s="4033" t="s">
        <v>1060</v>
      </c>
      <c r="B526" s="4061">
        <v>1.05</v>
      </c>
      <c r="C526" s="4062" t="s">
        <v>2</v>
      </c>
      <c r="D526" s="4036">
        <f>+D512</f>
        <v>3594.68</v>
      </c>
      <c r="E526" s="4063">
        <f>B526*D526</f>
        <v>3774.41</v>
      </c>
    </row>
    <row r="527" spans="1:5">
      <c r="A527" s="4064" t="s">
        <v>1490</v>
      </c>
      <c r="B527" s="4065">
        <v>8.15</v>
      </c>
      <c r="C527" s="4066" t="s">
        <v>126</v>
      </c>
      <c r="D527" s="4065">
        <f>+D504</f>
        <v>2590</v>
      </c>
      <c r="E527" s="4067">
        <f>B527*D527</f>
        <v>21108.5</v>
      </c>
    </row>
    <row r="528" spans="1:5">
      <c r="A528" s="4064" t="s">
        <v>1491</v>
      </c>
      <c r="B528" s="4065">
        <v>44.44</v>
      </c>
      <c r="C528" s="4066" t="s">
        <v>13</v>
      </c>
      <c r="D528" s="4065">
        <f>+D505</f>
        <v>250</v>
      </c>
      <c r="E528" s="4067">
        <f>B528*D528</f>
        <v>11110</v>
      </c>
    </row>
    <row r="529" spans="1:5">
      <c r="A529" s="4033" t="s">
        <v>1089</v>
      </c>
      <c r="B529" s="4034">
        <f>+B528</f>
        <v>44.44</v>
      </c>
      <c r="C529" s="4035" t="s">
        <v>13</v>
      </c>
      <c r="D529" s="4036">
        <v>100</v>
      </c>
      <c r="E529" s="4037">
        <f>B529*D529</f>
        <v>4444</v>
      </c>
    </row>
    <row r="530" spans="1:5">
      <c r="A530" s="4068"/>
      <c r="B530" s="4069"/>
      <c r="C530" s="4069"/>
      <c r="D530" s="4070"/>
      <c r="E530" s="4071">
        <f>ROUND(SUM(E526:E529),2)</f>
        <v>40436.910000000003</v>
      </c>
    </row>
    <row r="531" spans="1:5">
      <c r="A531" s="4072" t="s">
        <v>1142</v>
      </c>
      <c r="B531" s="4022">
        <v>1.2999999999999999E-2</v>
      </c>
      <c r="C531" s="4057" t="s">
        <v>2</v>
      </c>
      <c r="D531" s="4024"/>
      <c r="E531" s="4073"/>
    </row>
    <row r="532" spans="1:5">
      <c r="A532" s="4072" t="s">
        <v>1148</v>
      </c>
      <c r="B532" s="4074">
        <f>+B531*E530</f>
        <v>525.67999999999995</v>
      </c>
      <c r="C532" s="4023" t="s">
        <v>1149</v>
      </c>
      <c r="D532" s="4075"/>
      <c r="E532" s="4073"/>
    </row>
    <row r="533" spans="1:5">
      <c r="A533" s="4072"/>
      <c r="B533" s="4023"/>
      <c r="C533" s="4022"/>
      <c r="D533" s="4075"/>
      <c r="E533" s="4073"/>
    </row>
    <row r="534" spans="1:5">
      <c r="A534" s="3888"/>
      <c r="B534" s="3886"/>
      <c r="C534" s="3887"/>
      <c r="D534" s="3886"/>
      <c r="E534" s="3886"/>
    </row>
    <row r="535" spans="1:5" ht="13.5" thickBot="1">
      <c r="A535" s="4076" t="s">
        <v>1229</v>
      </c>
      <c r="B535" s="4077"/>
      <c r="C535" s="4077"/>
      <c r="D535" s="4077"/>
      <c r="E535" s="4077"/>
    </row>
    <row r="536" spans="1:5" ht="13.5" thickTop="1">
      <c r="A536" s="4078" t="s">
        <v>1059</v>
      </c>
      <c r="B536" s="4079">
        <v>1</v>
      </c>
      <c r="C536" s="4080" t="s">
        <v>11</v>
      </c>
      <c r="D536" s="4079">
        <v>20</v>
      </c>
      <c r="E536" s="4081">
        <f>B536*D536</f>
        <v>20</v>
      </c>
    </row>
    <row r="537" spans="1:5">
      <c r="A537" s="4082" t="s">
        <v>1060</v>
      </c>
      <c r="B537" s="4083">
        <v>0.105</v>
      </c>
      <c r="C537" s="4084" t="s">
        <v>2</v>
      </c>
      <c r="D537" s="4085">
        <f>+D526</f>
        <v>3594.68</v>
      </c>
      <c r="E537" s="4086">
        <f>B537*D537</f>
        <v>377.44</v>
      </c>
    </row>
    <row r="538" spans="1:5">
      <c r="A538" s="4082" t="s">
        <v>154</v>
      </c>
      <c r="B538" s="4083">
        <v>2.1999999999999999E-2</v>
      </c>
      <c r="C538" s="4084" t="s">
        <v>155</v>
      </c>
      <c r="D538" s="4087">
        <v>45</v>
      </c>
      <c r="E538" s="4088">
        <f>B538*D538</f>
        <v>0.99</v>
      </c>
    </row>
    <row r="539" spans="1:5">
      <c r="A539" s="4082" t="s">
        <v>1061</v>
      </c>
      <c r="B539" s="4087">
        <v>1</v>
      </c>
      <c r="C539" s="4084" t="s">
        <v>11</v>
      </c>
      <c r="D539" s="4087">
        <v>140</v>
      </c>
      <c r="E539" s="4088">
        <f>B539*D539</f>
        <v>140</v>
      </c>
    </row>
    <row r="540" spans="1:5">
      <c r="A540" s="4082" t="s">
        <v>1062</v>
      </c>
      <c r="B540" s="4087">
        <f>1/0.8</f>
        <v>1.25</v>
      </c>
      <c r="C540" s="4084" t="s">
        <v>13</v>
      </c>
      <c r="D540" s="4087">
        <f>+D519</f>
        <v>82.24</v>
      </c>
      <c r="E540" s="4086">
        <f>B540*D540</f>
        <v>102.8</v>
      </c>
    </row>
    <row r="541" spans="1:5" ht="13.5" thickBot="1">
      <c r="A541" s="4089"/>
      <c r="B541" s="4090"/>
      <c r="C541" s="4090"/>
      <c r="D541" s="4091" t="s">
        <v>1031</v>
      </c>
      <c r="E541" s="4092">
        <f>SUM(E536:E540)</f>
        <v>641.23</v>
      </c>
    </row>
    <row r="542" spans="1:5" ht="13.5" thickTop="1">
      <c r="A542" s="3888"/>
      <c r="B542" s="3886"/>
      <c r="C542" s="3887"/>
      <c r="D542" s="3886"/>
      <c r="E542" s="3886"/>
    </row>
    <row r="543" spans="1:5" ht="13.5" thickBot="1">
      <c r="A543" s="3888"/>
      <c r="B543" s="3886"/>
      <c r="C543" s="3887"/>
      <c r="D543" s="3886"/>
      <c r="E543" s="3886"/>
    </row>
    <row r="544" spans="1:5" ht="14.25" thickTop="1" thickBot="1">
      <c r="A544" s="4093" t="s">
        <v>1492</v>
      </c>
      <c r="B544" s="4026"/>
      <c r="C544" s="4027"/>
      <c r="D544" s="4026"/>
      <c r="E544" s="4026"/>
    </row>
    <row r="545" spans="1:5" ht="13.5" thickTop="1">
      <c r="A545" s="4028" t="s">
        <v>1060</v>
      </c>
      <c r="B545" s="4029">
        <v>1.05</v>
      </c>
      <c r="C545" s="4030" t="s">
        <v>2</v>
      </c>
      <c r="D545" s="4031">
        <f>+D536</f>
        <v>20</v>
      </c>
      <c r="E545" s="4047">
        <f>B545*D545</f>
        <v>21</v>
      </c>
    </row>
    <row r="546" spans="1:5">
      <c r="A546" s="4033" t="s">
        <v>272</v>
      </c>
      <c r="B546" s="4034">
        <v>0.8</v>
      </c>
      <c r="C546" s="4035" t="s">
        <v>126</v>
      </c>
      <c r="D546" s="4036">
        <f>+D480</f>
        <v>33</v>
      </c>
      <c r="E546" s="4037">
        <f>B546*D546</f>
        <v>26.4</v>
      </c>
    </row>
    <row r="547" spans="1:5" ht="13.5" thickBot="1">
      <c r="A547" s="4039"/>
      <c r="B547" s="4040"/>
      <c r="C547" s="4041"/>
      <c r="D547" s="4042"/>
      <c r="E547" s="4043">
        <f>ROUND(SUM(E544:E546),2)</f>
        <v>47.4</v>
      </c>
    </row>
    <row r="548" spans="1:5" ht="13.5" thickTop="1">
      <c r="A548" s="3888"/>
      <c r="B548" s="3886"/>
      <c r="C548" s="3887"/>
      <c r="D548" s="3886"/>
      <c r="E548" s="3886"/>
    </row>
    <row r="549" spans="1:5" ht="24.75" thickBot="1">
      <c r="A549" s="4094" t="s">
        <v>1493</v>
      </c>
      <c r="B549" s="4077"/>
      <c r="C549" s="4077"/>
      <c r="D549" s="4077"/>
      <c r="E549" s="4077"/>
    </row>
    <row r="550" spans="1:5" ht="14.25" thickTop="1" thickBot="1">
      <c r="A550" s="4078" t="s">
        <v>1494</v>
      </c>
      <c r="B550" s="4079">
        <v>1</v>
      </c>
      <c r="C550" s="4080" t="s">
        <v>3</v>
      </c>
      <c r="D550" s="4095">
        <v>450</v>
      </c>
      <c r="E550" s="4096">
        <f>B550*D550</f>
        <v>450</v>
      </c>
    </row>
    <row r="551" spans="1:5" ht="14.25" thickTop="1" thickBot="1">
      <c r="A551" s="4078" t="s">
        <v>1495</v>
      </c>
      <c r="B551" s="4079">
        <f>1.45*1.45*1.5</f>
        <v>3.15</v>
      </c>
      <c r="C551" s="4080" t="s">
        <v>2</v>
      </c>
      <c r="D551" s="4095">
        <v>334.5</v>
      </c>
      <c r="E551" s="4096">
        <f t="shared" ref="E551:E563" si="7">B551*D551</f>
        <v>1053.68</v>
      </c>
    </row>
    <row r="552" spans="1:5" ht="14.25" thickTop="1" thickBot="1">
      <c r="A552" s="4078" t="s">
        <v>1496</v>
      </c>
      <c r="B552" s="4079">
        <f>B551*1.3</f>
        <v>4.0999999999999996</v>
      </c>
      <c r="C552" s="4080" t="s">
        <v>2</v>
      </c>
      <c r="D552" s="4095">
        <v>165</v>
      </c>
      <c r="E552" s="4096">
        <f>B552*D552</f>
        <v>676.5</v>
      </c>
    </row>
    <row r="553" spans="1:5" ht="14.25" thickTop="1" thickBot="1">
      <c r="A553" s="4078" t="s">
        <v>1492</v>
      </c>
      <c r="B553" s="4079">
        <f>1.45*1.45*0.15</f>
        <v>0.32</v>
      </c>
      <c r="C553" s="4080" t="s">
        <v>2</v>
      </c>
      <c r="D553" s="4095">
        <f>E177</f>
        <v>4086.5</v>
      </c>
      <c r="E553" s="4096">
        <f t="shared" si="7"/>
        <v>1307.68</v>
      </c>
    </row>
    <row r="554" spans="1:5" ht="14.25" thickTop="1" thickBot="1">
      <c r="A554" s="4078" t="s">
        <v>1497</v>
      </c>
      <c r="B554" s="4079">
        <f>(1.45+1.15)*2*1.5</f>
        <v>7.8</v>
      </c>
      <c r="C554" s="4080" t="s">
        <v>11</v>
      </c>
      <c r="D554" s="4095">
        <f>+B424</f>
        <v>887.78</v>
      </c>
      <c r="E554" s="4096">
        <f>B554*D554</f>
        <v>6924.68</v>
      </c>
    </row>
    <row r="555" spans="1:5" ht="14.25" thickTop="1" thickBot="1">
      <c r="A555" s="4078" t="s">
        <v>1498</v>
      </c>
      <c r="B555" s="4079">
        <f>1.45*1.45*0.15</f>
        <v>0.32</v>
      </c>
      <c r="C555" s="4080" t="s">
        <v>2</v>
      </c>
      <c r="D555" s="4095">
        <f>+D553</f>
        <v>4086.5</v>
      </c>
      <c r="E555" s="4096">
        <f>B555*D555</f>
        <v>1307.68</v>
      </c>
    </row>
    <row r="556" spans="1:5" ht="14.25" thickTop="1" thickBot="1">
      <c r="A556" s="4078" t="s">
        <v>1499</v>
      </c>
      <c r="B556" s="4079">
        <f>1.15*1.15</f>
        <v>1.32</v>
      </c>
      <c r="C556" s="4080" t="s">
        <v>11</v>
      </c>
      <c r="D556" s="4095">
        <f>E375</f>
        <v>492.84</v>
      </c>
      <c r="E556" s="4096">
        <f t="shared" si="7"/>
        <v>650.54999999999995</v>
      </c>
    </row>
    <row r="557" spans="1:5" ht="14.25" thickTop="1" thickBot="1">
      <c r="A557" s="4078" t="s">
        <v>860</v>
      </c>
      <c r="B557" s="4079">
        <f>1.45*1.45</f>
        <v>2.1</v>
      </c>
      <c r="C557" s="4080" t="s">
        <v>11</v>
      </c>
      <c r="D557" s="4095">
        <f>+E383</f>
        <v>469.61</v>
      </c>
      <c r="E557" s="4096">
        <f t="shared" si="7"/>
        <v>986.18</v>
      </c>
    </row>
    <row r="558" spans="1:5" ht="14.25" thickTop="1" thickBot="1">
      <c r="A558" s="4078" t="s">
        <v>158</v>
      </c>
      <c r="B558" s="4079">
        <f>(1.15*1.5*4)</f>
        <v>6.9</v>
      </c>
      <c r="C558" s="4080" t="s">
        <v>11</v>
      </c>
      <c r="D558" s="4095">
        <f>+E367</f>
        <v>279.08</v>
      </c>
      <c r="E558" s="4096">
        <f t="shared" si="7"/>
        <v>1925.65</v>
      </c>
    </row>
    <row r="559" spans="1:5" ht="14.25" thickTop="1" thickBot="1">
      <c r="A559" s="4078" t="s">
        <v>1500</v>
      </c>
      <c r="B559" s="4079">
        <f>(1.45*4*0.5)</f>
        <v>2.9</v>
      </c>
      <c r="C559" s="4080" t="s">
        <v>11</v>
      </c>
      <c r="D559" s="4095">
        <f>+E358</f>
        <v>321.97000000000003</v>
      </c>
      <c r="E559" s="4096">
        <f t="shared" si="7"/>
        <v>933.71</v>
      </c>
    </row>
    <row r="560" spans="1:5" ht="13.5" thickTop="1">
      <c r="A560" s="4078" t="s">
        <v>1501</v>
      </c>
      <c r="B560" s="4079">
        <f>1.45*4</f>
        <v>5.8</v>
      </c>
      <c r="C560" s="4080" t="s">
        <v>1</v>
      </c>
      <c r="D560" s="4095">
        <f>+E389</f>
        <v>82.24</v>
      </c>
      <c r="E560" s="4096">
        <f t="shared" si="7"/>
        <v>476.99</v>
      </c>
    </row>
    <row r="561" spans="1:5">
      <c r="A561" s="4082" t="s">
        <v>1502</v>
      </c>
      <c r="B561" s="4087">
        <v>1</v>
      </c>
      <c r="C561" s="4084" t="s">
        <v>3</v>
      </c>
      <c r="D561" s="4097">
        <v>3500</v>
      </c>
      <c r="E561" s="4098">
        <f t="shared" si="7"/>
        <v>3500</v>
      </c>
    </row>
    <row r="562" spans="1:5">
      <c r="A562" s="4082" t="s">
        <v>1503</v>
      </c>
      <c r="B562" s="4087">
        <v>1</v>
      </c>
      <c r="C562" s="4084" t="s">
        <v>3</v>
      </c>
      <c r="D562" s="4097">
        <v>850</v>
      </c>
      <c r="E562" s="4098">
        <f t="shared" si="7"/>
        <v>850</v>
      </c>
    </row>
    <row r="563" spans="1:5">
      <c r="A563" s="4082" t="s">
        <v>1504</v>
      </c>
      <c r="B563" s="4087">
        <v>1</v>
      </c>
      <c r="C563" s="4084" t="s">
        <v>3</v>
      </c>
      <c r="D563" s="4097">
        <v>6500</v>
      </c>
      <c r="E563" s="4098">
        <f t="shared" si="7"/>
        <v>6500</v>
      </c>
    </row>
    <row r="564" spans="1:5" ht="13.5" thickBot="1">
      <c r="A564" s="4089" t="s">
        <v>43</v>
      </c>
      <c r="B564" s="4090"/>
      <c r="C564" s="4090"/>
      <c r="D564" s="4099" t="s">
        <v>1031</v>
      </c>
      <c r="E564" s="4100">
        <f>SUM(E550:E563)</f>
        <v>27543.3</v>
      </c>
    </row>
    <row r="565" spans="1:5" ht="13.5" thickTop="1">
      <c r="A565" s="3888"/>
      <c r="B565" s="3886"/>
      <c r="C565" s="3887"/>
      <c r="D565" s="3886"/>
      <c r="E565" s="3886"/>
    </row>
    <row r="566" spans="1:5" ht="24.75" thickBot="1">
      <c r="A566" s="4094" t="s">
        <v>1505</v>
      </c>
      <c r="B566" s="4077"/>
      <c r="C566" s="4077"/>
      <c r="D566" s="4077"/>
      <c r="E566" s="4077"/>
    </row>
    <row r="567" spans="1:5" ht="14.25" thickTop="1" thickBot="1">
      <c r="A567" s="4078" t="s">
        <v>1494</v>
      </c>
      <c r="B567" s="4079">
        <v>1</v>
      </c>
      <c r="C567" s="4080" t="s">
        <v>3</v>
      </c>
      <c r="D567" s="4095">
        <f>+D550</f>
        <v>450</v>
      </c>
      <c r="E567" s="4096">
        <f>B567*D567</f>
        <v>450</v>
      </c>
    </row>
    <row r="568" spans="1:5" ht="14.25" thickTop="1" thickBot="1">
      <c r="A568" s="4078" t="s">
        <v>1495</v>
      </c>
      <c r="B568" s="4079">
        <f>1.3*1.3*1.5</f>
        <v>2.54</v>
      </c>
      <c r="C568" s="4080" t="s">
        <v>2</v>
      </c>
      <c r="D568" s="4095">
        <f t="shared" ref="D568:D580" si="8">+D551</f>
        <v>334.5</v>
      </c>
      <c r="E568" s="4096">
        <f t="shared" ref="E568:E577" si="9">B568*D568</f>
        <v>849.63</v>
      </c>
    </row>
    <row r="569" spans="1:5" ht="14.25" thickTop="1" thickBot="1">
      <c r="A569" s="4078" t="s">
        <v>1496</v>
      </c>
      <c r="B569" s="4079">
        <f>B568*1.3</f>
        <v>3.3</v>
      </c>
      <c r="C569" s="4080" t="s">
        <v>2</v>
      </c>
      <c r="D569" s="4095">
        <f t="shared" si="8"/>
        <v>165</v>
      </c>
      <c r="E569" s="4096">
        <f t="shared" si="9"/>
        <v>544.5</v>
      </c>
    </row>
    <row r="570" spans="1:5" ht="14.25" thickTop="1" thickBot="1">
      <c r="A570" s="4078" t="s">
        <v>1492</v>
      </c>
      <c r="B570" s="4079">
        <f>1.3*1.3*0.15</f>
        <v>0.25</v>
      </c>
      <c r="C570" s="4080" t="s">
        <v>2</v>
      </c>
      <c r="D570" s="4095">
        <f t="shared" si="8"/>
        <v>4086.5</v>
      </c>
      <c r="E570" s="4096">
        <f t="shared" si="9"/>
        <v>1021.63</v>
      </c>
    </row>
    <row r="571" spans="1:5" ht="14.25" thickTop="1" thickBot="1">
      <c r="A571" s="4078" t="s">
        <v>1497</v>
      </c>
      <c r="B571" s="4079">
        <f>(1.3+1)*2*1.5</f>
        <v>6.9</v>
      </c>
      <c r="C571" s="4080" t="s">
        <v>11</v>
      </c>
      <c r="D571" s="4095">
        <f t="shared" si="8"/>
        <v>887.78</v>
      </c>
      <c r="E571" s="4096">
        <f t="shared" si="9"/>
        <v>6125.68</v>
      </c>
    </row>
    <row r="572" spans="1:5" ht="14.25" thickTop="1" thickBot="1">
      <c r="A572" s="4078" t="s">
        <v>1498</v>
      </c>
      <c r="B572" s="4079">
        <f>1.3*1.3*0.15</f>
        <v>0.25</v>
      </c>
      <c r="C572" s="4080" t="s">
        <v>2</v>
      </c>
      <c r="D572" s="4095">
        <f t="shared" si="8"/>
        <v>4086.5</v>
      </c>
      <c r="E572" s="4096">
        <f t="shared" si="9"/>
        <v>1021.63</v>
      </c>
    </row>
    <row r="573" spans="1:5" ht="14.25" thickTop="1" thickBot="1">
      <c r="A573" s="4078" t="s">
        <v>1499</v>
      </c>
      <c r="B573" s="4079">
        <f>1*1</f>
        <v>1</v>
      </c>
      <c r="C573" s="4080" t="s">
        <v>11</v>
      </c>
      <c r="D573" s="4095">
        <f t="shared" si="8"/>
        <v>492.84</v>
      </c>
      <c r="E573" s="4096">
        <f t="shared" si="9"/>
        <v>492.84</v>
      </c>
    </row>
    <row r="574" spans="1:5" ht="14.25" thickTop="1" thickBot="1">
      <c r="A574" s="4078" t="s">
        <v>860</v>
      </c>
      <c r="B574" s="4079">
        <f>1.3*1.3</f>
        <v>1.69</v>
      </c>
      <c r="C574" s="4080" t="s">
        <v>11</v>
      </c>
      <c r="D574" s="4095">
        <f t="shared" si="8"/>
        <v>469.61</v>
      </c>
      <c r="E574" s="4096">
        <f t="shared" si="9"/>
        <v>793.64</v>
      </c>
    </row>
    <row r="575" spans="1:5" ht="14.25" thickTop="1" thickBot="1">
      <c r="A575" s="4078" t="s">
        <v>158</v>
      </c>
      <c r="B575" s="4079">
        <f>(1*1.5*4)</f>
        <v>6</v>
      </c>
      <c r="C575" s="4080" t="s">
        <v>11</v>
      </c>
      <c r="D575" s="4095">
        <f t="shared" si="8"/>
        <v>279.08</v>
      </c>
      <c r="E575" s="4096">
        <f t="shared" si="9"/>
        <v>1674.48</v>
      </c>
    </row>
    <row r="576" spans="1:5" ht="14.25" thickTop="1" thickBot="1">
      <c r="A576" s="4078" t="s">
        <v>1500</v>
      </c>
      <c r="B576" s="4079">
        <f>(1.3*4*0.5)</f>
        <v>2.6</v>
      </c>
      <c r="C576" s="4080" t="s">
        <v>11</v>
      </c>
      <c r="D576" s="4095">
        <f t="shared" si="8"/>
        <v>321.97000000000003</v>
      </c>
      <c r="E576" s="4096">
        <f t="shared" si="9"/>
        <v>837.12</v>
      </c>
    </row>
    <row r="577" spans="1:5" ht="14.25" thickTop="1" thickBot="1">
      <c r="A577" s="4078" t="s">
        <v>1501</v>
      </c>
      <c r="B577" s="4079">
        <f>1.3*4</f>
        <v>5.2</v>
      </c>
      <c r="C577" s="4080" t="s">
        <v>1</v>
      </c>
      <c r="D577" s="4095">
        <f t="shared" si="8"/>
        <v>82.24</v>
      </c>
      <c r="E577" s="4096">
        <f t="shared" si="9"/>
        <v>427.65</v>
      </c>
    </row>
    <row r="578" spans="1:5" ht="14.25" thickTop="1" thickBot="1">
      <c r="A578" s="4082" t="s">
        <v>1502</v>
      </c>
      <c r="B578" s="4087">
        <v>1</v>
      </c>
      <c r="C578" s="4084" t="s">
        <v>3</v>
      </c>
      <c r="D578" s="4095">
        <f t="shared" si="8"/>
        <v>3500</v>
      </c>
      <c r="E578" s="4098">
        <f>B578*D578</f>
        <v>3500</v>
      </c>
    </row>
    <row r="579" spans="1:5" ht="14.25" thickTop="1" thickBot="1">
      <c r="A579" s="4082" t="s">
        <v>1503</v>
      </c>
      <c r="B579" s="4087">
        <v>1</v>
      </c>
      <c r="C579" s="4084" t="s">
        <v>3</v>
      </c>
      <c r="D579" s="4095">
        <f t="shared" si="8"/>
        <v>850</v>
      </c>
      <c r="E579" s="4098">
        <f>B579*D579</f>
        <v>850</v>
      </c>
    </row>
    <row r="580" spans="1:5" ht="13.5" thickTop="1">
      <c r="A580" s="4082" t="s">
        <v>1504</v>
      </c>
      <c r="B580" s="4087">
        <v>1</v>
      </c>
      <c r="C580" s="4084" t="s">
        <v>3</v>
      </c>
      <c r="D580" s="4095">
        <f t="shared" si="8"/>
        <v>6500</v>
      </c>
      <c r="E580" s="4098">
        <f>B580*D580</f>
        <v>6500</v>
      </c>
    </row>
    <row r="581" spans="1:5" ht="13.5" thickBot="1">
      <c r="A581" s="4089" t="s">
        <v>43</v>
      </c>
      <c r="B581" s="4090"/>
      <c r="C581" s="4090"/>
      <c r="D581" s="4099" t="s">
        <v>1031</v>
      </c>
      <c r="E581" s="4100">
        <f>SUM(E567:E580)</f>
        <v>25088.799999999999</v>
      </c>
    </row>
    <row r="582" spans="1:5" ht="13.5" thickTop="1"/>
  </sheetData>
  <customSheetViews>
    <customSheetView guid="{43BC9397-3E8C-478C-B548-E4A845A7F82B}">
      <selection sqref="A1:XFD1048576"/>
      <pageMargins left="0.7" right="0.7" top="0.75" bottom="0.75" header="0.3" footer="0.3"/>
      <pageSetup paperSize="9" orientation="portrait" r:id="rId1"/>
    </customSheetView>
  </customSheetViews>
  <mergeCells count="8">
    <mergeCell ref="A476:E476"/>
    <mergeCell ref="B521:D521"/>
    <mergeCell ref="A1:E1"/>
    <mergeCell ref="A36:E36"/>
    <mergeCell ref="A77:E77"/>
    <mergeCell ref="A85:E85"/>
    <mergeCell ref="A99:E99"/>
    <mergeCell ref="A443:E44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dimension ref="A1:E60"/>
  <sheetViews>
    <sheetView topLeftCell="A26" workbookViewId="0">
      <selection activeCell="Q71" sqref="Q71"/>
    </sheetView>
  </sheetViews>
  <sheetFormatPr baseColWidth="10" defaultColWidth="11.42578125" defaultRowHeight="12.75"/>
  <cols>
    <col min="1" max="1" width="44.71093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s="1917" customFormat="1">
      <c r="A2" s="1970"/>
      <c r="B2" s="1971"/>
      <c r="C2" s="1971"/>
      <c r="D2" s="1971"/>
      <c r="E2" s="1971"/>
    </row>
    <row r="3" spans="1:5">
      <c r="A3" s="1972" t="s">
        <v>1314</v>
      </c>
      <c r="B3" s="1973"/>
      <c r="C3" s="1973"/>
      <c r="D3" s="1973"/>
      <c r="E3" s="1973"/>
    </row>
    <row r="4" spans="1:5">
      <c r="A4" s="1974" t="s">
        <v>2483</v>
      </c>
      <c r="B4" s="1975">
        <v>2</v>
      </c>
      <c r="C4" s="1976" t="s">
        <v>3</v>
      </c>
      <c r="D4" s="1977">
        <v>170.32</v>
      </c>
      <c r="E4" s="1978">
        <f t="shared" ref="E4:E11" si="0">ROUND(B4*D4,2)</f>
        <v>340.64</v>
      </c>
    </row>
    <row r="5" spans="1:5" ht="25.5">
      <c r="A5" s="1979" t="s">
        <v>2484</v>
      </c>
      <c r="B5" s="1975">
        <v>1</v>
      </c>
      <c r="C5" s="1976" t="s">
        <v>3</v>
      </c>
      <c r="D5" s="1977">
        <v>236.64</v>
      </c>
      <c r="E5" s="1978">
        <f t="shared" si="0"/>
        <v>236.64</v>
      </c>
    </row>
    <row r="6" spans="1:5">
      <c r="A6" s="1980" t="s">
        <v>2485</v>
      </c>
      <c r="B6" s="1975">
        <v>2</v>
      </c>
      <c r="C6" s="1976" t="s">
        <v>3</v>
      </c>
      <c r="D6" s="1981">
        <v>689.04</v>
      </c>
      <c r="E6" s="1978">
        <f t="shared" si="0"/>
        <v>1378.08</v>
      </c>
    </row>
    <row r="7" spans="1:5">
      <c r="A7" s="1982" t="s">
        <v>2486</v>
      </c>
      <c r="B7" s="1983">
        <v>3</v>
      </c>
      <c r="C7" s="1976" t="s">
        <v>3</v>
      </c>
      <c r="D7" s="1984">
        <v>108.34</v>
      </c>
      <c r="E7" s="1985">
        <f t="shared" si="0"/>
        <v>325.02</v>
      </c>
    </row>
    <row r="8" spans="1:5">
      <c r="A8" s="1980" t="s">
        <v>2487</v>
      </c>
      <c r="B8" s="1975">
        <v>2</v>
      </c>
      <c r="C8" s="1976" t="s">
        <v>3</v>
      </c>
      <c r="D8" s="1977">
        <v>541.72</v>
      </c>
      <c r="E8" s="1978">
        <f t="shared" si="0"/>
        <v>1083.44</v>
      </c>
    </row>
    <row r="9" spans="1:5">
      <c r="A9" s="1980" t="s">
        <v>2488</v>
      </c>
      <c r="B9" s="1975">
        <v>1</v>
      </c>
      <c r="C9" s="1976" t="s">
        <v>3</v>
      </c>
      <c r="D9" s="1977">
        <v>271.56</v>
      </c>
      <c r="E9" s="1978">
        <f t="shared" si="0"/>
        <v>271.56</v>
      </c>
    </row>
    <row r="10" spans="1:5">
      <c r="A10" s="1980" t="s">
        <v>2489</v>
      </c>
      <c r="B10" s="1983">
        <v>4</v>
      </c>
      <c r="C10" s="1976" t="s">
        <v>3</v>
      </c>
      <c r="D10" s="1986">
        <v>69.3</v>
      </c>
      <c r="E10" s="1978">
        <f t="shared" si="0"/>
        <v>277.2</v>
      </c>
    </row>
    <row r="11" spans="1:5">
      <c r="A11" s="1980" t="s">
        <v>2490</v>
      </c>
      <c r="B11" s="1983">
        <v>6</v>
      </c>
      <c r="C11" s="1976" t="s">
        <v>3</v>
      </c>
      <c r="D11" s="1987">
        <v>10.28</v>
      </c>
      <c r="E11" s="1978">
        <f t="shared" si="0"/>
        <v>61.68</v>
      </c>
    </row>
    <row r="12" spans="1:5">
      <c r="A12" s="1980" t="s">
        <v>33</v>
      </c>
      <c r="B12" s="1988">
        <v>0.05</v>
      </c>
      <c r="C12" s="1976" t="s">
        <v>46</v>
      </c>
      <c r="D12" s="1977">
        <f>E4+E5+E6+E7+E8+E9+E10+E11</f>
        <v>3974.26</v>
      </c>
      <c r="E12" s="1978">
        <f>B12*D12</f>
        <v>198.71</v>
      </c>
    </row>
    <row r="13" spans="1:5">
      <c r="A13" s="1989"/>
      <c r="B13" s="1989"/>
      <c r="C13" s="5228" t="s">
        <v>2491</v>
      </c>
      <c r="D13" s="5228"/>
      <c r="E13" s="1990">
        <f>SUM(E4:E12)</f>
        <v>4172.97</v>
      </c>
    </row>
    <row r="14" spans="1:5">
      <c r="A14" s="1968"/>
      <c r="B14" s="1969"/>
      <c r="C14" s="1969"/>
      <c r="D14" s="1969"/>
      <c r="E14" s="1969"/>
    </row>
    <row r="15" spans="1:5">
      <c r="A15" s="1991" t="s">
        <v>1588</v>
      </c>
      <c r="B15" s="1969"/>
      <c r="C15" s="1969"/>
      <c r="D15" s="1969"/>
      <c r="E15" s="1969"/>
    </row>
    <row r="16" spans="1:5">
      <c r="A16" s="1992" t="s">
        <v>2492</v>
      </c>
      <c r="B16" s="1993">
        <v>1</v>
      </c>
      <c r="C16" s="1994" t="s">
        <v>3</v>
      </c>
      <c r="D16" s="1995">
        <v>160.25</v>
      </c>
      <c r="E16" s="1996">
        <f t="shared" ref="E16:E25" si="1">ROUND(B16*D16,2)</f>
        <v>160.25</v>
      </c>
    </row>
    <row r="17" spans="1:5">
      <c r="A17" s="1980" t="s">
        <v>2493</v>
      </c>
      <c r="B17" s="1975">
        <v>1</v>
      </c>
      <c r="C17" s="1997" t="s">
        <v>3</v>
      </c>
      <c r="D17" s="1984">
        <v>822.31</v>
      </c>
      <c r="E17" s="1998">
        <f t="shared" si="1"/>
        <v>822.31</v>
      </c>
    </row>
    <row r="18" spans="1:5">
      <c r="A18" s="1974" t="s">
        <v>2494</v>
      </c>
      <c r="B18" s="1975">
        <v>2</v>
      </c>
      <c r="C18" s="1997" t="s">
        <v>3</v>
      </c>
      <c r="D18" s="1984">
        <v>398.52</v>
      </c>
      <c r="E18" s="1998">
        <f t="shared" si="1"/>
        <v>797.04</v>
      </c>
    </row>
    <row r="19" spans="1:5">
      <c r="A19" s="1982" t="s">
        <v>2495</v>
      </c>
      <c r="B19" s="1983">
        <v>1</v>
      </c>
      <c r="C19" s="1997" t="s">
        <v>3</v>
      </c>
      <c r="D19" s="1984">
        <v>108.34</v>
      </c>
      <c r="E19" s="1985">
        <f t="shared" si="1"/>
        <v>108.34</v>
      </c>
    </row>
    <row r="20" spans="1:5">
      <c r="A20" s="1974" t="s">
        <v>2496</v>
      </c>
      <c r="B20" s="1975">
        <v>1</v>
      </c>
      <c r="C20" s="1997" t="s">
        <v>3</v>
      </c>
      <c r="D20" s="1984">
        <v>214.5</v>
      </c>
      <c r="E20" s="1998">
        <f t="shared" si="1"/>
        <v>214.5</v>
      </c>
    </row>
    <row r="21" spans="1:5">
      <c r="A21" s="1980" t="s">
        <v>2497</v>
      </c>
      <c r="B21" s="1983">
        <v>1</v>
      </c>
      <c r="C21" s="1997" t="s">
        <v>3</v>
      </c>
      <c r="D21" s="1984">
        <v>88.64</v>
      </c>
      <c r="E21" s="1998">
        <f t="shared" si="1"/>
        <v>88.64</v>
      </c>
    </row>
    <row r="22" spans="1:5">
      <c r="A22" s="1974" t="s">
        <v>2498</v>
      </c>
      <c r="B22" s="1975">
        <v>45</v>
      </c>
      <c r="C22" s="1997" t="s">
        <v>1665</v>
      </c>
      <c r="D22" s="1984">
        <v>31.24</v>
      </c>
      <c r="E22" s="1998">
        <f t="shared" si="1"/>
        <v>1405.8</v>
      </c>
    </row>
    <row r="23" spans="1:5">
      <c r="A23" s="1980" t="s">
        <v>2499</v>
      </c>
      <c r="B23" s="1975">
        <v>8</v>
      </c>
      <c r="C23" s="1997" t="s">
        <v>1665</v>
      </c>
      <c r="D23" s="1984">
        <v>43.86</v>
      </c>
      <c r="E23" s="1998">
        <f t="shared" si="1"/>
        <v>350.88</v>
      </c>
    </row>
    <row r="24" spans="1:5">
      <c r="A24" s="1980" t="s">
        <v>2500</v>
      </c>
      <c r="B24" s="1975">
        <v>1</v>
      </c>
      <c r="C24" s="1997" t="s">
        <v>3</v>
      </c>
      <c r="D24" s="1984">
        <v>168.74</v>
      </c>
      <c r="E24" s="1998">
        <f t="shared" si="1"/>
        <v>168.74</v>
      </c>
    </row>
    <row r="25" spans="1:5">
      <c r="A25" s="1980" t="s">
        <v>2501</v>
      </c>
      <c r="B25" s="1975">
        <v>1</v>
      </c>
      <c r="C25" s="1997" t="s">
        <v>3</v>
      </c>
      <c r="D25" s="1987">
        <v>280.10000000000002</v>
      </c>
      <c r="E25" s="1998">
        <f t="shared" si="1"/>
        <v>280.10000000000002</v>
      </c>
    </row>
    <row r="26" spans="1:5">
      <c r="A26" s="1980" t="s">
        <v>33</v>
      </c>
      <c r="B26" s="1988">
        <v>0.05</v>
      </c>
      <c r="C26" s="1997" t="s">
        <v>46</v>
      </c>
      <c r="D26" s="1984">
        <f>E16+E17+E18+E19+E20+E21+E22+E23+E24+E25</f>
        <v>4396.6000000000004</v>
      </c>
      <c r="E26" s="1998">
        <f>B26*D26</f>
        <v>219.83</v>
      </c>
    </row>
    <row r="27" spans="1:5">
      <c r="A27" s="1989"/>
      <c r="B27" s="1989"/>
      <c r="C27" s="5228" t="s">
        <v>2502</v>
      </c>
      <c r="D27" s="5228"/>
      <c r="E27" s="1990">
        <f>SUM(E16:E26)</f>
        <v>4616.43</v>
      </c>
    </row>
    <row r="28" spans="1:5">
      <c r="A28" s="1999"/>
      <c r="B28" s="1999"/>
      <c r="C28" s="1999"/>
      <c r="D28" s="1999"/>
      <c r="E28" s="1999"/>
    </row>
    <row r="29" spans="1:5">
      <c r="A29" s="1991" t="s">
        <v>2503</v>
      </c>
      <c r="B29" s="1969"/>
      <c r="C29" s="1969"/>
      <c r="D29" s="1969"/>
      <c r="E29" s="1969"/>
    </row>
    <row r="30" spans="1:5">
      <c r="A30" s="2000" t="s">
        <v>2504</v>
      </c>
      <c r="B30" s="2001">
        <v>1</v>
      </c>
      <c r="C30" s="2002" t="s">
        <v>3</v>
      </c>
      <c r="D30" s="2003">
        <v>452.4</v>
      </c>
      <c r="E30" s="2004">
        <f t="shared" ref="E30:E35" si="2">ROUND(B30*D30,2)</f>
        <v>452.4</v>
      </c>
    </row>
    <row r="31" spans="1:5">
      <c r="A31" s="2005" t="s">
        <v>2505</v>
      </c>
      <c r="B31" s="2006">
        <v>1</v>
      </c>
      <c r="C31" s="1976" t="s">
        <v>3</v>
      </c>
      <c r="D31" s="1977">
        <v>50.77</v>
      </c>
      <c r="E31" s="1978">
        <f t="shared" si="2"/>
        <v>50.77</v>
      </c>
    </row>
    <row r="32" spans="1:5">
      <c r="A32" s="2007" t="s">
        <v>2506</v>
      </c>
      <c r="B32" s="2006">
        <v>40</v>
      </c>
      <c r="C32" s="1976" t="s">
        <v>1665</v>
      </c>
      <c r="D32" s="1984">
        <v>85.26</v>
      </c>
      <c r="E32" s="1978">
        <f t="shared" si="2"/>
        <v>3410.4</v>
      </c>
    </row>
    <row r="33" spans="1:5">
      <c r="A33" s="2007" t="s">
        <v>2507</v>
      </c>
      <c r="B33" s="2006">
        <v>1</v>
      </c>
      <c r="C33" s="1976" t="s">
        <v>3</v>
      </c>
      <c r="D33" s="1977">
        <v>97.08</v>
      </c>
      <c r="E33" s="1978">
        <f t="shared" si="2"/>
        <v>97.08</v>
      </c>
    </row>
    <row r="34" spans="1:5">
      <c r="A34" s="2005" t="s">
        <v>2508</v>
      </c>
      <c r="B34" s="2008">
        <v>4</v>
      </c>
      <c r="C34" s="1976" t="s">
        <v>3</v>
      </c>
      <c r="D34" s="1984">
        <v>49.66</v>
      </c>
      <c r="E34" s="1978">
        <f t="shared" si="2"/>
        <v>198.64</v>
      </c>
    </row>
    <row r="35" spans="1:5">
      <c r="A35" s="2007" t="s">
        <v>2509</v>
      </c>
      <c r="B35" s="2006">
        <v>4</v>
      </c>
      <c r="C35" s="1976" t="s">
        <v>3</v>
      </c>
      <c r="D35" s="1987">
        <v>10.28</v>
      </c>
      <c r="E35" s="1978">
        <f t="shared" si="2"/>
        <v>41.12</v>
      </c>
    </row>
    <row r="36" spans="1:5">
      <c r="A36" s="2005" t="s">
        <v>33</v>
      </c>
      <c r="B36" s="2009">
        <v>0.05</v>
      </c>
      <c r="C36" s="1976" t="s">
        <v>46</v>
      </c>
      <c r="D36" s="1977">
        <f>E30+E31+E32+E33+E34+E35</f>
        <v>4250.41</v>
      </c>
      <c r="E36" s="1978">
        <f>B36*D36</f>
        <v>212.52</v>
      </c>
    </row>
    <row r="37" spans="1:5">
      <c r="A37" s="1989"/>
      <c r="B37" s="1989"/>
      <c r="C37" s="5228" t="s">
        <v>2491</v>
      </c>
      <c r="D37" s="5228"/>
      <c r="E37" s="1990">
        <f>SUM(E30:E36)</f>
        <v>4462.93</v>
      </c>
    </row>
    <row r="38" spans="1:5">
      <c r="A38" s="1999"/>
      <c r="B38" s="1999"/>
      <c r="C38" s="1999"/>
      <c r="D38" s="1999"/>
      <c r="E38" s="1999"/>
    </row>
    <row r="39" spans="1:5">
      <c r="A39" s="1991" t="s">
        <v>953</v>
      </c>
      <c r="B39" s="2010"/>
      <c r="C39" s="2010"/>
      <c r="D39" s="2010"/>
      <c r="E39" s="2010"/>
    </row>
    <row r="40" spans="1:5">
      <c r="A40" s="2011" t="s">
        <v>2510</v>
      </c>
      <c r="B40" s="2012">
        <v>2</v>
      </c>
      <c r="C40" s="1994" t="s">
        <v>148</v>
      </c>
      <c r="D40" s="1995">
        <v>800</v>
      </c>
      <c r="E40" s="1996">
        <f>ROUND(B40*D40,2)</f>
        <v>1600</v>
      </c>
    </row>
    <row r="41" spans="1:5">
      <c r="A41" s="2013" t="s">
        <v>2511</v>
      </c>
      <c r="B41" s="1988">
        <v>0.05</v>
      </c>
      <c r="C41" s="1997" t="s">
        <v>46</v>
      </c>
      <c r="D41" s="1984">
        <f>E40</f>
        <v>1600</v>
      </c>
      <c r="E41" s="1998">
        <f>ROUND(B41*D41,2)</f>
        <v>80</v>
      </c>
    </row>
    <row r="42" spans="1:5">
      <c r="A42" s="2014"/>
      <c r="B42" s="2015"/>
      <c r="C42" s="5229" t="s">
        <v>2512</v>
      </c>
      <c r="D42" s="5230"/>
      <c r="E42" s="1990">
        <f>SUM(E40:E41)</f>
        <v>1680</v>
      </c>
    </row>
    <row r="43" spans="1:5">
      <c r="A43" s="2016"/>
      <c r="B43" s="2016"/>
      <c r="C43" s="2017"/>
      <c r="D43" s="2017"/>
      <c r="E43" s="2018"/>
    </row>
    <row r="44" spans="1:5">
      <c r="A44" s="1991" t="s">
        <v>925</v>
      </c>
      <c r="B44" s="2010"/>
      <c r="C44" s="2010"/>
      <c r="D44" s="2010"/>
      <c r="E44" s="2010"/>
    </row>
    <row r="45" spans="1:5">
      <c r="A45" s="2011" t="s">
        <v>2513</v>
      </c>
      <c r="B45" s="2012">
        <v>2</v>
      </c>
      <c r="C45" s="1994" t="s">
        <v>148</v>
      </c>
      <c r="D45" s="1995">
        <v>600</v>
      </c>
      <c r="E45" s="1996">
        <f>ROUND(B45*D45,2)</f>
        <v>1200</v>
      </c>
    </row>
    <row r="46" spans="1:5">
      <c r="A46" s="2013" t="s">
        <v>2511</v>
      </c>
      <c r="B46" s="1988">
        <v>0.05</v>
      </c>
      <c r="C46" s="1997" t="s">
        <v>46</v>
      </c>
      <c r="D46" s="1984">
        <f>E45</f>
        <v>1200</v>
      </c>
      <c r="E46" s="1998">
        <f>ROUND(B46*D46,2)</f>
        <v>60</v>
      </c>
    </row>
    <row r="47" spans="1:5">
      <c r="A47" s="2014"/>
      <c r="B47" s="2015"/>
      <c r="C47" s="5229" t="s">
        <v>2512</v>
      </c>
      <c r="D47" s="5230"/>
      <c r="E47" s="1990">
        <f>SUM(E45:E46)</f>
        <v>1260</v>
      </c>
    </row>
    <row r="49" spans="1:5">
      <c r="A49" s="2019" t="s">
        <v>2514</v>
      </c>
      <c r="B49" s="1969"/>
      <c r="C49" s="1969"/>
      <c r="D49" s="1969"/>
      <c r="E49" s="1969"/>
    </row>
    <row r="50" spans="1:5">
      <c r="A50" s="2007" t="s">
        <v>2515</v>
      </c>
      <c r="B50" s="2001">
        <v>2</v>
      </c>
      <c r="C50" s="2002" t="s">
        <v>3</v>
      </c>
      <c r="D50" s="2003">
        <v>170.32</v>
      </c>
      <c r="E50" s="2004">
        <f t="shared" ref="E50:E56" si="3">ROUND(B50*D50,2)</f>
        <v>340.64</v>
      </c>
    </row>
    <row r="51" spans="1:5">
      <c r="A51" s="1974" t="s">
        <v>2516</v>
      </c>
      <c r="B51" s="2006">
        <v>1</v>
      </c>
      <c r="C51" s="1976" t="s">
        <v>3</v>
      </c>
      <c r="D51" s="1984">
        <v>405.92</v>
      </c>
      <c r="E51" s="1978">
        <f t="shared" si="3"/>
        <v>405.92</v>
      </c>
    </row>
    <row r="52" spans="1:5">
      <c r="A52" s="1974" t="s">
        <v>2517</v>
      </c>
      <c r="B52" s="2006">
        <v>1</v>
      </c>
      <c r="C52" s="1976" t="s">
        <v>3</v>
      </c>
      <c r="D52" s="1984">
        <v>951.08</v>
      </c>
      <c r="E52" s="1978">
        <f t="shared" si="3"/>
        <v>951.08</v>
      </c>
    </row>
    <row r="53" spans="1:5">
      <c r="A53" s="1980" t="s">
        <v>2518</v>
      </c>
      <c r="B53" s="2008">
        <v>1</v>
      </c>
      <c r="C53" s="1976" t="s">
        <v>3</v>
      </c>
      <c r="D53" s="1984">
        <v>4646.84</v>
      </c>
      <c r="E53" s="1978">
        <f t="shared" si="3"/>
        <v>4646.84</v>
      </c>
    </row>
    <row r="54" spans="1:5">
      <c r="A54" s="1980" t="s">
        <v>2489</v>
      </c>
      <c r="B54" s="2008">
        <v>2</v>
      </c>
      <c r="C54" s="1976" t="s">
        <v>3</v>
      </c>
      <c r="D54" s="2020">
        <v>66.3</v>
      </c>
      <c r="E54" s="1978">
        <f t="shared" si="3"/>
        <v>132.6</v>
      </c>
    </row>
    <row r="55" spans="1:5">
      <c r="A55" s="1974" t="s">
        <v>2509</v>
      </c>
      <c r="B55" s="2006">
        <v>2</v>
      </c>
      <c r="C55" s="1976" t="s">
        <v>3</v>
      </c>
      <c r="D55" s="1984">
        <v>10.28</v>
      </c>
      <c r="E55" s="1978">
        <f t="shared" si="3"/>
        <v>20.56</v>
      </c>
    </row>
    <row r="56" spans="1:5">
      <c r="A56" s="2021" t="s">
        <v>2519</v>
      </c>
      <c r="B56" s="2022">
        <v>1</v>
      </c>
      <c r="C56" s="1976" t="s">
        <v>3</v>
      </c>
      <c r="D56" s="1977">
        <v>3000</v>
      </c>
      <c r="E56" s="1978">
        <f t="shared" si="3"/>
        <v>3000</v>
      </c>
    </row>
    <row r="57" spans="1:5">
      <c r="A57" s="1980" t="s">
        <v>33</v>
      </c>
      <c r="B57" s="2009">
        <v>0.05</v>
      </c>
      <c r="C57" s="1976" t="s">
        <v>46</v>
      </c>
      <c r="D57" s="1977">
        <f>E50+E51+E52+E53+E54+E55+E56</f>
        <v>9497.64</v>
      </c>
      <c r="E57" s="1978">
        <f>B57*D57</f>
        <v>474.88</v>
      </c>
    </row>
    <row r="58" spans="1:5">
      <c r="A58" s="1989"/>
      <c r="B58" s="1989"/>
      <c r="C58" s="5228" t="s">
        <v>2491</v>
      </c>
      <c r="D58" s="5228"/>
      <c r="E58" s="2023">
        <f>SUM(E50:E57)</f>
        <v>9972.52</v>
      </c>
    </row>
    <row r="60" spans="1:5" s="1917" customFormat="1">
      <c r="E60" s="2023">
        <f>SUM(E2:E59)</f>
        <v>52329.7</v>
      </c>
    </row>
  </sheetData>
  <customSheetViews>
    <customSheetView guid="{43BC9397-3E8C-478C-B548-E4A845A7F82B}" topLeftCell="A26">
      <selection activeCell="Q71" sqref="Q71"/>
      <pageMargins left="0.7" right="0.7" top="0.75" bottom="0.75" header="0.3" footer="0.3"/>
      <pageSetup paperSize="9" orientation="portrait" horizontalDpi="2400" verticalDpi="2400" r:id="rId1"/>
      <headerFooter>
        <oddFooter>1</oddFooter>
      </headerFooter>
    </customSheetView>
  </customSheetViews>
  <mergeCells count="6">
    <mergeCell ref="C58:D58"/>
    <mergeCell ref="C13:D13"/>
    <mergeCell ref="C27:D27"/>
    <mergeCell ref="C37:D37"/>
    <mergeCell ref="C42:D42"/>
    <mergeCell ref="C47:D47"/>
  </mergeCells>
  <pageMargins left="0.7" right="0.7" top="0.75" bottom="0.75" header="0.3" footer="0.3"/>
  <pageSetup paperSize="9" orientation="portrait" horizontalDpi="2400" verticalDpi="2400" r:id="rId2"/>
  <headerFooter>
    <oddFoote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dimension ref="A2:H159"/>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9.140625" style="1916" bestFit="1" customWidth="1"/>
    <col min="9" max="16384" width="11.42578125" style="1916"/>
  </cols>
  <sheetData>
    <row r="2" spans="1:8" s="1917" customFormat="1"/>
    <row r="3" spans="1:8" ht="25.5">
      <c r="A3" s="1918">
        <v>1</v>
      </c>
      <c r="B3" s="1919" t="s">
        <v>1582</v>
      </c>
      <c r="C3" s="1920"/>
      <c r="D3" s="1920"/>
      <c r="E3" s="1920"/>
      <c r="F3" s="1920"/>
      <c r="G3" s="1920"/>
      <c r="H3" s="1921"/>
    </row>
    <row r="4" spans="1:8">
      <c r="A4" s="1920"/>
      <c r="B4" s="1920"/>
      <c r="C4" s="1920"/>
      <c r="D4" s="1920"/>
      <c r="E4" s="1920"/>
      <c r="F4" s="1920"/>
      <c r="G4" s="1920"/>
      <c r="H4" s="1920"/>
    </row>
    <row r="5" spans="1:8" ht="13.5" thickBot="1">
      <c r="A5" s="1922">
        <v>1.3</v>
      </c>
      <c r="B5" s="1923" t="s">
        <v>2449</v>
      </c>
      <c r="C5" s="1924"/>
      <c r="D5" s="1924"/>
      <c r="E5" s="1924"/>
      <c r="F5" s="1924"/>
      <c r="G5" s="1924"/>
      <c r="H5" s="1924"/>
    </row>
    <row r="6" spans="1:8" ht="13.5" thickTop="1">
      <c r="A6" s="1925">
        <v>1</v>
      </c>
      <c r="B6" s="1926" t="s">
        <v>2450</v>
      </c>
      <c r="C6" s="1927">
        <v>1</v>
      </c>
      <c r="D6" s="1927">
        <v>1</v>
      </c>
      <c r="E6" s="1928" t="s">
        <v>1</v>
      </c>
      <c r="F6" s="1929">
        <f>PRODUCT(C6:D6)</f>
        <v>1</v>
      </c>
      <c r="G6" s="1927">
        <v>212.61</v>
      </c>
      <c r="H6" s="1930">
        <f>ROUND(F6*G6,2)</f>
        <v>212.61</v>
      </c>
    </row>
    <row r="7" spans="1:8" ht="13.5" thickBot="1">
      <c r="A7" s="1931">
        <v>2</v>
      </c>
      <c r="B7" s="1932" t="s">
        <v>621</v>
      </c>
      <c r="C7" s="1933">
        <v>5</v>
      </c>
      <c r="D7" s="1934">
        <v>0.01</v>
      </c>
      <c r="E7" s="1935" t="s">
        <v>46</v>
      </c>
      <c r="F7" s="1936">
        <f>PRODUCT(C7:D7)</f>
        <v>0.05</v>
      </c>
      <c r="G7" s="1933">
        <f>SUM(H6:H6)</f>
        <v>212.61</v>
      </c>
      <c r="H7" s="1937">
        <f>ROUND(F7*G7,2)</f>
        <v>10.63</v>
      </c>
    </row>
    <row r="8" spans="1:8" ht="13.5" thickTop="1">
      <c r="A8" s="1925">
        <v>3</v>
      </c>
      <c r="B8" s="1938" t="s">
        <v>2451</v>
      </c>
      <c r="C8" s="1939">
        <v>30</v>
      </c>
      <c r="D8" s="1934">
        <v>0.01</v>
      </c>
      <c r="E8" s="1935" t="s">
        <v>46</v>
      </c>
      <c r="F8" s="1936">
        <f>PRODUCT(C8:D8)</f>
        <v>0.3</v>
      </c>
      <c r="G8" s="1939">
        <f>SUM(H6:H7)</f>
        <v>223.24</v>
      </c>
      <c r="H8" s="1937">
        <f>ROUND(F8*G8,2)</f>
        <v>66.97</v>
      </c>
    </row>
    <row r="9" spans="1:8" ht="13.5" thickBot="1">
      <c r="A9" s="1940"/>
      <c r="B9" s="1941"/>
      <c r="C9" s="1941"/>
      <c r="D9" s="1941"/>
      <c r="E9" s="1941"/>
      <c r="F9" s="1941"/>
      <c r="G9" s="1942" t="s">
        <v>2452</v>
      </c>
      <c r="H9" s="1943">
        <f>SUM(H6:H8)</f>
        <v>290.20999999999998</v>
      </c>
    </row>
    <row r="10" spans="1:8" ht="13.5" thickTop="1">
      <c r="A10" s="1944"/>
      <c r="B10" s="1944"/>
      <c r="C10" s="1944"/>
      <c r="D10" s="1944"/>
      <c r="E10" s="1944"/>
      <c r="F10" s="1944"/>
      <c r="G10" s="1945"/>
      <c r="H10" s="1946"/>
    </row>
    <row r="11" spans="1:8">
      <c r="A11" s="1947">
        <v>3</v>
      </c>
      <c r="B11" s="1948" t="s">
        <v>1591</v>
      </c>
      <c r="C11" s="1944"/>
      <c r="D11" s="1944"/>
      <c r="E11" s="1944"/>
      <c r="F11" s="1944"/>
      <c r="G11" s="1945"/>
      <c r="H11" s="1946"/>
    </row>
    <row r="12" spans="1:8">
      <c r="A12" s="1944"/>
      <c r="B12" s="1944"/>
      <c r="C12" s="1944"/>
      <c r="D12" s="1944"/>
      <c r="E12" s="1944"/>
      <c r="F12" s="1944"/>
      <c r="G12" s="1945"/>
      <c r="H12" s="1946"/>
    </row>
    <row r="13" spans="1:8" ht="13.5" thickBot="1">
      <c r="A13" s="1922">
        <v>3.1</v>
      </c>
      <c r="B13" s="1923" t="s">
        <v>2453</v>
      </c>
      <c r="C13" s="1924"/>
      <c r="D13" s="1924"/>
      <c r="E13" s="1924"/>
      <c r="F13" s="1924"/>
      <c r="G13" s="1924"/>
      <c r="H13" s="1924"/>
    </row>
    <row r="14" spans="1:8" ht="14.25" thickTop="1" thickBot="1">
      <c r="A14" s="1925">
        <v>1</v>
      </c>
      <c r="B14" s="1926" t="s">
        <v>2454</v>
      </c>
      <c r="C14" s="1927">
        <v>1</v>
      </c>
      <c r="D14" s="1927">
        <v>2</v>
      </c>
      <c r="E14" s="1928" t="s">
        <v>1</v>
      </c>
      <c r="F14" s="1929">
        <f>PRODUCT(C14:D14)</f>
        <v>2</v>
      </c>
      <c r="G14" s="1927">
        <v>207.07</v>
      </c>
      <c r="H14" s="1930">
        <f t="shared" ref="H14:H20" si="0">ROUND(F14*G14,2)</f>
        <v>414.14</v>
      </c>
    </row>
    <row r="15" spans="1:8" ht="14.25" thickTop="1" thickBot="1">
      <c r="A15" s="1931">
        <v>2</v>
      </c>
      <c r="B15" s="1926" t="s">
        <v>2455</v>
      </c>
      <c r="C15" s="1927">
        <v>1</v>
      </c>
      <c r="D15" s="1927">
        <v>1</v>
      </c>
      <c r="E15" s="1928" t="s">
        <v>1</v>
      </c>
      <c r="F15" s="1929">
        <f>PRODUCT(C15:D15)</f>
        <v>1</v>
      </c>
      <c r="G15" s="1949">
        <v>172.46</v>
      </c>
      <c r="H15" s="1930">
        <f t="shared" si="0"/>
        <v>172.46</v>
      </c>
    </row>
    <row r="16" spans="1:8" ht="14.25" thickTop="1" thickBot="1">
      <c r="A16" s="1931">
        <v>3</v>
      </c>
      <c r="B16" s="1950" t="s">
        <v>2456</v>
      </c>
      <c r="C16" s="1951">
        <v>1</v>
      </c>
      <c r="D16" s="1951">
        <v>1</v>
      </c>
      <c r="E16" s="1952" t="s">
        <v>1</v>
      </c>
      <c r="F16" s="1953">
        <f>PRODUCT(C16:D16)</f>
        <v>1</v>
      </c>
      <c r="G16" s="1927">
        <v>235.75</v>
      </c>
      <c r="H16" s="1954">
        <f t="shared" si="0"/>
        <v>235.75</v>
      </c>
    </row>
    <row r="17" spans="1:8" ht="13.5" thickTop="1">
      <c r="A17" s="1925">
        <v>4</v>
      </c>
      <c r="B17" s="1950" t="s">
        <v>2457</v>
      </c>
      <c r="C17" s="1951">
        <v>1</v>
      </c>
      <c r="D17" s="1951">
        <v>0.5</v>
      </c>
      <c r="E17" s="1952" t="s">
        <v>1</v>
      </c>
      <c r="F17" s="1953">
        <v>1</v>
      </c>
      <c r="G17" s="1951">
        <v>579.77</v>
      </c>
      <c r="H17" s="1954">
        <f t="shared" si="0"/>
        <v>579.77</v>
      </c>
    </row>
    <row r="18" spans="1:8">
      <c r="A18" s="1931">
        <v>5</v>
      </c>
      <c r="B18" s="1950" t="s">
        <v>2458</v>
      </c>
      <c r="C18" s="1951">
        <v>1</v>
      </c>
      <c r="D18" s="1951">
        <v>0.5</v>
      </c>
      <c r="E18" s="1952" t="s">
        <v>1</v>
      </c>
      <c r="F18" s="1953">
        <v>1</v>
      </c>
      <c r="G18" s="1951">
        <v>96.96</v>
      </c>
      <c r="H18" s="1954">
        <f t="shared" si="0"/>
        <v>96.96</v>
      </c>
    </row>
    <row r="19" spans="1:8" ht="13.5" thickBot="1">
      <c r="A19" s="1931">
        <v>6</v>
      </c>
      <c r="B19" s="1932" t="s">
        <v>621</v>
      </c>
      <c r="C19" s="1933">
        <v>5</v>
      </c>
      <c r="D19" s="1934">
        <v>0.01</v>
      </c>
      <c r="E19" s="1935" t="s">
        <v>46</v>
      </c>
      <c r="F19" s="1936">
        <f>PRODUCT(C19:D19)</f>
        <v>0.05</v>
      </c>
      <c r="G19" s="1933">
        <f>SUM(H14:H18)</f>
        <v>1499.08</v>
      </c>
      <c r="H19" s="1937">
        <f t="shared" si="0"/>
        <v>74.95</v>
      </c>
    </row>
    <row r="20" spans="1:8" ht="13.5" thickTop="1">
      <c r="A20" s="1925">
        <v>7</v>
      </c>
      <c r="B20" s="1938" t="s">
        <v>2451</v>
      </c>
      <c r="C20" s="1939">
        <v>30</v>
      </c>
      <c r="D20" s="1934">
        <v>0.01</v>
      </c>
      <c r="E20" s="1935" t="s">
        <v>46</v>
      </c>
      <c r="F20" s="1936">
        <f>PRODUCT(C20:D20)</f>
        <v>0.3</v>
      </c>
      <c r="G20" s="1939">
        <f>SUM(H14:H19)</f>
        <v>1574.03</v>
      </c>
      <c r="H20" s="1937">
        <f t="shared" si="0"/>
        <v>472.21</v>
      </c>
    </row>
    <row r="21" spans="1:8" ht="13.5" thickBot="1">
      <c r="A21" s="1940"/>
      <c r="B21" s="1941"/>
      <c r="C21" s="1941"/>
      <c r="D21" s="1941"/>
      <c r="E21" s="1941"/>
      <c r="F21" s="1941"/>
      <c r="G21" s="1942" t="s">
        <v>2452</v>
      </c>
      <c r="H21" s="1943">
        <f>SUM(H14:H20)</f>
        <v>2046.24</v>
      </c>
    </row>
    <row r="22" spans="1:8" ht="13.5" thickTop="1">
      <c r="A22" s="1920"/>
      <c r="B22" s="1920"/>
      <c r="C22" s="1920"/>
      <c r="D22" s="1920"/>
      <c r="E22" s="1920"/>
      <c r="F22" s="1920"/>
      <c r="G22" s="1920"/>
      <c r="H22" s="1920"/>
    </row>
    <row r="23" spans="1:8" ht="13.5" thickBot="1">
      <c r="A23" s="1922">
        <v>3.2</v>
      </c>
      <c r="B23" s="1923" t="s">
        <v>2459</v>
      </c>
      <c r="C23" s="1924"/>
      <c r="D23" s="1924"/>
      <c r="E23" s="1924"/>
      <c r="F23" s="1924"/>
      <c r="G23" s="1924"/>
      <c r="H23" s="1924"/>
    </row>
    <row r="24" spans="1:8" ht="14.25" thickTop="1" thickBot="1">
      <c r="A24" s="1925">
        <v>1</v>
      </c>
      <c r="B24" s="1926" t="s">
        <v>2454</v>
      </c>
      <c r="C24" s="1955">
        <v>1</v>
      </c>
      <c r="D24" s="1955">
        <v>2</v>
      </c>
      <c r="E24" s="1956" t="s">
        <v>1</v>
      </c>
      <c r="F24" s="1957">
        <f>PRODUCT(C24:D24)</f>
        <v>2</v>
      </c>
      <c r="G24" s="1927">
        <v>207.07</v>
      </c>
      <c r="H24" s="1958">
        <f t="shared" ref="H24:H29" si="1">ROUND(F24*G24,2)</f>
        <v>414.14</v>
      </c>
    </row>
    <row r="25" spans="1:8" ht="14.25" thickTop="1" thickBot="1">
      <c r="A25" s="1931">
        <v>2</v>
      </c>
      <c r="B25" s="1926" t="s">
        <v>2455</v>
      </c>
      <c r="C25" s="1955">
        <v>1</v>
      </c>
      <c r="D25" s="1955">
        <v>1</v>
      </c>
      <c r="E25" s="1956" t="s">
        <v>1</v>
      </c>
      <c r="F25" s="1957">
        <f>PRODUCT(C25:D25)</f>
        <v>1</v>
      </c>
      <c r="G25" s="1949">
        <v>172.46</v>
      </c>
      <c r="H25" s="1958">
        <f t="shared" si="1"/>
        <v>172.46</v>
      </c>
    </row>
    <row r="26" spans="1:8" ht="14.25" thickTop="1" thickBot="1">
      <c r="A26" s="1931">
        <v>3</v>
      </c>
      <c r="B26" s="1950" t="s">
        <v>2456</v>
      </c>
      <c r="C26" s="1933">
        <v>1</v>
      </c>
      <c r="D26" s="1933">
        <v>1</v>
      </c>
      <c r="E26" s="1959" t="s">
        <v>1</v>
      </c>
      <c r="F26" s="1936">
        <f>PRODUCT(C26:D26)</f>
        <v>1</v>
      </c>
      <c r="G26" s="1927">
        <v>235.75</v>
      </c>
      <c r="H26" s="1937">
        <f t="shared" si="1"/>
        <v>235.75</v>
      </c>
    </row>
    <row r="27" spans="1:8" ht="13.5" thickTop="1">
      <c r="A27" s="1925">
        <v>4</v>
      </c>
      <c r="B27" s="1950" t="s">
        <v>2458</v>
      </c>
      <c r="C27" s="1933">
        <v>1</v>
      </c>
      <c r="D27" s="1933">
        <v>1</v>
      </c>
      <c r="E27" s="1959" t="s">
        <v>1</v>
      </c>
      <c r="F27" s="1936">
        <v>1</v>
      </c>
      <c r="G27" s="1951">
        <v>96.96</v>
      </c>
      <c r="H27" s="1937">
        <f t="shared" si="1"/>
        <v>96.96</v>
      </c>
    </row>
    <row r="28" spans="1:8">
      <c r="A28" s="1931">
        <v>5</v>
      </c>
      <c r="B28" s="1932" t="s">
        <v>621</v>
      </c>
      <c r="C28" s="1933">
        <v>5</v>
      </c>
      <c r="D28" s="1934">
        <v>0.01</v>
      </c>
      <c r="E28" s="1935" t="s">
        <v>46</v>
      </c>
      <c r="F28" s="1936">
        <f>PRODUCT(C28:D28)</f>
        <v>0.05</v>
      </c>
      <c r="G28" s="1933">
        <f>SUM(H24:H27)</f>
        <v>919.31</v>
      </c>
      <c r="H28" s="1937">
        <f t="shared" si="1"/>
        <v>45.97</v>
      </c>
    </row>
    <row r="29" spans="1:8">
      <c r="A29" s="1931">
        <v>6</v>
      </c>
      <c r="B29" s="1938" t="s">
        <v>2451</v>
      </c>
      <c r="C29" s="1939">
        <v>30</v>
      </c>
      <c r="D29" s="1934">
        <v>0.01</v>
      </c>
      <c r="E29" s="1935" t="s">
        <v>46</v>
      </c>
      <c r="F29" s="1936">
        <f>PRODUCT(C29:D29)</f>
        <v>0.3</v>
      </c>
      <c r="G29" s="1939">
        <f>SUM(H24:H28)</f>
        <v>965.28</v>
      </c>
      <c r="H29" s="1937">
        <f t="shared" si="1"/>
        <v>289.58</v>
      </c>
    </row>
    <row r="30" spans="1:8" ht="13.5" thickBot="1">
      <c r="A30" s="1940"/>
      <c r="B30" s="1941"/>
      <c r="C30" s="1941"/>
      <c r="D30" s="1941"/>
      <c r="E30" s="1941"/>
      <c r="F30" s="1941"/>
      <c r="G30" s="1942" t="s">
        <v>2452</v>
      </c>
      <c r="H30" s="1943">
        <f>SUM(H24:H29)</f>
        <v>1254.8599999999999</v>
      </c>
    </row>
    <row r="31" spans="1:8" ht="13.5" thickTop="1">
      <c r="A31" s="1920"/>
      <c r="B31" s="1920"/>
      <c r="C31" s="1920"/>
      <c r="D31" s="1920"/>
      <c r="E31" s="1920"/>
      <c r="F31" s="1920"/>
      <c r="G31" s="1920"/>
      <c r="H31" s="1920"/>
    </row>
    <row r="32" spans="1:8" ht="13.5" thickBot="1">
      <c r="A32" s="1922">
        <v>3.3</v>
      </c>
      <c r="B32" s="1923" t="s">
        <v>2460</v>
      </c>
      <c r="C32" s="1924"/>
      <c r="D32" s="1924"/>
      <c r="E32" s="1924"/>
      <c r="F32" s="1924"/>
      <c r="G32" s="1924"/>
      <c r="H32" s="1924"/>
    </row>
    <row r="33" spans="1:8" ht="14.25" thickTop="1" thickBot="1">
      <c r="A33" s="1925">
        <v>1</v>
      </c>
      <c r="B33" s="1926" t="s">
        <v>2454</v>
      </c>
      <c r="C33" s="1955">
        <v>1</v>
      </c>
      <c r="D33" s="1955">
        <v>2</v>
      </c>
      <c r="E33" s="1956" t="s">
        <v>1</v>
      </c>
      <c r="F33" s="1957">
        <f>PRODUCT(C33:D33)</f>
        <v>2</v>
      </c>
      <c r="G33" s="1927">
        <v>207.07</v>
      </c>
      <c r="H33" s="1958">
        <f t="shared" ref="H33:H38" si="2">ROUND(F33*G33,2)</f>
        <v>414.14</v>
      </c>
    </row>
    <row r="34" spans="1:8" ht="14.25" thickTop="1" thickBot="1">
      <c r="A34" s="1931">
        <v>2</v>
      </c>
      <c r="B34" s="1926" t="s">
        <v>2455</v>
      </c>
      <c r="C34" s="1955">
        <v>1</v>
      </c>
      <c r="D34" s="1955">
        <v>1</v>
      </c>
      <c r="E34" s="1956" t="s">
        <v>1</v>
      </c>
      <c r="F34" s="1957">
        <f>PRODUCT(C34:D34)</f>
        <v>1</v>
      </c>
      <c r="G34" s="1949">
        <v>172.46</v>
      </c>
      <c r="H34" s="1958">
        <f t="shared" si="2"/>
        <v>172.46</v>
      </c>
    </row>
    <row r="35" spans="1:8" ht="14.25" thickTop="1" thickBot="1">
      <c r="A35" s="1931">
        <v>3</v>
      </c>
      <c r="B35" s="1950" t="s">
        <v>2456</v>
      </c>
      <c r="C35" s="1933">
        <v>1</v>
      </c>
      <c r="D35" s="1933">
        <v>1</v>
      </c>
      <c r="E35" s="1959" t="s">
        <v>1</v>
      </c>
      <c r="F35" s="1936">
        <f>PRODUCT(C35:D35)</f>
        <v>1</v>
      </c>
      <c r="G35" s="1927">
        <v>235.75</v>
      </c>
      <c r="H35" s="1937">
        <f t="shared" si="2"/>
        <v>235.75</v>
      </c>
    </row>
    <row r="36" spans="1:8" ht="13.5" thickTop="1">
      <c r="A36" s="1925">
        <v>4</v>
      </c>
      <c r="B36" s="1950" t="s">
        <v>2458</v>
      </c>
      <c r="C36" s="1933">
        <v>1</v>
      </c>
      <c r="D36" s="1933">
        <v>1</v>
      </c>
      <c r="E36" s="1959" t="s">
        <v>1</v>
      </c>
      <c r="F36" s="1936">
        <v>1</v>
      </c>
      <c r="G36" s="1951">
        <v>96.96</v>
      </c>
      <c r="H36" s="1937">
        <f t="shared" si="2"/>
        <v>96.96</v>
      </c>
    </row>
    <row r="37" spans="1:8">
      <c r="A37" s="1931">
        <v>5</v>
      </c>
      <c r="B37" s="1932" t="s">
        <v>621</v>
      </c>
      <c r="C37" s="1933">
        <v>5</v>
      </c>
      <c r="D37" s="1934">
        <v>0.01</v>
      </c>
      <c r="E37" s="1935" t="s">
        <v>46</v>
      </c>
      <c r="F37" s="1936">
        <f>PRODUCT(C37:D37)</f>
        <v>0.05</v>
      </c>
      <c r="G37" s="1933">
        <f>SUM(H33:H36)</f>
        <v>919.31</v>
      </c>
      <c r="H37" s="1937">
        <f t="shared" si="2"/>
        <v>45.97</v>
      </c>
    </row>
    <row r="38" spans="1:8">
      <c r="A38" s="1931">
        <v>6</v>
      </c>
      <c r="B38" s="1938" t="s">
        <v>2451</v>
      </c>
      <c r="C38" s="1939">
        <v>30</v>
      </c>
      <c r="D38" s="1934">
        <v>0.01</v>
      </c>
      <c r="E38" s="1935" t="s">
        <v>46</v>
      </c>
      <c r="F38" s="1936">
        <f>PRODUCT(C38:D38)</f>
        <v>0.3</v>
      </c>
      <c r="G38" s="1939">
        <f>SUM(H33:H37)</f>
        <v>965.28</v>
      </c>
      <c r="H38" s="1937">
        <f t="shared" si="2"/>
        <v>289.58</v>
      </c>
    </row>
    <row r="39" spans="1:8" ht="13.5" thickBot="1">
      <c r="A39" s="1940"/>
      <c r="B39" s="1941"/>
      <c r="C39" s="1941"/>
      <c r="D39" s="1941"/>
      <c r="E39" s="1941"/>
      <c r="F39" s="1941"/>
      <c r="G39" s="1942" t="s">
        <v>2452</v>
      </c>
      <c r="H39" s="1943">
        <f>SUM(H33:H38)</f>
        <v>1254.8599999999999</v>
      </c>
    </row>
    <row r="40" spans="1:8" ht="13.5" thickTop="1">
      <c r="A40" s="1920"/>
      <c r="B40" s="1920"/>
      <c r="C40" s="1920"/>
      <c r="D40" s="1920"/>
      <c r="E40" s="1920"/>
      <c r="F40" s="1920"/>
      <c r="G40" s="1920"/>
      <c r="H40" s="1920"/>
    </row>
    <row r="41" spans="1:8" ht="13.5" thickBot="1">
      <c r="A41" s="1922">
        <v>3.4</v>
      </c>
      <c r="B41" s="1923" t="s">
        <v>2461</v>
      </c>
      <c r="C41" s="1924"/>
      <c r="D41" s="1924"/>
      <c r="E41" s="1924"/>
      <c r="F41" s="1924"/>
      <c r="G41" s="1924"/>
      <c r="H41" s="1924"/>
    </row>
    <row r="42" spans="1:8" ht="14.25" thickTop="1" thickBot="1">
      <c r="A42" s="1925">
        <v>1</v>
      </c>
      <c r="B42" s="1950" t="s">
        <v>2462</v>
      </c>
      <c r="C42" s="1951">
        <v>1</v>
      </c>
      <c r="D42" s="1951">
        <v>2</v>
      </c>
      <c r="E42" s="1959" t="s">
        <v>1</v>
      </c>
      <c r="F42" s="1936">
        <f>PRODUCT(C42:D42)</f>
        <v>2</v>
      </c>
      <c r="G42" s="1949">
        <v>98.49</v>
      </c>
      <c r="H42" s="1937">
        <f>ROUND(F42*G42,2)</f>
        <v>196.98</v>
      </c>
    </row>
    <row r="43" spans="1:8" ht="13.5" thickTop="1">
      <c r="A43" s="1931">
        <v>2</v>
      </c>
      <c r="B43" s="1950" t="s">
        <v>2463</v>
      </c>
      <c r="C43" s="1951">
        <v>1</v>
      </c>
      <c r="D43" s="1951">
        <v>1</v>
      </c>
      <c r="E43" s="1959" t="s">
        <v>1</v>
      </c>
      <c r="F43" s="1936">
        <f>PRODUCT(C43:D43)</f>
        <v>1</v>
      </c>
      <c r="G43" s="1927">
        <v>72.87</v>
      </c>
      <c r="H43" s="1937">
        <f>ROUND(F43*G43,2)</f>
        <v>72.87</v>
      </c>
    </row>
    <row r="44" spans="1:8">
      <c r="A44" s="1931">
        <v>3</v>
      </c>
      <c r="B44" s="1950" t="s">
        <v>2464</v>
      </c>
      <c r="C44" s="1951">
        <v>1</v>
      </c>
      <c r="D44" s="1951">
        <v>1</v>
      </c>
      <c r="E44" s="1959" t="s">
        <v>1</v>
      </c>
      <c r="F44" s="1936">
        <f>PRODUCT(C44:D44)</f>
        <v>1</v>
      </c>
      <c r="G44" s="1951">
        <v>138.37</v>
      </c>
      <c r="H44" s="1937">
        <f>ROUND(F44*G44,2)</f>
        <v>138.37</v>
      </c>
    </row>
    <row r="45" spans="1:8">
      <c r="A45" s="1931">
        <v>4</v>
      </c>
      <c r="B45" s="1932" t="s">
        <v>621</v>
      </c>
      <c r="C45" s="1933">
        <v>5</v>
      </c>
      <c r="D45" s="1934">
        <v>0.01</v>
      </c>
      <c r="E45" s="1935" t="s">
        <v>46</v>
      </c>
      <c r="F45" s="1936">
        <f>PRODUCT(C45:D45)</f>
        <v>0.05</v>
      </c>
      <c r="G45" s="1933">
        <f>SUM(H42:H42)</f>
        <v>196.98</v>
      </c>
      <c r="H45" s="1937">
        <f>ROUND(F45*G45,2)</f>
        <v>9.85</v>
      </c>
    </row>
    <row r="46" spans="1:8">
      <c r="A46" s="1960">
        <v>5</v>
      </c>
      <c r="B46" s="1938" t="s">
        <v>2451</v>
      </c>
      <c r="C46" s="1939">
        <v>30</v>
      </c>
      <c r="D46" s="1934">
        <v>0.01</v>
      </c>
      <c r="E46" s="1935" t="s">
        <v>46</v>
      </c>
      <c r="F46" s="1936">
        <f>PRODUCT(C46:D46)</f>
        <v>0.3</v>
      </c>
      <c r="G46" s="1939">
        <f>SUM(H42:H45)</f>
        <v>418.07</v>
      </c>
      <c r="H46" s="1937">
        <f>ROUND(F46*G46,2)</f>
        <v>125.42</v>
      </c>
    </row>
    <row r="47" spans="1:8" ht="13.5" thickBot="1">
      <c r="A47" s="1940"/>
      <c r="B47" s="1941"/>
      <c r="C47" s="1941"/>
      <c r="D47" s="1941"/>
      <c r="E47" s="1941"/>
      <c r="F47" s="1941"/>
      <c r="G47" s="1942" t="s">
        <v>2452</v>
      </c>
      <c r="H47" s="1943">
        <f>SUM(H42:H46)</f>
        <v>543.49</v>
      </c>
    </row>
    <row r="48" spans="1:8" ht="13.5" thickTop="1">
      <c r="A48" s="1944"/>
      <c r="B48" s="1944"/>
      <c r="C48" s="1944"/>
      <c r="D48" s="1944"/>
      <c r="E48" s="1944"/>
      <c r="F48" s="1944"/>
      <c r="G48" s="1945"/>
      <c r="H48" s="1961"/>
    </row>
    <row r="49" spans="1:8" ht="13.5" thickBot="1">
      <c r="A49" s="1922">
        <v>3.5</v>
      </c>
      <c r="B49" s="1923" t="s">
        <v>2465</v>
      </c>
      <c r="C49" s="1924"/>
      <c r="D49" s="1924"/>
      <c r="E49" s="1924"/>
      <c r="F49" s="1924"/>
      <c r="G49" s="1924"/>
      <c r="H49" s="1924"/>
    </row>
    <row r="50" spans="1:8" ht="14.25" thickTop="1" thickBot="1">
      <c r="A50" s="1925">
        <v>1</v>
      </c>
      <c r="B50" s="1950" t="s">
        <v>2463</v>
      </c>
      <c r="C50" s="1951">
        <v>1</v>
      </c>
      <c r="D50" s="1951">
        <v>2</v>
      </c>
      <c r="E50" s="1959" t="s">
        <v>1</v>
      </c>
      <c r="F50" s="1936">
        <f t="shared" ref="F50:F55" si="3">PRODUCT(C50:D50)</f>
        <v>2</v>
      </c>
      <c r="G50" s="1927">
        <v>72.87</v>
      </c>
      <c r="H50" s="1937">
        <f t="shared" ref="H50:H55" si="4">ROUND(F50*G50,2)</f>
        <v>145.74</v>
      </c>
    </row>
    <row r="51" spans="1:8" ht="13.5" thickTop="1">
      <c r="A51" s="1931">
        <v>2</v>
      </c>
      <c r="B51" s="1950" t="s">
        <v>2466</v>
      </c>
      <c r="C51" s="1951">
        <v>1</v>
      </c>
      <c r="D51" s="1951">
        <v>1</v>
      </c>
      <c r="E51" s="1959" t="s">
        <v>1</v>
      </c>
      <c r="F51" s="1936">
        <f t="shared" si="3"/>
        <v>1</v>
      </c>
      <c r="G51" s="1927">
        <v>48.8</v>
      </c>
      <c r="H51" s="1937">
        <f t="shared" si="4"/>
        <v>48.8</v>
      </c>
    </row>
    <row r="52" spans="1:8">
      <c r="A52" s="1931">
        <v>3</v>
      </c>
      <c r="B52" s="1950" t="s">
        <v>2467</v>
      </c>
      <c r="C52" s="1951">
        <v>1</v>
      </c>
      <c r="D52" s="1951">
        <v>0.5</v>
      </c>
      <c r="E52" s="1959" t="s">
        <v>1</v>
      </c>
      <c r="F52" s="1936">
        <f t="shared" si="3"/>
        <v>0.5</v>
      </c>
      <c r="G52" s="1951">
        <v>69.680000000000007</v>
      </c>
      <c r="H52" s="1937">
        <f t="shared" si="4"/>
        <v>34.840000000000003</v>
      </c>
    </row>
    <row r="53" spans="1:8">
      <c r="A53" s="1931">
        <v>4</v>
      </c>
      <c r="B53" s="1950" t="s">
        <v>2468</v>
      </c>
      <c r="C53" s="1951">
        <v>1</v>
      </c>
      <c r="D53" s="1951">
        <v>0.5</v>
      </c>
      <c r="E53" s="1959" t="s">
        <v>1</v>
      </c>
      <c r="F53" s="1936">
        <f t="shared" si="3"/>
        <v>0.5</v>
      </c>
      <c r="G53" s="1951">
        <v>126.71</v>
      </c>
      <c r="H53" s="1937">
        <f t="shared" si="4"/>
        <v>63.36</v>
      </c>
    </row>
    <row r="54" spans="1:8">
      <c r="A54" s="1931">
        <v>5</v>
      </c>
      <c r="B54" s="1932" t="s">
        <v>621</v>
      </c>
      <c r="C54" s="1933">
        <v>5</v>
      </c>
      <c r="D54" s="1934">
        <v>0.01</v>
      </c>
      <c r="E54" s="1935" t="s">
        <v>46</v>
      </c>
      <c r="F54" s="1936">
        <f t="shared" si="3"/>
        <v>0.05</v>
      </c>
      <c r="G54" s="1933">
        <f>SUM(H50:H50)</f>
        <v>145.74</v>
      </c>
      <c r="H54" s="1937">
        <f t="shared" si="4"/>
        <v>7.29</v>
      </c>
    </row>
    <row r="55" spans="1:8">
      <c r="A55" s="1960">
        <v>6</v>
      </c>
      <c r="B55" s="1938" t="s">
        <v>2451</v>
      </c>
      <c r="C55" s="1939">
        <v>30</v>
      </c>
      <c r="D55" s="1934">
        <v>0.01</v>
      </c>
      <c r="E55" s="1935" t="s">
        <v>46</v>
      </c>
      <c r="F55" s="1936">
        <f t="shared" si="3"/>
        <v>0.3</v>
      </c>
      <c r="G55" s="1939">
        <f>SUM(H50:H54)</f>
        <v>300.02999999999997</v>
      </c>
      <c r="H55" s="1937">
        <f t="shared" si="4"/>
        <v>90.01</v>
      </c>
    </row>
    <row r="56" spans="1:8" ht="13.5" thickBot="1">
      <c r="A56" s="1940"/>
      <c r="B56" s="1941"/>
      <c r="C56" s="1941"/>
      <c r="D56" s="1941"/>
      <c r="E56" s="1941"/>
      <c r="F56" s="1941"/>
      <c r="G56" s="1942" t="s">
        <v>2452</v>
      </c>
      <c r="H56" s="1943">
        <f>SUM(H50:H55)</f>
        <v>390.04</v>
      </c>
    </row>
    <row r="57" spans="1:8" ht="13.5" thickTop="1">
      <c r="A57" s="1944"/>
      <c r="B57" s="1944"/>
      <c r="C57" s="1944"/>
      <c r="D57" s="1944"/>
      <c r="E57" s="1944"/>
      <c r="F57" s="1944"/>
      <c r="G57" s="1945"/>
      <c r="H57" s="1961"/>
    </row>
    <row r="58" spans="1:8" ht="13.5" thickBot="1">
      <c r="A58" s="1922">
        <v>3.6</v>
      </c>
      <c r="B58" s="1923" t="s">
        <v>2469</v>
      </c>
      <c r="C58" s="1924"/>
      <c r="D58" s="1924"/>
      <c r="E58" s="1924"/>
      <c r="F58" s="1924"/>
      <c r="G58" s="1924"/>
      <c r="H58" s="1924"/>
    </row>
    <row r="59" spans="1:8" ht="14.25" thickTop="1" thickBot="1">
      <c r="A59" s="1925">
        <v>1</v>
      </c>
      <c r="B59" s="1950" t="s">
        <v>2462</v>
      </c>
      <c r="C59" s="1951">
        <v>1</v>
      </c>
      <c r="D59" s="1951">
        <v>2</v>
      </c>
      <c r="E59" s="1959" t="s">
        <v>1</v>
      </c>
      <c r="F59" s="1936">
        <f>PRODUCT(C59:D59)</f>
        <v>2</v>
      </c>
      <c r="G59" s="1949">
        <v>98.49</v>
      </c>
      <c r="H59" s="1937">
        <f>ROUND(F59*G59,2)</f>
        <v>196.98</v>
      </c>
    </row>
    <row r="60" spans="1:8" ht="13.5" thickTop="1">
      <c r="A60" s="1931">
        <v>2</v>
      </c>
      <c r="B60" s="1950" t="s">
        <v>2463</v>
      </c>
      <c r="C60" s="1951">
        <v>1</v>
      </c>
      <c r="D60" s="1951">
        <v>1</v>
      </c>
      <c r="E60" s="1959" t="s">
        <v>1</v>
      </c>
      <c r="F60" s="1936">
        <f>PRODUCT(C60:D60)</f>
        <v>1</v>
      </c>
      <c r="G60" s="1927">
        <v>72.87</v>
      </c>
      <c r="H60" s="1937">
        <f>ROUND(F60*G60,2)</f>
        <v>72.87</v>
      </c>
    </row>
    <row r="61" spans="1:8">
      <c r="A61" s="1931">
        <v>3</v>
      </c>
      <c r="B61" s="1950" t="s">
        <v>2464</v>
      </c>
      <c r="C61" s="1951">
        <v>1</v>
      </c>
      <c r="D61" s="1951">
        <v>1</v>
      </c>
      <c r="E61" s="1959" t="s">
        <v>1</v>
      </c>
      <c r="F61" s="1936">
        <f>PRODUCT(C61:D61)</f>
        <v>1</v>
      </c>
      <c r="G61" s="1951">
        <v>138.37</v>
      </c>
      <c r="H61" s="1937">
        <f>ROUND(F61*G61,2)</f>
        <v>138.37</v>
      </c>
    </row>
    <row r="62" spans="1:8">
      <c r="A62" s="1931">
        <v>4</v>
      </c>
      <c r="B62" s="1932" t="s">
        <v>621</v>
      </c>
      <c r="C62" s="1933">
        <v>5</v>
      </c>
      <c r="D62" s="1934">
        <v>0.01</v>
      </c>
      <c r="E62" s="1935" t="s">
        <v>46</v>
      </c>
      <c r="F62" s="1936">
        <f>PRODUCT(C62:D62)</f>
        <v>0.05</v>
      </c>
      <c r="G62" s="1933">
        <f>SUM(H59:H59)</f>
        <v>196.98</v>
      </c>
      <c r="H62" s="1937">
        <f>ROUND(F62*G62,2)</f>
        <v>9.85</v>
      </c>
    </row>
    <row r="63" spans="1:8">
      <c r="A63" s="1960">
        <v>5</v>
      </c>
      <c r="B63" s="1938" t="s">
        <v>2451</v>
      </c>
      <c r="C63" s="1939">
        <v>30</v>
      </c>
      <c r="D63" s="1934">
        <v>0.01</v>
      </c>
      <c r="E63" s="1935" t="s">
        <v>46</v>
      </c>
      <c r="F63" s="1936">
        <f>PRODUCT(C63:D63)</f>
        <v>0.3</v>
      </c>
      <c r="G63" s="1939">
        <f>SUM(H59:H62)</f>
        <v>418.07</v>
      </c>
      <c r="H63" s="1937">
        <f>ROUND(F63*G63,2)</f>
        <v>125.42</v>
      </c>
    </row>
    <row r="64" spans="1:8" ht="13.5" thickBot="1">
      <c r="A64" s="1940"/>
      <c r="B64" s="1941"/>
      <c r="C64" s="1941"/>
      <c r="D64" s="1941"/>
      <c r="E64" s="1941"/>
      <c r="F64" s="1941"/>
      <c r="G64" s="1942" t="s">
        <v>2452</v>
      </c>
      <c r="H64" s="1943">
        <f>SUM(H59:H63)</f>
        <v>543.49</v>
      </c>
    </row>
    <row r="65" spans="1:8" ht="13.5" thickTop="1">
      <c r="A65" s="1944"/>
      <c r="B65" s="1944"/>
      <c r="C65" s="1944"/>
      <c r="D65" s="1944"/>
      <c r="E65" s="1944"/>
      <c r="F65" s="1944"/>
      <c r="G65" s="1945"/>
      <c r="H65" s="1946"/>
    </row>
    <row r="66" spans="1:8" ht="13.5" thickBot="1">
      <c r="A66" s="1922">
        <v>3.7</v>
      </c>
      <c r="B66" s="1923" t="s">
        <v>2470</v>
      </c>
      <c r="C66" s="1924"/>
      <c r="D66" s="1924"/>
      <c r="E66" s="1924"/>
      <c r="F66" s="1924"/>
      <c r="G66" s="1924"/>
      <c r="H66" s="1924"/>
    </row>
    <row r="67" spans="1:8" ht="14.25" thickTop="1" thickBot="1">
      <c r="A67" s="1925">
        <v>1</v>
      </c>
      <c r="B67" s="1950" t="s">
        <v>2463</v>
      </c>
      <c r="C67" s="1951">
        <v>1</v>
      </c>
      <c r="D67" s="1951">
        <v>2</v>
      </c>
      <c r="E67" s="1959" t="s">
        <v>1</v>
      </c>
      <c r="F67" s="1936">
        <f t="shared" ref="F67:F72" si="5">PRODUCT(C67:D67)</f>
        <v>2</v>
      </c>
      <c r="G67" s="1927">
        <v>72.87</v>
      </c>
      <c r="H67" s="1937">
        <f t="shared" ref="H67:H72" si="6">ROUND(F67*G67,2)</f>
        <v>145.74</v>
      </c>
    </row>
    <row r="68" spans="1:8" ht="13.5" thickTop="1">
      <c r="A68" s="1931">
        <v>2</v>
      </c>
      <c r="B68" s="1950" t="s">
        <v>2466</v>
      </c>
      <c r="C68" s="1951">
        <v>1</v>
      </c>
      <c r="D68" s="1951">
        <v>1</v>
      </c>
      <c r="E68" s="1959" t="s">
        <v>1</v>
      </c>
      <c r="F68" s="1936">
        <f t="shared" si="5"/>
        <v>1</v>
      </c>
      <c r="G68" s="1927">
        <v>48.8</v>
      </c>
      <c r="H68" s="1937">
        <f t="shared" si="6"/>
        <v>48.8</v>
      </c>
    </row>
    <row r="69" spans="1:8">
      <c r="A69" s="1931">
        <v>3</v>
      </c>
      <c r="B69" s="1950" t="s">
        <v>2467</v>
      </c>
      <c r="C69" s="1951">
        <v>1</v>
      </c>
      <c r="D69" s="1951">
        <v>0.5</v>
      </c>
      <c r="E69" s="1959" t="s">
        <v>1</v>
      </c>
      <c r="F69" s="1936">
        <f t="shared" si="5"/>
        <v>0.5</v>
      </c>
      <c r="G69" s="1951">
        <v>69.680000000000007</v>
      </c>
      <c r="H69" s="1937">
        <f t="shared" si="6"/>
        <v>34.840000000000003</v>
      </c>
    </row>
    <row r="70" spans="1:8">
      <c r="A70" s="1931">
        <v>4</v>
      </c>
      <c r="B70" s="1950" t="s">
        <v>2468</v>
      </c>
      <c r="C70" s="1951">
        <v>1</v>
      </c>
      <c r="D70" s="1951">
        <v>0.5</v>
      </c>
      <c r="E70" s="1959" t="s">
        <v>1</v>
      </c>
      <c r="F70" s="1936">
        <f t="shared" si="5"/>
        <v>0.5</v>
      </c>
      <c r="G70" s="1951">
        <v>126.71</v>
      </c>
      <c r="H70" s="1937">
        <f t="shared" si="6"/>
        <v>63.36</v>
      </c>
    </row>
    <row r="71" spans="1:8">
      <c r="A71" s="1931">
        <v>5</v>
      </c>
      <c r="B71" s="1932" t="s">
        <v>621</v>
      </c>
      <c r="C71" s="1933">
        <v>5</v>
      </c>
      <c r="D71" s="1934">
        <v>0.01</v>
      </c>
      <c r="E71" s="1935" t="s">
        <v>46</v>
      </c>
      <c r="F71" s="1936">
        <f t="shared" si="5"/>
        <v>0.05</v>
      </c>
      <c r="G71" s="1933">
        <f>SUM(H67:H67)</f>
        <v>145.74</v>
      </c>
      <c r="H71" s="1937">
        <f t="shared" si="6"/>
        <v>7.29</v>
      </c>
    </row>
    <row r="72" spans="1:8">
      <c r="A72" s="1960">
        <v>6</v>
      </c>
      <c r="B72" s="1938" t="s">
        <v>2451</v>
      </c>
      <c r="C72" s="1939">
        <v>30</v>
      </c>
      <c r="D72" s="1934">
        <v>0.01</v>
      </c>
      <c r="E72" s="1935" t="s">
        <v>46</v>
      </c>
      <c r="F72" s="1936">
        <f t="shared" si="5"/>
        <v>0.3</v>
      </c>
      <c r="G72" s="1939">
        <f>SUM(H67:H71)</f>
        <v>300.02999999999997</v>
      </c>
      <c r="H72" s="1937">
        <f t="shared" si="6"/>
        <v>90.01</v>
      </c>
    </row>
    <row r="73" spans="1:8" ht="13.5" thickBot="1">
      <c r="A73" s="1940"/>
      <c r="B73" s="1941"/>
      <c r="C73" s="1941"/>
      <c r="D73" s="1941"/>
      <c r="E73" s="1941"/>
      <c r="F73" s="1941"/>
      <c r="G73" s="1942" t="s">
        <v>2452</v>
      </c>
      <c r="H73" s="1943">
        <f>SUM(H67:H72)</f>
        <v>390.04</v>
      </c>
    </row>
    <row r="74" spans="1:8" ht="13.5" thickTop="1">
      <c r="A74" s="1944"/>
      <c r="B74" s="1944"/>
      <c r="C74" s="1944"/>
      <c r="D74" s="1944"/>
      <c r="E74" s="1944"/>
      <c r="F74" s="1944"/>
      <c r="G74" s="1945"/>
      <c r="H74" s="1962"/>
    </row>
    <row r="75" spans="1:8" ht="13.5" thickBot="1">
      <c r="A75" s="1922">
        <v>3.8</v>
      </c>
      <c r="B75" s="1923" t="s">
        <v>2471</v>
      </c>
      <c r="C75" s="1924"/>
      <c r="D75" s="1924"/>
      <c r="E75" s="1924"/>
      <c r="F75" s="1924"/>
      <c r="G75" s="1924"/>
      <c r="H75" s="1924"/>
    </row>
    <row r="76" spans="1:8" ht="14.25" thickTop="1" thickBot="1">
      <c r="A76" s="1925">
        <v>1</v>
      </c>
      <c r="B76" s="1950" t="s">
        <v>2462</v>
      </c>
      <c r="C76" s="1951">
        <v>1</v>
      </c>
      <c r="D76" s="1951">
        <v>2</v>
      </c>
      <c r="E76" s="1959" t="s">
        <v>1</v>
      </c>
      <c r="F76" s="1936">
        <f>PRODUCT(C76:D76)</f>
        <v>2</v>
      </c>
      <c r="G76" s="1949">
        <v>98.49</v>
      </c>
      <c r="H76" s="1937">
        <f>ROUND(F76*G76,2)</f>
        <v>196.98</v>
      </c>
    </row>
    <row r="77" spans="1:8" ht="13.5" thickTop="1">
      <c r="A77" s="1931">
        <v>2</v>
      </c>
      <c r="B77" s="1950" t="s">
        <v>2463</v>
      </c>
      <c r="C77" s="1951">
        <v>1</v>
      </c>
      <c r="D77" s="1951">
        <v>1</v>
      </c>
      <c r="E77" s="1959" t="s">
        <v>1</v>
      </c>
      <c r="F77" s="1936">
        <f>PRODUCT(C77:D77)</f>
        <v>1</v>
      </c>
      <c r="G77" s="1927">
        <v>72.87</v>
      </c>
      <c r="H77" s="1937">
        <f>ROUND(F77*G77,2)</f>
        <v>72.87</v>
      </c>
    </row>
    <row r="78" spans="1:8">
      <c r="A78" s="1931">
        <v>3</v>
      </c>
      <c r="B78" s="1950" t="s">
        <v>2464</v>
      </c>
      <c r="C78" s="1951">
        <v>1</v>
      </c>
      <c r="D78" s="1951">
        <v>1</v>
      </c>
      <c r="E78" s="1959" t="s">
        <v>1</v>
      </c>
      <c r="F78" s="1936">
        <f>PRODUCT(C78:D78)</f>
        <v>1</v>
      </c>
      <c r="G78" s="1951">
        <v>138.37</v>
      </c>
      <c r="H78" s="1937">
        <f>ROUND(F78*G78,2)</f>
        <v>138.37</v>
      </c>
    </row>
    <row r="79" spans="1:8">
      <c r="A79" s="1931">
        <v>4</v>
      </c>
      <c r="B79" s="1932" t="s">
        <v>621</v>
      </c>
      <c r="C79" s="1933">
        <v>5</v>
      </c>
      <c r="D79" s="1934">
        <v>0.01</v>
      </c>
      <c r="E79" s="1935" t="s">
        <v>46</v>
      </c>
      <c r="F79" s="1936">
        <f>PRODUCT(C79:D79)</f>
        <v>0.05</v>
      </c>
      <c r="G79" s="1933">
        <f>SUM(H76:H76)</f>
        <v>196.98</v>
      </c>
      <c r="H79" s="1937">
        <f>ROUND(F79*G79,2)</f>
        <v>9.85</v>
      </c>
    </row>
    <row r="80" spans="1:8">
      <c r="A80" s="1960">
        <v>5</v>
      </c>
      <c r="B80" s="1938" t="s">
        <v>2451</v>
      </c>
      <c r="C80" s="1939">
        <v>30</v>
      </c>
      <c r="D80" s="1934">
        <v>0.01</v>
      </c>
      <c r="E80" s="1935" t="s">
        <v>46</v>
      </c>
      <c r="F80" s="1936">
        <f>PRODUCT(C80:D80)</f>
        <v>0.3</v>
      </c>
      <c r="G80" s="1939">
        <f>SUM(H76:H79)</f>
        <v>418.07</v>
      </c>
      <c r="H80" s="1937">
        <f>ROUND(F80*G80,2)</f>
        <v>125.42</v>
      </c>
    </row>
    <row r="81" spans="1:8" ht="13.5" thickBot="1">
      <c r="A81" s="1940"/>
      <c r="B81" s="1941"/>
      <c r="C81" s="1941"/>
      <c r="D81" s="1941"/>
      <c r="E81" s="1941"/>
      <c r="F81" s="1941"/>
      <c r="G81" s="1942" t="s">
        <v>2452</v>
      </c>
      <c r="H81" s="1943">
        <f>SUM(H76:H80)</f>
        <v>543.49</v>
      </c>
    </row>
    <row r="82" spans="1:8" ht="13.5" thickTop="1">
      <c r="A82" s="1944"/>
      <c r="B82" s="1944"/>
      <c r="C82" s="1944"/>
      <c r="D82" s="1944"/>
      <c r="E82" s="1944"/>
      <c r="F82" s="1944"/>
      <c r="G82" s="1945"/>
      <c r="H82" s="1962"/>
    </row>
    <row r="83" spans="1:8" ht="13.5" thickBot="1">
      <c r="A83" s="1922">
        <v>3.9</v>
      </c>
      <c r="B83" s="1923" t="s">
        <v>2472</v>
      </c>
      <c r="C83" s="1924"/>
      <c r="D83" s="1924"/>
      <c r="E83" s="1924"/>
      <c r="F83" s="1924"/>
      <c r="G83" s="1924"/>
      <c r="H83" s="1924"/>
    </row>
    <row r="84" spans="1:8" ht="14.25" thickTop="1" thickBot="1">
      <c r="A84" s="1925">
        <v>1</v>
      </c>
      <c r="B84" s="1950" t="s">
        <v>2463</v>
      </c>
      <c r="C84" s="1951">
        <v>1</v>
      </c>
      <c r="D84" s="1951">
        <v>2</v>
      </c>
      <c r="E84" s="1959" t="s">
        <v>1</v>
      </c>
      <c r="F84" s="1936">
        <f>PRODUCT(C84:D84)</f>
        <v>2</v>
      </c>
      <c r="G84" s="1927">
        <v>72.87</v>
      </c>
      <c r="H84" s="1937">
        <f>ROUND(F84*G84,2)</f>
        <v>145.74</v>
      </c>
    </row>
    <row r="85" spans="1:8" ht="13.5" thickTop="1">
      <c r="A85" s="1931">
        <v>2</v>
      </c>
      <c r="B85" s="1950" t="s">
        <v>2466</v>
      </c>
      <c r="C85" s="1951">
        <v>1</v>
      </c>
      <c r="D85" s="1951">
        <v>1</v>
      </c>
      <c r="E85" s="1959" t="s">
        <v>1</v>
      </c>
      <c r="F85" s="1936">
        <f>PRODUCT(C85:D85)</f>
        <v>1</v>
      </c>
      <c r="G85" s="1927">
        <v>48.8</v>
      </c>
      <c r="H85" s="1937">
        <f>ROUND(F85*G85,2)</f>
        <v>48.8</v>
      </c>
    </row>
    <row r="86" spans="1:8">
      <c r="A86" s="1931">
        <v>3</v>
      </c>
      <c r="B86" s="1950" t="s">
        <v>2464</v>
      </c>
      <c r="C86" s="1951">
        <v>1</v>
      </c>
      <c r="D86" s="1951">
        <v>1</v>
      </c>
      <c r="E86" s="1959" t="s">
        <v>1</v>
      </c>
      <c r="F86" s="1936">
        <f>PRODUCT(C86:D86)</f>
        <v>1</v>
      </c>
      <c r="G86" s="1951">
        <v>138.37</v>
      </c>
      <c r="H86" s="1937">
        <f>ROUND(F86*G86,2)</f>
        <v>138.37</v>
      </c>
    </row>
    <row r="87" spans="1:8">
      <c r="A87" s="1931">
        <v>4</v>
      </c>
      <c r="B87" s="1932" t="s">
        <v>621</v>
      </c>
      <c r="C87" s="1933">
        <v>5</v>
      </c>
      <c r="D87" s="1934">
        <v>0.01</v>
      </c>
      <c r="E87" s="1935" t="s">
        <v>46</v>
      </c>
      <c r="F87" s="1936">
        <f>PRODUCT(C87:D87)</f>
        <v>0.05</v>
      </c>
      <c r="G87" s="1933">
        <f>SUM(H84:H84)</f>
        <v>145.74</v>
      </c>
      <c r="H87" s="1937">
        <f>ROUND(F87*G87,2)</f>
        <v>7.29</v>
      </c>
    </row>
    <row r="88" spans="1:8">
      <c r="A88" s="1960">
        <v>5</v>
      </c>
      <c r="B88" s="1938" t="s">
        <v>2451</v>
      </c>
      <c r="C88" s="1939">
        <v>30</v>
      </c>
      <c r="D88" s="1934">
        <v>0.01</v>
      </c>
      <c r="E88" s="1935" t="s">
        <v>46</v>
      </c>
      <c r="F88" s="1936">
        <f>PRODUCT(C88:D88)</f>
        <v>0.3</v>
      </c>
      <c r="G88" s="1939">
        <f>SUM(H84:H87)</f>
        <v>340.2</v>
      </c>
      <c r="H88" s="1937">
        <f>ROUND(F88*G88,2)</f>
        <v>102.06</v>
      </c>
    </row>
    <row r="89" spans="1:8" ht="13.5" thickBot="1">
      <c r="A89" s="1940"/>
      <c r="B89" s="1941"/>
      <c r="C89" s="1941"/>
      <c r="D89" s="1941"/>
      <c r="E89" s="1941"/>
      <c r="F89" s="1941"/>
      <c r="G89" s="1942" t="s">
        <v>2452</v>
      </c>
      <c r="H89" s="1943">
        <f>SUM(H84:H88)</f>
        <v>442.26</v>
      </c>
    </row>
    <row r="90" spans="1:8" ht="13.5" thickTop="1">
      <c r="A90" s="1944"/>
      <c r="B90" s="1944"/>
      <c r="C90" s="1944"/>
      <c r="D90" s="1944"/>
      <c r="E90" s="1944"/>
      <c r="F90" s="1944"/>
      <c r="G90" s="1945"/>
      <c r="H90" s="1962"/>
    </row>
    <row r="91" spans="1:8" ht="13.5" thickBot="1">
      <c r="A91" s="1963">
        <v>3.1</v>
      </c>
      <c r="B91" s="1923" t="s">
        <v>2473</v>
      </c>
      <c r="C91" s="1924"/>
      <c r="D91" s="1924"/>
      <c r="E91" s="1924"/>
      <c r="F91" s="1924"/>
      <c r="G91" s="1924"/>
      <c r="H91" s="1924"/>
    </row>
    <row r="92" spans="1:8" ht="14.25" thickTop="1" thickBot="1">
      <c r="A92" s="1925">
        <v>1</v>
      </c>
      <c r="B92" s="1950" t="s">
        <v>2463</v>
      </c>
      <c r="C92" s="1951">
        <v>1</v>
      </c>
      <c r="D92" s="1951">
        <v>2</v>
      </c>
      <c r="E92" s="1959" t="s">
        <v>1</v>
      </c>
      <c r="F92" s="1936">
        <f>PRODUCT(C92:D92)</f>
        <v>2</v>
      </c>
      <c r="G92" s="1927">
        <v>72.87</v>
      </c>
      <c r="H92" s="1937">
        <f>ROUND(F92*G92,2)</f>
        <v>145.74</v>
      </c>
    </row>
    <row r="93" spans="1:8" ht="13.5" thickTop="1">
      <c r="A93" s="1931">
        <v>2</v>
      </c>
      <c r="B93" s="1950" t="s">
        <v>2466</v>
      </c>
      <c r="C93" s="1951">
        <v>1</v>
      </c>
      <c r="D93" s="1951">
        <v>1</v>
      </c>
      <c r="E93" s="1959" t="s">
        <v>1</v>
      </c>
      <c r="F93" s="1936">
        <f>PRODUCT(C93:D93)</f>
        <v>1</v>
      </c>
      <c r="G93" s="1927">
        <v>48.8</v>
      </c>
      <c r="H93" s="1937">
        <f>ROUND(F93*G93,2)</f>
        <v>48.8</v>
      </c>
    </row>
    <row r="94" spans="1:8">
      <c r="A94" s="1931">
        <v>3</v>
      </c>
      <c r="B94" s="1950" t="s">
        <v>2464</v>
      </c>
      <c r="C94" s="1951">
        <v>1</v>
      </c>
      <c r="D94" s="1951">
        <v>1</v>
      </c>
      <c r="E94" s="1959" t="s">
        <v>1</v>
      </c>
      <c r="F94" s="1936">
        <f>PRODUCT(C94:D94)</f>
        <v>1</v>
      </c>
      <c r="G94" s="1951">
        <v>138.37</v>
      </c>
      <c r="H94" s="1937">
        <f>ROUND(F94*G94,2)</f>
        <v>138.37</v>
      </c>
    </row>
    <row r="95" spans="1:8">
      <c r="A95" s="1931">
        <v>4</v>
      </c>
      <c r="B95" s="1932" t="s">
        <v>621</v>
      </c>
      <c r="C95" s="1933">
        <v>5</v>
      </c>
      <c r="D95" s="1934">
        <v>0.01</v>
      </c>
      <c r="E95" s="1935" t="s">
        <v>46</v>
      </c>
      <c r="F95" s="1936">
        <f>PRODUCT(C95:D95)</f>
        <v>0.05</v>
      </c>
      <c r="G95" s="1933">
        <f>SUM(H92:H92)</f>
        <v>145.74</v>
      </c>
      <c r="H95" s="1937">
        <f>ROUND(F95*G95,2)</f>
        <v>7.29</v>
      </c>
    </row>
    <row r="96" spans="1:8">
      <c r="A96" s="1960">
        <v>5</v>
      </c>
      <c r="B96" s="1938" t="s">
        <v>2451</v>
      </c>
      <c r="C96" s="1939">
        <v>30</v>
      </c>
      <c r="D96" s="1934">
        <v>0.01</v>
      </c>
      <c r="E96" s="1935" t="s">
        <v>46</v>
      </c>
      <c r="F96" s="1936">
        <f>PRODUCT(C96:D96)</f>
        <v>0.3</v>
      </c>
      <c r="G96" s="1939">
        <f>SUM(H92:H95)</f>
        <v>340.2</v>
      </c>
      <c r="H96" s="1937">
        <f>ROUND(F96*G96,2)</f>
        <v>102.06</v>
      </c>
    </row>
    <row r="97" spans="1:8" ht="13.5" thickBot="1">
      <c r="A97" s="1940"/>
      <c r="B97" s="1941"/>
      <c r="C97" s="1941"/>
      <c r="D97" s="1941"/>
      <c r="E97" s="1941"/>
      <c r="F97" s="1941"/>
      <c r="G97" s="1942" t="s">
        <v>2452</v>
      </c>
      <c r="H97" s="1943">
        <f>SUM(H92:H96)</f>
        <v>442.26</v>
      </c>
    </row>
    <row r="98" spans="1:8" ht="13.5" thickTop="1">
      <c r="A98" s="1944"/>
      <c r="B98" s="1944"/>
      <c r="C98" s="1944"/>
      <c r="D98" s="1944"/>
      <c r="E98" s="1944"/>
      <c r="F98" s="1944"/>
      <c r="G98" s="1945"/>
      <c r="H98" s="1962"/>
    </row>
    <row r="99" spans="1:8" ht="13.5" thickBot="1">
      <c r="A99" s="1963">
        <v>3.11</v>
      </c>
      <c r="B99" s="1923" t="s">
        <v>2474</v>
      </c>
      <c r="C99" s="1924"/>
      <c r="D99" s="1924"/>
      <c r="E99" s="1924"/>
      <c r="F99" s="1924"/>
      <c r="G99" s="1924"/>
      <c r="H99" s="1924"/>
    </row>
    <row r="100" spans="1:8" ht="14.25" thickTop="1" thickBot="1">
      <c r="A100" s="1925">
        <v>1</v>
      </c>
      <c r="B100" s="1950" t="s">
        <v>2462</v>
      </c>
      <c r="C100" s="1951">
        <v>1</v>
      </c>
      <c r="D100" s="1951">
        <v>2</v>
      </c>
      <c r="E100" s="1959" t="s">
        <v>1</v>
      </c>
      <c r="F100" s="1936">
        <f>PRODUCT(C100:D100)</f>
        <v>2</v>
      </c>
      <c r="G100" s="1949">
        <v>98.49</v>
      </c>
      <c r="H100" s="1937">
        <f>ROUND(F100*G100,2)</f>
        <v>196.98</v>
      </c>
    </row>
    <row r="101" spans="1:8" ht="13.5" thickTop="1">
      <c r="A101" s="1931">
        <v>2</v>
      </c>
      <c r="B101" s="1950" t="s">
        <v>2463</v>
      </c>
      <c r="C101" s="1951">
        <v>1</v>
      </c>
      <c r="D101" s="1951">
        <v>1</v>
      </c>
      <c r="E101" s="1959" t="s">
        <v>1</v>
      </c>
      <c r="F101" s="1936">
        <f>PRODUCT(C101:D101)</f>
        <v>1</v>
      </c>
      <c r="G101" s="1927">
        <v>72.87</v>
      </c>
      <c r="H101" s="1937">
        <f>ROUND(F101*G101,2)</f>
        <v>72.87</v>
      </c>
    </row>
    <row r="102" spans="1:8">
      <c r="A102" s="1931">
        <v>3</v>
      </c>
      <c r="B102" s="1950" t="s">
        <v>2464</v>
      </c>
      <c r="C102" s="1951">
        <v>1</v>
      </c>
      <c r="D102" s="1951">
        <v>1</v>
      </c>
      <c r="E102" s="1959" t="s">
        <v>1</v>
      </c>
      <c r="F102" s="1936">
        <f>PRODUCT(C102:D102)</f>
        <v>1</v>
      </c>
      <c r="G102" s="1951">
        <v>138.37</v>
      </c>
      <c r="H102" s="1937">
        <f>ROUND(F102*G102,2)</f>
        <v>138.37</v>
      </c>
    </row>
    <row r="103" spans="1:8">
      <c r="A103" s="1931">
        <v>4</v>
      </c>
      <c r="B103" s="1932" t="s">
        <v>621</v>
      </c>
      <c r="C103" s="1933">
        <v>5</v>
      </c>
      <c r="D103" s="1934">
        <v>0.01</v>
      </c>
      <c r="E103" s="1935" t="s">
        <v>46</v>
      </c>
      <c r="F103" s="1936">
        <f>PRODUCT(C103:D103)</f>
        <v>0.05</v>
      </c>
      <c r="G103" s="1933">
        <f>SUM(H100:H100)</f>
        <v>196.98</v>
      </c>
      <c r="H103" s="1937">
        <f>ROUND(F103*G103,2)</f>
        <v>9.85</v>
      </c>
    </row>
    <row r="104" spans="1:8">
      <c r="A104" s="1960">
        <v>5</v>
      </c>
      <c r="B104" s="1938" t="s">
        <v>2451</v>
      </c>
      <c r="C104" s="1939">
        <v>30</v>
      </c>
      <c r="D104" s="1934">
        <v>0.01</v>
      </c>
      <c r="E104" s="1935" t="s">
        <v>46</v>
      </c>
      <c r="F104" s="1936">
        <f>PRODUCT(C104:D104)</f>
        <v>0.3</v>
      </c>
      <c r="G104" s="1939">
        <f>SUM(H100:H103)</f>
        <v>418.07</v>
      </c>
      <c r="H104" s="1937">
        <f>ROUND(F104*G104,2)</f>
        <v>125.42</v>
      </c>
    </row>
    <row r="105" spans="1:8" ht="13.5" thickBot="1">
      <c r="A105" s="1940"/>
      <c r="B105" s="1941"/>
      <c r="C105" s="1941"/>
      <c r="D105" s="1941"/>
      <c r="E105" s="1941"/>
      <c r="F105" s="1941"/>
      <c r="G105" s="1942" t="s">
        <v>2452</v>
      </c>
      <c r="H105" s="1943">
        <f>SUM(H100:H104)</f>
        <v>543.49</v>
      </c>
    </row>
    <row r="106" spans="1:8" ht="13.5" thickTop="1">
      <c r="A106" s="1944"/>
      <c r="B106" s="1944"/>
      <c r="C106" s="1944"/>
      <c r="D106" s="1944"/>
      <c r="E106" s="1944"/>
      <c r="F106" s="1944"/>
      <c r="G106" s="1945"/>
      <c r="H106" s="1962"/>
    </row>
    <row r="107" spans="1:8" ht="13.5" thickBot="1">
      <c r="A107" s="1963">
        <v>3.12</v>
      </c>
      <c r="B107" s="1923" t="s">
        <v>2475</v>
      </c>
      <c r="C107" s="1924"/>
      <c r="D107" s="1924"/>
      <c r="E107" s="1924"/>
      <c r="F107" s="1924"/>
      <c r="G107" s="1924"/>
      <c r="H107" s="1924"/>
    </row>
    <row r="108" spans="1:8" ht="13.5" thickTop="1">
      <c r="A108" s="1931">
        <v>1</v>
      </c>
      <c r="B108" s="1950" t="s">
        <v>2476</v>
      </c>
      <c r="C108" s="1951">
        <v>1</v>
      </c>
      <c r="D108" s="1951">
        <v>3</v>
      </c>
      <c r="E108" s="1959" t="s">
        <v>1</v>
      </c>
      <c r="F108" s="1936">
        <f>PRODUCT(C108:D108)</f>
        <v>3</v>
      </c>
      <c r="G108" s="1927">
        <v>38.71</v>
      </c>
      <c r="H108" s="1937">
        <f>ROUND(F108*G108,2)</f>
        <v>116.13</v>
      </c>
    </row>
    <row r="109" spans="1:8">
      <c r="A109" s="1931">
        <v>2</v>
      </c>
      <c r="B109" s="1950" t="s">
        <v>2467</v>
      </c>
      <c r="C109" s="1951">
        <v>1</v>
      </c>
      <c r="D109" s="1951">
        <v>0.5</v>
      </c>
      <c r="E109" s="1959" t="s">
        <v>1</v>
      </c>
      <c r="F109" s="1936">
        <f>PRODUCT(C109:D109)</f>
        <v>0.5</v>
      </c>
      <c r="G109" s="1951">
        <v>69.680000000000007</v>
      </c>
      <c r="H109" s="1937">
        <f>ROUND(F109*G109,2)</f>
        <v>34.840000000000003</v>
      </c>
    </row>
    <row r="110" spans="1:8">
      <c r="A110" s="1931">
        <v>3</v>
      </c>
      <c r="B110" s="1950" t="s">
        <v>2468</v>
      </c>
      <c r="C110" s="1951">
        <v>1</v>
      </c>
      <c r="D110" s="1951">
        <v>0.5</v>
      </c>
      <c r="E110" s="1959" t="s">
        <v>1</v>
      </c>
      <c r="F110" s="1936">
        <f>PRODUCT(C110:D110)</f>
        <v>0.5</v>
      </c>
      <c r="G110" s="1951">
        <v>126.71</v>
      </c>
      <c r="H110" s="1937">
        <f>ROUND(F110*G110,2)</f>
        <v>63.36</v>
      </c>
    </row>
    <row r="111" spans="1:8">
      <c r="A111" s="1931">
        <v>4</v>
      </c>
      <c r="B111" s="1932" t="s">
        <v>621</v>
      </c>
      <c r="C111" s="1933">
        <v>5</v>
      </c>
      <c r="D111" s="1934">
        <v>0.01</v>
      </c>
      <c r="E111" s="1935" t="s">
        <v>46</v>
      </c>
      <c r="F111" s="1936">
        <f>PRODUCT(C111:D111)</f>
        <v>0.05</v>
      </c>
      <c r="G111" s="1933">
        <f>SUM(H108:H108)</f>
        <v>116.13</v>
      </c>
      <c r="H111" s="1937">
        <f>ROUND(F111*G111,2)</f>
        <v>5.81</v>
      </c>
    </row>
    <row r="112" spans="1:8">
      <c r="A112" s="1960">
        <v>5</v>
      </c>
      <c r="B112" s="1938" t="s">
        <v>2451</v>
      </c>
      <c r="C112" s="1939">
        <v>30</v>
      </c>
      <c r="D112" s="1934">
        <v>0.01</v>
      </c>
      <c r="E112" s="1935" t="s">
        <v>46</v>
      </c>
      <c r="F112" s="1936">
        <f>PRODUCT(C112:D112)</f>
        <v>0.3</v>
      </c>
      <c r="G112" s="1939">
        <f>SUM(H108:H111)</f>
        <v>220.14</v>
      </c>
      <c r="H112" s="1937">
        <f>ROUND(F112*G112,2)</f>
        <v>66.040000000000006</v>
      </c>
    </row>
    <row r="113" spans="1:8" ht="13.5" thickBot="1">
      <c r="A113" s="1940"/>
      <c r="B113" s="1941"/>
      <c r="C113" s="1941"/>
      <c r="D113" s="1941"/>
      <c r="E113" s="1941"/>
      <c r="F113" s="1941"/>
      <c r="G113" s="1942" t="s">
        <v>2452</v>
      </c>
      <c r="H113" s="1943">
        <f>SUM(H108:H112)</f>
        <v>286.18</v>
      </c>
    </row>
    <row r="114" spans="1:8" ht="13.5" thickTop="1">
      <c r="A114" s="1944"/>
      <c r="B114" s="1944"/>
      <c r="C114" s="1944"/>
      <c r="D114" s="1944"/>
      <c r="E114" s="1944"/>
      <c r="F114" s="1944"/>
      <c r="G114" s="1945"/>
      <c r="H114" s="1946"/>
    </row>
    <row r="115" spans="1:8" ht="13.5" thickBot="1">
      <c r="A115" s="1963">
        <v>3.13</v>
      </c>
      <c r="B115" s="1923" t="s">
        <v>2477</v>
      </c>
      <c r="C115" s="1924"/>
      <c r="D115" s="1924"/>
      <c r="E115" s="1924"/>
      <c r="F115" s="1924"/>
      <c r="G115" s="1924"/>
      <c r="H115" s="1924"/>
    </row>
    <row r="116" spans="1:8" ht="13.5" thickTop="1">
      <c r="A116" s="1931">
        <v>1</v>
      </c>
      <c r="B116" s="1950" t="s">
        <v>2476</v>
      </c>
      <c r="C116" s="1951">
        <v>1</v>
      </c>
      <c r="D116" s="1951">
        <v>3</v>
      </c>
      <c r="E116" s="1959" t="s">
        <v>1</v>
      </c>
      <c r="F116" s="1936">
        <f>PRODUCT(C116:D116)</f>
        <v>3</v>
      </c>
      <c r="G116" s="1927">
        <v>38.71</v>
      </c>
      <c r="H116" s="1937">
        <f>ROUND(F116*G116,2)</f>
        <v>116.13</v>
      </c>
    </row>
    <row r="117" spans="1:8">
      <c r="A117" s="1931">
        <v>2</v>
      </c>
      <c r="B117" s="1950" t="s">
        <v>2467</v>
      </c>
      <c r="C117" s="1951">
        <v>1</v>
      </c>
      <c r="D117" s="1951">
        <v>0.5</v>
      </c>
      <c r="E117" s="1959" t="s">
        <v>1</v>
      </c>
      <c r="F117" s="1936">
        <f>PRODUCT(C117:D117)</f>
        <v>0.5</v>
      </c>
      <c r="G117" s="1951">
        <v>69.680000000000007</v>
      </c>
      <c r="H117" s="1937">
        <f>ROUND(F117*G117,2)</f>
        <v>34.840000000000003</v>
      </c>
    </row>
    <row r="118" spans="1:8">
      <c r="A118" s="1931">
        <v>3</v>
      </c>
      <c r="B118" s="1950" t="s">
        <v>2468</v>
      </c>
      <c r="C118" s="1951">
        <v>1</v>
      </c>
      <c r="D118" s="1951">
        <v>0.5</v>
      </c>
      <c r="E118" s="1959" t="s">
        <v>1</v>
      </c>
      <c r="F118" s="1936">
        <f>PRODUCT(C118:D118)</f>
        <v>0.5</v>
      </c>
      <c r="G118" s="1951">
        <v>126.71</v>
      </c>
      <c r="H118" s="1937">
        <f>ROUND(F118*G118,2)</f>
        <v>63.36</v>
      </c>
    </row>
    <row r="119" spans="1:8">
      <c r="A119" s="1931">
        <v>4</v>
      </c>
      <c r="B119" s="1932" t="s">
        <v>621</v>
      </c>
      <c r="C119" s="1933">
        <v>5</v>
      </c>
      <c r="D119" s="1934">
        <v>0.01</v>
      </c>
      <c r="E119" s="1935" t="s">
        <v>46</v>
      </c>
      <c r="F119" s="1936">
        <f>PRODUCT(C119:D119)</f>
        <v>0.05</v>
      </c>
      <c r="G119" s="1933">
        <f>SUM(H116:H116)</f>
        <v>116.13</v>
      </c>
      <c r="H119" s="1937">
        <f>ROUND(F119*G119,2)</f>
        <v>5.81</v>
      </c>
    </row>
    <row r="120" spans="1:8">
      <c r="A120" s="1960">
        <v>5</v>
      </c>
      <c r="B120" s="1938" t="s">
        <v>2451</v>
      </c>
      <c r="C120" s="1939">
        <v>30</v>
      </c>
      <c r="D120" s="1934">
        <v>0.01</v>
      </c>
      <c r="E120" s="1935" t="s">
        <v>46</v>
      </c>
      <c r="F120" s="1936">
        <f>PRODUCT(C120:D120)</f>
        <v>0.3</v>
      </c>
      <c r="G120" s="1939">
        <f>SUM(H116:H119)</f>
        <v>220.14</v>
      </c>
      <c r="H120" s="1937">
        <f>ROUND(F120*G120,2)</f>
        <v>66.040000000000006</v>
      </c>
    </row>
    <row r="121" spans="1:8" ht="13.5" thickBot="1">
      <c r="A121" s="1940"/>
      <c r="B121" s="1941"/>
      <c r="C121" s="1941"/>
      <c r="D121" s="1941"/>
      <c r="E121" s="1941"/>
      <c r="F121" s="1941"/>
      <c r="G121" s="1942" t="s">
        <v>2452</v>
      </c>
      <c r="H121" s="1943">
        <f>SUM(H116:H120)</f>
        <v>286.18</v>
      </c>
    </row>
    <row r="122" spans="1:8" ht="13.5" thickTop="1">
      <c r="A122" s="1944"/>
      <c r="B122" s="1944"/>
      <c r="C122" s="1944"/>
      <c r="D122" s="1944"/>
      <c r="E122" s="1944"/>
      <c r="F122" s="1944"/>
      <c r="G122" s="1945"/>
      <c r="H122" s="1946"/>
    </row>
    <row r="123" spans="1:8" ht="13.5" thickBot="1">
      <c r="A123" s="1963">
        <v>3.14</v>
      </c>
      <c r="B123" s="1923" t="s">
        <v>2478</v>
      </c>
      <c r="C123" s="1924"/>
      <c r="D123" s="1924"/>
      <c r="E123" s="1924"/>
      <c r="F123" s="1924"/>
      <c r="G123" s="1924"/>
      <c r="H123" s="1924"/>
    </row>
    <row r="124" spans="1:8" ht="14.25" thickTop="1" thickBot="1">
      <c r="A124" s="1931">
        <v>1</v>
      </c>
      <c r="B124" s="1950" t="s">
        <v>2466</v>
      </c>
      <c r="C124" s="1951">
        <v>1</v>
      </c>
      <c r="D124" s="1951">
        <v>2</v>
      </c>
      <c r="E124" s="1959" t="s">
        <v>1</v>
      </c>
      <c r="F124" s="1936">
        <f>PRODUCT(C124:D124)</f>
        <v>2</v>
      </c>
      <c r="G124" s="1927">
        <v>48.8</v>
      </c>
      <c r="H124" s="1937">
        <f>ROUND(F124*G124,2)</f>
        <v>97.6</v>
      </c>
    </row>
    <row r="125" spans="1:8" ht="13.5" thickTop="1">
      <c r="A125" s="1931">
        <v>2</v>
      </c>
      <c r="B125" s="1950" t="s">
        <v>2476</v>
      </c>
      <c r="C125" s="1951">
        <v>1</v>
      </c>
      <c r="D125" s="1951">
        <v>1</v>
      </c>
      <c r="E125" s="1959" t="s">
        <v>1</v>
      </c>
      <c r="F125" s="1936">
        <f>PRODUCT(C125:D125)</f>
        <v>1</v>
      </c>
      <c r="G125" s="1927">
        <v>38.71</v>
      </c>
      <c r="H125" s="1937">
        <f>ROUND(F125*G125,2)</f>
        <v>38.71</v>
      </c>
    </row>
    <row r="126" spans="1:8">
      <c r="A126" s="1931">
        <v>3</v>
      </c>
      <c r="B126" s="1950" t="s">
        <v>2464</v>
      </c>
      <c r="C126" s="1951">
        <v>1</v>
      </c>
      <c r="D126" s="1951">
        <v>1</v>
      </c>
      <c r="E126" s="1959" t="s">
        <v>1</v>
      </c>
      <c r="F126" s="1936">
        <f>PRODUCT(C126:D126)</f>
        <v>1</v>
      </c>
      <c r="G126" s="1951">
        <v>138.37</v>
      </c>
      <c r="H126" s="1937">
        <f>ROUND(F126*G126,2)</f>
        <v>138.37</v>
      </c>
    </row>
    <row r="127" spans="1:8">
      <c r="A127" s="1931">
        <v>4</v>
      </c>
      <c r="B127" s="1932" t="s">
        <v>621</v>
      </c>
      <c r="C127" s="1933">
        <v>5</v>
      </c>
      <c r="D127" s="1934">
        <v>0.01</v>
      </c>
      <c r="E127" s="1935" t="s">
        <v>46</v>
      </c>
      <c r="F127" s="1936">
        <f>PRODUCT(C127:D127)</f>
        <v>0.05</v>
      </c>
      <c r="G127" s="1933">
        <f>SUM(H125:H125)</f>
        <v>38.71</v>
      </c>
      <c r="H127" s="1937">
        <f>ROUND(F127*G127,2)</f>
        <v>1.94</v>
      </c>
    </row>
    <row r="128" spans="1:8">
      <c r="A128" s="1960">
        <v>5</v>
      </c>
      <c r="B128" s="1938" t="s">
        <v>2451</v>
      </c>
      <c r="C128" s="1939">
        <v>30</v>
      </c>
      <c r="D128" s="1934">
        <v>0.01</v>
      </c>
      <c r="E128" s="1935" t="s">
        <v>46</v>
      </c>
      <c r="F128" s="1936">
        <f>PRODUCT(C128:D128)</f>
        <v>0.3</v>
      </c>
      <c r="G128" s="1939">
        <f>SUM(H125:H127)</f>
        <v>179.02</v>
      </c>
      <c r="H128" s="1937">
        <f>ROUND(F128*G128,2)</f>
        <v>53.71</v>
      </c>
    </row>
    <row r="129" spans="1:8" ht="13.5" thickBot="1">
      <c r="A129" s="1940"/>
      <c r="B129" s="1941"/>
      <c r="C129" s="1941"/>
      <c r="D129" s="1941"/>
      <c r="E129" s="1941"/>
      <c r="F129" s="1941"/>
      <c r="G129" s="1942" t="s">
        <v>2452</v>
      </c>
      <c r="H129" s="1943">
        <f>SUM(H125:H128)</f>
        <v>232.73</v>
      </c>
    </row>
    <row r="130" spans="1:8" ht="13.5" thickTop="1">
      <c r="A130" s="1944"/>
      <c r="B130" s="1944"/>
      <c r="C130" s="1944"/>
      <c r="D130" s="1944"/>
      <c r="E130" s="1944"/>
      <c r="F130" s="1944"/>
      <c r="G130" s="1945"/>
      <c r="H130" s="1946"/>
    </row>
    <row r="131" spans="1:8" ht="13.5" thickBot="1">
      <c r="A131" s="1963">
        <v>3.15</v>
      </c>
      <c r="B131" s="1923" t="s">
        <v>2479</v>
      </c>
      <c r="C131" s="1924"/>
      <c r="D131" s="1924"/>
      <c r="E131" s="1924"/>
      <c r="F131" s="1924"/>
      <c r="G131" s="1924"/>
      <c r="H131" s="1924"/>
    </row>
    <row r="132" spans="1:8" ht="14.25" thickTop="1" thickBot="1">
      <c r="A132" s="1931">
        <v>1</v>
      </c>
      <c r="B132" s="1950" t="s">
        <v>2466</v>
      </c>
      <c r="C132" s="1951">
        <v>1</v>
      </c>
      <c r="D132" s="1951">
        <v>2</v>
      </c>
      <c r="E132" s="1959" t="s">
        <v>1</v>
      </c>
      <c r="F132" s="1936">
        <f>PRODUCT(C132:D132)</f>
        <v>2</v>
      </c>
      <c r="G132" s="1927">
        <v>48.8</v>
      </c>
      <c r="H132" s="1937">
        <f>ROUND(F132*G132,2)</f>
        <v>97.6</v>
      </c>
    </row>
    <row r="133" spans="1:8" ht="13.5" thickTop="1">
      <c r="A133" s="1931">
        <v>2</v>
      </c>
      <c r="B133" s="1950" t="s">
        <v>2476</v>
      </c>
      <c r="C133" s="1951">
        <v>1</v>
      </c>
      <c r="D133" s="1951">
        <v>1</v>
      </c>
      <c r="E133" s="1959" t="s">
        <v>1</v>
      </c>
      <c r="F133" s="1936">
        <f>PRODUCT(C133:D133)</f>
        <v>1</v>
      </c>
      <c r="G133" s="1927">
        <v>38.71</v>
      </c>
      <c r="H133" s="1937">
        <f>ROUND(F133*G133,2)</f>
        <v>38.71</v>
      </c>
    </row>
    <row r="134" spans="1:8">
      <c r="A134" s="1931">
        <v>3</v>
      </c>
      <c r="B134" s="1950" t="s">
        <v>2464</v>
      </c>
      <c r="C134" s="1951">
        <v>1</v>
      </c>
      <c r="D134" s="1951">
        <v>1</v>
      </c>
      <c r="E134" s="1959" t="s">
        <v>1</v>
      </c>
      <c r="F134" s="1936">
        <f>PRODUCT(C134:D134)</f>
        <v>1</v>
      </c>
      <c r="G134" s="1951">
        <v>138.37</v>
      </c>
      <c r="H134" s="1937">
        <f>ROUND(F134*G134,2)</f>
        <v>138.37</v>
      </c>
    </row>
    <row r="135" spans="1:8">
      <c r="A135" s="1931">
        <v>4</v>
      </c>
      <c r="B135" s="1932" t="s">
        <v>621</v>
      </c>
      <c r="C135" s="1933">
        <v>5</v>
      </c>
      <c r="D135" s="1934">
        <v>0.01</v>
      </c>
      <c r="E135" s="1935" t="s">
        <v>46</v>
      </c>
      <c r="F135" s="1936">
        <f>PRODUCT(C135:D135)</f>
        <v>0.05</v>
      </c>
      <c r="G135" s="1933">
        <f>SUM(H133:H133)</f>
        <v>38.71</v>
      </c>
      <c r="H135" s="1937">
        <f>ROUND(F135*G135,2)</f>
        <v>1.94</v>
      </c>
    </row>
    <row r="136" spans="1:8">
      <c r="A136" s="1960">
        <v>5</v>
      </c>
      <c r="B136" s="1938" t="s">
        <v>2451</v>
      </c>
      <c r="C136" s="1939">
        <v>30</v>
      </c>
      <c r="D136" s="1934">
        <v>0.01</v>
      </c>
      <c r="E136" s="1935" t="s">
        <v>46</v>
      </c>
      <c r="F136" s="1936">
        <f>PRODUCT(C136:D136)</f>
        <v>0.3</v>
      </c>
      <c r="G136" s="1939">
        <f>SUM(H133:H135)</f>
        <v>179.02</v>
      </c>
      <c r="H136" s="1937">
        <f>ROUND(F136*G136,2)</f>
        <v>53.71</v>
      </c>
    </row>
    <row r="137" spans="1:8" ht="13.5" thickBot="1">
      <c r="A137" s="1940"/>
      <c r="B137" s="1941"/>
      <c r="C137" s="1941"/>
      <c r="D137" s="1941"/>
      <c r="E137" s="1941"/>
      <c r="F137" s="1941"/>
      <c r="G137" s="1942" t="s">
        <v>2452</v>
      </c>
      <c r="H137" s="1943">
        <f>SUM(H133:H136)</f>
        <v>232.73</v>
      </c>
    </row>
    <row r="138" spans="1:8" ht="13.5" thickTop="1">
      <c r="A138" s="1944"/>
      <c r="B138" s="1944"/>
      <c r="C138" s="1944"/>
      <c r="D138" s="1944"/>
      <c r="E138" s="1944"/>
      <c r="F138" s="1944"/>
      <c r="G138" s="1945"/>
      <c r="H138" s="1946"/>
    </row>
    <row r="139" spans="1:8" ht="13.5" thickBot="1">
      <c r="A139" s="1963">
        <v>3.16</v>
      </c>
      <c r="B139" s="1923" t="s">
        <v>2480</v>
      </c>
      <c r="C139" s="1924"/>
      <c r="D139" s="1924"/>
      <c r="E139" s="1924"/>
      <c r="F139" s="1924"/>
      <c r="G139" s="1924"/>
      <c r="H139" s="1924"/>
    </row>
    <row r="140" spans="1:8" ht="13.5" thickTop="1">
      <c r="A140" s="1931">
        <v>1</v>
      </c>
      <c r="B140" s="1950" t="s">
        <v>2466</v>
      </c>
      <c r="C140" s="1951">
        <v>1</v>
      </c>
      <c r="D140" s="1951">
        <v>3</v>
      </c>
      <c r="E140" s="1959" t="s">
        <v>1</v>
      </c>
      <c r="F140" s="1936">
        <f>PRODUCT(C140:D140)</f>
        <v>3</v>
      </c>
      <c r="G140" s="1927">
        <v>48.8</v>
      </c>
      <c r="H140" s="1937">
        <f>ROUND(F140*G140,2)</f>
        <v>146.4</v>
      </c>
    </row>
    <row r="141" spans="1:8">
      <c r="A141" s="1931">
        <v>2</v>
      </c>
      <c r="B141" s="1950" t="s">
        <v>2467</v>
      </c>
      <c r="C141" s="1951">
        <v>1</v>
      </c>
      <c r="D141" s="1951">
        <v>0.5</v>
      </c>
      <c r="E141" s="1959" t="s">
        <v>1</v>
      </c>
      <c r="F141" s="1936">
        <f>PRODUCT(C141:D141)</f>
        <v>0.5</v>
      </c>
      <c r="G141" s="1951">
        <v>69.680000000000007</v>
      </c>
      <c r="H141" s="1937">
        <f>ROUND(F141*G141,2)</f>
        <v>34.840000000000003</v>
      </c>
    </row>
    <row r="142" spans="1:8">
      <c r="A142" s="1931">
        <v>3</v>
      </c>
      <c r="B142" s="1950" t="s">
        <v>2468</v>
      </c>
      <c r="C142" s="1951">
        <v>1</v>
      </c>
      <c r="D142" s="1951">
        <v>0.5</v>
      </c>
      <c r="E142" s="1959" t="s">
        <v>1</v>
      </c>
      <c r="F142" s="1936">
        <f>PRODUCT(C142:D142)</f>
        <v>0.5</v>
      </c>
      <c r="G142" s="1951">
        <v>126.71</v>
      </c>
      <c r="H142" s="1937">
        <f>ROUND(F142*G142,2)</f>
        <v>63.36</v>
      </c>
    </row>
    <row r="143" spans="1:8">
      <c r="A143" s="1931">
        <v>4</v>
      </c>
      <c r="B143" s="1932" t="s">
        <v>621</v>
      </c>
      <c r="C143" s="1933">
        <v>5</v>
      </c>
      <c r="D143" s="1934">
        <v>0.01</v>
      </c>
      <c r="E143" s="1935" t="s">
        <v>46</v>
      </c>
      <c r="F143" s="1936">
        <f>PRODUCT(C143:D143)</f>
        <v>0.05</v>
      </c>
      <c r="G143" s="1933">
        <f>SUM(H141:H141)</f>
        <v>34.840000000000003</v>
      </c>
      <c r="H143" s="1937">
        <f>ROUND(F143*G143,2)</f>
        <v>1.74</v>
      </c>
    </row>
    <row r="144" spans="1:8">
      <c r="A144" s="1960">
        <v>5</v>
      </c>
      <c r="B144" s="1938" t="s">
        <v>2451</v>
      </c>
      <c r="C144" s="1939">
        <v>30</v>
      </c>
      <c r="D144" s="1934">
        <v>0.01</v>
      </c>
      <c r="E144" s="1935" t="s">
        <v>46</v>
      </c>
      <c r="F144" s="1936">
        <f>PRODUCT(C144:D144)</f>
        <v>0.3</v>
      </c>
      <c r="G144" s="1939">
        <f>SUM(H141:H143)</f>
        <v>99.94</v>
      </c>
      <c r="H144" s="1937">
        <f>ROUND(F144*G144,2)</f>
        <v>29.98</v>
      </c>
    </row>
    <row r="145" spans="1:8" ht="13.5" thickBot="1">
      <c r="A145" s="1940"/>
      <c r="B145" s="1941"/>
      <c r="C145" s="1941"/>
      <c r="D145" s="1941"/>
      <c r="E145" s="1941"/>
      <c r="F145" s="1941"/>
      <c r="G145" s="1942" t="s">
        <v>2452</v>
      </c>
      <c r="H145" s="1943">
        <f>SUM(H141:H144)</f>
        <v>129.91999999999999</v>
      </c>
    </row>
    <row r="146" spans="1:8" ht="13.5" thickTop="1">
      <c r="A146" s="1944"/>
      <c r="B146" s="1944"/>
      <c r="C146" s="1944"/>
      <c r="D146" s="1944"/>
      <c r="E146" s="1944"/>
      <c r="F146" s="1944"/>
      <c r="G146" s="1945"/>
      <c r="H146" s="1946"/>
    </row>
    <row r="147" spans="1:8" ht="25.5">
      <c r="A147" s="1918">
        <v>4</v>
      </c>
      <c r="B147" s="1919" t="s">
        <v>1639</v>
      </c>
      <c r="C147" s="1944"/>
      <c r="D147" s="1944"/>
      <c r="E147" s="1944"/>
      <c r="F147" s="1944"/>
      <c r="G147" s="1945"/>
      <c r="H147" s="1946"/>
    </row>
    <row r="149" spans="1:8" ht="13.5" thickBot="1">
      <c r="A149" s="1964">
        <v>4.8</v>
      </c>
      <c r="B149" s="1965" t="s">
        <v>2481</v>
      </c>
      <c r="C149" s="1966"/>
      <c r="D149" s="1966"/>
      <c r="E149" s="1966"/>
      <c r="F149" s="1966"/>
      <c r="G149" s="1966"/>
      <c r="H149" s="1966"/>
    </row>
    <row r="150" spans="1:8" ht="14.25" thickTop="1" thickBot="1">
      <c r="A150" s="1925">
        <v>1</v>
      </c>
      <c r="B150" s="1926" t="s">
        <v>2454</v>
      </c>
      <c r="C150" s="1955">
        <v>1</v>
      </c>
      <c r="D150" s="1955">
        <v>2</v>
      </c>
      <c r="E150" s="1956" t="s">
        <v>1</v>
      </c>
      <c r="F150" s="1957">
        <f>PRODUCT(C150:D150)</f>
        <v>2</v>
      </c>
      <c r="G150" s="1927">
        <v>207.07</v>
      </c>
      <c r="H150" s="1958">
        <f>ROUND(F150*G150,2)</f>
        <v>414.14</v>
      </c>
    </row>
    <row r="151" spans="1:8" ht="14.25" thickTop="1" thickBot="1">
      <c r="A151" s="1931">
        <v>2</v>
      </c>
      <c r="B151" s="1926" t="s">
        <v>2455</v>
      </c>
      <c r="C151" s="1955">
        <v>1</v>
      </c>
      <c r="D151" s="1955">
        <v>1</v>
      </c>
      <c r="E151" s="1956" t="s">
        <v>1</v>
      </c>
      <c r="F151" s="1957">
        <f>PRODUCT(C151:D151)</f>
        <v>1</v>
      </c>
      <c r="G151" s="1949">
        <v>172.46</v>
      </c>
      <c r="H151" s="1958">
        <f>ROUND(F151*G151,2)</f>
        <v>172.46</v>
      </c>
    </row>
    <row r="152" spans="1:8" ht="13.5" thickTop="1">
      <c r="A152" s="1925">
        <v>3</v>
      </c>
      <c r="B152" s="1950" t="s">
        <v>2482</v>
      </c>
      <c r="C152" s="1933">
        <v>1</v>
      </c>
      <c r="D152" s="1933">
        <v>1</v>
      </c>
      <c r="E152" s="1959" t="s">
        <v>1</v>
      </c>
      <c r="F152" s="1936">
        <v>1</v>
      </c>
      <c r="G152" s="1951">
        <v>215.19</v>
      </c>
      <c r="H152" s="1937">
        <f>ROUND(F152*G152,2)</f>
        <v>215.19</v>
      </c>
    </row>
    <row r="153" spans="1:8">
      <c r="A153" s="1931">
        <v>4</v>
      </c>
      <c r="B153" s="1932" t="s">
        <v>621</v>
      </c>
      <c r="C153" s="1933">
        <v>5</v>
      </c>
      <c r="D153" s="1934">
        <v>0.01</v>
      </c>
      <c r="E153" s="1935" t="s">
        <v>46</v>
      </c>
      <c r="F153" s="1936">
        <f>PRODUCT(C153:D153)</f>
        <v>0.05</v>
      </c>
      <c r="G153" s="1933">
        <f>SUM(H150:H152)</f>
        <v>801.79</v>
      </c>
      <c r="H153" s="1937">
        <f>ROUND(F153*G153,2)</f>
        <v>40.090000000000003</v>
      </c>
    </row>
    <row r="154" spans="1:8">
      <c r="A154" s="1931">
        <v>5</v>
      </c>
      <c r="B154" s="1938" t="s">
        <v>2451</v>
      </c>
      <c r="C154" s="1939">
        <v>30</v>
      </c>
      <c r="D154" s="1934">
        <v>0.01</v>
      </c>
      <c r="E154" s="1935" t="s">
        <v>46</v>
      </c>
      <c r="F154" s="1936">
        <f>PRODUCT(C154:D154)</f>
        <v>0.3</v>
      </c>
      <c r="G154" s="1939">
        <f>SUM(H150:H153)</f>
        <v>841.88</v>
      </c>
      <c r="H154" s="1937">
        <f>ROUND(F154*G154,2)</f>
        <v>252.56</v>
      </c>
    </row>
    <row r="155" spans="1:8" ht="13.5" thickBot="1">
      <c r="A155" s="1940"/>
      <c r="B155" s="1941"/>
      <c r="C155" s="1941"/>
      <c r="D155" s="1941"/>
      <c r="E155" s="1941"/>
      <c r="F155" s="1941"/>
      <c r="G155" s="1942" t="s">
        <v>2452</v>
      </c>
      <c r="H155" s="1967">
        <f>SUM(H150:H154)</f>
        <v>1094.44</v>
      </c>
    </row>
    <row r="156" spans="1:8" ht="13.5" thickTop="1"/>
    <row r="158" spans="1:8" ht="13.5" thickBot="1">
      <c r="H158" s="1967">
        <f>SUM(H3:H156)</f>
        <v>22235.42</v>
      </c>
    </row>
    <row r="159"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dimension ref="B2:I251"/>
  <sheetViews>
    <sheetView workbookViewId="0"/>
  </sheetViews>
  <sheetFormatPr baseColWidth="10" defaultColWidth="11.42578125" defaultRowHeight="12.75"/>
  <cols>
    <col min="1" max="1" width="4.5703125" customWidth="1"/>
    <col min="2" max="2" width="46.7109375" bestFit="1" customWidth="1"/>
  </cols>
  <sheetData>
    <row r="2" spans="2:7">
      <c r="B2" s="5065" t="s">
        <v>1025</v>
      </c>
      <c r="C2" s="5065"/>
      <c r="D2" s="5065"/>
      <c r="E2" s="5065"/>
      <c r="F2" s="5065"/>
      <c r="G2" s="1083"/>
    </row>
    <row r="3" spans="2:7">
      <c r="B3" s="1600" t="s">
        <v>117</v>
      </c>
      <c r="C3" s="1602" t="s">
        <v>118</v>
      </c>
      <c r="D3" s="1656">
        <v>1</v>
      </c>
      <c r="E3" s="1085">
        <v>2.5</v>
      </c>
      <c r="F3" s="1086">
        <f t="shared" ref="F3:F11" si="0">E3*D3</f>
        <v>2.5</v>
      </c>
      <c r="G3" s="1083"/>
    </row>
    <row r="4" spans="2:7">
      <c r="B4" s="1600" t="s">
        <v>119</v>
      </c>
      <c r="C4" s="1602" t="s">
        <v>1026</v>
      </c>
      <c r="D4" s="1086">
        <v>1</v>
      </c>
      <c r="E4" s="1085">
        <v>325</v>
      </c>
      <c r="F4" s="1086">
        <f t="shared" si="0"/>
        <v>325</v>
      </c>
      <c r="G4" s="1083"/>
    </row>
    <row r="5" spans="2:7">
      <c r="B5" s="1600" t="s">
        <v>1545</v>
      </c>
      <c r="C5" s="1602" t="s">
        <v>1026</v>
      </c>
      <c r="D5" s="1086">
        <v>1</v>
      </c>
      <c r="E5" s="1085">
        <v>271.02</v>
      </c>
      <c r="F5" s="1086">
        <f t="shared" si="0"/>
        <v>271.02</v>
      </c>
      <c r="G5" s="1083"/>
    </row>
    <row r="6" spans="2:7">
      <c r="B6" s="1600" t="s">
        <v>1027</v>
      </c>
      <c r="C6" s="1602" t="s">
        <v>2</v>
      </c>
      <c r="D6" s="1086">
        <v>1</v>
      </c>
      <c r="E6" s="1085">
        <v>1100</v>
      </c>
      <c r="F6" s="1086">
        <f t="shared" si="0"/>
        <v>1100</v>
      </c>
      <c r="G6" s="1083"/>
    </row>
    <row r="7" spans="2:7">
      <c r="B7" s="1600" t="s">
        <v>1028</v>
      </c>
      <c r="C7" s="1602" t="s">
        <v>2</v>
      </c>
      <c r="D7" s="1086">
        <v>1</v>
      </c>
      <c r="E7" s="1085">
        <v>1200</v>
      </c>
      <c r="F7" s="1086">
        <f t="shared" si="0"/>
        <v>1200</v>
      </c>
      <c r="G7" s="1083"/>
    </row>
    <row r="8" spans="2:7">
      <c r="B8" s="1654" t="s">
        <v>1029</v>
      </c>
      <c r="C8" s="1653" t="s">
        <v>2</v>
      </c>
      <c r="D8" s="1597">
        <v>1</v>
      </c>
      <c r="E8" s="1655">
        <v>1100</v>
      </c>
      <c r="F8" s="1597">
        <f t="shared" si="0"/>
        <v>1100</v>
      </c>
      <c r="G8" s="1235"/>
    </row>
    <row r="9" spans="2:7">
      <c r="B9" s="1600" t="s">
        <v>1546</v>
      </c>
      <c r="C9" s="1602" t="s">
        <v>127</v>
      </c>
      <c r="D9" s="1086">
        <v>1</v>
      </c>
      <c r="E9" s="1086">
        <v>1</v>
      </c>
      <c r="F9" s="1086">
        <f t="shared" si="0"/>
        <v>1</v>
      </c>
      <c r="G9" s="1083"/>
    </row>
    <row r="10" spans="2:7">
      <c r="B10" s="1600" t="s">
        <v>8</v>
      </c>
      <c r="C10" s="1602" t="s">
        <v>127</v>
      </c>
      <c r="D10" s="1086">
        <v>1</v>
      </c>
      <c r="E10" s="1203">
        <v>12.5</v>
      </c>
      <c r="F10" s="1086">
        <f t="shared" si="0"/>
        <v>12.5</v>
      </c>
      <c r="G10" s="1083"/>
    </row>
    <row r="11" spans="2:7">
      <c r="B11" s="1600" t="s">
        <v>125</v>
      </c>
      <c r="C11" s="1602" t="s">
        <v>126</v>
      </c>
      <c r="D11" s="1086">
        <v>1</v>
      </c>
      <c r="E11" s="1085">
        <v>2500</v>
      </c>
      <c r="F11" s="1086">
        <f t="shared" si="0"/>
        <v>2500</v>
      </c>
      <c r="G11" s="1083"/>
    </row>
    <row r="12" spans="2:7">
      <c r="B12" s="1087"/>
      <c r="C12" s="1603"/>
      <c r="D12" s="1087"/>
      <c r="E12" s="1087"/>
      <c r="F12" s="1087"/>
      <c r="G12" s="1083"/>
    </row>
    <row r="13" spans="2:7">
      <c r="B13" s="1088" t="s">
        <v>129</v>
      </c>
      <c r="C13" s="1603"/>
      <c r="D13" s="1087"/>
      <c r="E13" s="1087"/>
      <c r="F13" s="1087"/>
      <c r="G13" s="1083"/>
    </row>
    <row r="14" spans="2:7">
      <c r="B14" s="1089" t="s">
        <v>130</v>
      </c>
      <c r="C14" s="1595" t="s">
        <v>2</v>
      </c>
      <c r="D14" s="1090">
        <v>1</v>
      </c>
      <c r="E14" s="1090">
        <f>+F6</f>
        <v>1100</v>
      </c>
      <c r="F14" s="1086">
        <f>E14*D14</f>
        <v>1100</v>
      </c>
      <c r="G14" s="1083"/>
    </row>
    <row r="15" spans="2:7">
      <c r="B15" s="1089" t="s">
        <v>131</v>
      </c>
      <c r="C15" s="1604" t="s">
        <v>2</v>
      </c>
      <c r="D15" s="1090">
        <v>1</v>
      </c>
      <c r="E15" s="1090">
        <v>12</v>
      </c>
      <c r="F15" s="1086">
        <f>E15*D15</f>
        <v>12</v>
      </c>
      <c r="G15" s="1083"/>
    </row>
    <row r="16" spans="2:7">
      <c r="B16" s="1091"/>
      <c r="C16" s="1605" t="s">
        <v>315</v>
      </c>
      <c r="D16" s="1090"/>
      <c r="E16" s="1090"/>
      <c r="F16" s="1092">
        <f>SUM(F14:F15)</f>
        <v>1112</v>
      </c>
      <c r="G16" s="1083"/>
    </row>
    <row r="17" spans="2:7">
      <c r="B17" s="1087"/>
      <c r="C17" s="1603"/>
      <c r="D17" s="1087"/>
      <c r="E17" s="1087"/>
      <c r="F17" s="1093"/>
      <c r="G17" s="1083"/>
    </row>
    <row r="18" spans="2:7">
      <c r="B18" s="1088" t="s">
        <v>133</v>
      </c>
      <c r="C18" s="1603"/>
      <c r="D18" s="1087"/>
      <c r="E18" s="1087"/>
      <c r="F18" s="1087"/>
      <c r="G18" s="1083"/>
    </row>
    <row r="19" spans="2:7">
      <c r="B19" s="1089" t="s">
        <v>130</v>
      </c>
      <c r="C19" s="1595" t="s">
        <v>2</v>
      </c>
      <c r="D19" s="1090">
        <v>1</v>
      </c>
      <c r="E19" s="1090">
        <f>+F7</f>
        <v>1200</v>
      </c>
      <c r="F19" s="1086">
        <f>E19*D19</f>
        <v>1200</v>
      </c>
      <c r="G19" s="1083"/>
    </row>
    <row r="20" spans="2:7">
      <c r="B20" s="1089" t="s">
        <v>131</v>
      </c>
      <c r="C20" s="1604" t="s">
        <v>2</v>
      </c>
      <c r="D20" s="1090">
        <v>1</v>
      </c>
      <c r="E20" s="1090">
        <v>12</v>
      </c>
      <c r="F20" s="1086">
        <f>E20*D20</f>
        <v>12</v>
      </c>
      <c r="G20" s="1083"/>
    </row>
    <row r="21" spans="2:7">
      <c r="B21" s="1089"/>
      <c r="C21" s="1605" t="s">
        <v>315</v>
      </c>
      <c r="D21" s="1090"/>
      <c r="E21" s="1090"/>
      <c r="F21" s="1092">
        <f>SUM(F19:F20)</f>
        <v>1212</v>
      </c>
      <c r="G21" s="1083"/>
    </row>
    <row r="22" spans="2:7">
      <c r="B22" s="1087"/>
      <c r="C22" s="1606"/>
      <c r="D22" s="1094"/>
      <c r="E22" s="1094"/>
      <c r="F22" s="1095"/>
      <c r="G22" s="1083"/>
    </row>
    <row r="23" spans="2:7">
      <c r="B23" s="1096" t="s">
        <v>1030</v>
      </c>
      <c r="C23" s="1594"/>
      <c r="D23" s="1089"/>
      <c r="E23" s="1089"/>
      <c r="F23" s="1089"/>
      <c r="G23" s="1083"/>
    </row>
    <row r="24" spans="2:7">
      <c r="B24" s="1654" t="s">
        <v>1547</v>
      </c>
      <c r="C24" s="1595" t="s">
        <v>2</v>
      </c>
      <c r="D24" s="1596">
        <v>1.02</v>
      </c>
      <c r="E24" s="1596">
        <v>7995</v>
      </c>
      <c r="F24" s="1597">
        <f>E24*D24</f>
        <v>8154.9</v>
      </c>
      <c r="G24" s="1235"/>
    </row>
    <row r="25" spans="2:7">
      <c r="B25" s="1089"/>
      <c r="C25" s="1594"/>
      <c r="D25" s="1089"/>
      <c r="E25" s="1098" t="s">
        <v>1031</v>
      </c>
      <c r="F25" s="1099">
        <f>SUM(F24:F24)</f>
        <v>8154.9</v>
      </c>
      <c r="G25" s="1083"/>
    </row>
    <row r="26" spans="2:7">
      <c r="B26" s="1087"/>
      <c r="C26" s="1606"/>
      <c r="D26" s="1094"/>
      <c r="E26" s="1094"/>
      <c r="F26" s="1095"/>
      <c r="G26" s="1083"/>
    </row>
    <row r="27" spans="2:7">
      <c r="B27" s="1096" t="s">
        <v>1032</v>
      </c>
      <c r="C27" s="1594"/>
      <c r="D27" s="1089"/>
      <c r="E27" s="1089"/>
      <c r="F27" s="1089"/>
      <c r="G27" s="1083"/>
    </row>
    <row r="28" spans="2:7">
      <c r="B28" s="1089" t="s">
        <v>122</v>
      </c>
      <c r="C28" s="1595" t="s">
        <v>2</v>
      </c>
      <c r="D28" s="1090">
        <v>0.45</v>
      </c>
      <c r="E28" s="1090">
        <f>+F16</f>
        <v>1112</v>
      </c>
      <c r="F28" s="1086">
        <f>E28*D28</f>
        <v>500.4</v>
      </c>
      <c r="G28" s="1083"/>
    </row>
    <row r="29" spans="2:7">
      <c r="B29" s="1089" t="s">
        <v>124</v>
      </c>
      <c r="C29" s="1595" t="s">
        <v>2</v>
      </c>
      <c r="D29" s="1090">
        <v>0.9</v>
      </c>
      <c r="E29" s="1090">
        <f>+F21</f>
        <v>1212</v>
      </c>
      <c r="F29" s="1086">
        <f>E29*D29</f>
        <v>1090.8</v>
      </c>
      <c r="G29" s="1083"/>
    </row>
    <row r="30" spans="2:7">
      <c r="B30" s="1089" t="s">
        <v>142</v>
      </c>
      <c r="C30" s="1595" t="s">
        <v>1026</v>
      </c>
      <c r="D30" s="1090">
        <v>13</v>
      </c>
      <c r="E30" s="1090">
        <f>+F4</f>
        <v>325</v>
      </c>
      <c r="F30" s="1086">
        <f>E30*D30</f>
        <v>4225</v>
      </c>
      <c r="G30" s="1083"/>
    </row>
    <row r="31" spans="2:7">
      <c r="B31" s="1089" t="s">
        <v>117</v>
      </c>
      <c r="C31" s="1595" t="s">
        <v>118</v>
      </c>
      <c r="D31" s="1090">
        <v>60</v>
      </c>
      <c r="E31" s="1090">
        <f>+F3</f>
        <v>2.5</v>
      </c>
      <c r="F31" s="1086">
        <f>E31*D31</f>
        <v>150</v>
      </c>
      <c r="G31" s="1083"/>
    </row>
    <row r="32" spans="2:7">
      <c r="B32" s="1089" t="s">
        <v>139</v>
      </c>
      <c r="C32" s="1595" t="s">
        <v>2</v>
      </c>
      <c r="D32" s="1090">
        <v>1</v>
      </c>
      <c r="E32" s="1090">
        <v>950</v>
      </c>
      <c r="F32" s="1086">
        <f>E32*D32</f>
        <v>950</v>
      </c>
      <c r="G32" s="1083"/>
    </row>
    <row r="33" spans="2:7">
      <c r="B33" s="1089" t="s">
        <v>140</v>
      </c>
      <c r="C33" s="1594"/>
      <c r="D33" s="1089"/>
      <c r="E33" s="1089"/>
      <c r="F33" s="1097">
        <f>SUM(F28+F29+F30+F31)*0.02</f>
        <v>119.32</v>
      </c>
      <c r="G33" s="1083"/>
    </row>
    <row r="34" spans="2:7">
      <c r="B34" s="1089"/>
      <c r="C34" s="1594"/>
      <c r="D34" s="1089"/>
      <c r="E34" s="1098" t="s">
        <v>1031</v>
      </c>
      <c r="F34" s="1404">
        <f>SUM(F28:F33)</f>
        <v>7035.52</v>
      </c>
      <c r="G34" s="1083"/>
    </row>
    <row r="35" spans="2:7">
      <c r="G35" s="1083"/>
    </row>
    <row r="36" spans="2:7">
      <c r="B36" s="1096" t="s">
        <v>141</v>
      </c>
      <c r="C36" s="1594"/>
      <c r="D36" s="1089"/>
      <c r="E36" s="1089"/>
      <c r="F36" s="1089"/>
      <c r="G36" s="1083"/>
    </row>
    <row r="37" spans="2:7">
      <c r="B37" s="1654" t="s">
        <v>1770</v>
      </c>
      <c r="C37" s="1595" t="s">
        <v>2</v>
      </c>
      <c r="D37" s="1596">
        <v>1.02</v>
      </c>
      <c r="E37" s="1596">
        <v>7384</v>
      </c>
      <c r="F37" s="1597">
        <f>E37*D37</f>
        <v>7531.68</v>
      </c>
      <c r="G37" s="1235"/>
    </row>
    <row r="38" spans="2:7">
      <c r="B38" s="1089"/>
      <c r="C38" s="1594"/>
      <c r="D38" s="1089"/>
      <c r="E38" s="1098" t="s">
        <v>1031</v>
      </c>
      <c r="F38" s="1099">
        <f>SUM(F37:F37)</f>
        <v>7531.68</v>
      </c>
      <c r="G38" s="1083"/>
    </row>
    <row r="39" spans="2:7">
      <c r="G39" s="1083"/>
    </row>
    <row r="40" spans="2:7">
      <c r="B40" s="1096" t="s">
        <v>1565</v>
      </c>
      <c r="C40" s="1594"/>
      <c r="D40" s="1089"/>
      <c r="E40" s="1089"/>
      <c r="F40" s="1089"/>
      <c r="G40" s="1083"/>
    </row>
    <row r="41" spans="2:7">
      <c r="B41" s="1654" t="s">
        <v>1566</v>
      </c>
      <c r="C41" s="1595" t="s">
        <v>2</v>
      </c>
      <c r="D41" s="1596">
        <v>1.02</v>
      </c>
      <c r="E41" s="1596">
        <v>6925</v>
      </c>
      <c r="F41" s="1597">
        <f>E41*D41</f>
        <v>7063.5</v>
      </c>
      <c r="G41" s="1235"/>
    </row>
    <row r="42" spans="2:7">
      <c r="B42" s="1089"/>
      <c r="C42" s="1594"/>
      <c r="D42" s="1089"/>
      <c r="E42" s="1098" t="s">
        <v>1031</v>
      </c>
      <c r="F42" s="1099">
        <f>SUM(F41:F41)</f>
        <v>7063.5</v>
      </c>
      <c r="G42" s="1083"/>
    </row>
    <row r="43" spans="2:7">
      <c r="B43" s="1087"/>
      <c r="C43" s="1606"/>
      <c r="D43" s="1094"/>
      <c r="E43" s="1094"/>
      <c r="F43" s="1095"/>
      <c r="G43" s="1083"/>
    </row>
    <row r="44" spans="2:7">
      <c r="B44" s="1096" t="s">
        <v>1033</v>
      </c>
      <c r="C44" s="1594"/>
      <c r="D44" s="1089"/>
      <c r="E44" s="1089"/>
      <c r="F44" s="1089"/>
      <c r="G44" s="1083"/>
    </row>
    <row r="45" spans="2:7">
      <c r="B45" s="1089" t="s">
        <v>122</v>
      </c>
      <c r="C45" s="1607" t="s">
        <v>2</v>
      </c>
      <c r="D45" s="1090">
        <v>0.52</v>
      </c>
      <c r="E45" s="1090">
        <f>SUM(F16)</f>
        <v>1112</v>
      </c>
      <c r="F45" s="1086">
        <f>E45*D45</f>
        <v>578.24</v>
      </c>
      <c r="G45" s="1083"/>
    </row>
    <row r="46" spans="2:7">
      <c r="B46" s="1089" t="s">
        <v>124</v>
      </c>
      <c r="C46" s="1607" t="s">
        <v>2</v>
      </c>
      <c r="D46" s="1090">
        <v>0.85</v>
      </c>
      <c r="E46" s="1090">
        <f>F21</f>
        <v>1212</v>
      </c>
      <c r="F46" s="1086">
        <f>E46*D46</f>
        <v>1030.2</v>
      </c>
      <c r="G46" s="1083"/>
    </row>
    <row r="47" spans="2:7">
      <c r="B47" s="1089" t="s">
        <v>135</v>
      </c>
      <c r="C47" s="1607" t="s">
        <v>1026</v>
      </c>
      <c r="D47" s="1090">
        <v>6.44</v>
      </c>
      <c r="E47" s="1090">
        <f>F4</f>
        <v>325</v>
      </c>
      <c r="F47" s="1086">
        <f>E47*D47</f>
        <v>2093</v>
      </c>
      <c r="G47" s="1083"/>
    </row>
    <row r="48" spans="2:7">
      <c r="B48" s="1089" t="s">
        <v>117</v>
      </c>
      <c r="C48" s="1607" t="s">
        <v>118</v>
      </c>
      <c r="D48" s="1090">
        <v>60</v>
      </c>
      <c r="E48" s="1090">
        <f>F3</f>
        <v>2.5</v>
      </c>
      <c r="F48" s="1086">
        <f>E48*D48</f>
        <v>150</v>
      </c>
      <c r="G48" s="1083"/>
    </row>
    <row r="49" spans="2:7">
      <c r="B49" s="1089" t="s">
        <v>139</v>
      </c>
      <c r="C49" s="1607" t="s">
        <v>2</v>
      </c>
      <c r="D49" s="1090">
        <v>1</v>
      </c>
      <c r="E49" s="1090">
        <v>850</v>
      </c>
      <c r="F49" s="1086">
        <f>E49*D49</f>
        <v>850</v>
      </c>
      <c r="G49" s="1083"/>
    </row>
    <row r="50" spans="2:7">
      <c r="B50" s="1089" t="s">
        <v>140</v>
      </c>
      <c r="C50" s="1607"/>
      <c r="D50" s="1090"/>
      <c r="E50" s="1090"/>
      <c r="F50" s="1097">
        <f>SUM(F45+F46+F47+F48)*0.02</f>
        <v>77.03</v>
      </c>
      <c r="G50" s="1083"/>
    </row>
    <row r="51" spans="2:7">
      <c r="B51" s="1089"/>
      <c r="C51" s="1604"/>
      <c r="D51" s="1089"/>
      <c r="E51" s="1098" t="s">
        <v>1031</v>
      </c>
      <c r="F51" s="1099">
        <f>SUM(F45:F50)</f>
        <v>4778.47</v>
      </c>
      <c r="G51" s="1083"/>
    </row>
    <row r="52" spans="2:7">
      <c r="B52" s="1087"/>
      <c r="C52" s="1608"/>
      <c r="D52" s="1087"/>
      <c r="E52" s="1100"/>
      <c r="F52" s="1095"/>
      <c r="G52" s="1083"/>
    </row>
    <row r="53" spans="2:7">
      <c r="B53" s="1101" t="s">
        <v>1043</v>
      </c>
      <c r="C53" s="1615"/>
      <c r="D53" s="1094"/>
      <c r="E53" s="1095"/>
      <c r="F53" s="1103"/>
      <c r="G53" s="1083"/>
    </row>
    <row r="54" spans="2:7">
      <c r="B54" s="1089" t="s">
        <v>181</v>
      </c>
      <c r="C54" s="1607" t="s">
        <v>126</v>
      </c>
      <c r="D54" s="1090">
        <v>1</v>
      </c>
      <c r="E54" s="1086">
        <v>2500</v>
      </c>
      <c r="F54" s="1086">
        <f>E54*D54</f>
        <v>2500</v>
      </c>
      <c r="G54" s="1083"/>
    </row>
    <row r="55" spans="2:7">
      <c r="B55" s="1111" t="s">
        <v>41</v>
      </c>
      <c r="C55" s="1607" t="s">
        <v>126</v>
      </c>
      <c r="D55" s="1090">
        <v>1</v>
      </c>
      <c r="E55" s="1086">
        <v>255.66</v>
      </c>
      <c r="F55" s="1086">
        <f>E55*D55</f>
        <v>255.66</v>
      </c>
      <c r="G55" s="1083"/>
    </row>
    <row r="56" spans="2:7">
      <c r="B56" s="1089" t="s">
        <v>1044</v>
      </c>
      <c r="C56" s="1607" t="s">
        <v>183</v>
      </c>
      <c r="D56" s="1090">
        <v>2</v>
      </c>
      <c r="E56" s="1084">
        <v>45</v>
      </c>
      <c r="F56" s="1086">
        <f>E56*D56</f>
        <v>90</v>
      </c>
      <c r="G56" s="1083"/>
    </row>
    <row r="57" spans="2:7">
      <c r="B57" s="1089"/>
      <c r="C57" s="1607"/>
      <c r="D57" s="1090"/>
      <c r="E57" s="1099" t="s">
        <v>1031</v>
      </c>
      <c r="F57" s="1102">
        <f>SUM(F54:F56)</f>
        <v>2845.66</v>
      </c>
      <c r="G57" s="1083"/>
    </row>
    <row r="58" spans="2:7">
      <c r="B58" s="1087"/>
      <c r="C58" s="1615"/>
      <c r="D58" s="1094"/>
      <c r="E58" s="1095"/>
      <c r="F58" s="1103"/>
      <c r="G58" s="1083"/>
    </row>
    <row r="59" spans="2:7">
      <c r="B59" s="1101" t="s">
        <v>1034</v>
      </c>
      <c r="C59" s="1608"/>
      <c r="D59" s="1087"/>
      <c r="E59" s="1087"/>
      <c r="F59" s="1087"/>
      <c r="G59" s="1083"/>
    </row>
    <row r="60" spans="2:7">
      <c r="B60" s="1089" t="s">
        <v>145</v>
      </c>
      <c r="C60" s="1607" t="s">
        <v>2</v>
      </c>
      <c r="D60" s="1090">
        <v>1</v>
      </c>
      <c r="E60" s="1090">
        <f>+F8</f>
        <v>1100</v>
      </c>
      <c r="F60" s="1086">
        <f>E60*D60</f>
        <v>1100</v>
      </c>
      <c r="G60" s="1083"/>
    </row>
    <row r="61" spans="2:7">
      <c r="B61" s="1089" t="s">
        <v>131</v>
      </c>
      <c r="C61" s="1604" t="s">
        <v>2</v>
      </c>
      <c r="D61" s="1090">
        <v>1</v>
      </c>
      <c r="E61" s="1090">
        <v>12</v>
      </c>
      <c r="F61" s="1086">
        <f>E61*D61</f>
        <v>12</v>
      </c>
      <c r="G61" s="1083"/>
    </row>
    <row r="62" spans="2:7">
      <c r="B62" s="1089"/>
      <c r="C62" s="1604"/>
      <c r="D62" s="1089"/>
      <c r="E62" s="1098" t="s">
        <v>1031</v>
      </c>
      <c r="F62" s="1099">
        <f>SUM(F60:F61)</f>
        <v>1112</v>
      </c>
      <c r="G62" s="1083"/>
    </row>
    <row r="63" spans="2:7">
      <c r="B63" s="1087"/>
      <c r="C63" s="1603"/>
      <c r="D63" s="1087"/>
      <c r="E63" s="1087"/>
      <c r="F63" s="1087"/>
      <c r="G63" s="1083"/>
    </row>
    <row r="64" spans="2:7">
      <c r="B64" s="1088" t="s">
        <v>146</v>
      </c>
      <c r="C64" s="1603"/>
      <c r="D64" s="1087"/>
      <c r="E64" s="1087"/>
      <c r="F64" s="1087"/>
      <c r="G64" s="1083"/>
    </row>
    <row r="65" spans="2:7">
      <c r="B65" s="1089" t="s">
        <v>122</v>
      </c>
      <c r="C65" s="1607" t="s">
        <v>2</v>
      </c>
      <c r="D65" s="1090">
        <v>1.02</v>
      </c>
      <c r="E65" s="1090" t="str">
        <f>+$E$62</f>
        <v>R.D.$</v>
      </c>
      <c r="F65" s="1086"/>
      <c r="G65" s="1083"/>
    </row>
    <row r="66" spans="2:7">
      <c r="B66" s="1089" t="s">
        <v>135</v>
      </c>
      <c r="C66" s="1607" t="s">
        <v>1026</v>
      </c>
      <c r="D66" s="1090">
        <v>9.4600000000000009</v>
      </c>
      <c r="E66" s="1090">
        <f>F4</f>
        <v>325</v>
      </c>
      <c r="F66" s="1086">
        <f>E66*D66</f>
        <v>3074.5</v>
      </c>
      <c r="G66" s="1083"/>
    </row>
    <row r="67" spans="2:7">
      <c r="B67" s="1089" t="s">
        <v>117</v>
      </c>
      <c r="C67" s="1607" t="s">
        <v>118</v>
      </c>
      <c r="D67" s="1090">
        <v>50</v>
      </c>
      <c r="E67" s="1090">
        <f>$E$3</f>
        <v>2.5</v>
      </c>
      <c r="F67" s="1086">
        <f>E67*D67</f>
        <v>125</v>
      </c>
      <c r="G67" s="1083"/>
    </row>
    <row r="68" spans="2:7">
      <c r="B68" s="1089" t="s">
        <v>121</v>
      </c>
      <c r="C68" s="1607" t="s">
        <v>1026</v>
      </c>
      <c r="D68" s="1090">
        <v>3.07</v>
      </c>
      <c r="E68" s="1090">
        <f>$E$5</f>
        <v>271.02</v>
      </c>
      <c r="F68" s="1086">
        <f>E68*D68</f>
        <v>832.03</v>
      </c>
      <c r="G68" s="1083"/>
    </row>
    <row r="69" spans="2:7">
      <c r="B69" s="1089" t="s">
        <v>147</v>
      </c>
      <c r="C69" s="1607" t="s">
        <v>148</v>
      </c>
      <c r="D69" s="1090">
        <v>0.5</v>
      </c>
      <c r="E69" s="1090">
        <v>650</v>
      </c>
      <c r="F69" s="1086">
        <f>E69*D69</f>
        <v>325</v>
      </c>
      <c r="G69" s="1083"/>
    </row>
    <row r="70" spans="2:7">
      <c r="B70" s="1089" t="s">
        <v>149</v>
      </c>
      <c r="C70" s="1607"/>
      <c r="D70" s="1090"/>
      <c r="E70" s="1090"/>
      <c r="F70" s="1097">
        <f>SUM(F66+F67+F65+F68)*0.03</f>
        <v>120.95</v>
      </c>
      <c r="G70" s="1083"/>
    </row>
    <row r="71" spans="2:7">
      <c r="B71" s="1089" t="s">
        <v>43</v>
      </c>
      <c r="C71" s="1604"/>
      <c r="D71" s="1089"/>
      <c r="E71" s="1099" t="s">
        <v>1031</v>
      </c>
      <c r="F71" s="1099">
        <f>SUM(F65:F70)</f>
        <v>4477.4799999999996</v>
      </c>
      <c r="G71" s="1083"/>
    </row>
    <row r="72" spans="2:7" ht="13.5" thickBot="1">
      <c r="B72" s="1087"/>
      <c r="C72" s="1608"/>
      <c r="D72" s="1087"/>
      <c r="E72" s="1095"/>
      <c r="F72" s="1095"/>
      <c r="G72" s="1083"/>
    </row>
    <row r="73" spans="2:7" ht="13.5" thickTop="1">
      <c r="B73" s="1718" t="s">
        <v>150</v>
      </c>
      <c r="C73" s="1719"/>
      <c r="D73" s="1679"/>
      <c r="E73" s="1679"/>
      <c r="G73" s="1083"/>
    </row>
    <row r="74" spans="2:7">
      <c r="B74" s="1681" t="s">
        <v>151</v>
      </c>
      <c r="C74" s="1604" t="s">
        <v>2</v>
      </c>
      <c r="D74" s="1089">
        <v>0.998</v>
      </c>
      <c r="E74" s="1090" t="str">
        <f>+$E$62</f>
        <v>R.D.$</v>
      </c>
      <c r="F74" s="1682"/>
      <c r="G74" s="1083"/>
    </row>
    <row r="75" spans="2:7">
      <c r="B75" s="1681" t="s">
        <v>117</v>
      </c>
      <c r="C75" s="1604" t="s">
        <v>118</v>
      </c>
      <c r="D75" s="1089">
        <v>69.040000000000006</v>
      </c>
      <c r="E75" s="1090">
        <f>$E$3</f>
        <v>2.5</v>
      </c>
      <c r="F75" s="1682">
        <f>E75*D75</f>
        <v>172.6</v>
      </c>
      <c r="G75" s="1083"/>
    </row>
    <row r="76" spans="2:7">
      <c r="B76" s="1681" t="s">
        <v>135</v>
      </c>
      <c r="C76" s="1604" t="s">
        <v>1026</v>
      </c>
      <c r="D76" s="1089">
        <v>11.51</v>
      </c>
      <c r="E76" s="1090">
        <f>$E$4</f>
        <v>325</v>
      </c>
      <c r="F76" s="1682">
        <f>E76*D76</f>
        <v>3740.75</v>
      </c>
      <c r="G76" s="1083"/>
    </row>
    <row r="77" spans="2:7">
      <c r="B77" s="1681" t="s">
        <v>147</v>
      </c>
      <c r="C77" s="1604" t="s">
        <v>148</v>
      </c>
      <c r="D77" s="1097">
        <v>0.5</v>
      </c>
      <c r="E77" s="1090">
        <v>650</v>
      </c>
      <c r="F77" s="1682">
        <f>E77*D77</f>
        <v>325</v>
      </c>
      <c r="G77" s="1083"/>
    </row>
    <row r="78" spans="2:7">
      <c r="B78" s="1681" t="s">
        <v>149</v>
      </c>
      <c r="C78" s="1604"/>
      <c r="D78" s="1089"/>
      <c r="E78" s="1090"/>
      <c r="F78" s="1720">
        <f>SUM(F74+F75+F73+F76)*0.03</f>
        <v>117.4</v>
      </c>
      <c r="G78" s="1083"/>
    </row>
    <row r="79" spans="2:7" ht="13.5" thickBot="1">
      <c r="B79" s="1683"/>
      <c r="C79" s="1721"/>
      <c r="D79" s="1722"/>
      <c r="E79" s="1723" t="s">
        <v>1031</v>
      </c>
      <c r="F79" s="1724">
        <f>SUM(F74:F78)</f>
        <v>4355.75</v>
      </c>
      <c r="G79" s="1083"/>
    </row>
    <row r="80" spans="2:7" ht="14.25" thickTop="1" thickBot="1">
      <c r="B80" s="1087"/>
      <c r="C80" s="1603"/>
      <c r="D80" s="1087"/>
      <c r="E80" s="1100"/>
      <c r="F80" s="1095"/>
      <c r="G80" s="1083"/>
    </row>
    <row r="81" spans="2:7" ht="14.25" thickTop="1" thickBot="1">
      <c r="B81" s="1677" t="s">
        <v>587</v>
      </c>
      <c r="C81" s="1693"/>
      <c r="D81" s="1694"/>
      <c r="E81" s="1694"/>
      <c r="F81" s="1695"/>
      <c r="G81" s="1083"/>
    </row>
    <row r="82" spans="2:7" ht="13.5" thickTop="1">
      <c r="B82" s="1688" t="s">
        <v>171</v>
      </c>
      <c r="C82" s="1689" t="s">
        <v>2</v>
      </c>
      <c r="D82" s="1690">
        <v>6.3E-2</v>
      </c>
      <c r="E82" s="1691">
        <f>+F79</f>
        <v>4355.75</v>
      </c>
      <c r="F82" s="1692">
        <f t="shared" ref="F82:F87" si="1">E82*D82</f>
        <v>274.41000000000003</v>
      </c>
      <c r="G82" s="1083"/>
    </row>
    <row r="83" spans="2:7">
      <c r="B83" s="1681" t="s">
        <v>154</v>
      </c>
      <c r="C83" s="1607" t="s">
        <v>155</v>
      </c>
      <c r="D83" s="1090">
        <v>0.33</v>
      </c>
      <c r="E83" s="1086">
        <v>45</v>
      </c>
      <c r="F83" s="1682">
        <f t="shared" si="1"/>
        <v>14.85</v>
      </c>
      <c r="G83" s="1083"/>
    </row>
    <row r="84" spans="2:7">
      <c r="B84" s="1681" t="s">
        <v>156</v>
      </c>
      <c r="C84" s="1607" t="s">
        <v>42</v>
      </c>
      <c r="D84" s="1090">
        <v>1</v>
      </c>
      <c r="E84" s="1084">
        <v>10</v>
      </c>
      <c r="F84" s="1682">
        <f t="shared" si="1"/>
        <v>10</v>
      </c>
      <c r="G84" s="1083"/>
    </row>
    <row r="85" spans="2:7">
      <c r="B85" s="1681" t="s">
        <v>172</v>
      </c>
      <c r="C85" s="1607" t="s">
        <v>42</v>
      </c>
      <c r="D85" s="1090">
        <v>1</v>
      </c>
      <c r="E85" s="1084">
        <v>10</v>
      </c>
      <c r="F85" s="1682">
        <f t="shared" si="1"/>
        <v>10</v>
      </c>
      <c r="G85" s="1083"/>
    </row>
    <row r="86" spans="2:7">
      <c r="B86" s="1681" t="s">
        <v>1036</v>
      </c>
      <c r="C86" s="1607" t="s">
        <v>11</v>
      </c>
      <c r="D86" s="1090">
        <v>1</v>
      </c>
      <c r="E86" s="1086">
        <v>90</v>
      </c>
      <c r="F86" s="1682">
        <f t="shared" si="1"/>
        <v>90</v>
      </c>
      <c r="G86" s="1083"/>
    </row>
    <row r="87" spans="2:7">
      <c r="B87" s="1681" t="s">
        <v>167</v>
      </c>
      <c r="C87" s="1604" t="s">
        <v>1026</v>
      </c>
      <c r="D87" s="1089">
        <v>5.2999999999999999E-2</v>
      </c>
      <c r="E87" s="1086">
        <f>+E101</f>
        <v>325</v>
      </c>
      <c r="F87" s="1682">
        <f t="shared" si="1"/>
        <v>17.23</v>
      </c>
      <c r="G87" s="1083"/>
    </row>
    <row r="88" spans="2:7" ht="13.5" thickBot="1">
      <c r="B88" s="1683"/>
      <c r="C88" s="1684" t="s">
        <v>1037</v>
      </c>
      <c r="D88" s="1685"/>
      <c r="E88" s="1686" t="s">
        <v>1038</v>
      </c>
      <c r="F88" s="1687">
        <f>SUM(F82:F87)</f>
        <v>416.49</v>
      </c>
      <c r="G88" s="1083"/>
    </row>
    <row r="89" spans="2:7" ht="14.25" thickTop="1" thickBot="1">
      <c r="B89" s="1083"/>
      <c r="C89" s="1603"/>
      <c r="D89" s="1087"/>
      <c r="E89" s="1094"/>
      <c r="F89" s="1087"/>
      <c r="G89" s="1083"/>
    </row>
    <row r="90" spans="2:7" ht="13.5" thickTop="1">
      <c r="B90" s="1703" t="s">
        <v>174</v>
      </c>
      <c r="C90" s="1704"/>
      <c r="D90" s="1705"/>
      <c r="E90" s="1705"/>
      <c r="F90" s="1706"/>
      <c r="G90" s="1697"/>
    </row>
    <row r="91" spans="2:7">
      <c r="B91" s="1707" t="s">
        <v>175</v>
      </c>
      <c r="C91" s="1699" t="s">
        <v>2</v>
      </c>
      <c r="D91" s="1698">
        <v>6.3E-2</v>
      </c>
      <c r="E91" s="1700">
        <f>+F79</f>
        <v>4355.75</v>
      </c>
      <c r="F91" s="1708">
        <f>E91*D91</f>
        <v>274.41000000000003</v>
      </c>
      <c r="G91" s="1697"/>
    </row>
    <row r="92" spans="2:7">
      <c r="B92" s="1707" t="s">
        <v>154</v>
      </c>
      <c r="C92" s="1699" t="s">
        <v>155</v>
      </c>
      <c r="D92" s="1701">
        <v>0.33</v>
      </c>
      <c r="E92" s="1700">
        <v>45</v>
      </c>
      <c r="F92" s="1708">
        <f>E92*D92</f>
        <v>14.85</v>
      </c>
      <c r="G92" s="1697"/>
    </row>
    <row r="93" spans="2:7">
      <c r="B93" s="1707" t="s">
        <v>176</v>
      </c>
      <c r="C93" s="1699" t="s">
        <v>42</v>
      </c>
      <c r="D93" s="1701">
        <v>1</v>
      </c>
      <c r="E93" s="1702">
        <v>10</v>
      </c>
      <c r="F93" s="1708">
        <f>E93*D93</f>
        <v>10</v>
      </c>
      <c r="G93" s="1697"/>
    </row>
    <row r="94" spans="2:7">
      <c r="B94" s="1707" t="s">
        <v>41</v>
      </c>
      <c r="C94" s="1699" t="s">
        <v>11</v>
      </c>
      <c r="D94" s="1701">
        <v>1</v>
      </c>
      <c r="E94" s="1700">
        <v>103.91</v>
      </c>
      <c r="F94" s="1708">
        <f>E94*D94</f>
        <v>103.91</v>
      </c>
      <c r="G94" s="1697"/>
    </row>
    <row r="95" spans="2:7" ht="13.5" thickBot="1">
      <c r="B95" s="1709"/>
      <c r="C95" s="1710" t="s">
        <v>1037</v>
      </c>
      <c r="D95" s="1711"/>
      <c r="E95" s="1712" t="s">
        <v>1031</v>
      </c>
      <c r="F95" s="1734">
        <f>+SUM(F91:F94)</f>
        <v>403.17</v>
      </c>
      <c r="G95" s="1697"/>
    </row>
    <row r="96" spans="2:7" ht="14.25" thickTop="1" thickBot="1">
      <c r="B96" s="1713"/>
      <c r="C96" s="1714"/>
      <c r="D96" s="1715"/>
      <c r="E96" s="1716"/>
      <c r="F96" s="1717"/>
      <c r="G96" s="1697"/>
    </row>
    <row r="97" spans="2:7" ht="13.5" thickTop="1">
      <c r="B97" s="1703" t="s">
        <v>165</v>
      </c>
      <c r="C97" s="1678"/>
      <c r="D97" s="1679"/>
      <c r="E97" s="1725"/>
      <c r="F97" s="1680"/>
      <c r="G97" s="1083"/>
    </row>
    <row r="98" spans="2:7">
      <c r="B98" s="1681" t="s">
        <v>166</v>
      </c>
      <c r="C98" s="1604" t="s">
        <v>2</v>
      </c>
      <c r="D98" s="1089">
        <v>2.5999999999999999E-2</v>
      </c>
      <c r="E98" s="1086" t="str">
        <f>+$E$71</f>
        <v>R.D.$</v>
      </c>
      <c r="F98" s="1682" t="e">
        <f>+E98*D98</f>
        <v>#VALUE!</v>
      </c>
      <c r="G98" s="1083"/>
    </row>
    <row r="99" spans="2:7">
      <c r="B99" s="1681" t="s">
        <v>154</v>
      </c>
      <c r="C99" s="1604" t="s">
        <v>155</v>
      </c>
      <c r="D99" s="1089">
        <v>3.3000000000000002E-2</v>
      </c>
      <c r="E99" s="1086">
        <v>45</v>
      </c>
      <c r="F99" s="1682">
        <f>E99*D99</f>
        <v>1.49</v>
      </c>
      <c r="G99" s="1083"/>
    </row>
    <row r="100" spans="2:7">
      <c r="B100" s="1681" t="s">
        <v>156</v>
      </c>
      <c r="C100" s="1604" t="s">
        <v>42</v>
      </c>
      <c r="D100" s="1097">
        <v>1</v>
      </c>
      <c r="E100" s="1084">
        <v>10</v>
      </c>
      <c r="F100" s="1682">
        <f>E100*D100</f>
        <v>10</v>
      </c>
      <c r="G100" s="1083"/>
    </row>
    <row r="101" spans="2:7">
      <c r="B101" s="1681" t="s">
        <v>167</v>
      </c>
      <c r="C101" s="1604" t="s">
        <v>1026</v>
      </c>
      <c r="D101" s="1089">
        <v>5.2999999999999999E-2</v>
      </c>
      <c r="E101" s="1086">
        <f>$E$4</f>
        <v>325</v>
      </c>
      <c r="F101" s="1682">
        <f>E101*D101</f>
        <v>17.23</v>
      </c>
      <c r="G101" s="1083"/>
    </row>
    <row r="102" spans="2:7">
      <c r="B102" s="1729" t="s">
        <v>162</v>
      </c>
      <c r="C102" s="1599" t="s">
        <v>11</v>
      </c>
      <c r="D102" s="1730">
        <v>1</v>
      </c>
      <c r="E102" s="1597">
        <v>118.79</v>
      </c>
      <c r="F102" s="1731">
        <f>E102*D102</f>
        <v>118.79</v>
      </c>
      <c r="G102" s="1235"/>
    </row>
    <row r="103" spans="2:7" ht="13.5" thickBot="1">
      <c r="B103" s="1683"/>
      <c r="C103" s="1726"/>
      <c r="D103" s="1727"/>
      <c r="E103" s="1728" t="s">
        <v>1031</v>
      </c>
      <c r="F103" s="1687" t="e">
        <f>SUM(F98:F102)</f>
        <v>#VALUE!</v>
      </c>
      <c r="G103" s="1083"/>
    </row>
    <row r="104" spans="2:7" ht="13.5" thickTop="1">
      <c r="B104" s="1101" t="s">
        <v>158</v>
      </c>
      <c r="C104" s="1608"/>
      <c r="D104" s="1104" t="e">
        <f>F103-F101</f>
        <v>#VALUE!</v>
      </c>
      <c r="E104" s="1103"/>
      <c r="F104" s="1103"/>
      <c r="G104" s="1083"/>
    </row>
    <row r="105" spans="2:7" ht="13.5" thickBot="1">
      <c r="B105" s="1101"/>
      <c r="C105" s="1608"/>
      <c r="D105" s="1104"/>
      <c r="E105" s="1103"/>
      <c r="F105" s="1103"/>
      <c r="G105" s="1083"/>
    </row>
    <row r="106" spans="2:7" ht="13.5" thickTop="1">
      <c r="B106" s="1733" t="s">
        <v>1035</v>
      </c>
      <c r="C106" s="1678"/>
      <c r="D106" s="1679"/>
      <c r="E106" s="1679"/>
      <c r="F106" s="1680"/>
      <c r="G106" s="1083"/>
    </row>
    <row r="107" spans="2:7">
      <c r="B107" s="1681" t="s">
        <v>153</v>
      </c>
      <c r="C107" s="1604" t="s">
        <v>2</v>
      </c>
      <c r="D107" s="1089">
        <v>2.5999999999999999E-2</v>
      </c>
      <c r="E107" s="1086" t="str">
        <f>+$E$71</f>
        <v>R.D.$</v>
      </c>
      <c r="F107" s="1682" t="e">
        <f>E107*D107</f>
        <v>#VALUE!</v>
      </c>
      <c r="G107" s="1083"/>
    </row>
    <row r="108" spans="2:7">
      <c r="B108" s="1681" t="s">
        <v>154</v>
      </c>
      <c r="C108" s="1604" t="s">
        <v>155</v>
      </c>
      <c r="D108" s="1089">
        <v>3.3000000000000002E-2</v>
      </c>
      <c r="E108" s="1086">
        <v>45</v>
      </c>
      <c r="F108" s="1682">
        <f>E108*D108</f>
        <v>1.49</v>
      </c>
      <c r="G108" s="1083"/>
    </row>
    <row r="109" spans="2:7">
      <c r="B109" s="1681" t="s">
        <v>156</v>
      </c>
      <c r="C109" s="1604" t="s">
        <v>42</v>
      </c>
      <c r="D109" s="1097">
        <v>1</v>
      </c>
      <c r="E109" s="1084">
        <v>10</v>
      </c>
      <c r="F109" s="1682">
        <f>E109*D109</f>
        <v>10</v>
      </c>
      <c r="G109" s="1083"/>
    </row>
    <row r="110" spans="2:7">
      <c r="B110" s="1681" t="s">
        <v>41</v>
      </c>
      <c r="C110" s="1604" t="s">
        <v>11</v>
      </c>
      <c r="D110" s="1097">
        <v>1</v>
      </c>
      <c r="E110" s="1086">
        <v>151.19</v>
      </c>
      <c r="F110" s="1682">
        <f>E110*D110</f>
        <v>151.19</v>
      </c>
      <c r="G110" s="1083"/>
    </row>
    <row r="111" spans="2:7" ht="13.5" thickBot="1">
      <c r="B111" s="1683"/>
      <c r="C111" s="1721"/>
      <c r="D111" s="1722"/>
      <c r="E111" s="1732" t="s">
        <v>1031</v>
      </c>
      <c r="F111" s="1687" t="e">
        <f>SUM(F107:F110)</f>
        <v>#VALUE!</v>
      </c>
      <c r="G111" s="1083"/>
    </row>
    <row r="112" spans="2:7" ht="13.5" thickTop="1">
      <c r="B112" s="1087"/>
      <c r="C112" s="1615"/>
      <c r="D112" s="1094"/>
      <c r="E112" s="1095"/>
      <c r="F112" s="1103"/>
      <c r="G112" s="1083"/>
    </row>
    <row r="113" spans="2:7">
      <c r="B113" s="1391" t="s">
        <v>177</v>
      </c>
      <c r="C113" s="1603"/>
      <c r="D113" s="1087"/>
      <c r="E113" s="1087"/>
      <c r="F113" s="1087"/>
      <c r="G113" s="1083"/>
    </row>
    <row r="114" spans="2:7">
      <c r="B114" s="1089" t="s">
        <v>178</v>
      </c>
      <c r="C114" s="1607" t="s">
        <v>2</v>
      </c>
      <c r="D114" s="1089">
        <v>4.3E-3</v>
      </c>
      <c r="E114" s="1086" t="str">
        <f>+$E$71</f>
        <v>R.D.$</v>
      </c>
      <c r="F114" s="1086" t="e">
        <f>E114*D114</f>
        <v>#VALUE!</v>
      </c>
      <c r="G114" s="1083"/>
    </row>
    <row r="115" spans="2:7">
      <c r="B115" s="1089" t="s">
        <v>154</v>
      </c>
      <c r="C115" s="1607" t="s">
        <v>155</v>
      </c>
      <c r="D115" s="1106">
        <v>0.109</v>
      </c>
      <c r="E115" s="1086">
        <v>45</v>
      </c>
      <c r="F115" s="1086">
        <f>E115*D115</f>
        <v>4.91</v>
      </c>
      <c r="G115" s="1083"/>
    </row>
    <row r="116" spans="2:7">
      <c r="B116" s="1089" t="s">
        <v>41</v>
      </c>
      <c r="C116" s="1607" t="s">
        <v>2</v>
      </c>
      <c r="D116" s="1090">
        <v>1</v>
      </c>
      <c r="E116" s="1696">
        <v>60</v>
      </c>
      <c r="F116" s="1086">
        <f>E116*D116</f>
        <v>60</v>
      </c>
      <c r="G116" s="1083"/>
    </row>
    <row r="117" spans="2:7">
      <c r="B117" s="1089"/>
      <c r="C117" s="1607" t="s">
        <v>1037</v>
      </c>
      <c r="D117" s="1090"/>
      <c r="E117" s="1099" t="s">
        <v>1039</v>
      </c>
      <c r="F117" s="1102" t="e">
        <f>SUM(F114:F116)</f>
        <v>#VALUE!</v>
      </c>
      <c r="G117" s="1083"/>
    </row>
    <row r="118" spans="2:7">
      <c r="B118" s="1087"/>
      <c r="C118" s="1603"/>
      <c r="D118" s="1087"/>
      <c r="E118" s="1100"/>
      <c r="F118" s="1095"/>
      <c r="G118" s="1083"/>
    </row>
    <row r="119" spans="2:7">
      <c r="B119" s="1391" t="s">
        <v>862</v>
      </c>
      <c r="C119" s="1618"/>
      <c r="D119" s="1101"/>
      <c r="E119" s="1101"/>
      <c r="F119" s="1101"/>
      <c r="G119" s="1083"/>
    </row>
    <row r="120" spans="2:7">
      <c r="B120" s="1089" t="s">
        <v>1071</v>
      </c>
      <c r="C120" s="1604" t="s">
        <v>976</v>
      </c>
      <c r="D120" s="1089">
        <v>0.2</v>
      </c>
      <c r="E120">
        <f>+F1060</f>
        <v>0</v>
      </c>
      <c r="F120" s="1086">
        <f>E120*D120</f>
        <v>0</v>
      </c>
      <c r="G120" s="1083"/>
    </row>
    <row r="121" spans="2:7">
      <c r="B121" s="1089" t="s">
        <v>259</v>
      </c>
      <c r="C121" s="1604" t="s">
        <v>11</v>
      </c>
      <c r="D121" s="1097">
        <v>0.55000000000000004</v>
      </c>
      <c r="E121" s="1086" t="e">
        <f>+F111</f>
        <v>#VALUE!</v>
      </c>
      <c r="F121" s="1086" t="e">
        <f>E121*D121</f>
        <v>#VALUE!</v>
      </c>
      <c r="G121" s="1083"/>
    </row>
    <row r="122" spans="2:7">
      <c r="B122" s="1089" t="s">
        <v>618</v>
      </c>
      <c r="C122" s="1599" t="s">
        <v>1</v>
      </c>
      <c r="D122" s="1097">
        <v>2</v>
      </c>
      <c r="E122" s="1086" t="e">
        <f>+F117</f>
        <v>#VALUE!</v>
      </c>
      <c r="F122" s="1086" t="e">
        <f>E122*D122</f>
        <v>#VALUE!</v>
      </c>
      <c r="G122" s="1083"/>
    </row>
    <row r="123" spans="2:7">
      <c r="B123" s="1089"/>
      <c r="C123" s="1594"/>
      <c r="D123" s="1089"/>
      <c r="E123" s="1116" t="s">
        <v>1031</v>
      </c>
      <c r="F123" s="1099" t="e">
        <f>SUM(F120:F122)</f>
        <v>#VALUE!</v>
      </c>
      <c r="G123" s="1083"/>
    </row>
    <row r="124" spans="2:7">
      <c r="B124" s="1087"/>
      <c r="C124" s="1603"/>
      <c r="D124" s="1087"/>
      <c r="E124" s="1087"/>
      <c r="F124" s="1087"/>
      <c r="G124" s="1083"/>
    </row>
    <row r="125" spans="2:7">
      <c r="B125" s="1392" t="s">
        <v>1229</v>
      </c>
      <c r="C125" s="1603"/>
      <c r="D125" s="1087"/>
      <c r="E125" s="1087"/>
      <c r="F125" s="1087"/>
      <c r="G125" s="1083"/>
    </row>
    <row r="126" spans="2:7">
      <c r="B126" s="1089" t="s">
        <v>1059</v>
      </c>
      <c r="C126" s="1604" t="s">
        <v>11</v>
      </c>
      <c r="D126" s="1097">
        <v>1</v>
      </c>
      <c r="E126" s="1086">
        <v>18</v>
      </c>
      <c r="F126" s="1086">
        <f>E126*D126</f>
        <v>18</v>
      </c>
      <c r="G126" s="1083"/>
    </row>
    <row r="127" spans="2:7">
      <c r="B127" s="1089" t="s">
        <v>1060</v>
      </c>
      <c r="C127" s="1604" t="s">
        <v>2</v>
      </c>
      <c r="D127" s="1089">
        <v>0.105</v>
      </c>
      <c r="E127" s="1086" t="str">
        <f>+$E$42</f>
        <v>R.D.$</v>
      </c>
      <c r="F127" s="1086" t="e">
        <f>E127*D127</f>
        <v>#VALUE!</v>
      </c>
      <c r="G127" s="1083"/>
    </row>
    <row r="128" spans="2:7">
      <c r="B128" s="1089" t="s">
        <v>154</v>
      </c>
      <c r="C128" s="1604" t="s">
        <v>155</v>
      </c>
      <c r="D128" s="1089">
        <v>2.1999999999999999E-2</v>
      </c>
      <c r="E128" s="1086">
        <v>45</v>
      </c>
      <c r="F128" s="1086">
        <f>E128*D128</f>
        <v>0.99</v>
      </c>
      <c r="G128" s="1083"/>
    </row>
    <row r="129" spans="2:7">
      <c r="B129" s="1654" t="s">
        <v>1061</v>
      </c>
      <c r="C129" s="1599" t="s">
        <v>11</v>
      </c>
      <c r="D129" s="1730">
        <v>1</v>
      </c>
      <c r="E129" s="1597">
        <v>90</v>
      </c>
      <c r="F129" s="1597">
        <f>E129*D129</f>
        <v>90</v>
      </c>
      <c r="G129" s="1235"/>
    </row>
    <row r="130" spans="2:7">
      <c r="B130" s="1089" t="s">
        <v>1062</v>
      </c>
      <c r="C130" s="1604" t="s">
        <v>1</v>
      </c>
      <c r="D130" s="1097">
        <f>1/0.8</f>
        <v>1.25</v>
      </c>
      <c r="E130" s="1086" t="e">
        <f>+F117</f>
        <v>#VALUE!</v>
      </c>
      <c r="F130" s="1086" t="e">
        <f>E130*D130</f>
        <v>#VALUE!</v>
      </c>
      <c r="G130" s="1083"/>
    </row>
    <row r="131" spans="2:7">
      <c r="B131" s="1089"/>
      <c r="C131" s="1594"/>
      <c r="D131" s="1089"/>
      <c r="E131" s="1098" t="s">
        <v>1031</v>
      </c>
      <c r="F131" s="1102" t="e">
        <f>SUM(F126:F130)</f>
        <v>#VALUE!</v>
      </c>
      <c r="G131" s="1083"/>
    </row>
    <row r="132" spans="2:7">
      <c r="B132" s="1087"/>
      <c r="C132" s="1608"/>
      <c r="D132" s="1087"/>
      <c r="E132" s="1094">
        <v>0.8</v>
      </c>
      <c r="F132" s="1104" t="e">
        <f>ROUND(F131-F130+E130*1/0.8,2)</f>
        <v>#VALUE!</v>
      </c>
      <c r="G132" s="1083"/>
    </row>
    <row r="133" spans="2:7">
      <c r="B133" s="1713"/>
      <c r="C133" s="1714"/>
      <c r="D133" s="1715"/>
      <c r="E133" s="1716">
        <v>1</v>
      </c>
      <c r="F133" s="1717"/>
      <c r="G133" s="1697"/>
    </row>
    <row r="134" spans="2:7" ht="13.5" thickBot="1">
      <c r="B134" s="1392" t="s">
        <v>781</v>
      </c>
      <c r="C134" s="1614"/>
      <c r="D134" s="1135"/>
      <c r="E134" s="1135"/>
      <c r="F134" s="1135"/>
      <c r="G134" s="1083"/>
    </row>
    <row r="135" spans="2:7" ht="13.5" thickTop="1">
      <c r="B135" s="1137" t="s">
        <v>1225</v>
      </c>
      <c r="C135" s="1610">
        <v>1.05</v>
      </c>
      <c r="D135" s="1138" t="s">
        <v>2</v>
      </c>
      <c r="E135" s="1139">
        <f>+E439</f>
        <v>0</v>
      </c>
      <c r="F135" s="1140">
        <f>C135*E135</f>
        <v>0</v>
      </c>
      <c r="G135" s="1083"/>
    </row>
    <row r="136" spans="2:7">
      <c r="B136" s="1141" t="s">
        <v>1087</v>
      </c>
      <c r="C136" s="1611">
        <v>4.4800000000000004</v>
      </c>
      <c r="D136" s="1142" t="s">
        <v>126</v>
      </c>
      <c r="E136" s="1143">
        <f>+E440</f>
        <v>0</v>
      </c>
      <c r="F136" s="1144">
        <f>C136*E136</f>
        <v>0</v>
      </c>
      <c r="G136" s="1083"/>
    </row>
    <row r="137" spans="2:7">
      <c r="B137" s="1141" t="s">
        <v>1089</v>
      </c>
      <c r="C137" s="1611">
        <f>1/(0.2*0.15)</f>
        <v>33.33</v>
      </c>
      <c r="D137" s="1152" t="s">
        <v>1</v>
      </c>
      <c r="E137" s="1143">
        <v>1000</v>
      </c>
      <c r="F137" s="1144">
        <f>C137*E137</f>
        <v>33330</v>
      </c>
      <c r="G137" s="1083"/>
    </row>
    <row r="138" spans="2:7" ht="13.5" thickBot="1">
      <c r="B138" s="1145"/>
      <c r="C138" s="1612"/>
      <c r="D138" s="1146"/>
      <c r="E138" s="1147" t="s">
        <v>1031</v>
      </c>
      <c r="F138" s="1148">
        <f>ROUND(SUM(F135:F137),2)</f>
        <v>33330</v>
      </c>
      <c r="G138" s="1083"/>
    </row>
    <row r="139" spans="2:7" ht="13.5" thickTop="1">
      <c r="B139" s="1156"/>
      <c r="C139" s="1613"/>
      <c r="D139" s="1149"/>
      <c r="E139" s="1150"/>
      <c r="F139" s="1151"/>
      <c r="G139" s="1083"/>
    </row>
    <row r="140" spans="2:7" ht="13.5" thickBot="1">
      <c r="B140" s="1387" t="s">
        <v>597</v>
      </c>
      <c r="C140" s="1609"/>
      <c r="D140" s="1131"/>
      <c r="E140" s="1132"/>
      <c r="F140" s="1133"/>
      <c r="G140" s="1083"/>
    </row>
    <row r="141" spans="2:7" ht="13.5" thickTop="1">
      <c r="B141" s="1137" t="s">
        <v>1225</v>
      </c>
      <c r="C141" s="1610">
        <v>1.05</v>
      </c>
      <c r="D141" s="1138" t="s">
        <v>2</v>
      </c>
      <c r="E141" s="1139" t="e">
        <f>+#REF!</f>
        <v>#REF!</v>
      </c>
      <c r="F141" s="1140" t="e">
        <f>C141*E141</f>
        <v>#REF!</v>
      </c>
      <c r="G141" s="1083"/>
    </row>
    <row r="142" spans="2:7">
      <c r="B142" s="1141" t="s">
        <v>272</v>
      </c>
      <c r="C142" s="1611">
        <v>0.99</v>
      </c>
      <c r="D142" s="1142" t="s">
        <v>126</v>
      </c>
      <c r="E142" s="1143">
        <f>+F466</f>
        <v>0</v>
      </c>
      <c r="F142" s="1144">
        <f>C142*E142</f>
        <v>0</v>
      </c>
      <c r="G142" s="1083"/>
    </row>
    <row r="143" spans="2:7" ht="13.5" thickBot="1">
      <c r="B143" s="1145"/>
      <c r="C143" s="1612"/>
      <c r="D143" s="1146"/>
      <c r="E143" s="1147" t="s">
        <v>1031</v>
      </c>
      <c r="F143" s="1148" t="e">
        <f>ROUND(SUM(F141:F142),2)</f>
        <v>#REF!</v>
      </c>
      <c r="G143" s="1083"/>
    </row>
    <row r="144" spans="2:7" ht="13.5" thickTop="1">
      <c r="B144" s="1149"/>
      <c r="C144" s="1613"/>
      <c r="D144" s="1149"/>
      <c r="E144" s="1150"/>
      <c r="F144" s="1151"/>
      <c r="G144" s="1083"/>
    </row>
    <row r="145" spans="2:7" ht="13.5" thickBot="1">
      <c r="B145" s="1392" t="s">
        <v>599</v>
      </c>
      <c r="C145" s="1614"/>
      <c r="D145" s="1135"/>
      <c r="E145" s="1135"/>
      <c r="F145" s="1135"/>
      <c r="G145" s="1083"/>
    </row>
    <row r="146" spans="2:7" ht="13.5" thickTop="1">
      <c r="B146" s="1137" t="s">
        <v>1225</v>
      </c>
      <c r="C146" s="1610">
        <v>1.05</v>
      </c>
      <c r="D146" s="1138" t="s">
        <v>2</v>
      </c>
      <c r="E146" s="1139" t="e">
        <f>+E141</f>
        <v>#REF!</v>
      </c>
      <c r="F146" s="1140" t="e">
        <f>C146*E146</f>
        <v>#REF!</v>
      </c>
      <c r="G146" s="1083"/>
    </row>
    <row r="147" spans="2:7">
      <c r="B147" s="1141" t="s">
        <v>1087</v>
      </c>
      <c r="C147" s="1611">
        <v>2.5</v>
      </c>
      <c r="D147" s="1142" t="s">
        <v>126</v>
      </c>
      <c r="E147" s="1143">
        <f>+E547</f>
        <v>0</v>
      </c>
      <c r="F147" s="1144">
        <f>C147*E147</f>
        <v>0</v>
      </c>
      <c r="G147" s="1083"/>
    </row>
    <row r="148" spans="2:7">
      <c r="B148" s="1141" t="s">
        <v>1089</v>
      </c>
      <c r="C148" s="1611">
        <f>1/0.15</f>
        <v>6.67</v>
      </c>
      <c r="D148" s="1152" t="s">
        <v>1</v>
      </c>
      <c r="E148" s="1143">
        <v>1000</v>
      </c>
      <c r="F148" s="1144">
        <f>C148*E148</f>
        <v>6670</v>
      </c>
      <c r="G148" s="1083"/>
    </row>
    <row r="149" spans="2:7" ht="13.5" thickBot="1">
      <c r="B149" s="1145"/>
      <c r="C149" s="1612"/>
      <c r="D149" s="1146"/>
      <c r="E149" s="1147" t="s">
        <v>1031</v>
      </c>
      <c r="F149" s="1148" t="e">
        <f>ROUND(SUM(F146:F148),2)</f>
        <v>#REF!</v>
      </c>
      <c r="G149" s="1083"/>
    </row>
    <row r="150" spans="2:7" ht="14.25" thickTop="1" thickBot="1"/>
    <row r="151" spans="2:7" ht="14.25" thickTop="1" thickBot="1">
      <c r="B151" s="1677" t="s">
        <v>1996</v>
      </c>
      <c r="C151" s="1670"/>
      <c r="D151" s="1671"/>
      <c r="E151" s="1676"/>
      <c r="F151" s="1672"/>
      <c r="G151" s="1083"/>
    </row>
    <row r="152" spans="2:7" ht="13.5" thickTop="1">
      <c r="B152" s="1137" t="s">
        <v>271</v>
      </c>
      <c r="C152" s="1610">
        <v>1.05</v>
      </c>
      <c r="D152" s="1138" t="s">
        <v>2</v>
      </c>
      <c r="E152" s="1143">
        <f>+F38</f>
        <v>7531.68</v>
      </c>
      <c r="F152" s="1140">
        <f>C152*E152</f>
        <v>7908.26</v>
      </c>
      <c r="G152" s="1083"/>
    </row>
    <row r="153" spans="2:7">
      <c r="B153" s="1141" t="s">
        <v>1087</v>
      </c>
      <c r="C153" s="1611">
        <v>0.53</v>
      </c>
      <c r="D153" s="1142" t="s">
        <v>126</v>
      </c>
      <c r="E153" s="1143">
        <f>+F57</f>
        <v>2845.66</v>
      </c>
      <c r="F153" s="1144">
        <f>C153*E153</f>
        <v>1508.2</v>
      </c>
      <c r="G153" s="1083"/>
    </row>
    <row r="154" spans="2:7">
      <c r="B154" s="1141" t="s">
        <v>1089</v>
      </c>
      <c r="C154" s="1611">
        <f>1/0.35</f>
        <v>2.86</v>
      </c>
      <c r="D154" s="1152" t="s">
        <v>1</v>
      </c>
      <c r="E154" s="1143">
        <v>1000</v>
      </c>
      <c r="F154" s="1144">
        <f>C154*E154</f>
        <v>2860</v>
      </c>
      <c r="G154" s="1083"/>
    </row>
    <row r="155" spans="2:7" ht="13.5" thickBot="1">
      <c r="B155" s="1145"/>
      <c r="C155" s="1612"/>
      <c r="D155" s="1146"/>
      <c r="E155" s="1147" t="s">
        <v>1031</v>
      </c>
      <c r="F155" s="1673">
        <f>ROUND(SUM(F152:F154),2)</f>
        <v>12276.46</v>
      </c>
      <c r="G155" s="1083"/>
    </row>
    <row r="156" spans="2:7" ht="13.5" thickTop="1">
      <c r="B156" s="1666"/>
      <c r="C156" s="1609"/>
      <c r="D156" s="1131"/>
      <c r="E156" s="1132"/>
      <c r="F156" s="1133"/>
      <c r="G156" s="1083"/>
    </row>
    <row r="157" spans="2:7" ht="13.5" thickBot="1">
      <c r="B157" t="s">
        <v>1997</v>
      </c>
      <c r="C157" s="1609"/>
      <c r="D157" s="1131"/>
      <c r="E157" s="1132"/>
      <c r="F157" s="1133"/>
      <c r="G157" s="1083"/>
    </row>
    <row r="158" spans="2:7" ht="13.5" thickTop="1">
      <c r="B158" s="1137" t="s">
        <v>271</v>
      </c>
      <c r="C158" s="1645">
        <v>1.05</v>
      </c>
      <c r="D158" s="1646" t="s">
        <v>2</v>
      </c>
      <c r="E158" s="1647">
        <f>+F38</f>
        <v>7531.68</v>
      </c>
      <c r="F158" s="1647">
        <f>C158*E158</f>
        <v>7908.26</v>
      </c>
      <c r="G158" s="1083"/>
    </row>
    <row r="159" spans="2:7">
      <c r="B159" s="1141" t="s">
        <v>1087</v>
      </c>
      <c r="C159" s="1611">
        <v>0.86</v>
      </c>
      <c r="D159" s="1142" t="s">
        <v>126</v>
      </c>
      <c r="E159" s="1143">
        <f>+F57</f>
        <v>2845.66</v>
      </c>
      <c r="F159" s="1143">
        <f>C159*E159</f>
        <v>2447.27</v>
      </c>
      <c r="G159" s="1083"/>
    </row>
    <row r="160" spans="2:7">
      <c r="B160" s="1141" t="s">
        <v>1089</v>
      </c>
      <c r="C160" s="1667">
        <f>1/0.25</f>
        <v>4</v>
      </c>
      <c r="D160" s="1152" t="s">
        <v>1100</v>
      </c>
      <c r="E160" s="1668">
        <v>1000</v>
      </c>
      <c r="F160" s="1143">
        <f>C160*E160</f>
        <v>4000</v>
      </c>
      <c r="G160" s="1083"/>
    </row>
    <row r="161" spans="2:7">
      <c r="B161" s="1649"/>
      <c r="C161" s="1650"/>
      <c r="D161" s="1649"/>
      <c r="E161" s="1651" t="s">
        <v>1031</v>
      </c>
      <c r="F161" s="1652">
        <f>ROUND(SUM(F158:F160),2)</f>
        <v>14355.53</v>
      </c>
      <c r="G161" s="1083"/>
    </row>
    <row r="162" spans="2:7" ht="13.5" thickBot="1">
      <c r="B162" s="1149"/>
      <c r="C162" s="1613"/>
      <c r="D162" s="1149"/>
      <c r="E162" s="1150"/>
      <c r="F162" s="1151"/>
      <c r="G162" s="1083"/>
    </row>
    <row r="163" spans="2:7" ht="14.25" thickTop="1" thickBot="1">
      <c r="B163" s="1674" t="s">
        <v>1998</v>
      </c>
      <c r="C163" s="1670"/>
      <c r="D163" s="1671"/>
      <c r="E163" s="1671"/>
      <c r="F163" s="1672"/>
      <c r="G163" s="1083"/>
    </row>
    <row r="164" spans="2:7" ht="13.5" thickTop="1">
      <c r="B164" s="1137" t="s">
        <v>271</v>
      </c>
      <c r="C164" s="1645">
        <v>1.05</v>
      </c>
      <c r="D164" s="1646" t="s">
        <v>2</v>
      </c>
      <c r="E164" s="1647">
        <f>+F38</f>
        <v>7531.68</v>
      </c>
      <c r="F164" s="1675">
        <f>C164*E164</f>
        <v>7908.26</v>
      </c>
      <c r="G164" s="1083"/>
    </row>
    <row r="165" spans="2:7">
      <c r="B165" s="1141" t="s">
        <v>1087</v>
      </c>
      <c r="C165" s="1611">
        <v>5.04</v>
      </c>
      <c r="D165" s="1142" t="s">
        <v>126</v>
      </c>
      <c r="E165" s="1143">
        <f>+F57</f>
        <v>2845.66</v>
      </c>
      <c r="F165" s="1144">
        <f>C165*E165</f>
        <v>14342.13</v>
      </c>
      <c r="G165" s="1083"/>
    </row>
    <row r="166" spans="2:7">
      <c r="B166" s="1141" t="s">
        <v>1089</v>
      </c>
      <c r="C166" s="1611">
        <f>1/(0.4*0.4)</f>
        <v>6.25</v>
      </c>
      <c r="D166" s="1152" t="s">
        <v>1</v>
      </c>
      <c r="E166" s="1143">
        <v>350</v>
      </c>
      <c r="F166" s="1144">
        <f>C166*E166</f>
        <v>2187.5</v>
      </c>
      <c r="G166" s="1083"/>
    </row>
    <row r="167" spans="2:7" ht="13.5" thickBot="1">
      <c r="B167" s="1145"/>
      <c r="C167" s="1612"/>
      <c r="D167" s="1146"/>
      <c r="E167" s="1147" t="s">
        <v>1031</v>
      </c>
      <c r="F167" s="1673">
        <f>ROUND(SUM(F164:F166),2)</f>
        <v>24437.89</v>
      </c>
      <c r="G167" s="1083"/>
    </row>
    <row r="168" spans="2:7" ht="13.5" thickTop="1">
      <c r="B168" s="1149"/>
      <c r="C168" s="1613"/>
      <c r="D168" s="1149"/>
      <c r="E168" s="1150"/>
      <c r="F168" s="1151"/>
      <c r="G168" s="1083"/>
    </row>
    <row r="169" spans="2:7" ht="13.5" thickBot="1">
      <c r="B169" s="1149"/>
      <c r="C169" s="1613"/>
      <c r="D169" s="1149"/>
      <c r="E169" s="1150"/>
      <c r="F169" s="1151"/>
      <c r="G169" s="1083"/>
    </row>
    <row r="170" spans="2:7" ht="14.25" thickTop="1" thickBot="1">
      <c r="B170" s="1669" t="s">
        <v>1999</v>
      </c>
      <c r="C170" s="1670"/>
      <c r="D170" s="1671"/>
      <c r="E170" s="1671"/>
      <c r="F170" s="1672"/>
      <c r="G170" s="1083"/>
    </row>
    <row r="171" spans="2:7" ht="13.5" thickTop="1">
      <c r="B171" s="1137" t="s">
        <v>271</v>
      </c>
      <c r="C171" s="1610">
        <v>1.05</v>
      </c>
      <c r="D171" s="1138" t="s">
        <v>2</v>
      </c>
      <c r="E171" s="1647">
        <f>+F38</f>
        <v>7531.68</v>
      </c>
      <c r="F171" s="1140">
        <f>C171*E171</f>
        <v>7908.26</v>
      </c>
      <c r="G171" s="1083"/>
    </row>
    <row r="172" spans="2:7">
      <c r="B172" s="1141" t="s">
        <v>1087</v>
      </c>
      <c r="C172" s="1611">
        <v>5.0199999999999996</v>
      </c>
      <c r="D172" s="1142" t="s">
        <v>126</v>
      </c>
      <c r="E172" s="1143">
        <f>+F57</f>
        <v>2845.66</v>
      </c>
      <c r="F172" s="1144">
        <f>C172*E172</f>
        <v>14285.21</v>
      </c>
      <c r="G172" s="1083"/>
    </row>
    <row r="173" spans="2:7">
      <c r="B173" s="1141" t="s">
        <v>1089</v>
      </c>
      <c r="C173" s="1611">
        <f>1/(0.35*0.35)</f>
        <v>8.16</v>
      </c>
      <c r="D173" s="1152" t="s">
        <v>1</v>
      </c>
      <c r="E173" s="1143">
        <v>350</v>
      </c>
      <c r="F173" s="1144">
        <f>C173*E173</f>
        <v>2856</v>
      </c>
      <c r="G173" s="1083"/>
    </row>
    <row r="174" spans="2:7" ht="13.5" thickBot="1">
      <c r="B174" s="1145"/>
      <c r="C174" s="1612"/>
      <c r="D174" s="1146"/>
      <c r="E174" s="1147" t="s">
        <v>1031</v>
      </c>
      <c r="F174" s="1673">
        <f>ROUND(SUM(F171:F173),2)</f>
        <v>25049.47</v>
      </c>
      <c r="G174" s="1083"/>
    </row>
    <row r="175" spans="2:7" ht="14.25" thickTop="1" thickBot="1">
      <c r="B175" s="1149"/>
      <c r="C175" s="1613"/>
      <c r="D175" s="1149"/>
      <c r="E175" s="1150"/>
      <c r="F175" s="1151"/>
      <c r="G175" s="1083"/>
    </row>
    <row r="176" spans="2:7" ht="14.25" thickTop="1" thickBot="1">
      <c r="B176" s="1669" t="s">
        <v>2000</v>
      </c>
      <c r="C176" s="1670"/>
      <c r="D176" s="1671"/>
      <c r="E176" s="1676"/>
      <c r="F176" s="1672"/>
      <c r="G176" s="1083"/>
    </row>
    <row r="177" spans="2:7" ht="13.5" thickTop="1">
      <c r="B177" s="1137" t="s">
        <v>271</v>
      </c>
      <c r="C177" s="1610">
        <v>1.05</v>
      </c>
      <c r="D177" s="1138" t="s">
        <v>2</v>
      </c>
      <c r="E177" s="1143">
        <f>+F38</f>
        <v>7531.68</v>
      </c>
      <c r="F177" s="1140">
        <f>C177*E177</f>
        <v>7908.26</v>
      </c>
      <c r="G177" s="1083"/>
    </row>
    <row r="178" spans="2:7">
      <c r="B178" s="1141" t="s">
        <v>1087</v>
      </c>
      <c r="C178" s="1611">
        <v>3.19</v>
      </c>
      <c r="D178" s="1142" t="s">
        <v>126</v>
      </c>
      <c r="E178" s="1143">
        <f>+F57</f>
        <v>2845.66</v>
      </c>
      <c r="F178" s="1144">
        <f>C178*E178</f>
        <v>9077.66</v>
      </c>
      <c r="G178" s="1083"/>
    </row>
    <row r="179" spans="2:7">
      <c r="B179" s="1141" t="s">
        <v>1089</v>
      </c>
      <c r="C179" s="1611">
        <f>1/(0.25*0.3)</f>
        <v>13.33</v>
      </c>
      <c r="D179" s="1152" t="s">
        <v>1</v>
      </c>
      <c r="E179" s="1143">
        <v>350</v>
      </c>
      <c r="F179" s="1144">
        <f>C179*E179</f>
        <v>4665.5</v>
      </c>
      <c r="G179" s="1083"/>
    </row>
    <row r="180" spans="2:7" ht="13.5" thickBot="1">
      <c r="B180" s="1145"/>
      <c r="C180" s="1612"/>
      <c r="D180" s="1146"/>
      <c r="E180" s="1147" t="s">
        <v>1031</v>
      </c>
      <c r="F180" s="1673">
        <f>ROUND(SUM(F177:F179),2)</f>
        <v>21651.42</v>
      </c>
      <c r="G180" s="1083"/>
    </row>
    <row r="181" spans="2:7" ht="14.25" thickTop="1" thickBot="1">
      <c r="B181" s="1149"/>
      <c r="C181" s="1613"/>
      <c r="D181" s="1149"/>
      <c r="E181" s="1150"/>
      <c r="F181" s="1151"/>
      <c r="G181" s="1083"/>
    </row>
    <row r="182" spans="2:7" ht="14.25" thickTop="1" thickBot="1">
      <c r="B182" s="1677" t="s">
        <v>2001</v>
      </c>
      <c r="C182" s="1670"/>
      <c r="D182" s="1671"/>
      <c r="E182" s="1676"/>
      <c r="F182" s="1672"/>
      <c r="G182" s="1083"/>
    </row>
    <row r="183" spans="2:7" ht="13.5" thickTop="1">
      <c r="B183" s="1137" t="s">
        <v>271</v>
      </c>
      <c r="C183" s="1610">
        <v>1.05</v>
      </c>
      <c r="D183" s="1138" t="s">
        <v>2</v>
      </c>
      <c r="E183" s="1143">
        <f>+F38</f>
        <v>7531.68</v>
      </c>
      <c r="F183" s="1140">
        <f>C183*E183</f>
        <v>7908.26</v>
      </c>
      <c r="G183" s="1083"/>
    </row>
    <row r="184" spans="2:7">
      <c r="B184" s="1141" t="s">
        <v>1087</v>
      </c>
      <c r="C184" s="1611">
        <v>4.68</v>
      </c>
      <c r="D184" s="1142" t="s">
        <v>126</v>
      </c>
      <c r="E184" s="1143">
        <f>+F57</f>
        <v>2845.66</v>
      </c>
      <c r="F184" s="1144">
        <f>C184*E184</f>
        <v>13317.69</v>
      </c>
      <c r="G184" s="1083"/>
    </row>
    <row r="185" spans="2:7">
      <c r="B185" s="1141" t="s">
        <v>1089</v>
      </c>
      <c r="C185" s="1611">
        <f>1/(0.25*0.3)</f>
        <v>13.33</v>
      </c>
      <c r="D185" s="1152" t="s">
        <v>1</v>
      </c>
      <c r="E185" s="1143">
        <v>350</v>
      </c>
      <c r="F185" s="1144">
        <f>C185*E185</f>
        <v>4665.5</v>
      </c>
      <c r="G185" s="1083"/>
    </row>
    <row r="186" spans="2:7" ht="13.5" thickBot="1">
      <c r="B186" s="1145"/>
      <c r="C186" s="1612"/>
      <c r="D186" s="1146"/>
      <c r="E186" s="1147" t="s">
        <v>1031</v>
      </c>
      <c r="F186" s="1673">
        <f>ROUND(SUM(F183:F185),2)</f>
        <v>25891.45</v>
      </c>
      <c r="G186" s="1083"/>
    </row>
    <row r="187" spans="2:7" ht="14.25" thickTop="1" thickBot="1">
      <c r="B187" s="1149"/>
      <c r="C187" s="1613"/>
      <c r="D187" s="1149"/>
      <c r="E187" s="1150"/>
      <c r="F187" s="1151"/>
      <c r="G187" s="1083"/>
    </row>
    <row r="188" spans="2:7" ht="14.25" thickTop="1" thickBot="1">
      <c r="B188" t="s">
        <v>2002</v>
      </c>
      <c r="C188" s="1670"/>
      <c r="D188" s="1671"/>
      <c r="E188" s="1676"/>
      <c r="F188" s="1672"/>
      <c r="G188" s="1083"/>
    </row>
    <row r="189" spans="2:7" ht="13.5" thickTop="1">
      <c r="B189" s="1137" t="s">
        <v>271</v>
      </c>
      <c r="C189" s="1610">
        <v>1.05</v>
      </c>
      <c r="D189" s="1138" t="s">
        <v>2</v>
      </c>
      <c r="E189" s="1143">
        <f>+F38</f>
        <v>7531.68</v>
      </c>
      <c r="F189" s="1140">
        <f>C189*E189</f>
        <v>7908.26</v>
      </c>
      <c r="G189" s="1083"/>
    </row>
    <row r="190" spans="2:7">
      <c r="B190" s="1141" t="s">
        <v>1087</v>
      </c>
      <c r="C190" s="1611">
        <v>3.6</v>
      </c>
      <c r="D190" s="1142" t="s">
        <v>126</v>
      </c>
      <c r="E190" s="1143">
        <f>+F57</f>
        <v>2845.66</v>
      </c>
      <c r="F190" s="1144">
        <f>C190*E190</f>
        <v>10244.379999999999</v>
      </c>
      <c r="G190" s="1083"/>
    </row>
    <row r="191" spans="2:7">
      <c r="B191" s="1141" t="s">
        <v>1089</v>
      </c>
      <c r="C191" s="1611">
        <f>1/0.15</f>
        <v>6.67</v>
      </c>
      <c r="D191" s="1152" t="s">
        <v>1</v>
      </c>
      <c r="E191" s="1143">
        <v>150</v>
      </c>
      <c r="F191" s="1144">
        <f>C191*E191</f>
        <v>1000.5</v>
      </c>
      <c r="G191" s="1083"/>
    </row>
    <row r="192" spans="2:7" ht="13.5" thickBot="1">
      <c r="B192" s="1145"/>
      <c r="C192" s="1612"/>
      <c r="D192" s="1146"/>
      <c r="E192" s="1147" t="s">
        <v>1031</v>
      </c>
      <c r="F192" s="1673">
        <f>ROUND(SUM(F189:F191),2)</f>
        <v>19153.14</v>
      </c>
      <c r="G192" s="1083"/>
    </row>
    <row r="193" spans="2:9" ht="14.25" thickTop="1" thickBot="1">
      <c r="B193" s="1149"/>
      <c r="C193" s="1613"/>
      <c r="D193" s="1149"/>
      <c r="E193" s="1150"/>
      <c r="F193" s="1151"/>
      <c r="G193" s="1083"/>
    </row>
    <row r="194" spans="2:9" ht="14.25" thickTop="1" thickBot="1">
      <c r="B194" s="1677" t="s">
        <v>2003</v>
      </c>
      <c r="C194" s="1670"/>
      <c r="D194" s="1671"/>
      <c r="E194" s="1676"/>
      <c r="F194" s="1672"/>
      <c r="G194" s="1083"/>
    </row>
    <row r="195" spans="2:9" ht="13.5" thickTop="1">
      <c r="B195" s="1137" t="s">
        <v>271</v>
      </c>
      <c r="C195" s="1610">
        <v>1.05</v>
      </c>
      <c r="D195" s="1138" t="s">
        <v>2</v>
      </c>
      <c r="E195" s="1143">
        <f>+F38</f>
        <v>7531.68</v>
      </c>
      <c r="F195" s="1140">
        <f>C195*E195</f>
        <v>7908.26</v>
      </c>
      <c r="G195" s="1083"/>
    </row>
    <row r="196" spans="2:9">
      <c r="B196" s="1141" t="s">
        <v>1087</v>
      </c>
      <c r="C196" s="1611">
        <v>3.27</v>
      </c>
      <c r="D196" s="1142" t="s">
        <v>126</v>
      </c>
      <c r="E196" s="1143">
        <f>+F57</f>
        <v>2845.66</v>
      </c>
      <c r="F196" s="1144">
        <f>C196*E196</f>
        <v>9305.31</v>
      </c>
      <c r="G196" s="1083"/>
    </row>
    <row r="197" spans="2:9">
      <c r="B197" s="1141" t="s">
        <v>1089</v>
      </c>
      <c r="C197" s="1611">
        <f>1/0.2</f>
        <v>5</v>
      </c>
      <c r="D197" s="1152" t="s">
        <v>1</v>
      </c>
      <c r="E197" s="1143">
        <v>1000</v>
      </c>
      <c r="F197" s="1144">
        <f>C197*E197</f>
        <v>5000</v>
      </c>
      <c r="G197" s="1083"/>
    </row>
    <row r="198" spans="2:9" ht="13.5" thickBot="1">
      <c r="B198" s="1145"/>
      <c r="C198" s="1612"/>
      <c r="D198" s="1146"/>
      <c r="E198" s="1147" t="s">
        <v>1031</v>
      </c>
      <c r="F198" s="1673">
        <f>ROUND(SUM(F195:F197),2)</f>
        <v>22213.57</v>
      </c>
      <c r="G198" s="1083"/>
    </row>
    <row r="199" spans="2:9" ht="14.25" thickTop="1" thickBot="1">
      <c r="B199" s="1149"/>
      <c r="C199" s="1613"/>
      <c r="D199" s="1149"/>
      <c r="E199" s="1150"/>
      <c r="F199" s="1151"/>
      <c r="G199" s="1083"/>
    </row>
    <row r="200" spans="2:9" ht="14.25" thickTop="1" thickBot="1">
      <c r="B200" s="1677" t="s">
        <v>1998</v>
      </c>
      <c r="C200" s="1670"/>
      <c r="D200" s="1671"/>
      <c r="E200" s="1676"/>
      <c r="F200" s="1672"/>
      <c r="G200" s="1083"/>
    </row>
    <row r="201" spans="2:9" ht="13.5" thickTop="1">
      <c r="B201" s="1137" t="s">
        <v>271</v>
      </c>
      <c r="C201" s="1610">
        <v>1.05</v>
      </c>
      <c r="D201" s="1138" t="s">
        <v>2</v>
      </c>
      <c r="E201" s="1143">
        <f>+F38</f>
        <v>7531.68</v>
      </c>
      <c r="F201" s="1140">
        <f>C201*E201</f>
        <v>7908.26</v>
      </c>
      <c r="G201" s="1083"/>
    </row>
    <row r="202" spans="2:9">
      <c r="B202" s="1141" t="s">
        <v>1087</v>
      </c>
      <c r="C202" s="1611">
        <v>5.04</v>
      </c>
      <c r="D202" s="1142" t="s">
        <v>126</v>
      </c>
      <c r="E202" s="1143">
        <f>+F57</f>
        <v>2845.66</v>
      </c>
      <c r="F202" s="1144">
        <f>C202*E202</f>
        <v>14342.13</v>
      </c>
      <c r="G202" s="1083"/>
    </row>
    <row r="203" spans="2:9">
      <c r="B203" s="1141" t="s">
        <v>1089</v>
      </c>
      <c r="C203" s="1611">
        <f>1/0.4</f>
        <v>2.5</v>
      </c>
      <c r="D203" s="1152" t="s">
        <v>1</v>
      </c>
      <c r="E203" s="1143">
        <v>1000</v>
      </c>
      <c r="F203" s="1144">
        <f>C203*E203</f>
        <v>2500</v>
      </c>
      <c r="G203" s="1083"/>
    </row>
    <row r="204" spans="2:9" ht="13.5" thickBot="1">
      <c r="B204" s="1145"/>
      <c r="C204" s="1612"/>
      <c r="D204" s="1146"/>
      <c r="E204" s="1147" t="s">
        <v>1031</v>
      </c>
      <c r="F204" s="1673">
        <f>ROUND(SUM(F201:F203),2)</f>
        <v>24750.39</v>
      </c>
      <c r="G204" s="1083"/>
    </row>
    <row r="205" spans="2:9" ht="14.25" thickTop="1" thickBot="1">
      <c r="B205" s="1149"/>
      <c r="C205" s="1613"/>
      <c r="D205" s="1149"/>
      <c r="E205" s="1150"/>
      <c r="F205" s="1151"/>
      <c r="G205" s="1083"/>
    </row>
    <row r="206" spans="2:9" ht="14.25" thickTop="1" thickBot="1">
      <c r="B206" s="1677" t="s">
        <v>1999</v>
      </c>
      <c r="C206" s="1670"/>
      <c r="D206" s="1671"/>
      <c r="E206" s="1676"/>
      <c r="F206" s="1672"/>
      <c r="G206" s="1083"/>
      <c r="I206" t="s">
        <v>1996</v>
      </c>
    </row>
    <row r="207" spans="2:9" ht="13.5" thickTop="1">
      <c r="B207" s="1137" t="s">
        <v>271</v>
      </c>
      <c r="C207" s="1610">
        <v>1.05</v>
      </c>
      <c r="D207" s="1138" t="s">
        <v>2</v>
      </c>
      <c r="E207" s="1143">
        <f>+F38</f>
        <v>7531.68</v>
      </c>
      <c r="F207" s="1140">
        <f>C207*E207</f>
        <v>7908.26</v>
      </c>
      <c r="G207" s="1083"/>
      <c r="I207" t="s">
        <v>1997</v>
      </c>
    </row>
    <row r="208" spans="2:9">
      <c r="B208" s="1141" t="s">
        <v>1087</v>
      </c>
      <c r="C208" s="1611">
        <v>5.0199999999999996</v>
      </c>
      <c r="D208" s="1142" t="s">
        <v>126</v>
      </c>
      <c r="E208" s="1143">
        <f>+F57</f>
        <v>2845.66</v>
      </c>
      <c r="F208" s="1144">
        <f>C208*E208</f>
        <v>14285.21</v>
      </c>
      <c r="G208" s="1083"/>
      <c r="I208" t="s">
        <v>1998</v>
      </c>
    </row>
    <row r="209" spans="2:9">
      <c r="B209" s="1141" t="s">
        <v>1089</v>
      </c>
      <c r="C209" s="1611">
        <f>1/(0.35*0.35)</f>
        <v>8.16</v>
      </c>
      <c r="D209" s="1152" t="s">
        <v>1</v>
      </c>
      <c r="E209" s="1143">
        <v>250</v>
      </c>
      <c r="F209" s="1144">
        <f>C209*E209</f>
        <v>2040</v>
      </c>
      <c r="G209" s="1083"/>
      <c r="I209" t="s">
        <v>1999</v>
      </c>
    </row>
    <row r="210" spans="2:9" ht="13.5" thickBot="1">
      <c r="B210" s="1145"/>
      <c r="C210" s="1612"/>
      <c r="D210" s="1146"/>
      <c r="E210" s="1147" t="s">
        <v>1031</v>
      </c>
      <c r="F210" s="1673">
        <f>ROUND(SUM(F207:F209),2)</f>
        <v>24233.47</v>
      </c>
      <c r="G210" s="1083"/>
      <c r="I210" t="s">
        <v>2000</v>
      </c>
    </row>
    <row r="211" spans="2:9" ht="14.25" thickTop="1" thickBot="1">
      <c r="B211" s="1149"/>
      <c r="C211" s="1613"/>
      <c r="D211" s="1149"/>
      <c r="E211" s="1150"/>
      <c r="F211" s="1151"/>
      <c r="G211" s="1083"/>
      <c r="I211" t="s">
        <v>2001</v>
      </c>
    </row>
    <row r="212" spans="2:9" ht="14.25" thickTop="1" thickBot="1">
      <c r="B212" s="1677" t="s">
        <v>2004</v>
      </c>
      <c r="C212" s="1670"/>
      <c r="D212" s="1671"/>
      <c r="E212" s="1676"/>
      <c r="F212" s="1672"/>
      <c r="G212" s="1083"/>
      <c r="I212" t="s">
        <v>2002</v>
      </c>
    </row>
    <row r="213" spans="2:9" ht="13.5" thickTop="1">
      <c r="B213" s="1137" t="s">
        <v>271</v>
      </c>
      <c r="C213" s="1610">
        <v>1.05</v>
      </c>
      <c r="D213" s="1138" t="s">
        <v>2</v>
      </c>
      <c r="E213" s="1143">
        <f>+F38</f>
        <v>7531.68</v>
      </c>
      <c r="F213" s="1140">
        <f>C213*E213</f>
        <v>7908.26</v>
      </c>
      <c r="G213" s="1083"/>
      <c r="I213" t="s">
        <v>2003</v>
      </c>
    </row>
    <row r="214" spans="2:9">
      <c r="B214" s="1141" t="s">
        <v>1087</v>
      </c>
      <c r="C214" s="1611">
        <v>1.1599999999999999</v>
      </c>
      <c r="D214" s="1142" t="s">
        <v>126</v>
      </c>
      <c r="E214" s="1143">
        <f>+F57</f>
        <v>2845.66</v>
      </c>
      <c r="F214" s="1144">
        <f>C214*E214</f>
        <v>3300.97</v>
      </c>
      <c r="G214" s="1083"/>
      <c r="I214" t="s">
        <v>1998</v>
      </c>
    </row>
    <row r="215" spans="2:9">
      <c r="B215" s="1141" t="s">
        <v>1089</v>
      </c>
      <c r="C215" s="1611">
        <f>1/0.15</f>
        <v>6.67</v>
      </c>
      <c r="D215" s="1152" t="s">
        <v>1</v>
      </c>
      <c r="E215" s="1143">
        <v>250</v>
      </c>
      <c r="F215" s="1144">
        <f>C215*E215</f>
        <v>1667.5</v>
      </c>
      <c r="G215" s="1083"/>
      <c r="I215" t="s">
        <v>1999</v>
      </c>
    </row>
    <row r="216" spans="2:9" ht="13.5" thickBot="1">
      <c r="B216" s="1145"/>
      <c r="C216" s="1612"/>
      <c r="D216" s="1146"/>
      <c r="E216" s="1147" t="s">
        <v>1031</v>
      </c>
      <c r="F216" s="1673">
        <f>ROUND(SUM(F213:F215),2)</f>
        <v>12876.73</v>
      </c>
      <c r="G216" s="1083"/>
      <c r="I216" t="s">
        <v>2004</v>
      </c>
    </row>
    <row r="217" spans="2:9" ht="14.25" thickTop="1" thickBot="1">
      <c r="B217" s="1149"/>
      <c r="C217" s="1613"/>
      <c r="D217" s="1149"/>
      <c r="E217" s="1150"/>
      <c r="F217" s="1151"/>
      <c r="G217" s="1083"/>
      <c r="I217" t="s">
        <v>2005</v>
      </c>
    </row>
    <row r="218" spans="2:9" ht="14.25" thickTop="1" thickBot="1">
      <c r="B218" s="1677" t="s">
        <v>2005</v>
      </c>
      <c r="C218" s="1670"/>
      <c r="D218" s="1671"/>
      <c r="E218" s="1676"/>
      <c r="F218" s="1672"/>
      <c r="G218" s="1083"/>
      <c r="I218" t="s">
        <v>2006</v>
      </c>
    </row>
    <row r="219" spans="2:9" ht="13.5" thickTop="1">
      <c r="B219" s="1137" t="s">
        <v>271</v>
      </c>
      <c r="C219" s="1610">
        <v>1.05</v>
      </c>
      <c r="D219" s="1138" t="s">
        <v>2</v>
      </c>
      <c r="E219" s="1143">
        <f>+F38</f>
        <v>7531.68</v>
      </c>
      <c r="F219" s="1140">
        <f>C219*E219</f>
        <v>7908.26</v>
      </c>
      <c r="G219" s="1083"/>
      <c r="I219" t="s">
        <v>2007</v>
      </c>
    </row>
    <row r="220" spans="2:9">
      <c r="B220" s="1141" t="s">
        <v>1087</v>
      </c>
      <c r="C220" s="1611">
        <v>1.1599999999999999</v>
      </c>
      <c r="D220" s="1142" t="s">
        <v>126</v>
      </c>
      <c r="E220" s="1143">
        <f>+F57</f>
        <v>2845.66</v>
      </c>
      <c r="F220" s="1144">
        <f>C220*E220</f>
        <v>3300.97</v>
      </c>
      <c r="G220" s="1083"/>
    </row>
    <row r="221" spans="2:9">
      <c r="B221" s="1141" t="s">
        <v>1089</v>
      </c>
      <c r="C221" s="1611">
        <f>1/0.15</f>
        <v>6.67</v>
      </c>
      <c r="D221" s="1152" t="s">
        <v>1</v>
      </c>
      <c r="E221" s="1143">
        <v>250</v>
      </c>
      <c r="F221" s="1144">
        <f>C221*E221</f>
        <v>1667.5</v>
      </c>
      <c r="G221" s="1083"/>
    </row>
    <row r="222" spans="2:9" ht="13.5" thickBot="1">
      <c r="B222" s="1145"/>
      <c r="C222" s="1612"/>
      <c r="D222" s="1146"/>
      <c r="E222" s="1147" t="s">
        <v>1031</v>
      </c>
      <c r="F222" s="1673">
        <f>ROUND(SUM(F219:F221),2)</f>
        <v>12876.73</v>
      </c>
      <c r="G222" s="1083"/>
    </row>
    <row r="223" spans="2:9" ht="14.25" thickTop="1" thickBot="1">
      <c r="B223" s="1149"/>
      <c r="C223" s="1613"/>
      <c r="D223" s="1149"/>
      <c r="E223" s="1150"/>
      <c r="F223" s="1151"/>
      <c r="G223" s="1083"/>
    </row>
    <row r="224" spans="2:9" ht="14.25" thickTop="1" thickBot="1">
      <c r="B224" s="1677" t="s">
        <v>2006</v>
      </c>
      <c r="C224" s="1670"/>
      <c r="D224" s="1671"/>
      <c r="E224" s="1676"/>
      <c r="F224" s="1672"/>
      <c r="G224" s="1083"/>
    </row>
    <row r="225" spans="2:7" ht="13.5" thickTop="1">
      <c r="B225" s="1137" t="s">
        <v>271</v>
      </c>
      <c r="C225" s="1610">
        <v>1.05</v>
      </c>
      <c r="D225" s="1138" t="s">
        <v>2</v>
      </c>
      <c r="E225" s="1143">
        <f>+F38</f>
        <v>7531.68</v>
      </c>
      <c r="F225" s="1140">
        <f>C225*E225</f>
        <v>7908.26</v>
      </c>
      <c r="G225" s="1083"/>
    </row>
    <row r="226" spans="2:7">
      <c r="B226" s="1141" t="s">
        <v>1087</v>
      </c>
      <c r="C226" s="1611">
        <v>1.76</v>
      </c>
      <c r="D226" s="1142" t="s">
        <v>126</v>
      </c>
      <c r="E226" s="1143">
        <f>+F57</f>
        <v>2845.66</v>
      </c>
      <c r="F226" s="1144">
        <f>C226*E226</f>
        <v>5008.3599999999997</v>
      </c>
      <c r="G226" s="1083"/>
    </row>
    <row r="227" spans="2:7">
      <c r="B227" s="1141" t="s">
        <v>1089</v>
      </c>
      <c r="C227" s="1611">
        <f>1/0.2</f>
        <v>5</v>
      </c>
      <c r="D227" s="1152" t="s">
        <v>1</v>
      </c>
      <c r="E227" s="1143">
        <v>250</v>
      </c>
      <c r="F227" s="1144">
        <f>C227*E227</f>
        <v>1250</v>
      </c>
      <c r="G227" s="1083"/>
    </row>
    <row r="228" spans="2:7" ht="13.5" thickBot="1">
      <c r="B228" s="1145"/>
      <c r="C228" s="1612"/>
      <c r="D228" s="1146"/>
      <c r="E228" s="1147" t="s">
        <v>1031</v>
      </c>
      <c r="F228" s="1673">
        <f>ROUND(SUM(F225:F227),2)</f>
        <v>14166.62</v>
      </c>
      <c r="G228" s="1083"/>
    </row>
    <row r="229" spans="2:7" ht="14.25" thickTop="1" thickBot="1">
      <c r="B229" s="1149"/>
      <c r="C229" s="1613"/>
      <c r="D229" s="1149"/>
      <c r="E229" s="1150"/>
      <c r="F229" s="1151"/>
      <c r="G229" s="1083"/>
    </row>
    <row r="230" spans="2:7" ht="14.25" thickTop="1" thickBot="1">
      <c r="B230" s="1677" t="s">
        <v>2007</v>
      </c>
      <c r="C230" s="1670"/>
      <c r="D230" s="1671"/>
      <c r="E230" s="1676"/>
      <c r="F230" s="1672"/>
      <c r="G230" s="1083"/>
    </row>
    <row r="231" spans="2:7" ht="13.5" thickTop="1">
      <c r="B231" s="1137" t="s">
        <v>271</v>
      </c>
      <c r="C231" s="1610">
        <v>1.05</v>
      </c>
      <c r="D231" s="1138" t="s">
        <v>2</v>
      </c>
      <c r="E231" s="1143">
        <f>+F38</f>
        <v>7531.68</v>
      </c>
      <c r="F231" s="1140">
        <f>C231*E231</f>
        <v>7908.26</v>
      </c>
      <c r="G231" s="1083"/>
    </row>
    <row r="232" spans="2:7">
      <c r="B232" s="1141" t="s">
        <v>1087</v>
      </c>
      <c r="C232" s="1611">
        <v>3.06</v>
      </c>
      <c r="D232" s="1142" t="s">
        <v>126</v>
      </c>
      <c r="E232" s="1143">
        <f>+F57</f>
        <v>2845.66</v>
      </c>
      <c r="F232" s="1144">
        <f>C232*E232</f>
        <v>8707.7199999999993</v>
      </c>
      <c r="G232" s="1083"/>
    </row>
    <row r="233" spans="2:7">
      <c r="B233" s="1141" t="s">
        <v>1089</v>
      </c>
      <c r="C233" s="1611">
        <f>1/0.15</f>
        <v>6.67</v>
      </c>
      <c r="D233" s="1152" t="s">
        <v>1</v>
      </c>
      <c r="E233" s="1143">
        <v>1000</v>
      </c>
      <c r="F233" s="1144">
        <f>C233*E233</f>
        <v>6670</v>
      </c>
      <c r="G233" s="1083"/>
    </row>
    <row r="234" spans="2:7" ht="13.5" thickBot="1">
      <c r="B234" s="1145"/>
      <c r="C234" s="1612"/>
      <c r="D234" s="1146"/>
      <c r="E234" s="1147" t="s">
        <v>1031</v>
      </c>
      <c r="F234" s="1673">
        <f>ROUND(SUM(F231:F233),2)</f>
        <v>23285.98</v>
      </c>
      <c r="G234" s="1083"/>
    </row>
    <row r="235" spans="2:7" ht="13.5" thickTop="1">
      <c r="B235" s="1149"/>
      <c r="C235" s="1613"/>
      <c r="D235" s="1149"/>
      <c r="E235" s="1150"/>
      <c r="F235" s="1151"/>
      <c r="G235" s="1083"/>
    </row>
    <row r="240" spans="2:7" s="1906" customFormat="1" ht="13.5" thickBot="1">
      <c r="B240" s="5231" t="s">
        <v>2447</v>
      </c>
      <c r="C240" s="5232"/>
      <c r="D240" s="5232"/>
      <c r="E240" s="5232"/>
      <c r="F240" s="5233"/>
      <c r="G240" s="1083"/>
    </row>
    <row r="241" spans="2:9" s="1906" customFormat="1" ht="13.5" thickTop="1">
      <c r="B241" s="1137" t="s">
        <v>271</v>
      </c>
      <c r="C241" s="1610">
        <v>1.05</v>
      </c>
      <c r="D241" s="1138" t="s">
        <v>2</v>
      </c>
      <c r="E241" s="1143">
        <f>$F$38</f>
        <v>7531.68</v>
      </c>
      <c r="F241" s="1140">
        <f>C241*E241</f>
        <v>7908.26</v>
      </c>
      <c r="G241" s="1083"/>
      <c r="I241" s="1906">
        <f>1.5*4</f>
        <v>6</v>
      </c>
    </row>
    <row r="242" spans="2:9" s="1906" customFormat="1">
      <c r="B242" s="1141" t="s">
        <v>1087</v>
      </c>
      <c r="C242" s="1611">
        <v>0.86</v>
      </c>
      <c r="D242" s="1142" t="s">
        <v>126</v>
      </c>
      <c r="E242" s="1143">
        <f>$E$153</f>
        <v>2845.66</v>
      </c>
      <c r="F242" s="1144">
        <f>C242*E242</f>
        <v>2447.27</v>
      </c>
      <c r="G242" s="1083"/>
      <c r="I242" s="1906">
        <f>1.5*1.5*0.45</f>
        <v>1.0125</v>
      </c>
    </row>
    <row r="243" spans="2:9" s="1906" customFormat="1">
      <c r="B243" s="1141" t="s">
        <v>1089</v>
      </c>
      <c r="C243" s="1611">
        <f>1.5*4/(1.5*1.5*0.45)</f>
        <v>5.93</v>
      </c>
      <c r="D243" s="1152" t="s">
        <v>1</v>
      </c>
      <c r="E243" s="1911">
        <v>400</v>
      </c>
      <c r="F243" s="1144">
        <f>C243*E243</f>
        <v>2372</v>
      </c>
      <c r="G243" s="1083"/>
      <c r="I243" s="1906">
        <f>I241/I242</f>
        <v>5.92592592592593</v>
      </c>
    </row>
    <row r="244" spans="2:9" s="1906" customFormat="1" ht="13.5" thickBot="1">
      <c r="B244" s="1145"/>
      <c r="C244" s="1612"/>
      <c r="D244" s="1146"/>
      <c r="E244" s="1147" t="s">
        <v>1031</v>
      </c>
      <c r="F244" s="1673">
        <f>ROUND(SUM(F241:F243),2)</f>
        <v>12727.53</v>
      </c>
      <c r="G244" s="1083"/>
    </row>
    <row r="245" spans="2:9" ht="13.5" thickTop="1"/>
    <row r="246" spans="2:9" s="1906" customFormat="1" ht="13.5" thickBot="1">
      <c r="B246" s="5231" t="s">
        <v>2447</v>
      </c>
      <c r="C246" s="5232"/>
      <c r="D246" s="5232"/>
      <c r="E246" s="5232"/>
      <c r="F246" s="5233"/>
      <c r="G246" s="1083"/>
    </row>
    <row r="247" spans="2:9" s="1906" customFormat="1" ht="13.5" thickTop="1">
      <c r="B247" s="1137" t="s">
        <v>271</v>
      </c>
      <c r="C247" s="1610">
        <v>1.05</v>
      </c>
      <c r="D247" s="1138" t="s">
        <v>2</v>
      </c>
      <c r="E247" s="1143">
        <f>$F$38</f>
        <v>7531.68</v>
      </c>
      <c r="F247" s="1140">
        <f>C247*E247</f>
        <v>7908.26</v>
      </c>
      <c r="G247" s="1083"/>
      <c r="I247" s="1906">
        <f>1.5*4</f>
        <v>6</v>
      </c>
    </row>
    <row r="248" spans="2:9" s="1906" customFormat="1">
      <c r="B248" s="1141" t="s">
        <v>1087</v>
      </c>
      <c r="C248" s="1611">
        <v>0.86</v>
      </c>
      <c r="D248" s="1142" t="s">
        <v>126</v>
      </c>
      <c r="E248" s="1143">
        <f>$E$153</f>
        <v>2845.66</v>
      </c>
      <c r="F248" s="1144">
        <f>C248*E248</f>
        <v>2447.27</v>
      </c>
      <c r="G248" s="1083"/>
      <c r="I248" s="1906">
        <f>1.5*1.5*0.45</f>
        <v>1.0125</v>
      </c>
    </row>
    <row r="249" spans="2:9" s="1906" customFormat="1">
      <c r="B249" s="1141" t="s">
        <v>1089</v>
      </c>
      <c r="C249" s="1611">
        <f>1.5*4/(1.7*1.7*0.45)</f>
        <v>4.6100000000000003</v>
      </c>
      <c r="D249" s="1152" t="s">
        <v>1</v>
      </c>
      <c r="E249" s="1911">
        <f>$E$243</f>
        <v>400</v>
      </c>
      <c r="F249" s="1144">
        <f>C249*E249</f>
        <v>1844</v>
      </c>
      <c r="G249" s="1083"/>
      <c r="I249" s="1906">
        <f>I247/I248</f>
        <v>5.92592592592593</v>
      </c>
    </row>
    <row r="250" spans="2:9" s="1906" customFormat="1" ht="13.5" thickBot="1">
      <c r="B250" s="1145"/>
      <c r="C250" s="1612"/>
      <c r="D250" s="1146"/>
      <c r="E250" s="1147" t="s">
        <v>1031</v>
      </c>
      <c r="F250" s="1673">
        <f>ROUND(SUM(F247:F249),2)</f>
        <v>12199.53</v>
      </c>
      <c r="G250" s="1083"/>
    </row>
    <row r="251" spans="2:9" ht="13.5" thickTop="1"/>
  </sheetData>
  <customSheetViews>
    <customSheetView guid="{43BC9397-3E8C-478C-B548-E4A845A7F82B}">
      <pageMargins left="0.7" right="0.7" top="0.75" bottom="0.75" header="0.3" footer="0.3"/>
      <pageSetup orientation="portrait" r:id="rId1"/>
    </customSheetView>
  </customSheetViews>
  <mergeCells count="3">
    <mergeCell ref="B2:F2"/>
    <mergeCell ref="B240:F240"/>
    <mergeCell ref="B246:F246"/>
  </mergeCell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5065" t="s">
        <v>65</v>
      </c>
      <c r="F5" s="5065"/>
      <c r="G5" s="62"/>
      <c r="H5" s="5065" t="s">
        <v>66</v>
      </c>
      <c r="I5" s="5065"/>
      <c r="J5" s="62"/>
      <c r="K5" s="5065" t="s">
        <v>67</v>
      </c>
      <c r="L5" s="5065"/>
      <c r="M5" s="62"/>
      <c r="N5" s="5065" t="s">
        <v>68</v>
      </c>
      <c r="O5" s="5065"/>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69</v>
      </c>
      <c r="D13" s="69"/>
      <c r="E13" s="70">
        <v>1.1100000000000001</v>
      </c>
      <c r="F13" s="75">
        <f t="shared" si="0"/>
        <v>76.59</v>
      </c>
      <c r="G13" s="69"/>
      <c r="H13" s="76">
        <v>8.5000000000000006E-2</v>
      </c>
      <c r="I13" s="75">
        <f t="shared" si="1"/>
        <v>5.87</v>
      </c>
      <c r="J13" s="69"/>
      <c r="K13" s="77">
        <v>7.2999999999999995E-2</v>
      </c>
      <c r="L13" s="75">
        <f t="shared" si="2"/>
        <v>5.04</v>
      </c>
      <c r="M13" s="69"/>
      <c r="N13" s="78">
        <v>0.3125</v>
      </c>
      <c r="O13" s="75">
        <f t="shared" si="3"/>
        <v>21.56</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69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76.59</v>
      </c>
      <c r="G26" s="87"/>
      <c r="H26" s="86" t="s">
        <v>93</v>
      </c>
      <c r="I26" s="82">
        <f>SUM(I7:I23)</f>
        <v>5.87</v>
      </c>
      <c r="J26" s="87"/>
      <c r="K26" s="86" t="s">
        <v>94</v>
      </c>
      <c r="L26" s="82">
        <f>SUM(L7:L23)</f>
        <v>5.04</v>
      </c>
      <c r="M26" s="87"/>
      <c r="N26" s="86" t="s">
        <v>95</v>
      </c>
      <c r="O26" s="82">
        <f>(SUM(O7:O23)/6)*0.25</f>
        <v>0.9</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62.4</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17.739999999999998</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5065" t="s">
        <v>98</v>
      </c>
      <c r="D32" s="5065"/>
      <c r="E32" s="5065"/>
      <c r="F32" s="5065"/>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69</v>
      </c>
      <c r="D41" s="88"/>
      <c r="E41" s="100">
        <v>0.04</v>
      </c>
      <c r="F41" s="101">
        <f t="shared" si="5"/>
        <v>71.760000000000005</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0.6</v>
      </c>
      <c r="G56" s="106"/>
      <c r="H56" s="112"/>
      <c r="I56" s="113">
        <f>F26*F56</f>
        <v>45.95</v>
      </c>
      <c r="J56" s="69"/>
      <c r="K56" s="69"/>
      <c r="L56" s="69"/>
      <c r="M56" s="69"/>
      <c r="N56" s="69"/>
      <c r="O56" s="69"/>
      <c r="P56" s="69"/>
      <c r="Q56" s="58"/>
    </row>
    <row r="57" spans="1:17">
      <c r="A57" s="69"/>
      <c r="B57" s="69"/>
      <c r="C57" s="110" t="s">
        <v>106</v>
      </c>
      <c r="D57" s="106"/>
      <c r="E57" s="106"/>
      <c r="F57" s="111">
        <v>0.2</v>
      </c>
      <c r="G57" s="106"/>
      <c r="H57" s="112"/>
      <c r="I57" s="113">
        <f>F26*F57</f>
        <v>15.32</v>
      </c>
      <c r="J57" s="69"/>
      <c r="K57" s="69"/>
      <c r="L57" s="69"/>
      <c r="M57" s="69"/>
      <c r="N57" s="69"/>
      <c r="O57" s="69"/>
      <c r="P57" s="69"/>
      <c r="Q57" s="58"/>
    </row>
    <row r="58" spans="1:17">
      <c r="A58" s="69"/>
      <c r="B58" s="69"/>
      <c r="C58" s="110" t="s">
        <v>107</v>
      </c>
      <c r="D58" s="106"/>
      <c r="E58" s="106"/>
      <c r="F58" s="111">
        <v>0.2</v>
      </c>
      <c r="G58" s="106"/>
      <c r="H58" s="112"/>
      <c r="I58" s="113">
        <f>F26*F58</f>
        <v>15.32</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76.59</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rgb="FF92D050"/>
  </sheetPr>
  <dimension ref="A3:Q79"/>
  <sheetViews>
    <sheetView workbookViewId="0">
      <selection activeCell="F14" sqref="F14"/>
    </sheetView>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5065" t="s">
        <v>65</v>
      </c>
      <c r="F5" s="5065"/>
      <c r="G5" s="62"/>
      <c r="H5" s="5065" t="s">
        <v>66</v>
      </c>
      <c r="I5" s="5065"/>
      <c r="J5" s="62"/>
      <c r="K5" s="5065" t="s">
        <v>67</v>
      </c>
      <c r="L5" s="5065"/>
      <c r="M5" s="62"/>
      <c r="N5" s="5065" t="s">
        <v>68</v>
      </c>
      <c r="O5" s="5065"/>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79</v>
      </c>
      <c r="C14" s="67">
        <v>1</v>
      </c>
      <c r="D14" s="69"/>
      <c r="E14" s="70">
        <f>2*1.11</f>
        <v>2.2200000000000002</v>
      </c>
      <c r="F14" s="75">
        <f t="shared" si="0"/>
        <v>2.2200000000000002</v>
      </c>
      <c r="G14" s="69"/>
      <c r="H14" s="76">
        <v>8.5000000000000006E-2</v>
      </c>
      <c r="I14" s="75">
        <f t="shared" si="1"/>
        <v>0.09</v>
      </c>
      <c r="J14" s="69"/>
      <c r="K14" s="77">
        <v>7.2999999999999995E-2</v>
      </c>
      <c r="L14" s="75">
        <f t="shared" si="2"/>
        <v>7.0000000000000007E-2</v>
      </c>
      <c r="M14" s="69"/>
      <c r="N14" s="78">
        <v>0.3125</v>
      </c>
      <c r="O14" s="75">
        <f t="shared" si="3"/>
        <v>0.31</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v>19</v>
      </c>
      <c r="D17" s="69"/>
      <c r="E17" s="70">
        <v>1.4</v>
      </c>
      <c r="F17" s="75">
        <f t="shared" si="0"/>
        <v>26.6</v>
      </c>
      <c r="G17" s="69"/>
      <c r="H17" s="76">
        <v>0.1</v>
      </c>
      <c r="I17" s="75">
        <f t="shared" si="1"/>
        <v>1.9</v>
      </c>
      <c r="J17" s="69"/>
      <c r="K17" s="77">
        <v>0.12970000000000001</v>
      </c>
      <c r="L17" s="75">
        <f t="shared" si="2"/>
        <v>2.46</v>
      </c>
      <c r="M17" s="69"/>
      <c r="N17" s="78">
        <v>0.41660000000000003</v>
      </c>
      <c r="O17" s="75">
        <f t="shared" si="3"/>
        <v>7.92</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20</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28.82</v>
      </c>
      <c r="G28" s="87"/>
      <c r="H28" s="86" t="s">
        <v>93</v>
      </c>
      <c r="I28" s="82">
        <f>SUM(I7:I25)</f>
        <v>1.99</v>
      </c>
      <c r="J28" s="87"/>
      <c r="K28" s="86" t="s">
        <v>94</v>
      </c>
      <c r="L28" s="82">
        <f>SUM(L7:L25)</f>
        <v>2.5299999999999998</v>
      </c>
      <c r="M28" s="87"/>
      <c r="N28" s="86" t="s">
        <v>95</v>
      </c>
      <c r="O28" s="82">
        <f>(SUM(O7:O25)/6)*0.25</f>
        <v>0.34</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23.09</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6.88</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5065" t="s">
        <v>98</v>
      </c>
      <c r="D34" s="5065"/>
      <c r="E34" s="5065"/>
      <c r="F34" s="5065"/>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0</v>
      </c>
      <c r="D43" s="88"/>
      <c r="E43" s="100">
        <v>0.04</v>
      </c>
      <c r="F43" s="101">
        <f t="shared" si="5"/>
        <v>0</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19</v>
      </c>
      <c r="D45" s="88"/>
      <c r="E45" s="100">
        <v>0.05</v>
      </c>
      <c r="F45" s="101">
        <f t="shared" si="5"/>
        <v>19.95</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2.88</v>
      </c>
      <c r="J58" s="69"/>
      <c r="K58" s="69"/>
      <c r="L58" s="69"/>
      <c r="M58" s="69"/>
      <c r="N58" s="69"/>
      <c r="O58" s="69"/>
      <c r="P58" s="69"/>
      <c r="Q58" s="58"/>
    </row>
    <row r="59" spans="1:17">
      <c r="A59" s="69"/>
      <c r="B59" s="69"/>
      <c r="C59" s="110" t="s">
        <v>106</v>
      </c>
      <c r="D59" s="106"/>
      <c r="E59" s="106"/>
      <c r="F59" s="111">
        <v>0.9</v>
      </c>
      <c r="G59" s="106"/>
      <c r="H59" s="112"/>
      <c r="I59" s="113">
        <f>F28*F59</f>
        <v>25.94</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28.82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selection activeCell="F14" sqref="F14"/>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4">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5065" t="s">
        <v>65</v>
      </c>
      <c r="F5" s="5065"/>
      <c r="G5" s="62"/>
      <c r="H5" s="5065" t="s">
        <v>66</v>
      </c>
      <c r="I5" s="5065"/>
      <c r="J5" s="62"/>
      <c r="K5" s="5065" t="s">
        <v>67</v>
      </c>
      <c r="L5" s="5065"/>
      <c r="M5" s="62"/>
      <c r="N5" s="5065" t="s">
        <v>68</v>
      </c>
      <c r="O5" s="5065"/>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f>+ACUEDUCTO!C695</f>
        <v>999</v>
      </c>
      <c r="D9">
        <f>173*5.79</f>
        <v>1001.67</v>
      </c>
      <c r="E9" s="70">
        <f>0.8*1.1</f>
        <v>0.88</v>
      </c>
      <c r="F9" s="75">
        <f t="shared" si="0"/>
        <v>879.12</v>
      </c>
      <c r="G9" s="69"/>
      <c r="H9" s="76">
        <f>+E9*0.1</f>
        <v>8.7999999999999995E-2</v>
      </c>
      <c r="I9" s="75">
        <f t="shared" si="1"/>
        <v>87.91</v>
      </c>
      <c r="J9" s="69"/>
      <c r="K9" s="77">
        <v>8.0999999999999996E-3</v>
      </c>
      <c r="L9" s="75">
        <f t="shared" si="2"/>
        <v>8.09</v>
      </c>
      <c r="M9" s="69"/>
      <c r="N9" s="78">
        <v>2.5000000000000001E-2</v>
      </c>
      <c r="O9" s="75">
        <f t="shared" si="3"/>
        <v>24.98</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999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879.12</v>
      </c>
      <c r="G26" s="87"/>
      <c r="H26" s="86" t="s">
        <v>93</v>
      </c>
      <c r="I26" s="82">
        <f>SUM(I7:I23)</f>
        <v>87.91</v>
      </c>
      <c r="J26" s="87"/>
      <c r="K26" s="86" t="s">
        <v>94</v>
      </c>
      <c r="L26" s="82">
        <f>SUM(L7:L23)</f>
        <v>8.09</v>
      </c>
      <c r="M26" s="87"/>
      <c r="N26" s="86" t="s">
        <v>95</v>
      </c>
      <c r="O26" s="82">
        <f>(SUM(O7:O23)/6)*0.25</f>
        <v>1.04</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743.96</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168.95</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5065" t="s">
        <v>98</v>
      </c>
      <c r="D32" s="5065"/>
      <c r="E32" s="5065"/>
      <c r="F32" s="5065"/>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999</v>
      </c>
      <c r="D37" s="88"/>
      <c r="E37" s="100">
        <v>0.02</v>
      </c>
      <c r="F37" s="101">
        <f t="shared" si="5"/>
        <v>1018.98</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0.3</v>
      </c>
      <c r="G56" s="106"/>
      <c r="H56" s="112"/>
      <c r="I56" s="113">
        <f>F26*F56</f>
        <v>263.74</v>
      </c>
      <c r="J56" s="69"/>
      <c r="K56" s="69"/>
      <c r="L56" s="69"/>
      <c r="M56" s="69"/>
      <c r="N56" s="69"/>
      <c r="O56" s="69"/>
      <c r="P56" s="69"/>
      <c r="Q56" s="58"/>
    </row>
    <row r="57" spans="1:17">
      <c r="A57" s="69"/>
      <c r="B57" s="69"/>
      <c r="C57" s="110" t="s">
        <v>106</v>
      </c>
      <c r="D57" s="106"/>
      <c r="E57" s="106"/>
      <c r="F57" s="111">
        <v>0.7</v>
      </c>
      <c r="G57" s="106"/>
      <c r="H57" s="112"/>
      <c r="I57" s="113">
        <f>F26*F57</f>
        <v>615.38</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879.12</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5">
    <tabColor rgb="FF92D050"/>
  </sheetPr>
  <dimension ref="A3:Q79"/>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5065" t="s">
        <v>65</v>
      </c>
      <c r="F5" s="5065"/>
      <c r="G5" s="62"/>
      <c r="H5" s="5065" t="s">
        <v>66</v>
      </c>
      <c r="I5" s="5065"/>
      <c r="J5" s="62"/>
      <c r="K5" s="5065" t="s">
        <v>67</v>
      </c>
      <c r="L5" s="5065"/>
      <c r="M5" s="62"/>
      <c r="N5" s="5065" t="s">
        <v>68</v>
      </c>
      <c r="O5" s="5065"/>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4812</v>
      </c>
      <c r="D13" s="69"/>
      <c r="E13" s="70">
        <v>1.1100000000000001</v>
      </c>
      <c r="F13" s="75">
        <f t="shared" si="0"/>
        <v>5341.32</v>
      </c>
      <c r="G13" s="69"/>
      <c r="H13" s="76">
        <v>8.5000000000000006E-2</v>
      </c>
      <c r="I13" s="75">
        <f t="shared" si="1"/>
        <v>409.02</v>
      </c>
      <c r="J13" s="69"/>
      <c r="K13" s="77">
        <v>7.2999999999999995E-2</v>
      </c>
      <c r="L13" s="75">
        <f t="shared" si="2"/>
        <v>351.28</v>
      </c>
      <c r="M13" s="69"/>
      <c r="N13" s="78">
        <v>0.3125</v>
      </c>
      <c r="O13" s="75">
        <f t="shared" si="3"/>
        <v>1503.75</v>
      </c>
      <c r="P13" s="69"/>
      <c r="Q13" s="58"/>
    </row>
    <row r="14" spans="1:17">
      <c r="A14" s="66"/>
      <c r="B14" s="67" t="s">
        <v>79</v>
      </c>
      <c r="C14" s="67"/>
      <c r="D14" s="69"/>
      <c r="E14" s="70">
        <f>2*1.11</f>
        <v>2.2200000000000002</v>
      </c>
      <c r="F14" s="75">
        <f t="shared" si="0"/>
        <v>0</v>
      </c>
      <c r="G14" s="69"/>
      <c r="H14" s="76">
        <v>8.5000000000000006E-2</v>
      </c>
      <c r="I14" s="75">
        <f t="shared" si="1"/>
        <v>0</v>
      </c>
      <c r="J14" s="69"/>
      <c r="K14" s="77">
        <v>7.2999999999999995E-2</v>
      </c>
      <c r="L14" s="75">
        <f t="shared" si="2"/>
        <v>0</v>
      </c>
      <c r="M14" s="69"/>
      <c r="N14" s="78">
        <v>0.3125</v>
      </c>
      <c r="O14" s="75">
        <f t="shared" si="3"/>
        <v>0</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c r="D17" s="69"/>
      <c r="E17" s="70">
        <v>1.4</v>
      </c>
      <c r="F17" s="75">
        <f t="shared" si="0"/>
        <v>0</v>
      </c>
      <c r="G17" s="69"/>
      <c r="H17" s="76">
        <v>0.1</v>
      </c>
      <c r="I17" s="75">
        <f t="shared" si="1"/>
        <v>0</v>
      </c>
      <c r="J17" s="69"/>
      <c r="K17" s="77">
        <v>0.12970000000000001</v>
      </c>
      <c r="L17" s="75">
        <f t="shared" si="2"/>
        <v>0</v>
      </c>
      <c r="M17" s="69"/>
      <c r="N17" s="78">
        <v>0.41660000000000003</v>
      </c>
      <c r="O17" s="75">
        <f t="shared" si="3"/>
        <v>0</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4812</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5341.32</v>
      </c>
      <c r="G28" s="87"/>
      <c r="H28" s="86" t="s">
        <v>93</v>
      </c>
      <c r="I28" s="82">
        <f>SUM(I7:I25)</f>
        <v>409.02</v>
      </c>
      <c r="J28" s="87"/>
      <c r="K28" s="86" t="s">
        <v>94</v>
      </c>
      <c r="L28" s="82">
        <f>SUM(L7:L25)</f>
        <v>351.28</v>
      </c>
      <c r="M28" s="87"/>
      <c r="N28" s="86" t="s">
        <v>95</v>
      </c>
      <c r="O28" s="82">
        <f>(SUM(O7:O25)/6)*0.25</f>
        <v>62.66</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4351.97</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1187.22</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5065" t="s">
        <v>98</v>
      </c>
      <c r="D34" s="5065"/>
      <c r="E34" s="5065"/>
      <c r="F34" s="5065"/>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4812</v>
      </c>
      <c r="D43" s="88"/>
      <c r="E43" s="100">
        <v>0.04</v>
      </c>
      <c r="F43" s="101">
        <f t="shared" si="5"/>
        <v>5004.4799999999996</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0</v>
      </c>
      <c r="D45" s="88"/>
      <c r="E45" s="100">
        <v>0.05</v>
      </c>
      <c r="F45" s="101">
        <f t="shared" si="5"/>
        <v>0</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534.13</v>
      </c>
      <c r="J58" s="69"/>
      <c r="K58" s="69"/>
      <c r="L58" s="69"/>
      <c r="M58" s="69"/>
      <c r="N58" s="69"/>
      <c r="O58" s="69"/>
      <c r="P58" s="69"/>
      <c r="Q58" s="58"/>
    </row>
    <row r="59" spans="1:17">
      <c r="A59" s="69"/>
      <c r="B59" s="69"/>
      <c r="C59" s="110" t="s">
        <v>106</v>
      </c>
      <c r="D59" s="106"/>
      <c r="E59" s="106"/>
      <c r="F59" s="111">
        <v>0.9</v>
      </c>
      <c r="G59" s="106"/>
      <c r="H59" s="112"/>
      <c r="I59" s="113">
        <f>F28*F59</f>
        <v>4807.1899999999996</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5341.32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6"/>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5065" t="s">
        <v>65</v>
      </c>
      <c r="F5" s="5065"/>
      <c r="G5" s="62"/>
      <c r="H5" s="5065" t="s">
        <v>66</v>
      </c>
      <c r="I5" s="5065"/>
      <c r="J5" s="62"/>
      <c r="K5" s="5065" t="s">
        <v>67</v>
      </c>
      <c r="L5" s="5065"/>
      <c r="M5" s="62"/>
      <c r="N5" s="5065" t="s">
        <v>68</v>
      </c>
      <c r="O5" s="5065"/>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f>+ACUEDUCTO!G935</f>
        <v>0</v>
      </c>
      <c r="D8" s="69"/>
      <c r="E8" s="70">
        <f>0.8*1.08</f>
        <v>0.86</v>
      </c>
      <c r="F8" s="75">
        <f t="shared" si="0"/>
        <v>0</v>
      </c>
      <c r="G8" s="69"/>
      <c r="H8" s="76">
        <f>+E8*0.1</f>
        <v>8.5999999999999993E-2</v>
      </c>
      <c r="I8" s="75">
        <f>+H8*C8</f>
        <v>0</v>
      </c>
      <c r="J8" s="69"/>
      <c r="K8" s="77">
        <v>4.5999999999999999E-3</v>
      </c>
      <c r="L8" s="75">
        <f t="shared" si="2"/>
        <v>0</v>
      </c>
      <c r="M8" s="69"/>
      <c r="N8" s="78">
        <v>1.7860000000000001E-2</v>
      </c>
      <c r="O8" s="75">
        <f t="shared" si="3"/>
        <v>0</v>
      </c>
      <c r="P8" s="69"/>
      <c r="Q8" s="58"/>
    </row>
    <row r="9" spans="1:17">
      <c r="A9" s="66"/>
      <c r="B9" s="67" t="s">
        <v>75</v>
      </c>
      <c r="C9" s="801">
        <f>+ACUEDUCTO!G936</f>
        <v>0</v>
      </c>
      <c r="D9" s="69"/>
      <c r="E9" s="70">
        <f>0.8*1.1</f>
        <v>0.88</v>
      </c>
      <c r="F9" s="75">
        <f t="shared" si="0"/>
        <v>0</v>
      </c>
      <c r="G9" s="69"/>
      <c r="H9" s="76">
        <f>+E9*0.1</f>
        <v>8.7999999999999995E-2</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f>+E10*0.1</f>
        <v>9.1999999999999998E-2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0</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0</v>
      </c>
      <c r="G26" s="87"/>
      <c r="H26" s="86" t="s">
        <v>93</v>
      </c>
      <c r="I26" s="82">
        <f>SUM(I7:I23)</f>
        <v>0</v>
      </c>
      <c r="J26" s="87"/>
      <c r="K26" s="86" t="s">
        <v>94</v>
      </c>
      <c r="L26" s="82">
        <f>SUM(L7:L23)</f>
        <v>0</v>
      </c>
      <c r="M26" s="87"/>
      <c r="N26" s="86" t="s">
        <v>95</v>
      </c>
      <c r="O26" s="82">
        <f>(SUM(O7:O23)/6)*0.25</f>
        <v>0</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0</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f>
        <v>0</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5065" t="s">
        <v>98</v>
      </c>
      <c r="D32" s="5065"/>
      <c r="E32" s="5065"/>
      <c r="F32" s="5065"/>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0.1</v>
      </c>
      <c r="G56" s="106"/>
      <c r="H56" s="112"/>
      <c r="I56" s="113">
        <f>F26*F56</f>
        <v>0</v>
      </c>
      <c r="J56" s="69"/>
      <c r="K56" s="69"/>
      <c r="L56" s="69"/>
      <c r="M56" s="69"/>
      <c r="N56" s="69"/>
      <c r="O56" s="69"/>
      <c r="P56" s="69"/>
      <c r="Q56" s="58"/>
    </row>
    <row r="57" spans="1:17">
      <c r="A57" s="69"/>
      <c r="B57" s="69"/>
      <c r="C57" s="110" t="s">
        <v>106</v>
      </c>
      <c r="D57" s="106"/>
      <c r="E57" s="106"/>
      <c r="F57" s="111">
        <v>0.9</v>
      </c>
      <c r="G57" s="106"/>
      <c r="H57" s="112"/>
      <c r="I57" s="113">
        <f>F26*F57</f>
        <v>0</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0</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dimension ref="C6:H39"/>
  <sheetViews>
    <sheetView workbookViewId="0"/>
  </sheetViews>
  <sheetFormatPr baseColWidth="10" defaultColWidth="11.42578125" defaultRowHeight="12.75"/>
  <sheetData>
    <row r="6" spans="3:8">
      <c r="C6" s="1409" t="s">
        <v>2107</v>
      </c>
      <c r="E6">
        <f>+(47.91*2+64.64*2)</f>
        <v>225.1</v>
      </c>
      <c r="F6">
        <f>+E6*0.2*0.2</f>
        <v>9.0039999999999996</v>
      </c>
    </row>
    <row r="8" spans="3:8">
      <c r="C8">
        <v>47.91</v>
      </c>
      <c r="D8">
        <v>64.64</v>
      </c>
      <c r="E8">
        <f>+D8*C8</f>
        <v>3096.9023999999999</v>
      </c>
      <c r="F8">
        <f>+E8*1.5</f>
        <v>4645.3536000000004</v>
      </c>
    </row>
    <row r="9" spans="3:8">
      <c r="C9">
        <f>47.91*2+64.64*2</f>
        <v>225.1</v>
      </c>
      <c r="F9">
        <f>47.91*64.64*1.5</f>
        <v>4645.3536000000004</v>
      </c>
    </row>
    <row r="12" spans="3:8">
      <c r="G12" s="1409" t="s">
        <v>2108</v>
      </c>
    </row>
    <row r="13" spans="3:8">
      <c r="C13">
        <v>48</v>
      </c>
      <c r="D13">
        <v>3</v>
      </c>
      <c r="E13">
        <f>+C13-D13</f>
        <v>45</v>
      </c>
      <c r="F13">
        <f>+E13/3+1</f>
        <v>16</v>
      </c>
      <c r="G13">
        <v>8</v>
      </c>
      <c r="H13">
        <v>7</v>
      </c>
    </row>
    <row r="14" spans="3:8">
      <c r="C14">
        <v>65</v>
      </c>
      <c r="D14">
        <v>3</v>
      </c>
      <c r="E14">
        <f>+C14-D14</f>
        <v>62</v>
      </c>
      <c r="F14">
        <v>22</v>
      </c>
    </row>
    <row r="16" spans="3:8">
      <c r="F16">
        <f>38*2+4</f>
        <v>80</v>
      </c>
    </row>
    <row r="19" spans="3:6">
      <c r="D19">
        <f>45-(16*0.25)</f>
        <v>41</v>
      </c>
      <c r="E19">
        <f>+D19/2</f>
        <v>20.5</v>
      </c>
      <c r="F19">
        <f>2.4*E19</f>
        <v>49.2</v>
      </c>
    </row>
    <row r="20" spans="3:6">
      <c r="D20">
        <f>62-(21*0.25)</f>
        <v>56.75</v>
      </c>
      <c r="E20">
        <f>+D20/2</f>
        <v>28.375</v>
      </c>
      <c r="F20">
        <f>2.4*E20</f>
        <v>68.099999999999994</v>
      </c>
    </row>
    <row r="21" spans="3:6">
      <c r="F21">
        <f>SUM(F19:F20)</f>
        <v>117.3</v>
      </c>
    </row>
    <row r="22" spans="3:6">
      <c r="F22">
        <f>+F21+3*2.4</f>
        <v>124.5</v>
      </c>
    </row>
    <row r="24" spans="3:6">
      <c r="C24" s="1409" t="s">
        <v>2109</v>
      </c>
    </row>
    <row r="26" spans="3:6">
      <c r="C26">
        <v>0.25</v>
      </c>
      <c r="D26">
        <v>0.45</v>
      </c>
      <c r="E26">
        <f>+(E6)</f>
        <v>225.1</v>
      </c>
      <c r="F26">
        <f>+E26*D26*C26</f>
        <v>25.32375</v>
      </c>
    </row>
    <row r="32" spans="3:6">
      <c r="D32" s="1409">
        <f>0.6/2.4</f>
        <v>0.25</v>
      </c>
    </row>
    <row r="34" spans="3:5">
      <c r="C34">
        <f>0.25*0.25*2.8</f>
        <v>0.17499999999999999</v>
      </c>
    </row>
    <row r="35" spans="3:5">
      <c r="C35">
        <f>0.25*0.45*0.25</f>
        <v>2.8125000000000001E-2</v>
      </c>
    </row>
    <row r="36" spans="3:5">
      <c r="C36" s="1326">
        <f>SUM(C34:C35)</f>
        <v>0.2</v>
      </c>
    </row>
    <row r="39" spans="3:5">
      <c r="C39">
        <f>+(47.91*2+64.64*2)</f>
        <v>225.1</v>
      </c>
      <c r="D39">
        <f>0.25*0.45</f>
        <v>0.1125</v>
      </c>
      <c r="E39">
        <f>+D39*C39</f>
        <v>25.32375</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8"/>
  <dimension ref="B2:I23"/>
  <sheetViews>
    <sheetView workbookViewId="0"/>
  </sheetViews>
  <sheetFormatPr baseColWidth="10" defaultColWidth="11.42578125" defaultRowHeight="12.75"/>
  <cols>
    <col min="2" max="2" width="28.42578125" customWidth="1"/>
    <col min="3" max="3" width="45" customWidth="1"/>
    <col min="4" max="4" width="15.28515625" bestFit="1" customWidth="1"/>
  </cols>
  <sheetData>
    <row r="2" spans="2:9" s="1591" customFormat="1">
      <c r="B2" s="1590" t="s">
        <v>2080</v>
      </c>
      <c r="C2" s="1590" t="s">
        <v>2081</v>
      </c>
    </row>
    <row r="3" spans="2:9" s="1043" customFormat="1" ht="15.75">
      <c r="B3" s="1044" t="s">
        <v>2078</v>
      </c>
      <c r="C3" s="1044" t="s">
        <v>2079</v>
      </c>
      <c r="D3" s="1044" t="s">
        <v>2086</v>
      </c>
    </row>
    <row r="4" spans="2:9">
      <c r="B4" t="s">
        <v>2082</v>
      </c>
      <c r="C4" t="s">
        <v>2084</v>
      </c>
      <c r="D4">
        <v>297871173.01999998</v>
      </c>
    </row>
    <row r="5" spans="2:9">
      <c r="B5" t="s">
        <v>2083</v>
      </c>
      <c r="C5" t="s">
        <v>2085</v>
      </c>
      <c r="D5">
        <v>242591075.37</v>
      </c>
    </row>
    <row r="10" spans="2:9">
      <c r="G10" t="s">
        <v>12</v>
      </c>
      <c r="H10" t="s">
        <v>912</v>
      </c>
    </row>
    <row r="11" spans="2:9">
      <c r="G11">
        <v>3.5</v>
      </c>
      <c r="H11">
        <v>3.89</v>
      </c>
      <c r="I11">
        <f>+H11*G11</f>
        <v>13.615</v>
      </c>
    </row>
    <row r="12" spans="2:9">
      <c r="E12">
        <v>18</v>
      </c>
      <c r="G12">
        <v>5.25</v>
      </c>
      <c r="H12">
        <v>2.62</v>
      </c>
      <c r="I12">
        <f t="shared" ref="I12:I19" si="0">+H12*G12</f>
        <v>13.755000000000001</v>
      </c>
    </row>
    <row r="13" spans="2:9">
      <c r="E13">
        <v>18.64</v>
      </c>
      <c r="G13">
        <v>4.75</v>
      </c>
      <c r="H13">
        <f>6.2-3.5</f>
        <v>2.7</v>
      </c>
      <c r="I13">
        <f t="shared" si="0"/>
        <v>12.824999999999999</v>
      </c>
    </row>
    <row r="14" spans="2:9">
      <c r="E14">
        <v>8</v>
      </c>
      <c r="G14">
        <v>6.4</v>
      </c>
      <c r="H14">
        <f>5.97-3.5</f>
        <v>2.4700000000000002</v>
      </c>
      <c r="I14">
        <f t="shared" si="0"/>
        <v>15.808</v>
      </c>
    </row>
    <row r="15" spans="2:9">
      <c r="E15">
        <v>20</v>
      </c>
      <c r="G15">
        <v>1.25</v>
      </c>
      <c r="H15">
        <f>5.71-3.5</f>
        <v>2.21</v>
      </c>
      <c r="I15">
        <f t="shared" si="0"/>
        <v>2.7625000000000002</v>
      </c>
    </row>
    <row r="16" spans="2:9">
      <c r="E16">
        <v>25</v>
      </c>
      <c r="G16">
        <v>2.85</v>
      </c>
      <c r="H16">
        <f>5.24-3.5</f>
        <v>1.74</v>
      </c>
      <c r="I16">
        <f t="shared" si="0"/>
        <v>4.9589999999999996</v>
      </c>
    </row>
    <row r="17" spans="7:9">
      <c r="G17">
        <v>2.48</v>
      </c>
      <c r="H17">
        <f>5.71-3.5</f>
        <v>2.21</v>
      </c>
      <c r="I17">
        <f t="shared" si="0"/>
        <v>5.4808000000000003</v>
      </c>
    </row>
    <row r="18" spans="7:9">
      <c r="I18">
        <f>SUM(I11:I17)</f>
        <v>69.205299999999994</v>
      </c>
    </row>
    <row r="19" spans="7:9">
      <c r="G19">
        <v>14.36</v>
      </c>
      <c r="H19">
        <v>2.31</v>
      </c>
      <c r="I19">
        <f t="shared" si="0"/>
        <v>33.171599999999998</v>
      </c>
    </row>
    <row r="20" spans="7:9">
      <c r="I20">
        <f>+I18*2+I19*2</f>
        <v>204.75380000000001</v>
      </c>
    </row>
    <row r="22" spans="7:9">
      <c r="G22">
        <f>26.48*2</f>
        <v>52.96</v>
      </c>
    </row>
    <row r="23" spans="7:9">
      <c r="G23">
        <f>14.36*2</f>
        <v>28.72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3:O64"/>
  <sheetViews>
    <sheetView workbookViewId="0"/>
  </sheetViews>
  <sheetFormatPr baseColWidth="10" defaultColWidth="11.42578125" defaultRowHeight="12.75"/>
  <sheetData>
    <row r="3" spans="1:5">
      <c r="A3" t="s">
        <v>1765</v>
      </c>
    </row>
    <row r="5" spans="1:5">
      <c r="A5">
        <v>4.0999999999999996</v>
      </c>
      <c r="B5">
        <v>1.4</v>
      </c>
      <c r="C5">
        <v>1.82</v>
      </c>
      <c r="D5">
        <f>+A5*B5*C5</f>
        <v>10.4468</v>
      </c>
      <c r="E5" t="s">
        <v>1897</v>
      </c>
    </row>
    <row r="8" spans="1:5">
      <c r="A8" t="s">
        <v>1902</v>
      </c>
    </row>
    <row r="10" spans="1:5">
      <c r="A10">
        <v>4.0999999999999996</v>
      </c>
      <c r="B10">
        <v>0.2</v>
      </c>
      <c r="C10">
        <v>1.4</v>
      </c>
      <c r="D10">
        <f>+A10*B10*C10</f>
        <v>1.1479999999999999</v>
      </c>
      <c r="E10" t="s">
        <v>1896</v>
      </c>
    </row>
    <row r="12" spans="1:5">
      <c r="A12" t="s">
        <v>1903</v>
      </c>
    </row>
    <row r="14" spans="1:5">
      <c r="A14">
        <v>4.0999999999999996</v>
      </c>
      <c r="B14">
        <v>0.12</v>
      </c>
      <c r="C14">
        <v>1.4</v>
      </c>
      <c r="D14">
        <f>+A14*B14*C14-(3*0.1*0.07+3*0.7*0.7*0.07)</f>
        <v>0.56489999999999996</v>
      </c>
      <c r="E14" t="s">
        <v>1896</v>
      </c>
    </row>
    <row r="16" spans="1:5">
      <c r="A16" s="1409" t="s">
        <v>1907</v>
      </c>
    </row>
    <row r="18" spans="1:5">
      <c r="A18">
        <f>3.7*2+1*4</f>
        <v>11.4</v>
      </c>
      <c r="B18">
        <v>0.2</v>
      </c>
      <c r="C18">
        <v>0.3</v>
      </c>
      <c r="D18">
        <f>+A18*B18*C18*3</f>
        <v>2.052</v>
      </c>
      <c r="E18" t="s">
        <v>1896</v>
      </c>
    </row>
    <row r="21" spans="1:5">
      <c r="A21" t="s">
        <v>1898</v>
      </c>
    </row>
    <row r="23" spans="1:5">
      <c r="A23" t="s">
        <v>1899</v>
      </c>
    </row>
    <row r="25" spans="1:5">
      <c r="A25">
        <f>1.6*2+1*2</f>
        <v>5.2</v>
      </c>
      <c r="B25">
        <v>1.4</v>
      </c>
      <c r="D25">
        <f>+B25*A25</f>
        <v>7.28</v>
      </c>
      <c r="E25" t="s">
        <v>207</v>
      </c>
    </row>
    <row r="27" spans="1:5">
      <c r="A27" t="s">
        <v>1900</v>
      </c>
    </row>
    <row r="29" spans="1:5">
      <c r="A29" t="s">
        <v>1899</v>
      </c>
    </row>
    <row r="31" spans="1:5">
      <c r="A31">
        <f>0.8*2+1</f>
        <v>2.6</v>
      </c>
      <c r="B31">
        <v>1.4</v>
      </c>
      <c r="D31">
        <f>+B31*A31</f>
        <v>3.64</v>
      </c>
      <c r="E31" t="s">
        <v>207</v>
      </c>
    </row>
    <row r="33" spans="1:13">
      <c r="A33" t="s">
        <v>1901</v>
      </c>
    </row>
    <row r="34" spans="1:13">
      <c r="I34">
        <v>1.4</v>
      </c>
      <c r="J34">
        <v>1.4</v>
      </c>
      <c r="K34">
        <v>5</v>
      </c>
      <c r="L34">
        <f>+K34*J34*I34</f>
        <v>9.8000000000000007</v>
      </c>
    </row>
    <row r="35" spans="1:13">
      <c r="A35" t="s">
        <v>1899</v>
      </c>
      <c r="I35">
        <v>1.2</v>
      </c>
      <c r="J35">
        <v>1.4</v>
      </c>
      <c r="K35">
        <v>2</v>
      </c>
      <c r="L35">
        <f>+K35*J35*I35</f>
        <v>3.36</v>
      </c>
    </row>
    <row r="36" spans="1:13">
      <c r="I36">
        <v>0.5</v>
      </c>
      <c r="J36">
        <v>0.9</v>
      </c>
      <c r="K36">
        <v>1</v>
      </c>
      <c r="L36">
        <f>+K36*J36*I36</f>
        <v>0.45</v>
      </c>
    </row>
    <row r="37" spans="1:13">
      <c r="A37">
        <f>0.9*2+1</f>
        <v>2.8</v>
      </c>
      <c r="B37">
        <v>1.4</v>
      </c>
      <c r="D37">
        <f>+B37*A37</f>
        <v>3.92</v>
      </c>
      <c r="E37" t="s">
        <v>207</v>
      </c>
      <c r="L37">
        <f>SUM(L34:L36)</f>
        <v>13.61</v>
      </c>
    </row>
    <row r="40" spans="1:13">
      <c r="A40" t="s">
        <v>900</v>
      </c>
    </row>
    <row r="41" spans="1:13">
      <c r="J41">
        <v>6.24</v>
      </c>
      <c r="K41">
        <v>7.75</v>
      </c>
      <c r="L41">
        <f>+K41*J41</f>
        <v>48.36</v>
      </c>
      <c r="M41">
        <f>+L41*2</f>
        <v>96.72</v>
      </c>
    </row>
    <row r="42" spans="1:13">
      <c r="A42" s="1409" t="s">
        <v>1904</v>
      </c>
    </row>
    <row r="44" spans="1:13">
      <c r="A44">
        <v>1.3</v>
      </c>
      <c r="B44">
        <v>1.3</v>
      </c>
      <c r="C44">
        <v>1.2</v>
      </c>
      <c r="D44">
        <f>+A44*B44*C44-(3*0.1*0.07+3*0.7*0.7*0.07)</f>
        <v>1.9040999999999999</v>
      </c>
      <c r="E44" s="1409" t="s">
        <v>1897</v>
      </c>
    </row>
    <row r="46" spans="1:13">
      <c r="A46" t="s">
        <v>1902</v>
      </c>
    </row>
    <row r="48" spans="1:13">
      <c r="A48">
        <v>1.3</v>
      </c>
      <c r="B48">
        <v>1.3</v>
      </c>
      <c r="C48">
        <v>0.1</v>
      </c>
      <c r="D48">
        <f>+A48*B48*C48</f>
        <v>0.16900000000000001</v>
      </c>
      <c r="E48" t="s">
        <v>1896</v>
      </c>
    </row>
    <row r="50" spans="1:15">
      <c r="A50" s="1409" t="s">
        <v>1905</v>
      </c>
    </row>
    <row r="52" spans="1:15">
      <c r="A52">
        <v>1.3</v>
      </c>
      <c r="B52">
        <v>1.3</v>
      </c>
      <c r="C52">
        <v>0.1</v>
      </c>
      <c r="D52">
        <f>+A52*B52*C52</f>
        <v>0.16900000000000001</v>
      </c>
      <c r="E52" t="s">
        <v>1896</v>
      </c>
    </row>
    <row r="53" spans="1:15">
      <c r="N53">
        <v>1</v>
      </c>
      <c r="O53">
        <v>1.71</v>
      </c>
    </row>
    <row r="54" spans="1:15">
      <c r="A54" s="1409" t="s">
        <v>1906</v>
      </c>
      <c r="N54">
        <v>2</v>
      </c>
      <c r="O54">
        <v>1.7</v>
      </c>
    </row>
    <row r="55" spans="1:15">
      <c r="N55">
        <v>3</v>
      </c>
      <c r="O55">
        <v>1.76</v>
      </c>
    </row>
    <row r="56" spans="1:15">
      <c r="A56">
        <f>1*4</f>
        <v>4</v>
      </c>
      <c r="B56">
        <v>1</v>
      </c>
      <c r="D56">
        <f>+B56*A56</f>
        <v>4</v>
      </c>
      <c r="E56" t="s">
        <v>207</v>
      </c>
      <c r="N56">
        <v>4</v>
      </c>
      <c r="O56">
        <v>1.74</v>
      </c>
    </row>
    <row r="57" spans="1:15">
      <c r="N57">
        <v>5</v>
      </c>
      <c r="O57">
        <v>1.73</v>
      </c>
    </row>
    <row r="58" spans="1:15">
      <c r="N58">
        <v>6</v>
      </c>
      <c r="O58">
        <v>1.8</v>
      </c>
    </row>
    <row r="59" spans="1:15">
      <c r="A59">
        <f>75/3.28</f>
        <v>22.865853658536601</v>
      </c>
      <c r="B59" t="s">
        <v>1895</v>
      </c>
      <c r="N59">
        <v>7</v>
      </c>
      <c r="O59">
        <v>1.73</v>
      </c>
    </row>
    <row r="60" spans="1:15">
      <c r="N60">
        <v>8</v>
      </c>
      <c r="O60">
        <v>1.81</v>
      </c>
    </row>
    <row r="61" spans="1:15">
      <c r="N61">
        <v>9</v>
      </c>
      <c r="O61">
        <v>1.75</v>
      </c>
    </row>
    <row r="62" spans="1:15">
      <c r="N62">
        <v>10</v>
      </c>
      <c r="O62">
        <v>1.81</v>
      </c>
    </row>
    <row r="63" spans="1:15">
      <c r="N63">
        <v>11</v>
      </c>
      <c r="O63">
        <v>1.74</v>
      </c>
    </row>
    <row r="64" spans="1:15">
      <c r="N64">
        <v>12</v>
      </c>
      <c r="O64">
        <v>1.55</v>
      </c>
    </row>
  </sheetData>
  <customSheetViews>
    <customSheetView guid="{43BC9397-3E8C-478C-B548-E4A845A7F82B}">
      <pageMargins left="0.7" right="0.7" top="0.75" bottom="0.75" header="0.3" footer="0.3"/>
      <pageSetup orientation="portrait" r:id="rId1"/>
    </customSheetView>
  </customSheetView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0"/>
  <dimension ref="A3:J54"/>
  <sheetViews>
    <sheetView workbookViewId="0"/>
  </sheetViews>
  <sheetFormatPr baseColWidth="10" defaultColWidth="11.42578125" defaultRowHeight="12.75"/>
  <cols>
    <col min="2" max="2" width="55.85546875" customWidth="1"/>
    <col min="3" max="3" width="12" customWidth="1"/>
    <col min="4" max="4" width="7.28515625" customWidth="1"/>
    <col min="6" max="6" width="13.140625" customWidth="1"/>
  </cols>
  <sheetData>
    <row r="3" spans="1:10">
      <c r="A3">
        <v>11</v>
      </c>
      <c r="B3" t="s">
        <v>1772</v>
      </c>
    </row>
    <row r="4" spans="1:10" s="6" customFormat="1" ht="8.25" customHeight="1">
      <c r="A4"/>
      <c r="B4"/>
      <c r="C4"/>
      <c r="D4"/>
      <c r="E4"/>
      <c r="F4"/>
    </row>
    <row r="5" spans="1:10" s="6" customFormat="1">
      <c r="A5">
        <v>11.1</v>
      </c>
      <c r="B5" t="s">
        <v>1773</v>
      </c>
      <c r="C5"/>
      <c r="D5"/>
      <c r="E5"/>
      <c r="F5"/>
    </row>
    <row r="6" spans="1:10">
      <c r="A6" t="s">
        <v>488</v>
      </c>
      <c r="B6" t="s">
        <v>1774</v>
      </c>
      <c r="C6">
        <v>1</v>
      </c>
      <c r="D6" t="s">
        <v>3</v>
      </c>
      <c r="E6">
        <v>10000</v>
      </c>
      <c r="F6">
        <f>ROUND(E6*C6,2)</f>
        <v>10000</v>
      </c>
      <c r="H6">
        <f>1600*2</f>
        <v>3200</v>
      </c>
      <c r="I6">
        <f>659*2*3</f>
        <v>3954</v>
      </c>
      <c r="J6">
        <f>+I6+H6</f>
        <v>7154</v>
      </c>
    </row>
    <row r="7" spans="1:10" s="6" customFormat="1">
      <c r="A7" t="s">
        <v>489</v>
      </c>
      <c r="B7" t="s">
        <v>1494</v>
      </c>
      <c r="C7">
        <v>1</v>
      </c>
      <c r="D7" t="s">
        <v>3</v>
      </c>
      <c r="E7">
        <v>1500</v>
      </c>
      <c r="F7">
        <f>ROUND(E7*C7,2)</f>
        <v>1500</v>
      </c>
    </row>
    <row r="8" spans="1:10">
      <c r="A8" t="s">
        <v>490</v>
      </c>
      <c r="B8" t="s">
        <v>1775</v>
      </c>
      <c r="C8">
        <v>1</v>
      </c>
      <c r="D8" t="s">
        <v>3</v>
      </c>
      <c r="E8">
        <v>3500</v>
      </c>
      <c r="F8">
        <f t="shared" ref="F8:F54" si="0">ROUND(E8*C8,2)</f>
        <v>3500</v>
      </c>
    </row>
    <row r="9" spans="1:10" s="6" customFormat="1">
      <c r="A9"/>
      <c r="B9"/>
      <c r="C9"/>
      <c r="D9"/>
      <c r="E9"/>
      <c r="F9"/>
    </row>
    <row r="10" spans="1:10" s="6" customFormat="1">
      <c r="A10">
        <v>11.2</v>
      </c>
      <c r="B10" t="s">
        <v>1776</v>
      </c>
      <c r="C10"/>
      <c r="D10"/>
      <c r="E10"/>
      <c r="F10"/>
    </row>
    <row r="11" spans="1:10" s="6" customFormat="1">
      <c r="A11" t="s">
        <v>491</v>
      </c>
      <c r="B11" t="s">
        <v>1777</v>
      </c>
      <c r="C11">
        <v>2.94</v>
      </c>
      <c r="D11" t="s">
        <v>2</v>
      </c>
      <c r="E11">
        <v>7823.19</v>
      </c>
      <c r="F11">
        <f t="shared" si="0"/>
        <v>23000.18</v>
      </c>
    </row>
    <row r="12" spans="1:10" s="6" customFormat="1">
      <c r="A12" t="s">
        <v>492</v>
      </c>
      <c r="B12" t="s">
        <v>1778</v>
      </c>
      <c r="C12">
        <v>1.1499999999999999</v>
      </c>
      <c r="D12" t="s">
        <v>2</v>
      </c>
      <c r="E12">
        <v>9103.3799999999992</v>
      </c>
      <c r="F12">
        <f t="shared" si="0"/>
        <v>10468.89</v>
      </c>
    </row>
    <row r="13" spans="1:10" s="6" customFormat="1">
      <c r="A13" t="s">
        <v>672</v>
      </c>
      <c r="B13" t="s">
        <v>1779</v>
      </c>
      <c r="C13">
        <v>2.16</v>
      </c>
      <c r="D13" t="s">
        <v>2</v>
      </c>
      <c r="E13">
        <v>16472.759999999998</v>
      </c>
      <c r="F13">
        <f t="shared" si="0"/>
        <v>35581.160000000003</v>
      </c>
    </row>
    <row r="14" spans="1:10" s="6" customFormat="1">
      <c r="A14" t="s">
        <v>1780</v>
      </c>
      <c r="B14" t="s">
        <v>1781</v>
      </c>
      <c r="C14">
        <v>1.1000000000000001</v>
      </c>
      <c r="D14" t="s">
        <v>2</v>
      </c>
      <c r="E14">
        <v>26203.39</v>
      </c>
      <c r="F14">
        <f t="shared" si="0"/>
        <v>28823.73</v>
      </c>
    </row>
    <row r="15" spans="1:10" s="6" customFormat="1">
      <c r="A15" t="s">
        <v>1782</v>
      </c>
      <c r="B15" t="s">
        <v>1783</v>
      </c>
      <c r="C15">
        <v>2.8</v>
      </c>
      <c r="D15" t="s">
        <v>2</v>
      </c>
      <c r="E15">
        <v>11421.01</v>
      </c>
      <c r="F15">
        <f t="shared" si="0"/>
        <v>31978.83</v>
      </c>
    </row>
    <row r="16" spans="1:10" s="6" customFormat="1">
      <c r="A16"/>
      <c r="B16"/>
      <c r="C16"/>
      <c r="D16"/>
      <c r="E16"/>
      <c r="F16"/>
    </row>
    <row r="17" spans="1:6" s="6" customFormat="1">
      <c r="A17">
        <v>11.3</v>
      </c>
      <c r="B17" t="s">
        <v>1784</v>
      </c>
      <c r="C17"/>
      <c r="D17"/>
      <c r="E17"/>
      <c r="F17"/>
    </row>
    <row r="18" spans="1:6" s="6" customFormat="1">
      <c r="A18" t="s">
        <v>1785</v>
      </c>
      <c r="B18" t="s">
        <v>1786</v>
      </c>
      <c r="C18">
        <v>48.4</v>
      </c>
      <c r="D18" t="s">
        <v>11</v>
      </c>
      <c r="E18">
        <v>882.26</v>
      </c>
      <c r="F18">
        <f t="shared" si="0"/>
        <v>42701.38</v>
      </c>
    </row>
    <row r="19" spans="1:6" s="6" customFormat="1">
      <c r="A19"/>
      <c r="B19"/>
      <c r="C19"/>
      <c r="D19"/>
      <c r="E19"/>
      <c r="F19"/>
    </row>
    <row r="20" spans="1:6" s="6" customFormat="1">
      <c r="A20">
        <v>11.4</v>
      </c>
      <c r="B20" t="s">
        <v>859</v>
      </c>
      <c r="C20"/>
      <c r="D20"/>
      <c r="E20"/>
      <c r="F20"/>
    </row>
    <row r="21" spans="1:6" s="6" customFormat="1">
      <c r="A21" t="s">
        <v>1787</v>
      </c>
      <c r="B21" t="s">
        <v>1788</v>
      </c>
      <c r="C21">
        <v>52.24</v>
      </c>
      <c r="D21" t="s">
        <v>11</v>
      </c>
      <c r="E21">
        <v>293.23</v>
      </c>
      <c r="F21">
        <f t="shared" si="0"/>
        <v>15318.34</v>
      </c>
    </row>
    <row r="22" spans="1:6" s="6" customFormat="1">
      <c r="A22" t="s">
        <v>1789</v>
      </c>
      <c r="B22" t="s">
        <v>158</v>
      </c>
      <c r="C22">
        <v>48.4</v>
      </c>
      <c r="D22" t="s">
        <v>11</v>
      </c>
      <c r="E22">
        <v>302.86</v>
      </c>
      <c r="F22">
        <f t="shared" si="0"/>
        <v>14658.42</v>
      </c>
    </row>
    <row r="23" spans="1:6" s="6" customFormat="1">
      <c r="A23" t="s">
        <v>1790</v>
      </c>
      <c r="B23" t="s">
        <v>1791</v>
      </c>
      <c r="C23">
        <v>17.2</v>
      </c>
      <c r="D23" t="s">
        <v>11</v>
      </c>
      <c r="E23">
        <v>302.86</v>
      </c>
      <c r="F23">
        <f t="shared" si="0"/>
        <v>5209.1899999999996</v>
      </c>
    </row>
    <row r="24" spans="1:6" s="6" customFormat="1">
      <c r="A24" t="s">
        <v>1792</v>
      </c>
      <c r="B24" t="s">
        <v>889</v>
      </c>
      <c r="C24">
        <v>23.32</v>
      </c>
      <c r="D24" t="s">
        <v>11</v>
      </c>
      <c r="E24">
        <v>490.9</v>
      </c>
      <c r="F24">
        <f t="shared" si="0"/>
        <v>11447.79</v>
      </c>
    </row>
    <row r="25" spans="1:6" s="6" customFormat="1">
      <c r="A25" t="s">
        <v>1793</v>
      </c>
      <c r="B25" t="s">
        <v>1794</v>
      </c>
      <c r="C25">
        <v>117.84</v>
      </c>
      <c r="D25" t="s">
        <v>11</v>
      </c>
      <c r="E25">
        <v>124.55</v>
      </c>
      <c r="F25">
        <f t="shared" si="0"/>
        <v>14676.97</v>
      </c>
    </row>
    <row r="26" spans="1:6" s="6" customFormat="1">
      <c r="A26" t="s">
        <v>1795</v>
      </c>
      <c r="B26" t="s">
        <v>1796</v>
      </c>
      <c r="C26">
        <v>17.2</v>
      </c>
      <c r="D26" t="s">
        <v>11</v>
      </c>
      <c r="E26">
        <v>592.75</v>
      </c>
      <c r="F26">
        <f t="shared" si="0"/>
        <v>10195.299999999999</v>
      </c>
    </row>
    <row r="27" spans="1:6" s="6" customFormat="1">
      <c r="A27" t="s">
        <v>1797</v>
      </c>
      <c r="B27" t="s">
        <v>618</v>
      </c>
      <c r="C27">
        <v>70.8</v>
      </c>
      <c r="D27" t="s">
        <v>1</v>
      </c>
      <c r="E27">
        <v>77.97</v>
      </c>
      <c r="F27">
        <f t="shared" si="0"/>
        <v>5520.28</v>
      </c>
    </row>
    <row r="28" spans="1:6" s="6" customFormat="1">
      <c r="A28" t="s">
        <v>1798</v>
      </c>
      <c r="B28" t="s">
        <v>862</v>
      </c>
      <c r="C28">
        <v>3.56</v>
      </c>
      <c r="D28" t="s">
        <v>11</v>
      </c>
      <c r="E28">
        <v>426.25</v>
      </c>
      <c r="F28">
        <f t="shared" si="0"/>
        <v>1517.45</v>
      </c>
    </row>
    <row r="29" spans="1:6" s="6" customFormat="1">
      <c r="A29" t="s">
        <v>1799</v>
      </c>
      <c r="B29" t="s">
        <v>792</v>
      </c>
      <c r="C29">
        <v>17.8</v>
      </c>
      <c r="D29" t="s">
        <v>1</v>
      </c>
      <c r="E29">
        <v>162.14782500000001</v>
      </c>
      <c r="F29">
        <f t="shared" si="0"/>
        <v>2886.23</v>
      </c>
    </row>
    <row r="30" spans="1:6" s="6" customFormat="1">
      <c r="A30" t="s">
        <v>1800</v>
      </c>
      <c r="B30" t="s">
        <v>1801</v>
      </c>
      <c r="C30">
        <v>10.68</v>
      </c>
      <c r="D30" t="s">
        <v>11</v>
      </c>
      <c r="E30">
        <v>689.67</v>
      </c>
      <c r="F30">
        <f t="shared" si="0"/>
        <v>7365.68</v>
      </c>
    </row>
    <row r="31" spans="1:6" s="6" customFormat="1">
      <c r="A31" t="s">
        <v>1802</v>
      </c>
      <c r="B31" t="s">
        <v>1803</v>
      </c>
      <c r="C31">
        <v>29.38</v>
      </c>
      <c r="D31" t="s">
        <v>2</v>
      </c>
      <c r="E31">
        <v>650</v>
      </c>
      <c r="F31">
        <f t="shared" si="0"/>
        <v>19097</v>
      </c>
    </row>
    <row r="32" spans="1:6" s="6" customFormat="1">
      <c r="A32" t="s">
        <v>1804</v>
      </c>
      <c r="B32" t="s">
        <v>1805</v>
      </c>
      <c r="C32">
        <v>27.911000000000001</v>
      </c>
      <c r="D32" t="s">
        <v>2</v>
      </c>
      <c r="E32">
        <v>183.22</v>
      </c>
      <c r="F32">
        <f t="shared" si="0"/>
        <v>5113.8500000000004</v>
      </c>
    </row>
    <row r="33" spans="1:6" s="6" customFormat="1">
      <c r="A33"/>
      <c r="B33"/>
      <c r="C33"/>
      <c r="D33"/>
      <c r="E33"/>
      <c r="F33"/>
    </row>
    <row r="34" spans="1:6" s="6" customFormat="1">
      <c r="A34">
        <v>11.5</v>
      </c>
      <c r="B34" t="s">
        <v>1806</v>
      </c>
      <c r="C34"/>
      <c r="D34"/>
      <c r="E34"/>
      <c r="F34"/>
    </row>
    <row r="35" spans="1:6" s="6" customFormat="1">
      <c r="A35" t="s">
        <v>679</v>
      </c>
      <c r="B35" t="s">
        <v>1807</v>
      </c>
      <c r="C35">
        <v>1</v>
      </c>
      <c r="D35" t="s">
        <v>3</v>
      </c>
      <c r="E35">
        <v>3600</v>
      </c>
      <c r="F35">
        <f t="shared" si="0"/>
        <v>3600</v>
      </c>
    </row>
    <row r="36" spans="1:6" s="6" customFormat="1">
      <c r="A36" t="s">
        <v>684</v>
      </c>
      <c r="B36" t="s">
        <v>1808</v>
      </c>
      <c r="C36">
        <v>2</v>
      </c>
      <c r="D36" t="s">
        <v>3</v>
      </c>
      <c r="E36">
        <v>1370.74</v>
      </c>
      <c r="F36">
        <f t="shared" si="0"/>
        <v>2741.48</v>
      </c>
    </row>
    <row r="37" spans="1:6" s="6" customFormat="1">
      <c r="A37" t="s">
        <v>1809</v>
      </c>
      <c r="B37" t="s">
        <v>1810</v>
      </c>
      <c r="C37">
        <v>2</v>
      </c>
      <c r="D37" t="s">
        <v>3</v>
      </c>
      <c r="E37">
        <v>1420.28</v>
      </c>
      <c r="F37">
        <f t="shared" si="0"/>
        <v>2840.56</v>
      </c>
    </row>
    <row r="38" spans="1:6" s="6" customFormat="1">
      <c r="A38" t="s">
        <v>1811</v>
      </c>
      <c r="B38" t="s">
        <v>869</v>
      </c>
      <c r="C38">
        <v>2</v>
      </c>
      <c r="D38" t="s">
        <v>3</v>
      </c>
      <c r="E38">
        <v>1453.9</v>
      </c>
      <c r="F38">
        <f t="shared" si="0"/>
        <v>2907.8</v>
      </c>
    </row>
    <row r="39" spans="1:6" s="6" customFormat="1">
      <c r="A39" t="s">
        <v>1812</v>
      </c>
      <c r="B39" t="s">
        <v>1813</v>
      </c>
      <c r="C39">
        <v>2</v>
      </c>
      <c r="D39" t="s">
        <v>3</v>
      </c>
      <c r="E39">
        <v>3798.32</v>
      </c>
      <c r="F39">
        <f t="shared" si="0"/>
        <v>7596.64</v>
      </c>
    </row>
    <row r="40" spans="1:6" s="6" customFormat="1">
      <c r="A40" t="s">
        <v>1814</v>
      </c>
      <c r="B40" t="s">
        <v>1815</v>
      </c>
      <c r="C40">
        <v>1</v>
      </c>
      <c r="D40" t="s">
        <v>3</v>
      </c>
      <c r="E40">
        <v>6000</v>
      </c>
      <c r="F40">
        <f t="shared" si="0"/>
        <v>6000</v>
      </c>
    </row>
    <row r="41" spans="1:6" s="6" customFormat="1">
      <c r="A41"/>
      <c r="B41"/>
      <c r="C41"/>
      <c r="D41"/>
      <c r="E41"/>
      <c r="F41"/>
    </row>
    <row r="42" spans="1:6" s="6" customFormat="1">
      <c r="A42">
        <v>11.6</v>
      </c>
      <c r="B42" t="s">
        <v>1816</v>
      </c>
      <c r="C42"/>
      <c r="D42"/>
      <c r="E42"/>
      <c r="F42"/>
    </row>
    <row r="43" spans="1:6" s="6" customFormat="1">
      <c r="A43" t="s">
        <v>1817</v>
      </c>
      <c r="B43" t="s">
        <v>1818</v>
      </c>
      <c r="C43">
        <v>1</v>
      </c>
      <c r="D43" t="s">
        <v>3</v>
      </c>
      <c r="E43">
        <v>161103.6</v>
      </c>
      <c r="F43">
        <f t="shared" si="0"/>
        <v>161103.6</v>
      </c>
    </row>
    <row r="44" spans="1:6" s="6" customFormat="1">
      <c r="A44" t="s">
        <v>1819</v>
      </c>
      <c r="B44" t="s">
        <v>1820</v>
      </c>
      <c r="C44">
        <v>1</v>
      </c>
      <c r="D44" t="s">
        <v>3</v>
      </c>
      <c r="E44">
        <v>39255.199999999997</v>
      </c>
      <c r="F44">
        <f t="shared" si="0"/>
        <v>39255.199999999997</v>
      </c>
    </row>
    <row r="45" spans="1:6" s="6" customFormat="1">
      <c r="A45" t="s">
        <v>1821</v>
      </c>
      <c r="B45" t="s">
        <v>1822</v>
      </c>
      <c r="C45">
        <v>2</v>
      </c>
      <c r="D45" t="s">
        <v>3</v>
      </c>
      <c r="E45">
        <v>165732.25</v>
      </c>
      <c r="F45">
        <f t="shared" si="0"/>
        <v>331464.5</v>
      </c>
    </row>
    <row r="46" spans="1:6" s="6" customFormat="1">
      <c r="A46" t="s">
        <v>1823</v>
      </c>
      <c r="B46" t="s">
        <v>1824</v>
      </c>
      <c r="C46">
        <v>3</v>
      </c>
      <c r="D46" t="s">
        <v>3</v>
      </c>
      <c r="E46">
        <v>4882.5</v>
      </c>
      <c r="F46">
        <f t="shared" si="0"/>
        <v>14647.5</v>
      </c>
    </row>
    <row r="47" spans="1:6" s="6" customFormat="1">
      <c r="A47" t="s">
        <v>1825</v>
      </c>
      <c r="B47" t="s">
        <v>1826</v>
      </c>
      <c r="C47">
        <v>1</v>
      </c>
      <c r="D47" t="s">
        <v>3</v>
      </c>
      <c r="E47">
        <v>60000</v>
      </c>
      <c r="F47">
        <f t="shared" si="0"/>
        <v>60000</v>
      </c>
    </row>
    <row r="48" spans="1:6" s="6" customFormat="1">
      <c r="A48" t="s">
        <v>1827</v>
      </c>
      <c r="B48" t="s">
        <v>1828</v>
      </c>
      <c r="C48">
        <v>1</v>
      </c>
      <c r="D48" t="s">
        <v>3</v>
      </c>
      <c r="E48">
        <v>159500</v>
      </c>
      <c r="F48">
        <f t="shared" si="0"/>
        <v>159500</v>
      </c>
    </row>
    <row r="49" spans="1:6" s="6" customFormat="1">
      <c r="A49" t="s">
        <v>1829</v>
      </c>
      <c r="B49" t="s">
        <v>1830</v>
      </c>
      <c r="C49">
        <v>1</v>
      </c>
      <c r="D49" t="s">
        <v>3</v>
      </c>
      <c r="E49">
        <v>32500</v>
      </c>
      <c r="F49">
        <f t="shared" si="0"/>
        <v>32500</v>
      </c>
    </row>
    <row r="50" spans="1:6" s="6" customFormat="1">
      <c r="A50" t="s">
        <v>1831</v>
      </c>
      <c r="B50" t="s">
        <v>1832</v>
      </c>
      <c r="C50">
        <v>1</v>
      </c>
      <c r="D50" t="s">
        <v>3</v>
      </c>
      <c r="E50">
        <v>25000</v>
      </c>
      <c r="F50">
        <f>ROUND(E50*C50,2)</f>
        <v>25000</v>
      </c>
    </row>
    <row r="51" spans="1:6" s="6" customFormat="1">
      <c r="A51" t="s">
        <v>1833</v>
      </c>
      <c r="B51" t="s">
        <v>1834</v>
      </c>
      <c r="C51">
        <v>1</v>
      </c>
      <c r="D51" t="s">
        <v>3</v>
      </c>
      <c r="E51">
        <v>30000</v>
      </c>
      <c r="F51">
        <f t="shared" si="0"/>
        <v>30000</v>
      </c>
    </row>
    <row r="52" spans="1:6" s="6" customFormat="1">
      <c r="A52" t="s">
        <v>1835</v>
      </c>
      <c r="B52" t="s">
        <v>1836</v>
      </c>
      <c r="C52">
        <v>1</v>
      </c>
      <c r="D52" t="s">
        <v>3</v>
      </c>
      <c r="E52">
        <v>36855</v>
      </c>
      <c r="F52">
        <f t="shared" si="0"/>
        <v>36855</v>
      </c>
    </row>
    <row r="53" spans="1:6" s="6" customFormat="1">
      <c r="A53" t="s">
        <v>1837</v>
      </c>
      <c r="B53" t="s">
        <v>1838</v>
      </c>
      <c r="C53">
        <v>1</v>
      </c>
      <c r="D53" t="s">
        <v>3</v>
      </c>
      <c r="E53">
        <v>2500</v>
      </c>
      <c r="F53">
        <f t="shared" si="0"/>
        <v>2500</v>
      </c>
    </row>
    <row r="54" spans="1:6" s="6" customFormat="1">
      <c r="A54" t="s">
        <v>1839</v>
      </c>
      <c r="B54" t="s">
        <v>1023</v>
      </c>
      <c r="C54">
        <v>1</v>
      </c>
      <c r="D54" t="s">
        <v>3</v>
      </c>
      <c r="E54">
        <v>3500</v>
      </c>
      <c r="F54">
        <f t="shared" si="0"/>
        <v>3500</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1"/>
  <dimension ref="A18:D30"/>
  <sheetViews>
    <sheetView workbookViewId="0"/>
  </sheetViews>
  <sheetFormatPr baseColWidth="10" defaultColWidth="11.42578125" defaultRowHeight="12.75"/>
  <cols>
    <col min="1" max="1" width="12.5703125" bestFit="1" customWidth="1"/>
    <col min="3" max="3" width="67.85546875" bestFit="1" customWidth="1"/>
  </cols>
  <sheetData>
    <row r="18" spans="1:4">
      <c r="B18">
        <v>1</v>
      </c>
      <c r="C18" s="1409" t="s">
        <v>1961</v>
      </c>
      <c r="D18">
        <v>2</v>
      </c>
    </row>
    <row r="19" spans="1:4">
      <c r="B19">
        <v>2</v>
      </c>
      <c r="C19" s="1409" t="s">
        <v>1962</v>
      </c>
      <c r="D19">
        <v>2</v>
      </c>
    </row>
    <row r="20" spans="1:4">
      <c r="B20">
        <v>3</v>
      </c>
      <c r="C20" s="1409" t="s">
        <v>1963</v>
      </c>
      <c r="D20">
        <v>3</v>
      </c>
    </row>
    <row r="21" spans="1:4">
      <c r="A21" s="1409" t="s">
        <v>1974</v>
      </c>
      <c r="B21">
        <v>4</v>
      </c>
      <c r="C21" t="s">
        <v>1964</v>
      </c>
      <c r="D21">
        <v>2</v>
      </c>
    </row>
    <row r="22" spans="1:4">
      <c r="A22" s="1409" t="s">
        <v>1974</v>
      </c>
      <c r="B22">
        <v>5</v>
      </c>
      <c r="C22" t="s">
        <v>1965</v>
      </c>
      <c r="D22">
        <v>2</v>
      </c>
    </row>
    <row r="23" spans="1:4">
      <c r="B23">
        <v>6</v>
      </c>
      <c r="C23" s="1409" t="s">
        <v>1966</v>
      </c>
      <c r="D23">
        <v>2</v>
      </c>
    </row>
    <row r="24" spans="1:4">
      <c r="B24">
        <v>7</v>
      </c>
      <c r="C24" s="1409" t="s">
        <v>1973</v>
      </c>
      <c r="D24">
        <v>2</v>
      </c>
    </row>
    <row r="25" spans="1:4">
      <c r="B25">
        <v>8</v>
      </c>
      <c r="C25" s="1409" t="s">
        <v>1967</v>
      </c>
      <c r="D25">
        <f>5*2</f>
        <v>10</v>
      </c>
    </row>
    <row r="26" spans="1:4">
      <c r="B26">
        <v>9</v>
      </c>
      <c r="C26" s="1409" t="s">
        <v>1968</v>
      </c>
      <c r="D26">
        <v>3</v>
      </c>
    </row>
    <row r="27" spans="1:4">
      <c r="B27">
        <v>10</v>
      </c>
      <c r="C27" s="1409" t="s">
        <v>1969</v>
      </c>
      <c r="D27">
        <v>4</v>
      </c>
    </row>
    <row r="28" spans="1:4">
      <c r="B28">
        <v>11</v>
      </c>
      <c r="C28" s="1409" t="s">
        <v>1970</v>
      </c>
      <c r="D28">
        <v>1</v>
      </c>
    </row>
    <row r="29" spans="1:4">
      <c r="B29">
        <v>12</v>
      </c>
      <c r="C29" s="1409" t="s">
        <v>1971</v>
      </c>
      <c r="D29">
        <v>2</v>
      </c>
    </row>
    <row r="30" spans="1:4">
      <c r="B30">
        <v>13</v>
      </c>
      <c r="C30" s="1409" t="s">
        <v>1972</v>
      </c>
      <c r="D30">
        <v>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2"/>
  <dimension ref="A4:M44"/>
  <sheetViews>
    <sheetView workbookViewId="0"/>
  </sheetViews>
  <sheetFormatPr baseColWidth="10" defaultColWidth="11.42578125" defaultRowHeight="12.75"/>
  <cols>
    <col min="1" max="1" width="60.5703125" bestFit="1" customWidth="1"/>
    <col min="2" max="2" width="4.5703125" customWidth="1"/>
    <col min="3" max="3" width="11.42578125" style="1591"/>
  </cols>
  <sheetData>
    <row r="4" spans="1:13">
      <c r="C4" s="1590" t="s">
        <v>1544</v>
      </c>
    </row>
    <row r="5" spans="1:13" s="1598" customFormat="1">
      <c r="A5" s="1658" t="s">
        <v>1534</v>
      </c>
      <c r="B5" s="1659"/>
      <c r="C5" s="1657">
        <v>5.88</v>
      </c>
    </row>
    <row r="6" spans="1:13" s="1598" customFormat="1" ht="25.5">
      <c r="A6" s="1660" t="s">
        <v>1532</v>
      </c>
      <c r="B6" s="1659"/>
      <c r="C6" s="1657">
        <f>8.21+3.28</f>
        <v>11.49</v>
      </c>
      <c r="M6" s="1659" t="s">
        <v>1548</v>
      </c>
    </row>
    <row r="7" spans="1:13" s="1598" customFormat="1">
      <c r="A7" s="1661" t="s">
        <v>1522</v>
      </c>
      <c r="C7" s="1657">
        <v>749.58</v>
      </c>
      <c r="M7" s="1598">
        <f>4.06-0.6</f>
        <v>3.46</v>
      </c>
    </row>
    <row r="8" spans="1:13" s="1598" customFormat="1">
      <c r="A8" s="1661" t="s">
        <v>1523</v>
      </c>
      <c r="C8" s="1657">
        <v>5.97</v>
      </c>
      <c r="H8" s="1598">
        <v>18.95</v>
      </c>
      <c r="I8" s="1598">
        <v>0.8</v>
      </c>
      <c r="J8" s="1598">
        <f>+H8-I8</f>
        <v>18.149999999999999</v>
      </c>
      <c r="M8" s="1598">
        <f>7.41*6</f>
        <v>44.46</v>
      </c>
    </row>
    <row r="9" spans="1:13" s="1598" customFormat="1">
      <c r="A9" s="1661" t="s">
        <v>1524</v>
      </c>
      <c r="C9" s="1657">
        <v>61.98</v>
      </c>
      <c r="H9" s="1598">
        <v>12.86</v>
      </c>
      <c r="I9" s="1598">
        <f>1.05*4</f>
        <v>4.2</v>
      </c>
      <c r="J9" s="1598">
        <f>+I9+H9</f>
        <v>17.059999999999999</v>
      </c>
    </row>
    <row r="10" spans="1:13" s="1598" customFormat="1">
      <c r="A10" s="1658" t="s">
        <v>1525</v>
      </c>
      <c r="C10" s="1657">
        <f>7.74+16.77</f>
        <v>24.51</v>
      </c>
      <c r="H10" s="1598">
        <f>1.28+5.15+1.25+2.85+1.25+1.28</f>
        <v>13.06</v>
      </c>
      <c r="I10" s="1598">
        <f>1.05*4</f>
        <v>4.2</v>
      </c>
      <c r="J10" s="1598">
        <f>+H10+I10</f>
        <v>17.260000000000002</v>
      </c>
    </row>
    <row r="11" spans="1:13" s="1598" customFormat="1">
      <c r="A11" s="1658" t="s">
        <v>1526</v>
      </c>
      <c r="C11" s="1657">
        <v>37.74</v>
      </c>
      <c r="H11" s="1598">
        <f>7.41-4.06+0.25*6+(1.38+0.25+1.38)*2+1.38*8</f>
        <v>21.91</v>
      </c>
      <c r="I11" s="1598">
        <f>12.86-7.41</f>
        <v>5.45</v>
      </c>
      <c r="J11" s="1598">
        <f>+I11+H11</f>
        <v>27.36</v>
      </c>
    </row>
    <row r="12" spans="1:13" s="1598" customFormat="1">
      <c r="A12" s="1661" t="s">
        <v>1527</v>
      </c>
      <c r="C12" s="1657">
        <v>36.979999999999997</v>
      </c>
      <c r="J12" s="1598">
        <f>SUM(J8:J11)</f>
        <v>79.83</v>
      </c>
      <c r="K12" s="1598">
        <f>+(4.92+4.52)/2</f>
        <v>4.72</v>
      </c>
      <c r="L12" s="1662">
        <f>+K12*J12</f>
        <v>376.79759999999999</v>
      </c>
    </row>
    <row r="13" spans="1:13" s="1598" customFormat="1">
      <c r="A13" s="1661" t="s">
        <v>1528</v>
      </c>
      <c r="C13" s="1657">
        <v>14.63</v>
      </c>
    </row>
    <row r="14" spans="1:13" s="1598" customFormat="1">
      <c r="A14" s="1661" t="s">
        <v>1529</v>
      </c>
      <c r="C14" s="1657">
        <v>68.61</v>
      </c>
    </row>
    <row r="15" spans="1:13" s="1598" customFormat="1">
      <c r="A15" s="1658" t="s">
        <v>1530</v>
      </c>
      <c r="C15" s="1657">
        <f>3.37+3.39+11.2</f>
        <v>17.96</v>
      </c>
    </row>
    <row r="16" spans="1:13" s="1598" customFormat="1">
      <c r="A16" s="1658" t="s">
        <v>1531</v>
      </c>
      <c r="C16" s="1657">
        <v>0.28000000000000003</v>
      </c>
    </row>
    <row r="17" spans="1:8">
      <c r="C17" s="1592">
        <f>SUM(C5:C16)</f>
        <v>1035.6099999999999</v>
      </c>
    </row>
    <row r="22" spans="1:8">
      <c r="H22" t="s">
        <v>1549</v>
      </c>
    </row>
    <row r="24" spans="1:8">
      <c r="A24" s="1593" t="s">
        <v>1539</v>
      </c>
      <c r="C24" s="1657">
        <v>250.36</v>
      </c>
      <c r="D24" s="1663"/>
    </row>
    <row r="25" spans="1:8">
      <c r="A25" s="1593" t="s">
        <v>1533</v>
      </c>
      <c r="C25" s="1657">
        <v>22.34</v>
      </c>
      <c r="D25" s="1664"/>
    </row>
    <row r="26" spans="1:8">
      <c r="A26" s="1593" t="s">
        <v>1535</v>
      </c>
      <c r="C26" s="1657">
        <v>5.63</v>
      </c>
      <c r="D26" s="1665" t="s">
        <v>43</v>
      </c>
    </row>
    <row r="27" spans="1:8">
      <c r="A27" s="1593" t="s">
        <v>1536</v>
      </c>
      <c r="C27" s="1657">
        <v>5.7</v>
      </c>
      <c r="D27" s="1664"/>
    </row>
    <row r="28" spans="1:8">
      <c r="A28" s="1593" t="s">
        <v>1537</v>
      </c>
      <c r="C28" s="1657">
        <v>44.02</v>
      </c>
    </row>
    <row r="29" spans="1:8">
      <c r="A29" s="1593" t="s">
        <v>1538</v>
      </c>
      <c r="C29" s="1657">
        <v>7.47</v>
      </c>
    </row>
    <row r="30" spans="1:8">
      <c r="A30" s="1593" t="s">
        <v>1540</v>
      </c>
      <c r="C30" s="1657">
        <v>1.53</v>
      </c>
      <c r="D30" s="1664"/>
    </row>
    <row r="31" spans="1:8">
      <c r="A31" s="1593" t="s">
        <v>1542</v>
      </c>
      <c r="C31" s="1657">
        <v>1.89</v>
      </c>
      <c r="D31" s="1664"/>
    </row>
    <row r="32" spans="1:8">
      <c r="C32" s="1592">
        <f>SUM(C24:C31)</f>
        <v>338.94</v>
      </c>
    </row>
    <row r="35" spans="1:3">
      <c r="A35" s="1593" t="s">
        <v>1541</v>
      </c>
      <c r="C35" s="1657">
        <v>47.75</v>
      </c>
    </row>
    <row r="36" spans="1:3">
      <c r="A36" s="1593" t="s">
        <v>1543</v>
      </c>
      <c r="C36" s="1657">
        <v>3.83</v>
      </c>
    </row>
    <row r="37" spans="1:3">
      <c r="C37" s="1592">
        <f>SUM(C35:C36)</f>
        <v>51.58</v>
      </c>
    </row>
    <row r="40" spans="1:3">
      <c r="C40" s="1591">
        <f>51.58+338.94+1035.61</f>
        <v>1426.13</v>
      </c>
    </row>
    <row r="41" spans="1:3">
      <c r="C41" s="1591">
        <v>452.26</v>
      </c>
    </row>
    <row r="42" spans="1:3">
      <c r="C42" s="1591">
        <v>338.94</v>
      </c>
    </row>
    <row r="43" spans="1:3">
      <c r="C43" s="1591">
        <v>51.58</v>
      </c>
    </row>
    <row r="44" spans="1:3">
      <c r="C44" s="1591">
        <f>+C40-C41-C42-C43</f>
        <v>583.35</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3"/>
  <dimension ref="A5:C29"/>
  <sheetViews>
    <sheetView workbookViewId="0"/>
  </sheetViews>
  <sheetFormatPr baseColWidth="10" defaultColWidth="11.42578125" defaultRowHeight="12.75"/>
  <cols>
    <col min="2" max="2" width="25.85546875" bestFit="1" customWidth="1"/>
  </cols>
  <sheetData>
    <row r="5" spans="1:2">
      <c r="B5" s="1409" t="s">
        <v>1238</v>
      </c>
    </row>
    <row r="7" spans="1:2">
      <c r="A7" s="1409" t="s">
        <v>482</v>
      </c>
      <c r="B7" s="1409" t="s">
        <v>1238</v>
      </c>
    </row>
    <row r="8" spans="1:2">
      <c r="A8" s="1409" t="s">
        <v>1239</v>
      </c>
      <c r="B8" s="1409" t="s">
        <v>1240</v>
      </c>
    </row>
    <row r="9" spans="1:2">
      <c r="A9" s="1409" t="s">
        <v>1241</v>
      </c>
      <c r="B9" s="1409" t="s">
        <v>1242</v>
      </c>
    </row>
    <row r="10" spans="1:2">
      <c r="A10" s="1409" t="s">
        <v>1243</v>
      </c>
      <c r="B10" s="1409" t="s">
        <v>1244</v>
      </c>
    </row>
    <row r="11" spans="1:2">
      <c r="B11" s="1409" t="s">
        <v>590</v>
      </c>
    </row>
    <row r="12" spans="1:2">
      <c r="B12" s="1409" t="s">
        <v>607</v>
      </c>
    </row>
    <row r="13" spans="1:2">
      <c r="B13" s="1409" t="s">
        <v>626</v>
      </c>
    </row>
    <row r="14" spans="1:2">
      <c r="B14" s="1409" t="s">
        <v>633</v>
      </c>
    </row>
    <row r="15" spans="1:2">
      <c r="B15" s="1409" t="s">
        <v>642</v>
      </c>
    </row>
    <row r="16" spans="1:2">
      <c r="B16" s="1409" t="s">
        <v>662</v>
      </c>
    </row>
    <row r="17" spans="1:3">
      <c r="B17" s="1409" t="s">
        <v>666</v>
      </c>
    </row>
    <row r="18" spans="1:3">
      <c r="B18" s="1409" t="s">
        <v>671</v>
      </c>
    </row>
    <row r="19" spans="1:3">
      <c r="B19" s="1409" t="s">
        <v>673</v>
      </c>
    </row>
    <row r="20" spans="1:3">
      <c r="B20" s="1409" t="s">
        <v>715</v>
      </c>
    </row>
    <row r="21" spans="1:3">
      <c r="B21" s="1409" t="s">
        <v>719</v>
      </c>
    </row>
    <row r="22" spans="1:3">
      <c r="B22" s="1409" t="s">
        <v>723</v>
      </c>
    </row>
    <row r="23" spans="1:3">
      <c r="B23" s="1409" t="s">
        <v>728</v>
      </c>
    </row>
    <row r="24" spans="1:3">
      <c r="B24" s="1409" t="s">
        <v>736</v>
      </c>
    </row>
    <row r="25" spans="1:3">
      <c r="B25" s="1409" t="s">
        <v>741</v>
      </c>
    </row>
    <row r="26" spans="1:3">
      <c r="B26" s="1409" t="s">
        <v>760</v>
      </c>
    </row>
    <row r="27" spans="1:3">
      <c r="B27" s="1409"/>
    </row>
    <row r="28" spans="1:3">
      <c r="A28" s="1409" t="s">
        <v>774</v>
      </c>
      <c r="B28" s="1409" t="s">
        <v>1245</v>
      </c>
      <c r="C28" s="1409" t="s">
        <v>1246</v>
      </c>
    </row>
    <row r="29" spans="1:3">
      <c r="B29" s="1409"/>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4"/>
  <dimension ref="C9:J33"/>
  <sheetViews>
    <sheetView workbookViewId="0"/>
  </sheetViews>
  <sheetFormatPr baseColWidth="10" defaultColWidth="11.42578125" defaultRowHeight="12.75"/>
  <sheetData>
    <row r="9" spans="6:10">
      <c r="F9">
        <f>9*2+7.2</f>
        <v>25.2</v>
      </c>
      <c r="G9">
        <v>1.2</v>
      </c>
      <c r="H9">
        <v>0.2</v>
      </c>
      <c r="I9">
        <f>+H9*G9*F9</f>
        <v>6.048</v>
      </c>
    </row>
    <row r="10" spans="6:10">
      <c r="F10">
        <v>4</v>
      </c>
      <c r="G10">
        <f>0.45+0.45+0.3</f>
        <v>1.2</v>
      </c>
      <c r="H10">
        <v>0.15</v>
      </c>
      <c r="I10">
        <f>+H10*G10*F10</f>
        <v>0.72</v>
      </c>
      <c r="J10">
        <f>+I10*1.05</f>
        <v>0.75600000000000001</v>
      </c>
    </row>
    <row r="11" spans="6:10">
      <c r="F11">
        <v>1</v>
      </c>
      <c r="G11">
        <f>0.45+0.45+0.3</f>
        <v>1.2</v>
      </c>
      <c r="H11">
        <v>0.35</v>
      </c>
      <c r="I11">
        <f>+H11*G11*F11</f>
        <v>0.42</v>
      </c>
      <c r="J11">
        <f>+I11*1.05</f>
        <v>0.441</v>
      </c>
    </row>
    <row r="12" spans="6:10">
      <c r="I12">
        <f>SUM(I9:I11)</f>
        <v>7.1879999999999997</v>
      </c>
      <c r="J12" s="1326">
        <f>+I12*1.05</f>
        <v>7.55</v>
      </c>
    </row>
    <row r="19" spans="3:9">
      <c r="G19" s="1409" t="s">
        <v>1564</v>
      </c>
      <c r="I19">
        <f>18.15+12.86*2+13.35</f>
        <v>57.22</v>
      </c>
    </row>
    <row r="20" spans="3:9">
      <c r="C20">
        <f>6.01-1.2</f>
        <v>4.8099999999999996</v>
      </c>
      <c r="D20">
        <v>2</v>
      </c>
      <c r="E20">
        <f>+D20*C20</f>
        <v>9.6199999999999992</v>
      </c>
      <c r="I20">
        <f>0.8*I19</f>
        <v>45.776000000000003</v>
      </c>
    </row>
    <row r="21" spans="3:9">
      <c r="C21">
        <v>4.5</v>
      </c>
      <c r="D21">
        <v>10</v>
      </c>
      <c r="E21">
        <f>+D21*C21</f>
        <v>45</v>
      </c>
    </row>
    <row r="22" spans="3:9">
      <c r="C22">
        <v>12.26</v>
      </c>
      <c r="D22">
        <v>1</v>
      </c>
      <c r="E22">
        <f t="shared" ref="E22:E32" si="0">+D22*C22</f>
        <v>12.26</v>
      </c>
    </row>
    <row r="23" spans="3:9">
      <c r="C23" s="1409">
        <f>9.87+9.87-2.67-0.2</f>
        <v>16.87</v>
      </c>
      <c r="D23">
        <v>1</v>
      </c>
      <c r="E23">
        <f t="shared" si="0"/>
        <v>16.87</v>
      </c>
    </row>
    <row r="24" spans="3:9">
      <c r="C24" s="1409">
        <f>0.98+0.48</f>
        <v>1.46</v>
      </c>
      <c r="D24">
        <v>1</v>
      </c>
      <c r="E24">
        <f t="shared" si="0"/>
        <v>1.46</v>
      </c>
    </row>
    <row r="25" spans="3:9">
      <c r="C25">
        <v>11.36</v>
      </c>
      <c r="D25">
        <v>2</v>
      </c>
      <c r="E25">
        <f t="shared" si="0"/>
        <v>22.72</v>
      </c>
    </row>
    <row r="26" spans="3:9">
      <c r="C26">
        <v>4.83</v>
      </c>
      <c r="D26">
        <v>8</v>
      </c>
      <c r="E26">
        <f t="shared" si="0"/>
        <v>38.64</v>
      </c>
    </row>
    <row r="27" spans="3:9">
      <c r="C27">
        <v>12.26</v>
      </c>
      <c r="D27">
        <v>2</v>
      </c>
      <c r="E27">
        <f t="shared" si="0"/>
        <v>24.52</v>
      </c>
    </row>
    <row r="28" spans="3:9">
      <c r="C28">
        <v>1.03</v>
      </c>
      <c r="D28">
        <v>2</v>
      </c>
      <c r="E28">
        <f t="shared" si="0"/>
        <v>2.06</v>
      </c>
    </row>
    <row r="29" spans="3:9">
      <c r="C29">
        <f>12.26-5*0.45-6*0.2-2*0.15</f>
        <v>8.51</v>
      </c>
      <c r="D29">
        <v>1</v>
      </c>
      <c r="E29">
        <f t="shared" si="0"/>
        <v>8.51</v>
      </c>
    </row>
    <row r="30" spans="3:9">
      <c r="C30">
        <v>3.75</v>
      </c>
      <c r="D30">
        <v>12</v>
      </c>
      <c r="E30">
        <f t="shared" si="0"/>
        <v>45</v>
      </c>
    </row>
    <row r="31" spans="3:9">
      <c r="C31">
        <v>12.26</v>
      </c>
      <c r="D31">
        <v>2</v>
      </c>
      <c r="E31">
        <f t="shared" si="0"/>
        <v>24.52</v>
      </c>
    </row>
    <row r="32" spans="3:9">
      <c r="C32">
        <v>0.98</v>
      </c>
      <c r="D32">
        <v>2</v>
      </c>
      <c r="E32">
        <f t="shared" si="0"/>
        <v>1.96</v>
      </c>
    </row>
    <row r="33" spans="5:5">
      <c r="E33" s="1735">
        <f>SUM(E20:E32)</f>
        <v>253.14</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5"/>
  <dimension ref="D15"/>
  <sheetViews>
    <sheetView workbookViewId="0"/>
  </sheetViews>
  <sheetFormatPr baseColWidth="10" defaultColWidth="11.42578125" defaultRowHeight="12.75"/>
  <sheetData>
    <row r="15" spans="4:4">
      <c r="D15">
        <f>13.8/0.2</f>
        <v>69</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6"/>
  <dimension ref="A1:H47"/>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3.5" thickBot="1">
      <c r="A2" s="1273" t="s">
        <v>1217</v>
      </c>
      <c r="B2" s="1274"/>
      <c r="C2" s="1275"/>
      <c r="D2" s="1274"/>
      <c r="E2" s="1274"/>
    </row>
    <row r="3" spans="1:8" ht="13.5" thickTop="1">
      <c r="A3" s="1276" t="s">
        <v>1085</v>
      </c>
      <c r="B3" s="1277">
        <v>1.05</v>
      </c>
      <c r="C3" s="1278" t="s">
        <v>2</v>
      </c>
      <c r="D3" s="1277">
        <v>8030.02</v>
      </c>
      <c r="E3" s="1279">
        <f>B3*D3</f>
        <v>8431.52</v>
      </c>
      <c r="G3" s="1269">
        <v>5701</v>
      </c>
    </row>
    <row r="4" spans="1:8">
      <c r="A4" s="1280" t="s">
        <v>272</v>
      </c>
      <c r="B4" s="1281">
        <v>1.4</v>
      </c>
      <c r="C4" s="1282" t="s">
        <v>126</v>
      </c>
      <c r="D4" s="1281">
        <v>2745.66</v>
      </c>
      <c r="E4" s="1283">
        <f>B4*D4</f>
        <v>3843.92</v>
      </c>
      <c r="F4" s="1268">
        <f>15.54/11.42</f>
        <v>1.36077057793345</v>
      </c>
      <c r="G4" s="1269">
        <v>2745.66</v>
      </c>
      <c r="H4" s="1317">
        <f>16.96/12.1</f>
        <v>1.40165289256198</v>
      </c>
    </row>
    <row r="5" spans="1:8" ht="13.5" thickBot="1">
      <c r="A5" s="1284"/>
      <c r="B5" s="1285"/>
      <c r="C5" s="1286"/>
      <c r="D5" s="1287" t="s">
        <v>1031</v>
      </c>
      <c r="E5" s="1318">
        <f>SUM(E3:E4)</f>
        <v>12275.44</v>
      </c>
    </row>
    <row r="6" spans="1:8" ht="13.5" thickTop="1">
      <c r="A6" s="1289"/>
      <c r="B6" s="1290"/>
      <c r="C6" s="1289"/>
      <c r="D6" s="1291"/>
      <c r="E6" s="1291"/>
    </row>
    <row r="7" spans="1:8" ht="13.5" thickBot="1">
      <c r="A7" s="1292" t="s">
        <v>1216</v>
      </c>
      <c r="B7" s="1274"/>
      <c r="C7" s="1275"/>
      <c r="D7" s="1274"/>
      <c r="E7" s="1274"/>
    </row>
    <row r="8" spans="1:8" ht="13.5" thickTop="1">
      <c r="A8" s="1276" t="s">
        <v>1085</v>
      </c>
      <c r="B8" s="1277">
        <v>1.05</v>
      </c>
      <c r="C8" s="1278" t="s">
        <v>2</v>
      </c>
      <c r="D8" s="1277">
        <f>D3</f>
        <v>8030.02</v>
      </c>
      <c r="E8" s="1279">
        <f>B8*D8</f>
        <v>8431.52</v>
      </c>
    </row>
    <row r="9" spans="1:8">
      <c r="A9" s="1280" t="s">
        <v>272</v>
      </c>
      <c r="B9" s="1281">
        <v>3.26</v>
      </c>
      <c r="C9" s="1282" t="s">
        <v>126</v>
      </c>
      <c r="D9" s="1281">
        <f>D4</f>
        <v>2745.66</v>
      </c>
      <c r="E9" s="1283">
        <f>B9*D9</f>
        <v>8950.85</v>
      </c>
      <c r="F9" s="1268">
        <f>20.01/5.98</f>
        <v>3.3461538461538498</v>
      </c>
      <c r="H9" s="1317">
        <f>22.55/6.91</f>
        <v>3.2633863965267702</v>
      </c>
    </row>
    <row r="10" spans="1:8" ht="13.5" thickBot="1">
      <c r="A10" s="1284"/>
      <c r="B10" s="1285"/>
      <c r="C10" s="1286"/>
      <c r="D10" s="1287" t="s">
        <v>1031</v>
      </c>
      <c r="E10" s="1318">
        <f>SUM(E8:E9)</f>
        <v>17382.37</v>
      </c>
    </row>
    <row r="11" spans="1:8" ht="13.5" thickTop="1">
      <c r="A11" s="1293"/>
      <c r="B11" s="1294"/>
      <c r="C11" s="1293"/>
      <c r="D11" s="1294"/>
      <c r="E11" s="1294"/>
    </row>
    <row r="12" spans="1:8" ht="13.5" thickBot="1">
      <c r="A12" s="1292" t="s">
        <v>1218</v>
      </c>
      <c r="B12" s="1274"/>
      <c r="C12" s="1275"/>
      <c r="D12" s="1274"/>
      <c r="E12" s="1274"/>
    </row>
    <row r="13" spans="1:8" ht="14.25" thickTop="1" thickBot="1">
      <c r="A13" s="1276" t="s">
        <v>1085</v>
      </c>
      <c r="B13" s="1277">
        <v>1.05</v>
      </c>
      <c r="C13" s="1278" t="s">
        <v>2</v>
      </c>
      <c r="D13" s="1277">
        <f>D3</f>
        <v>8030.02</v>
      </c>
      <c r="E13" s="1279">
        <f>B13*D13</f>
        <v>8431.52</v>
      </c>
    </row>
    <row r="14" spans="1:8" ht="14.25" thickTop="1" thickBot="1">
      <c r="A14" s="1280" t="s">
        <v>272</v>
      </c>
      <c r="B14" s="1281">
        <v>4.09</v>
      </c>
      <c r="C14" s="1282" t="s">
        <v>126</v>
      </c>
      <c r="D14" s="1281">
        <f>D4</f>
        <v>2745.66</v>
      </c>
      <c r="E14" s="1279">
        <f>B14*D14</f>
        <v>11229.75</v>
      </c>
      <c r="F14" s="1268">
        <f>((45.14)/4)/(10.92/4)</f>
        <v>4.1336996336996297</v>
      </c>
      <c r="G14" s="1268">
        <f>56.42/13.8</f>
        <v>4.0884057971014496</v>
      </c>
    </row>
    <row r="15" spans="1:8" ht="13.5" thickTop="1">
      <c r="A15" s="1280" t="s">
        <v>1089</v>
      </c>
      <c r="B15" s="1281">
        <v>10</v>
      </c>
      <c r="C15" s="1295" t="s">
        <v>11</v>
      </c>
      <c r="D15" s="1281">
        <v>550</v>
      </c>
      <c r="E15" s="1279">
        <f>B15*D15</f>
        <v>5500</v>
      </c>
      <c r="F15" s="1268">
        <f>(1/0.2)*2</f>
        <v>10</v>
      </c>
    </row>
    <row r="16" spans="1:8" ht="13.5" thickBot="1">
      <c r="A16" s="1284"/>
      <c r="B16" s="1285"/>
      <c r="C16" s="1286"/>
      <c r="D16" s="1287" t="s">
        <v>1031</v>
      </c>
      <c r="E16" s="1318">
        <f>SUM(E13:E15)</f>
        <v>25161.27</v>
      </c>
    </row>
    <row r="17" spans="1:7" ht="13.5" thickTop="1">
      <c r="A17" s="1296"/>
      <c r="B17" s="1294"/>
      <c r="C17" s="1293"/>
      <c r="D17" s="1294"/>
      <c r="E17" s="1294"/>
    </row>
    <row r="18" spans="1:7" ht="13.5" thickBot="1">
      <c r="A18" s="1297" t="s">
        <v>1207</v>
      </c>
      <c r="B18" s="1274"/>
      <c r="C18" s="1275"/>
      <c r="D18" s="1274"/>
      <c r="E18" s="1274"/>
    </row>
    <row r="19" spans="1:7" ht="13.5" thickTop="1">
      <c r="A19" s="1276" t="s">
        <v>1085</v>
      </c>
      <c r="B19" s="1277">
        <v>1.05</v>
      </c>
      <c r="C19" s="1278" t="s">
        <v>2</v>
      </c>
      <c r="D19" s="1277">
        <f>D3</f>
        <v>8030.02</v>
      </c>
      <c r="E19" s="1279">
        <f>B19*D19</f>
        <v>8431.52</v>
      </c>
    </row>
    <row r="20" spans="1:7">
      <c r="A20" s="1280" t="s">
        <v>272</v>
      </c>
      <c r="B20" s="1281">
        <v>1.7</v>
      </c>
      <c r="C20" s="1282" t="s">
        <v>126</v>
      </c>
      <c r="D20" s="1281">
        <f>D14</f>
        <v>2745.66</v>
      </c>
      <c r="E20" s="1283">
        <f>B20*D20</f>
        <v>4667.62</v>
      </c>
      <c r="F20" s="1268">
        <f>0.85/0.5</f>
        <v>1.7</v>
      </c>
      <c r="G20" s="1268">
        <f>0.85/0.5</f>
        <v>1.7</v>
      </c>
    </row>
    <row r="21" spans="1:7">
      <c r="A21" s="1280" t="s">
        <v>1089</v>
      </c>
      <c r="B21" s="1281"/>
      <c r="C21" s="1295"/>
      <c r="D21" s="1281"/>
      <c r="E21" s="1283"/>
    </row>
    <row r="22" spans="1:7" ht="13.5" thickBot="1">
      <c r="A22" s="1284"/>
      <c r="B22" s="1285"/>
      <c r="C22" s="1286"/>
      <c r="D22" s="1287" t="s">
        <v>1031</v>
      </c>
      <c r="E22" s="1318">
        <f>SUM(E19:E21)</f>
        <v>13099.14</v>
      </c>
    </row>
    <row r="23" spans="1:7" ht="13.5" thickTop="1">
      <c r="A23" s="1296"/>
      <c r="B23" s="1294"/>
      <c r="C23" s="1293"/>
      <c r="D23" s="1294"/>
      <c r="E23" s="1294"/>
    </row>
    <row r="24" spans="1:7" ht="13.5" thickBot="1">
      <c r="A24" s="1292" t="s">
        <v>1219</v>
      </c>
      <c r="B24" s="1274"/>
      <c r="C24" s="1275"/>
      <c r="D24" s="1274"/>
      <c r="E24" s="1274"/>
    </row>
    <row r="25" spans="1:7" ht="13.5" thickTop="1">
      <c r="A25" s="1276" t="s">
        <v>1085</v>
      </c>
      <c r="B25" s="1277">
        <v>1.05</v>
      </c>
      <c r="C25" s="1278" t="s">
        <v>2</v>
      </c>
      <c r="D25" s="1277">
        <f>D3</f>
        <v>8030.02</v>
      </c>
      <c r="E25" s="1279">
        <f>B25*D25</f>
        <v>8431.52</v>
      </c>
    </row>
    <row r="26" spans="1:7">
      <c r="A26" s="1280" t="s">
        <v>1208</v>
      </c>
      <c r="B26" s="1281">
        <v>7.02</v>
      </c>
      <c r="C26" s="1282" t="s">
        <v>126</v>
      </c>
      <c r="D26" s="1281">
        <f>D20</f>
        <v>2745.66</v>
      </c>
      <c r="E26" s="1283">
        <f>B26*D26</f>
        <v>19274.53</v>
      </c>
      <c r="F26" s="1268">
        <f>6.78/0.95</f>
        <v>7.1368421052631597</v>
      </c>
      <c r="G26" s="1268">
        <f>7.93/1.13</f>
        <v>7.01769911504425</v>
      </c>
    </row>
    <row r="27" spans="1:7">
      <c r="A27" s="1280" t="s">
        <v>1209</v>
      </c>
      <c r="B27" s="1281">
        <f>1/(0.3*0.3)</f>
        <v>11.11</v>
      </c>
      <c r="C27" s="1295" t="s">
        <v>13</v>
      </c>
      <c r="D27" s="1281">
        <v>375</v>
      </c>
      <c r="E27" s="1283">
        <f>B27*D27</f>
        <v>4166.25</v>
      </c>
    </row>
    <row r="28" spans="1:7">
      <c r="A28" s="1280"/>
      <c r="B28" s="1281"/>
      <c r="C28" s="1298"/>
      <c r="D28" s="1299" t="s">
        <v>1031</v>
      </c>
      <c r="E28" s="1319">
        <f>SUM(E25:E27)</f>
        <v>31872.3</v>
      </c>
    </row>
    <row r="29" spans="1:7">
      <c r="A29" s="1296"/>
      <c r="B29" s="1294"/>
      <c r="C29" s="1293"/>
      <c r="D29" s="1294"/>
      <c r="E29" s="1294"/>
    </row>
    <row r="30" spans="1:7" ht="13.5" thickBot="1">
      <c r="A30" s="1292" t="s">
        <v>1210</v>
      </c>
      <c r="B30" s="1300"/>
      <c r="C30" s="1297"/>
      <c r="D30" s="1300"/>
      <c r="E30" s="1300"/>
    </row>
    <row r="31" spans="1:7" ht="13.5" thickTop="1">
      <c r="A31" s="1276" t="s">
        <v>1085</v>
      </c>
      <c r="B31" s="1277">
        <v>1.05</v>
      </c>
      <c r="C31" s="1278" t="s">
        <v>2</v>
      </c>
      <c r="D31" s="1277">
        <f>D3</f>
        <v>8030.02</v>
      </c>
      <c r="E31" s="1279">
        <f>B31*D31</f>
        <v>8431.52</v>
      </c>
    </row>
    <row r="32" spans="1:7">
      <c r="A32" s="1280" t="s">
        <v>272</v>
      </c>
      <c r="B32" s="1281">
        <v>7.02</v>
      </c>
      <c r="C32" s="1282" t="s">
        <v>126</v>
      </c>
      <c r="D32" s="1281">
        <f>D26</f>
        <v>2745.66</v>
      </c>
      <c r="E32" s="1283">
        <f>B32*D32</f>
        <v>19274.53</v>
      </c>
    </row>
    <row r="33" spans="1:7">
      <c r="A33" s="1280" t="s">
        <v>1089</v>
      </c>
      <c r="B33" s="1281">
        <f>1/(0.3*0.3)</f>
        <v>11.11</v>
      </c>
      <c r="C33" s="1295" t="s">
        <v>11</v>
      </c>
      <c r="D33" s="1281">
        <v>375</v>
      </c>
      <c r="E33" s="1283">
        <f>B33*D33</f>
        <v>4166.25</v>
      </c>
      <c r="G33" s="1268">
        <f>7.93/1.13</f>
        <v>7.01769911504425</v>
      </c>
    </row>
    <row r="34" spans="1:7" ht="13.5" thickBot="1">
      <c r="A34" s="1284"/>
      <c r="B34" s="1285"/>
      <c r="C34" s="1286"/>
      <c r="D34" s="1287"/>
      <c r="E34" s="1288">
        <f>SUM(E31:E33)</f>
        <v>31872.3</v>
      </c>
    </row>
    <row r="35" spans="1:7" ht="13.5" thickTop="1">
      <c r="A35" s="1275"/>
      <c r="B35" s="1274"/>
      <c r="C35" s="1275"/>
      <c r="D35" s="1274"/>
      <c r="E35" s="1274"/>
    </row>
    <row r="36" spans="1:7" ht="13.5" thickBot="1">
      <c r="A36" s="1297" t="s">
        <v>1211</v>
      </c>
      <c r="B36" s="1300"/>
      <c r="C36" s="1297"/>
      <c r="D36" s="1300"/>
      <c r="E36" s="1300"/>
    </row>
    <row r="37" spans="1:7" ht="13.5" thickTop="1">
      <c r="A37" s="1276" t="s">
        <v>1085</v>
      </c>
      <c r="B37" s="1277">
        <v>1.05</v>
      </c>
      <c r="C37" s="1278" t="s">
        <v>2</v>
      </c>
      <c r="D37" s="1277">
        <f>D3</f>
        <v>8030.02</v>
      </c>
      <c r="E37" s="1279">
        <f>B37*D37</f>
        <v>8431.52</v>
      </c>
    </row>
    <row r="38" spans="1:7">
      <c r="A38" s="1280" t="s">
        <v>272</v>
      </c>
      <c r="B38" s="1281">
        <v>0.94</v>
      </c>
      <c r="C38" s="1282" t="s">
        <v>126</v>
      </c>
      <c r="D38" s="1281">
        <f>D32</f>
        <v>2745.66</v>
      </c>
      <c r="E38" s="1283">
        <f>B38*D38</f>
        <v>2580.92</v>
      </c>
      <c r="F38" s="1268">
        <f>6.84/7.25</f>
        <v>0.94344827586206903</v>
      </c>
      <c r="G38" s="1268">
        <f>7.61/8.09</f>
        <v>0.94066749072929501</v>
      </c>
    </row>
    <row r="39" spans="1:7">
      <c r="A39" s="1280" t="s">
        <v>1089</v>
      </c>
      <c r="B39" s="1281">
        <f>1/0.15</f>
        <v>6.67</v>
      </c>
      <c r="C39" s="1295" t="s">
        <v>13</v>
      </c>
      <c r="D39" s="1281">
        <v>225</v>
      </c>
      <c r="E39" s="1283">
        <f>B39*D39</f>
        <v>1500.75</v>
      </c>
    </row>
    <row r="40" spans="1:7" ht="13.5" thickBot="1">
      <c r="A40" s="1284"/>
      <c r="B40" s="1285"/>
      <c r="C40" s="1286"/>
      <c r="D40" s="1287"/>
      <c r="E40" s="1318">
        <f>SUM(E37:E39)</f>
        <v>12513.19</v>
      </c>
    </row>
    <row r="41" spans="1:7" ht="13.5" thickTop="1">
      <c r="A41" s="1275"/>
      <c r="B41" s="1274"/>
      <c r="C41" s="1275"/>
      <c r="D41" s="1274"/>
      <c r="E41" s="1274"/>
    </row>
    <row r="42" spans="1:7" ht="13.5" thickBot="1">
      <c r="A42" s="1297" t="s">
        <v>1220</v>
      </c>
      <c r="B42" s="1274"/>
      <c r="C42" s="1275"/>
      <c r="D42" s="1274"/>
      <c r="E42" s="1274"/>
    </row>
    <row r="43" spans="1:7" ht="13.5" thickTop="1">
      <c r="A43" s="1276" t="s">
        <v>1085</v>
      </c>
      <c r="B43" s="1277">
        <v>1.05</v>
      </c>
      <c r="C43" s="1278" t="s">
        <v>2</v>
      </c>
      <c r="D43" s="1277">
        <f>D3</f>
        <v>8030.02</v>
      </c>
      <c r="E43" s="1279">
        <f>B43*D43</f>
        <v>8431.52</v>
      </c>
    </row>
    <row r="44" spans="1:7">
      <c r="A44" s="1280" t="s">
        <v>272</v>
      </c>
      <c r="B44" s="1281">
        <v>5.09</v>
      </c>
      <c r="C44" s="1282" t="s">
        <v>126</v>
      </c>
      <c r="D44" s="1281">
        <f>D38</f>
        <v>2745.66</v>
      </c>
      <c r="E44" s="1283">
        <f>B44*D44</f>
        <v>13975.41</v>
      </c>
      <c r="F44" s="1268">
        <f>5.5/1.07</f>
        <v>5.1401869158878499</v>
      </c>
      <c r="G44" s="1268">
        <f>5.8/1.14</f>
        <v>5.0877192982456103</v>
      </c>
    </row>
    <row r="45" spans="1:7">
      <c r="A45" s="1280" t="s">
        <v>1089</v>
      </c>
      <c r="B45" s="1281">
        <f>1/(0.3*0.3)</f>
        <v>11.11</v>
      </c>
      <c r="C45" s="1295" t="s">
        <v>13</v>
      </c>
      <c r="D45" s="1281">
        <v>375</v>
      </c>
      <c r="E45" s="1283">
        <f>B45*D45</f>
        <v>4166.25</v>
      </c>
    </row>
    <row r="46" spans="1:7" ht="13.5" thickBot="1">
      <c r="A46" s="1284"/>
      <c r="B46" s="1285"/>
      <c r="C46" s="1286"/>
      <c r="D46" s="1287"/>
      <c r="E46" s="1318">
        <f>SUM(E43:E45)</f>
        <v>26573.18</v>
      </c>
    </row>
    <row r="47" spans="1:7" ht="13.5" thickTop="1">
      <c r="A47" s="1301"/>
      <c r="B47" s="1302"/>
      <c r="C47" s="1301"/>
      <c r="D47" s="1302"/>
      <c r="E47"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7"/>
  <dimension ref="G10:I12"/>
  <sheetViews>
    <sheetView workbookViewId="0"/>
  </sheetViews>
  <sheetFormatPr baseColWidth="10" defaultColWidth="11.42578125" defaultRowHeight="12.75"/>
  <sheetData>
    <row r="10" spans="7:9">
      <c r="G10">
        <v>1600</v>
      </c>
    </row>
    <row r="11" spans="7:9">
      <c r="G11">
        <f>320/G10</f>
        <v>0.2</v>
      </c>
      <c r="I11">
        <v>1510.4</v>
      </c>
    </row>
    <row r="12" spans="7:9">
      <c r="I12">
        <f>+I11/2</f>
        <v>755.2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8"/>
  <dimension ref="A1:H48"/>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5">
      <c r="A2" s="1270"/>
      <c r="B2" s="1271"/>
      <c r="C2" s="1272"/>
      <c r="D2" s="1271"/>
      <c r="E2" s="1271"/>
    </row>
    <row r="4" spans="1:8" ht="13.5" thickBot="1">
      <c r="A4" s="1273" t="s">
        <v>2174</v>
      </c>
      <c r="B4" s="1274"/>
      <c r="C4" s="1275"/>
      <c r="D4" s="1274"/>
      <c r="E4" s="1274"/>
    </row>
    <row r="5" spans="1:8" ht="13.5" thickTop="1">
      <c r="A5" s="1276" t="s">
        <v>1085</v>
      </c>
      <c r="B5" s="1277">
        <v>1.05</v>
      </c>
      <c r="C5" s="1278" t="s">
        <v>2</v>
      </c>
      <c r="D5" s="1277">
        <v>8030.02</v>
      </c>
      <c r="E5" s="1279">
        <f>B5*D5</f>
        <v>8431.52</v>
      </c>
      <c r="G5" s="1269">
        <v>5701</v>
      </c>
    </row>
    <row r="6" spans="1:8">
      <c r="A6" s="1280" t="s">
        <v>272</v>
      </c>
      <c r="B6" s="1281">
        <v>2.1800000000000002</v>
      </c>
      <c r="C6" s="1282" t="s">
        <v>126</v>
      </c>
      <c r="D6" s="1281">
        <v>2745.66</v>
      </c>
      <c r="E6" s="1283">
        <f>B6*D6</f>
        <v>5985.54</v>
      </c>
      <c r="F6" s="1268">
        <f>15.54/11.42</f>
        <v>1.36077057793345</v>
      </c>
      <c r="G6" s="1269">
        <v>2745.66</v>
      </c>
      <c r="H6" s="1317">
        <f>16.96/12.1</f>
        <v>1.40165289256198</v>
      </c>
    </row>
    <row r="7" spans="1:8" ht="13.5" thickBot="1">
      <c r="A7" s="1284"/>
      <c r="B7" s="1285"/>
      <c r="C7" s="1286"/>
      <c r="D7" s="1287" t="s">
        <v>1031</v>
      </c>
      <c r="E7" s="1318">
        <f>SUM(E5:E6)</f>
        <v>14417.06</v>
      </c>
    </row>
    <row r="8" spans="1:8" ht="14.25" thickTop="1" thickBot="1">
      <c r="A8" s="1273" t="s">
        <v>2175</v>
      </c>
      <c r="B8" s="1274"/>
      <c r="C8" s="1275"/>
      <c r="D8" s="1274"/>
      <c r="E8" s="1274"/>
    </row>
    <row r="9" spans="1:8" ht="13.5" thickTop="1">
      <c r="A9" s="1276" t="s">
        <v>1085</v>
      </c>
      <c r="B9" s="1277">
        <v>1.05</v>
      </c>
      <c r="C9" s="1278" t="s">
        <v>2</v>
      </c>
      <c r="D9" s="1277">
        <v>8030.02</v>
      </c>
      <c r="E9" s="1279">
        <f>B9*D9</f>
        <v>8431.52</v>
      </c>
      <c r="G9" s="1269">
        <v>5701</v>
      </c>
    </row>
    <row r="10" spans="1:8">
      <c r="A10" s="1280" t="s">
        <v>272</v>
      </c>
      <c r="B10" s="1281">
        <v>2.8</v>
      </c>
      <c r="C10" s="1282" t="s">
        <v>126</v>
      </c>
      <c r="D10" s="1281">
        <v>2745.66</v>
      </c>
      <c r="E10" s="1283">
        <f>B10*D10</f>
        <v>7687.85</v>
      </c>
      <c r="F10" s="1268">
        <f>15.54/11.42</f>
        <v>1.36077057793345</v>
      </c>
      <c r="G10" s="1269">
        <v>2745.66</v>
      </c>
      <c r="H10" s="1317">
        <f>16.96/12.1</f>
        <v>1.40165289256198</v>
      </c>
    </row>
    <row r="11" spans="1:8" ht="13.5" thickBot="1">
      <c r="A11" s="1284"/>
      <c r="B11" s="1285"/>
      <c r="C11" s="1286"/>
      <c r="D11" s="1287" t="s">
        <v>1031</v>
      </c>
      <c r="E11" s="1318">
        <f>SUM(E9:E10)</f>
        <v>16119.37</v>
      </c>
    </row>
    <row r="12" spans="1:8" ht="13.5" thickTop="1">
      <c r="A12" s="1289"/>
      <c r="B12" s="1290"/>
      <c r="C12" s="1289"/>
      <c r="D12" s="1291"/>
      <c r="E12" s="1291"/>
    </row>
    <row r="13" spans="1:8" ht="13.5" thickBot="1">
      <c r="A13" s="1292" t="s">
        <v>2176</v>
      </c>
      <c r="B13" s="1274"/>
      <c r="C13" s="1275"/>
      <c r="D13" s="1274"/>
      <c r="E13" s="1274"/>
    </row>
    <row r="14" spans="1:8" ht="13.5" thickTop="1">
      <c r="A14" s="1276" t="s">
        <v>1085</v>
      </c>
      <c r="B14" s="1277">
        <v>1.05</v>
      </c>
      <c r="C14" s="1278" t="s">
        <v>2</v>
      </c>
      <c r="D14" s="1277">
        <f>D9</f>
        <v>8030.02</v>
      </c>
      <c r="E14" s="1279">
        <f>B14*D14</f>
        <v>8431.52</v>
      </c>
    </row>
    <row r="15" spans="1:8">
      <c r="A15" s="1280" t="s">
        <v>272</v>
      </c>
      <c r="B15" s="1281">
        <v>2.6</v>
      </c>
      <c r="C15" s="1282" t="s">
        <v>126</v>
      </c>
      <c r="D15" s="1281">
        <f>D10</f>
        <v>2745.66</v>
      </c>
      <c r="E15" s="1283">
        <f>B15*D15</f>
        <v>7138.72</v>
      </c>
      <c r="F15" s="1268">
        <f>20.01/5.98</f>
        <v>3.3461538461538498</v>
      </c>
      <c r="H15" s="1317">
        <f>22.55/6.91</f>
        <v>3.2633863965267702</v>
      </c>
    </row>
    <row r="16" spans="1:8" ht="13.5" thickBot="1">
      <c r="A16" s="1284"/>
      <c r="B16" s="1285"/>
      <c r="C16" s="1286"/>
      <c r="D16" s="1287" t="s">
        <v>1031</v>
      </c>
      <c r="E16" s="1318">
        <f>SUM(E14:E15)</f>
        <v>15570.24</v>
      </c>
    </row>
    <row r="17" spans="1:7" ht="13.5" thickTop="1">
      <c r="A17" s="1293"/>
      <c r="B17" s="1294"/>
      <c r="C17" s="1293"/>
      <c r="D17" s="1294"/>
      <c r="E17" s="1294"/>
    </row>
    <row r="18" spans="1:7" ht="13.5" thickBot="1">
      <c r="A18" s="1292" t="s">
        <v>2177</v>
      </c>
      <c r="B18" s="1274"/>
      <c r="C18" s="1275"/>
      <c r="D18" s="1274"/>
      <c r="E18" s="1274"/>
    </row>
    <row r="19" spans="1:7" ht="13.5" thickTop="1">
      <c r="A19" s="1276" t="s">
        <v>1085</v>
      </c>
      <c r="B19" s="1277">
        <v>1.05</v>
      </c>
      <c r="C19" s="1278" t="s">
        <v>2</v>
      </c>
      <c r="D19" s="1277">
        <f>D9</f>
        <v>8030.02</v>
      </c>
      <c r="E19" s="1279">
        <f>B19*D19</f>
        <v>8431.52</v>
      </c>
    </row>
    <row r="20" spans="1:7">
      <c r="A20" s="1280" t="s">
        <v>1208</v>
      </c>
      <c r="B20" s="1281">
        <v>5</v>
      </c>
      <c r="C20" s="1282" t="s">
        <v>126</v>
      </c>
      <c r="D20" s="1281" t="e">
        <f>#REF!</f>
        <v>#REF!</v>
      </c>
      <c r="E20" s="1283" t="e">
        <f>B20*D20</f>
        <v>#REF!</v>
      </c>
      <c r="F20" s="1268">
        <f>6.78/0.95</f>
        <v>7.1368421052631597</v>
      </c>
      <c r="G20" s="1268">
        <f>7.93/1.13</f>
        <v>7.01769911504425</v>
      </c>
    </row>
    <row r="21" spans="1:7">
      <c r="A21" s="1280" t="s">
        <v>2178</v>
      </c>
      <c r="B21" s="1281">
        <f>1/(0.3*0.3)</f>
        <v>11.11</v>
      </c>
      <c r="C21" s="1295" t="s">
        <v>13</v>
      </c>
      <c r="D21" s="1281">
        <v>375</v>
      </c>
      <c r="E21" s="1283">
        <f>B21*D21</f>
        <v>4166.25</v>
      </c>
    </row>
    <row r="22" spans="1:7">
      <c r="A22" s="1280"/>
      <c r="B22" s="1281"/>
      <c r="C22" s="1298"/>
      <c r="D22" s="1299" t="s">
        <v>1031</v>
      </c>
      <c r="E22" s="1319" t="e">
        <f>SUM(E19:E21)</f>
        <v>#REF!</v>
      </c>
    </row>
    <row r="23" spans="1:7">
      <c r="A23" s="1289"/>
      <c r="B23" s="1290"/>
      <c r="C23" s="1289"/>
      <c r="D23" s="1291"/>
      <c r="E23"/>
    </row>
    <row r="24" spans="1:7" ht="13.5" thickBot="1">
      <c r="A24" s="1292" t="s">
        <v>2179</v>
      </c>
      <c r="B24" s="1274"/>
      <c r="C24" s="1275"/>
      <c r="D24" s="1274"/>
      <c r="E24" s="1274"/>
    </row>
    <row r="25" spans="1:7" ht="14.25" thickTop="1" thickBot="1">
      <c r="A25" s="1276" t="s">
        <v>1085</v>
      </c>
      <c r="B25" s="1277">
        <v>1.05</v>
      </c>
      <c r="C25" s="1278" t="s">
        <v>2</v>
      </c>
      <c r="D25" s="1277">
        <f>D9</f>
        <v>8030.02</v>
      </c>
      <c r="E25" s="1279">
        <f>B25*D25</f>
        <v>8431.52</v>
      </c>
    </row>
    <row r="26" spans="1:7" ht="14.25" thickTop="1" thickBot="1">
      <c r="A26" s="1280" t="s">
        <v>272</v>
      </c>
      <c r="B26" s="1281">
        <v>2.44</v>
      </c>
      <c r="C26" s="1282" t="s">
        <v>126</v>
      </c>
      <c r="D26" s="1281">
        <f>D10</f>
        <v>2745.66</v>
      </c>
      <c r="E26" s="1279">
        <f>B26*D26</f>
        <v>6699.41</v>
      </c>
      <c r="F26" s="1268">
        <f>((45.14)/4)/(10.92/4)</f>
        <v>4.1336996336996297</v>
      </c>
      <c r="G26" s="1268">
        <f>56.42/13.8</f>
        <v>4.0884057971014496</v>
      </c>
    </row>
    <row r="27" spans="1:7" ht="13.5" thickTop="1">
      <c r="A27" s="1280" t="s">
        <v>1089</v>
      </c>
      <c r="B27" s="1281">
        <v>10</v>
      </c>
      <c r="C27" s="1295" t="s">
        <v>11</v>
      </c>
      <c r="D27" s="1281">
        <v>550</v>
      </c>
      <c r="E27" s="1279">
        <f>B27*D27</f>
        <v>5500</v>
      </c>
      <c r="F27" s="1268">
        <f>(1/0.2)*2</f>
        <v>10</v>
      </c>
    </row>
    <row r="28" spans="1:7" ht="13.5" thickBot="1">
      <c r="A28" s="1284"/>
      <c r="B28" s="1285"/>
      <c r="C28" s="1286"/>
      <c r="D28" s="1287" t="s">
        <v>1031</v>
      </c>
      <c r="E28" s="1318">
        <f>SUM(E25:E27)</f>
        <v>20630.93</v>
      </c>
    </row>
    <row r="29" spans="1:7" ht="13.5" thickTop="1">
      <c r="A29" s="1296"/>
      <c r="B29" s="1294"/>
      <c r="C29" s="1293"/>
      <c r="D29" s="1294"/>
      <c r="E29" s="1294"/>
    </row>
    <row r="30" spans="1:7">
      <c r="A30" s="1275"/>
      <c r="B30" s="1274"/>
      <c r="C30" s="1275"/>
      <c r="D30" s="1274"/>
      <c r="E30" s="1274"/>
    </row>
    <row r="31" spans="1:7" ht="13.5" thickBot="1">
      <c r="A31" s="1297" t="s">
        <v>2180</v>
      </c>
      <c r="B31" s="1300"/>
      <c r="C31" s="1297"/>
      <c r="D31" s="1300"/>
      <c r="E31" s="1300"/>
    </row>
    <row r="32" spans="1:7" ht="13.5" thickTop="1">
      <c r="A32" s="1276" t="s">
        <v>1085</v>
      </c>
      <c r="B32" s="1277">
        <v>1.05</v>
      </c>
      <c r="C32" s="1278" t="s">
        <v>2</v>
      </c>
      <c r="D32" s="1277">
        <f>D9</f>
        <v>8030.02</v>
      </c>
      <c r="E32" s="1279">
        <f>B32*D32</f>
        <v>8431.52</v>
      </c>
    </row>
    <row r="33" spans="1:7">
      <c r="A33" s="1280" t="s">
        <v>272</v>
      </c>
      <c r="B33" s="1281">
        <v>1.57</v>
      </c>
      <c r="C33" s="1282" t="s">
        <v>126</v>
      </c>
      <c r="D33" s="1281">
        <f>+D26</f>
        <v>2745.66</v>
      </c>
      <c r="E33" s="1283">
        <f>B33*D33</f>
        <v>4310.6899999999996</v>
      </c>
      <c r="F33" s="1268">
        <f>6.84/7.25</f>
        <v>0.94344827586206903</v>
      </c>
      <c r="G33" s="1268">
        <f>7.61/8.09</f>
        <v>0.94066749072929501</v>
      </c>
    </row>
    <row r="34" spans="1:7">
      <c r="A34" s="1280" t="s">
        <v>1089</v>
      </c>
      <c r="B34" s="1281">
        <f>1/0.15</f>
        <v>6.67</v>
      </c>
      <c r="C34" s="1295" t="s">
        <v>13</v>
      </c>
      <c r="D34" s="1281">
        <v>225</v>
      </c>
      <c r="E34" s="1283">
        <f>B34*D34</f>
        <v>1500.75</v>
      </c>
    </row>
    <row r="35" spans="1:7" ht="13.5" thickBot="1">
      <c r="A35" s="1284"/>
      <c r="B35" s="1285"/>
      <c r="C35" s="1286"/>
      <c r="D35" s="1287"/>
      <c r="E35" s="1318">
        <f>SUM(E32:E34)</f>
        <v>14242.96</v>
      </c>
    </row>
    <row r="36" spans="1:7" ht="13.5" thickTop="1">
      <c r="A36" s="1275"/>
      <c r="B36" s="1274"/>
      <c r="C36" s="1275"/>
      <c r="D36" s="1274"/>
      <c r="E36" s="1274"/>
    </row>
    <row r="37" spans="1:7" ht="13.5" thickBot="1">
      <c r="A37" s="1297" t="s">
        <v>2181</v>
      </c>
      <c r="B37" s="1300"/>
      <c r="C37" s="1297"/>
      <c r="D37" s="1300"/>
      <c r="E37" s="1300"/>
    </row>
    <row r="38" spans="1:7" ht="13.5" thickTop="1">
      <c r="A38" s="1276" t="s">
        <v>1085</v>
      </c>
      <c r="B38" s="1277">
        <v>1.05</v>
      </c>
      <c r="C38" s="1278" t="s">
        <v>2</v>
      </c>
      <c r="D38" s="1277">
        <f>D15</f>
        <v>2745.66</v>
      </c>
      <c r="E38" s="1279">
        <f>B38*D38</f>
        <v>2882.94</v>
      </c>
    </row>
    <row r="39" spans="1:7">
      <c r="A39" s="1280" t="s">
        <v>272</v>
      </c>
      <c r="B39" s="1281">
        <v>1.64</v>
      </c>
      <c r="C39" s="1282" t="s">
        <v>126</v>
      </c>
      <c r="D39" s="1281">
        <f>+D32</f>
        <v>8030.02</v>
      </c>
      <c r="E39" s="1283">
        <f>B39*D39</f>
        <v>13169.23</v>
      </c>
      <c r="F39" s="1268">
        <f>6.84/7.25</f>
        <v>0.94344827586206903</v>
      </c>
      <c r="G39" s="1268">
        <f>7.61/8.09</f>
        <v>0.94066749072929501</v>
      </c>
    </row>
    <row r="40" spans="1:7">
      <c r="A40" s="1280" t="s">
        <v>1089</v>
      </c>
      <c r="B40" s="1281">
        <f>1/0.15</f>
        <v>6.67</v>
      </c>
      <c r="C40" s="1295" t="s">
        <v>13</v>
      </c>
      <c r="D40" s="1281">
        <v>225</v>
      </c>
      <c r="E40" s="1283">
        <f>B40*D40</f>
        <v>1500.75</v>
      </c>
    </row>
    <row r="41" spans="1:7" ht="13.5" thickBot="1">
      <c r="A41" s="1284"/>
      <c r="B41" s="1285"/>
      <c r="C41" s="1286"/>
      <c r="D41" s="1287"/>
      <c r="E41" s="1318">
        <f>SUM(E38:E40)</f>
        <v>17552.919999999998</v>
      </c>
    </row>
    <row r="42" spans="1:7" ht="13.5" thickTop="1">
      <c r="A42" s="1275"/>
      <c r="B42" s="1274"/>
      <c r="C42" s="1275"/>
      <c r="D42" s="1274"/>
      <c r="E42" s="1274"/>
    </row>
    <row r="43" spans="1:7" ht="13.5" thickBot="1">
      <c r="A43" s="1297" t="s">
        <v>2182</v>
      </c>
      <c r="B43" s="1274"/>
      <c r="C43" s="1275"/>
      <c r="D43" s="1274"/>
      <c r="E43" s="1274"/>
    </row>
    <row r="44" spans="1:7" ht="13.5" thickTop="1">
      <c r="A44" s="1276" t="s">
        <v>1085</v>
      </c>
      <c r="B44" s="1277">
        <v>1.05</v>
      </c>
      <c r="C44" s="1278" t="s">
        <v>2</v>
      </c>
      <c r="D44" s="1277">
        <f>D9</f>
        <v>8030.02</v>
      </c>
      <c r="E44" s="1279">
        <f>B44*D44</f>
        <v>8431.52</v>
      </c>
    </row>
    <row r="45" spans="1:7">
      <c r="A45" s="1280" t="s">
        <v>272</v>
      </c>
      <c r="B45" s="1281">
        <v>3.2</v>
      </c>
      <c r="C45" s="1282" t="s">
        <v>126</v>
      </c>
      <c r="D45" s="1281">
        <f>D33</f>
        <v>2745.66</v>
      </c>
      <c r="E45" s="1283">
        <f>B45*D45</f>
        <v>8786.11</v>
      </c>
      <c r="F45" s="1268">
        <f>5.5/1.07</f>
        <v>5.1401869158878499</v>
      </c>
      <c r="G45" s="1268">
        <f>5.8/1.14</f>
        <v>5.0877192982456103</v>
      </c>
    </row>
    <row r="46" spans="1:7">
      <c r="A46" s="1280" t="s">
        <v>1089</v>
      </c>
      <c r="B46" s="1281">
        <f>1/(0.3*0.3)</f>
        <v>11.11</v>
      </c>
      <c r="C46" s="1295" t="s">
        <v>13</v>
      </c>
      <c r="D46" s="1281">
        <v>375</v>
      </c>
      <c r="E46" s="1283">
        <f>B46*D46</f>
        <v>4166.25</v>
      </c>
    </row>
    <row r="47" spans="1:7" ht="13.5" thickBot="1">
      <c r="A47" s="1284"/>
      <c r="B47" s="1285"/>
      <c r="C47" s="1286"/>
      <c r="D47" s="1287"/>
      <c r="E47" s="1318">
        <f>SUM(E44:E46)</f>
        <v>21383.88</v>
      </c>
    </row>
    <row r="48" spans="1:7" ht="13.5" thickTop="1">
      <c r="A48" s="1301"/>
      <c r="B48" s="1302"/>
      <c r="C48" s="1301"/>
      <c r="D48" s="1302"/>
      <c r="E48"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9"/>
  <dimension ref="A3:G589"/>
  <sheetViews>
    <sheetView workbookViewId="0"/>
  </sheetViews>
  <sheetFormatPr baseColWidth="10" defaultColWidth="11.42578125" defaultRowHeight="12.75"/>
  <cols>
    <col min="1" max="1" width="46" customWidth="1"/>
  </cols>
  <sheetData>
    <row r="3" spans="1:5">
      <c r="A3" s="123" t="s">
        <v>1004</v>
      </c>
      <c r="B3" s="7"/>
      <c r="C3" s="7"/>
      <c r="D3" s="123" t="s">
        <v>1005</v>
      </c>
      <c r="E3" s="122"/>
    </row>
    <row r="4" spans="1:5">
      <c r="A4" s="123" t="s">
        <v>109</v>
      </c>
      <c r="B4" s="7"/>
      <c r="C4" s="7"/>
      <c r="D4" s="7"/>
      <c r="E4" s="122"/>
    </row>
    <row r="5" spans="1:5" ht="13.5" thickBot="1">
      <c r="A5" s="123" t="s">
        <v>110</v>
      </c>
      <c r="B5" s="7"/>
      <c r="C5" s="7"/>
      <c r="D5" s="123" t="s">
        <v>111</v>
      </c>
      <c r="E5" s="122"/>
    </row>
    <row r="6" spans="1:5" ht="14.25" thickTop="1" thickBot="1">
      <c r="A6" s="124" t="s">
        <v>112</v>
      </c>
      <c r="B6" s="124" t="s">
        <v>113</v>
      </c>
      <c r="C6" s="124" t="s">
        <v>114</v>
      </c>
      <c r="D6" s="124" t="s">
        <v>44</v>
      </c>
      <c r="E6" s="124" t="s">
        <v>115</v>
      </c>
    </row>
    <row r="7" spans="1:5" ht="13.5" thickTop="1">
      <c r="A7" s="125"/>
      <c r="B7" s="125"/>
      <c r="C7" s="125"/>
      <c r="D7" s="125"/>
      <c r="E7" s="125"/>
    </row>
    <row r="8" spans="1:5" ht="13.5" thickBot="1">
      <c r="A8" s="5065" t="s">
        <v>116</v>
      </c>
      <c r="B8" s="5065"/>
      <c r="C8" s="5065"/>
      <c r="D8" s="5065"/>
      <c r="E8" s="5065"/>
    </row>
    <row r="9" spans="1:5" ht="14.25" thickTop="1" thickBot="1">
      <c r="A9" s="126" t="s">
        <v>117</v>
      </c>
      <c r="B9" s="127">
        <v>1</v>
      </c>
      <c r="C9" s="128" t="s">
        <v>118</v>
      </c>
      <c r="D9" s="129">
        <v>5</v>
      </c>
      <c r="E9" s="129">
        <f t="shared" ref="E9:E17" si="0">ROUND(B9*D9,2)</f>
        <v>5</v>
      </c>
    </row>
    <row r="10" spans="1:5" ht="14.25" thickTop="1" thickBot="1">
      <c r="A10" s="126" t="s">
        <v>119</v>
      </c>
      <c r="B10" s="127">
        <v>1</v>
      </c>
      <c r="C10" s="128" t="s">
        <v>120</v>
      </c>
      <c r="D10" s="129">
        <v>320</v>
      </c>
      <c r="E10" s="129">
        <f t="shared" si="0"/>
        <v>320</v>
      </c>
    </row>
    <row r="11" spans="1:5" ht="14.25" thickTop="1" thickBot="1">
      <c r="A11" s="126" t="s">
        <v>121</v>
      </c>
      <c r="B11" s="127">
        <v>1</v>
      </c>
      <c r="C11" s="128" t="s">
        <v>2</v>
      </c>
      <c r="D11" s="129">
        <v>100</v>
      </c>
      <c r="E11" s="129">
        <f t="shared" si="0"/>
        <v>100</v>
      </c>
    </row>
    <row r="12" spans="1:5" ht="14.25" thickTop="1" thickBot="1">
      <c r="A12" s="126" t="s">
        <v>122</v>
      </c>
      <c r="B12" s="127">
        <v>1</v>
      </c>
      <c r="C12" s="128" t="s">
        <v>2</v>
      </c>
      <c r="D12" s="129">
        <v>900</v>
      </c>
      <c r="E12" s="129">
        <f t="shared" si="0"/>
        <v>900</v>
      </c>
    </row>
    <row r="13" spans="1:5" ht="14.25" thickTop="1" thickBot="1">
      <c r="A13" s="126" t="s">
        <v>123</v>
      </c>
      <c r="B13" s="127">
        <v>1</v>
      </c>
      <c r="C13" s="128" t="s">
        <v>2</v>
      </c>
      <c r="D13" s="129">
        <v>1400</v>
      </c>
      <c r="E13" s="129">
        <f t="shared" si="0"/>
        <v>1400</v>
      </c>
    </row>
    <row r="14" spans="1:5" ht="14.25" thickTop="1" thickBot="1">
      <c r="A14" s="126" t="s">
        <v>124</v>
      </c>
      <c r="B14" s="127">
        <v>1</v>
      </c>
      <c r="C14" s="128" t="s">
        <v>2</v>
      </c>
      <c r="D14" s="129">
        <v>1100</v>
      </c>
      <c r="E14" s="129">
        <f t="shared" si="0"/>
        <v>1100</v>
      </c>
    </row>
    <row r="15" spans="1:5" ht="14.25" thickTop="1" thickBot="1">
      <c r="A15" s="126" t="s">
        <v>125</v>
      </c>
      <c r="B15" s="127">
        <v>1</v>
      </c>
      <c r="C15" s="128" t="s">
        <v>126</v>
      </c>
      <c r="D15" s="129">
        <v>2300</v>
      </c>
      <c r="E15" s="129">
        <f t="shared" si="0"/>
        <v>2300</v>
      </c>
    </row>
    <row r="16" spans="1:5" ht="14.25" thickTop="1" thickBot="1">
      <c r="A16" s="126" t="s">
        <v>8</v>
      </c>
      <c r="B16" s="127">
        <v>5</v>
      </c>
      <c r="C16" s="128" t="s">
        <v>127</v>
      </c>
      <c r="D16" s="129">
        <v>21.34</v>
      </c>
      <c r="E16" s="129">
        <f t="shared" si="0"/>
        <v>106.7</v>
      </c>
    </row>
    <row r="17" spans="1:5" ht="14.25" thickTop="1" thickBot="1">
      <c r="A17" s="126" t="s">
        <v>128</v>
      </c>
      <c r="B17" s="127"/>
      <c r="C17" s="128" t="s">
        <v>127</v>
      </c>
      <c r="D17" s="129">
        <v>1</v>
      </c>
      <c r="E17" s="129">
        <f t="shared" si="0"/>
        <v>0</v>
      </c>
    </row>
    <row r="18" spans="1:5" ht="13.5" thickTop="1">
      <c r="A18" s="45"/>
      <c r="B18" s="130"/>
      <c r="C18" s="131"/>
      <c r="D18" s="132"/>
      <c r="E18" s="132"/>
    </row>
    <row r="19" spans="1:5" ht="13.5" thickBot="1">
      <c r="A19" s="133" t="s">
        <v>129</v>
      </c>
      <c r="B19" s="134"/>
      <c r="C19" s="135"/>
      <c r="D19" s="135"/>
      <c r="E19" s="135"/>
    </row>
    <row r="20" spans="1:5" ht="13.5" thickTop="1">
      <c r="A20" s="136" t="s">
        <v>130</v>
      </c>
      <c r="B20" s="137">
        <v>1</v>
      </c>
      <c r="C20" s="138" t="s">
        <v>2</v>
      </c>
      <c r="D20" s="139">
        <f>E12</f>
        <v>900</v>
      </c>
      <c r="E20" s="140">
        <f>ROUND(B20*D20,2)</f>
        <v>900</v>
      </c>
    </row>
    <row r="21" spans="1:5">
      <c r="A21" s="141" t="s">
        <v>8</v>
      </c>
      <c r="B21" s="142">
        <v>5</v>
      </c>
      <c r="C21" s="143" t="s">
        <v>127</v>
      </c>
      <c r="D21" s="144">
        <f>+D16</f>
        <v>21.34</v>
      </c>
      <c r="E21" s="145">
        <f>ROUND(B21*D21,2)</f>
        <v>106.7</v>
      </c>
    </row>
    <row r="22" spans="1:5">
      <c r="A22" s="141" t="s">
        <v>131</v>
      </c>
      <c r="B22" s="142">
        <v>1</v>
      </c>
      <c r="C22" s="143" t="s">
        <v>2</v>
      </c>
      <c r="D22" s="144">
        <v>12</v>
      </c>
      <c r="E22" s="145">
        <f>ROUND(B22*D22,2)</f>
        <v>12</v>
      </c>
    </row>
    <row r="23" spans="1:5" ht="13.5" thickBot="1">
      <c r="A23" s="146"/>
      <c r="B23" s="147"/>
      <c r="C23" s="5065" t="s">
        <v>132</v>
      </c>
      <c r="D23" s="5065"/>
      <c r="E23" s="148">
        <f>SUM(E20:E22)</f>
        <v>1018.7</v>
      </c>
    </row>
    <row r="24" spans="1:5" ht="13.5" thickTop="1">
      <c r="A24" s="149"/>
      <c r="B24" s="150"/>
      <c r="C24" s="132"/>
      <c r="D24" s="132"/>
      <c r="E24" s="151"/>
    </row>
    <row r="25" spans="1:5" ht="13.5" thickBot="1">
      <c r="A25" s="133" t="s">
        <v>133</v>
      </c>
      <c r="B25" s="134"/>
      <c r="C25" s="135"/>
      <c r="D25" s="135"/>
      <c r="E25" s="135"/>
    </row>
    <row r="26" spans="1:5" ht="13.5" thickTop="1">
      <c r="A26" s="136" t="s">
        <v>130</v>
      </c>
      <c r="B26" s="137">
        <v>1</v>
      </c>
      <c r="C26" s="138" t="s">
        <v>2</v>
      </c>
      <c r="D26" s="139">
        <f>E14</f>
        <v>1100</v>
      </c>
      <c r="E26" s="140">
        <f>ROUND(B26*D26,2)</f>
        <v>1100</v>
      </c>
    </row>
    <row r="27" spans="1:5">
      <c r="A27" s="141" t="s">
        <v>8</v>
      </c>
      <c r="B27" s="142">
        <v>5</v>
      </c>
      <c r="C27" s="143" t="s">
        <v>127</v>
      </c>
      <c r="D27" s="144">
        <f>+D16</f>
        <v>21.34</v>
      </c>
      <c r="E27" s="145">
        <f>ROUND(B27*D27,2)</f>
        <v>106.7</v>
      </c>
    </row>
    <row r="28" spans="1:5">
      <c r="A28" s="141" t="s">
        <v>131</v>
      </c>
      <c r="B28" s="142">
        <v>1</v>
      </c>
      <c r="C28" s="143" t="s">
        <v>2</v>
      </c>
      <c r="D28" s="144">
        <v>12</v>
      </c>
      <c r="E28" s="145">
        <f>ROUND(B28*D28,2)</f>
        <v>12</v>
      </c>
    </row>
    <row r="29" spans="1:5" ht="13.5" thickBot="1">
      <c r="A29" s="152"/>
      <c r="B29" s="153"/>
      <c r="C29" s="5065" t="s">
        <v>132</v>
      </c>
      <c r="D29" s="5065"/>
      <c r="E29" s="154">
        <f>SUM(E26:E28)</f>
        <v>1218.7</v>
      </c>
    </row>
    <row r="30" spans="1:5" ht="13.5" thickTop="1">
      <c r="A30" s="45"/>
      <c r="B30" s="150"/>
      <c r="C30" s="132"/>
      <c r="D30" s="132"/>
      <c r="E30" s="155"/>
    </row>
    <row r="31" spans="1:5" ht="13.5" thickBot="1">
      <c r="A31" s="156" t="s">
        <v>134</v>
      </c>
      <c r="B31" s="134"/>
      <c r="C31" s="135"/>
      <c r="D31" s="135"/>
      <c r="E31" s="135"/>
    </row>
    <row r="32" spans="1:5" ht="13.5" thickTop="1">
      <c r="A32" s="136" t="s">
        <v>122</v>
      </c>
      <c r="B32" s="137">
        <v>0.45</v>
      </c>
      <c r="C32" s="157" t="s">
        <v>2</v>
      </c>
      <c r="D32" s="158">
        <f>E23</f>
        <v>1018.7</v>
      </c>
      <c r="E32" s="140">
        <f>ROUND(B32*D32,2)</f>
        <v>458.42</v>
      </c>
    </row>
    <row r="33" spans="1:5">
      <c r="A33" s="141" t="s">
        <v>124</v>
      </c>
      <c r="B33" s="142">
        <v>0.9</v>
      </c>
      <c r="C33" s="159" t="s">
        <v>2</v>
      </c>
      <c r="D33" s="144">
        <f>E29</f>
        <v>1218.7</v>
      </c>
      <c r="E33" s="145">
        <f>ROUND(B33*D33,2)</f>
        <v>1096.83</v>
      </c>
    </row>
    <row r="34" spans="1:5">
      <c r="A34" s="141" t="s">
        <v>135</v>
      </c>
      <c r="B34" s="142">
        <v>13</v>
      </c>
      <c r="C34" s="159" t="s">
        <v>136</v>
      </c>
      <c r="D34" s="144">
        <f>E10</f>
        <v>320</v>
      </c>
      <c r="E34" s="145">
        <f>ROUND(B34*D34,2)</f>
        <v>4160</v>
      </c>
    </row>
    <row r="35" spans="1:5">
      <c r="A35" s="141" t="s">
        <v>137</v>
      </c>
      <c r="B35" s="142">
        <v>60</v>
      </c>
      <c r="C35" s="159" t="s">
        <v>138</v>
      </c>
      <c r="D35" s="144">
        <f>E9</f>
        <v>5</v>
      </c>
      <c r="E35" s="145">
        <f>ROUND(B35*D35,2)</f>
        <v>300</v>
      </c>
    </row>
    <row r="36" spans="1:5">
      <c r="A36" s="141" t="s">
        <v>139</v>
      </c>
      <c r="B36" s="142">
        <v>1</v>
      </c>
      <c r="C36" s="159" t="s">
        <v>2</v>
      </c>
      <c r="D36" s="144">
        <v>450</v>
      </c>
      <c r="E36" s="145">
        <f>ROUND(B36*D36,2)</f>
        <v>450</v>
      </c>
    </row>
    <row r="37" spans="1:5">
      <c r="A37" s="141" t="s">
        <v>140</v>
      </c>
      <c r="B37" s="160"/>
      <c r="C37" s="144"/>
      <c r="D37" s="144"/>
      <c r="E37" s="145">
        <f>SUM(E32+E33+E34+E35)*0.02</f>
        <v>120.31</v>
      </c>
    </row>
    <row r="38" spans="1:5" ht="13.5" thickBot="1">
      <c r="A38" s="152"/>
      <c r="B38" s="161"/>
      <c r="C38" s="5065" t="s">
        <v>132</v>
      </c>
      <c r="D38" s="5065"/>
      <c r="E38" s="154">
        <f>SUM(E32:E37)</f>
        <v>6585.56</v>
      </c>
    </row>
    <row r="39" spans="1:5" ht="13.5" thickTop="1">
      <c r="A39" s="149"/>
      <c r="B39" s="134"/>
      <c r="C39" s="135"/>
      <c r="D39" s="162"/>
      <c r="E39" s="163"/>
    </row>
    <row r="40" spans="1:5" ht="13.5" thickBot="1">
      <c r="A40" s="133" t="s">
        <v>141</v>
      </c>
      <c r="B40" s="134"/>
      <c r="C40" s="135"/>
      <c r="D40" s="135"/>
      <c r="E40" s="135"/>
    </row>
    <row r="41" spans="1:5" ht="13.5" thickTop="1">
      <c r="A41" s="136" t="s">
        <v>122</v>
      </c>
      <c r="B41" s="137">
        <v>0.45</v>
      </c>
      <c r="C41" s="138" t="s">
        <v>2</v>
      </c>
      <c r="D41" s="158">
        <f>SUM(E23)</f>
        <v>1018.7</v>
      </c>
      <c r="E41" s="140">
        <f>ROUND(B41*D41,2)</f>
        <v>458.42</v>
      </c>
    </row>
    <row r="42" spans="1:5">
      <c r="A42" s="141" t="s">
        <v>124</v>
      </c>
      <c r="B42" s="142">
        <v>0.9</v>
      </c>
      <c r="C42" s="143" t="s">
        <v>2</v>
      </c>
      <c r="D42" s="144">
        <f>SUM(E29)</f>
        <v>1218.7</v>
      </c>
      <c r="E42" s="145">
        <f>ROUND(B42*D42,2)</f>
        <v>1096.83</v>
      </c>
    </row>
    <row r="43" spans="1:5">
      <c r="A43" s="141" t="s">
        <v>142</v>
      </c>
      <c r="B43" s="142">
        <v>9</v>
      </c>
      <c r="C43" s="143" t="s">
        <v>120</v>
      </c>
      <c r="D43" s="144">
        <f>SUM(E10)</f>
        <v>320</v>
      </c>
      <c r="E43" s="145">
        <f>ROUND(B43*D43,2)</f>
        <v>2880</v>
      </c>
    </row>
    <row r="44" spans="1:5">
      <c r="A44" s="141" t="s">
        <v>117</v>
      </c>
      <c r="B44" s="142">
        <v>60</v>
      </c>
      <c r="C44" s="143" t="s">
        <v>138</v>
      </c>
      <c r="D44" s="144">
        <f>+E9</f>
        <v>5</v>
      </c>
      <c r="E44" s="145">
        <f>ROUND(B44*D44,2)</f>
        <v>300</v>
      </c>
    </row>
    <row r="45" spans="1:5">
      <c r="A45" s="141" t="s">
        <v>139</v>
      </c>
      <c r="B45" s="142">
        <v>1</v>
      </c>
      <c r="C45" s="143" t="s">
        <v>2</v>
      </c>
      <c r="D45" s="144">
        <v>650</v>
      </c>
      <c r="E45" s="145">
        <f>ROUND(B45*D45,2)</f>
        <v>650</v>
      </c>
    </row>
    <row r="46" spans="1:5">
      <c r="A46" s="141" t="s">
        <v>140</v>
      </c>
      <c r="B46" s="160"/>
      <c r="C46" s="144"/>
      <c r="D46" s="144"/>
      <c r="E46" s="145">
        <f>SUM(E41+E42+E43+E44)*0.02</f>
        <v>94.71</v>
      </c>
    </row>
    <row r="47" spans="1:5" ht="13.5" thickBot="1">
      <c r="A47" s="152"/>
      <c r="B47" s="161"/>
      <c r="C47" s="5065" t="s">
        <v>132</v>
      </c>
      <c r="D47" s="5065"/>
      <c r="E47" s="154">
        <f>SUM(E41:E46)</f>
        <v>5479.96</v>
      </c>
    </row>
    <row r="48" spans="1:5" ht="13.5" thickTop="1">
      <c r="A48" s="149"/>
      <c r="B48" s="134"/>
      <c r="C48" s="135"/>
      <c r="D48" s="135"/>
      <c r="E48" s="135"/>
    </row>
    <row r="49" spans="1:5" ht="13.5" thickBot="1">
      <c r="A49" s="784" t="s">
        <v>143</v>
      </c>
      <c r="B49" s="785"/>
      <c r="C49" s="786"/>
      <c r="D49" s="786"/>
      <c r="E49" s="786"/>
    </row>
    <row r="50" spans="1:5" ht="13.5" thickTop="1">
      <c r="A50" s="787" t="s">
        <v>122</v>
      </c>
      <c r="B50" s="788">
        <v>0.52</v>
      </c>
      <c r="C50" s="789" t="s">
        <v>2</v>
      </c>
      <c r="D50" s="790">
        <v>1050</v>
      </c>
      <c r="E50" s="791">
        <f>ROUND(B50*D50,2)</f>
        <v>546</v>
      </c>
    </row>
    <row r="51" spans="1:5">
      <c r="A51" s="792" t="s">
        <v>124</v>
      </c>
      <c r="B51" s="793">
        <v>0.85</v>
      </c>
      <c r="C51" s="794" t="s">
        <v>2</v>
      </c>
      <c r="D51" s="795">
        <v>1100</v>
      </c>
      <c r="E51" s="796">
        <f>ROUND(B51*D51,2)</f>
        <v>935</v>
      </c>
    </row>
    <row r="52" spans="1:5">
      <c r="A52" s="792" t="s">
        <v>135</v>
      </c>
      <c r="B52" s="793">
        <v>7</v>
      </c>
      <c r="C52" s="794" t="s">
        <v>144</v>
      </c>
      <c r="D52" s="795">
        <v>310</v>
      </c>
      <c r="E52" s="796">
        <f>ROUND(B52*D52,2)</f>
        <v>2170</v>
      </c>
    </row>
    <row r="53" spans="1:5">
      <c r="A53" s="792" t="s">
        <v>117</v>
      </c>
      <c r="B53" s="793">
        <v>60</v>
      </c>
      <c r="C53" s="794" t="s">
        <v>138</v>
      </c>
      <c r="D53" s="795">
        <f>E9</f>
        <v>5</v>
      </c>
      <c r="E53" s="796">
        <f>ROUND(B53*D53,2)</f>
        <v>300</v>
      </c>
    </row>
    <row r="54" spans="1:5">
      <c r="A54" s="792" t="s">
        <v>139</v>
      </c>
      <c r="B54" s="793">
        <v>1</v>
      </c>
      <c r="C54" s="794" t="s">
        <v>2</v>
      </c>
      <c r="D54" s="795">
        <v>1200</v>
      </c>
      <c r="E54" s="796">
        <f>ROUND(B54*D54,2)</f>
        <v>1200</v>
      </c>
    </row>
    <row r="55" spans="1:5">
      <c r="A55" s="792" t="s">
        <v>140</v>
      </c>
      <c r="B55" s="797"/>
      <c r="C55" s="794"/>
      <c r="D55" s="795"/>
      <c r="E55" s="796">
        <f>SUM(E50+E51+E52+E53)*0.02</f>
        <v>79.02</v>
      </c>
    </row>
    <row r="56" spans="1:5" ht="13.5" thickBot="1">
      <c r="A56" s="798"/>
      <c r="B56" s="799"/>
      <c r="C56" s="5065" t="s">
        <v>132</v>
      </c>
      <c r="D56" s="5065"/>
      <c r="E56" s="800">
        <f>SUM(E50:E55)</f>
        <v>5230.0200000000004</v>
      </c>
    </row>
    <row r="57" spans="1:5" ht="13.5" thickTop="1">
      <c r="A57" s="149"/>
      <c r="B57" s="134"/>
      <c r="C57" s="164"/>
      <c r="D57" s="135"/>
      <c r="E57" s="135"/>
    </row>
    <row r="58" spans="1:5" ht="13.5" thickBot="1">
      <c r="A58" s="156" t="s">
        <v>123</v>
      </c>
      <c r="B58" s="134"/>
      <c r="C58" s="164"/>
      <c r="D58" s="135"/>
      <c r="E58" s="135"/>
    </row>
    <row r="59" spans="1:5" ht="13.5" thickTop="1">
      <c r="A59" s="136" t="s">
        <v>145</v>
      </c>
      <c r="B59" s="137">
        <v>1</v>
      </c>
      <c r="C59" s="157" t="s">
        <v>2</v>
      </c>
      <c r="D59" s="158">
        <f>E13</f>
        <v>1400</v>
      </c>
      <c r="E59" s="140">
        <f>B59*D59</f>
        <v>1400</v>
      </c>
    </row>
    <row r="60" spans="1:5">
      <c r="A60" s="141" t="s">
        <v>8</v>
      </c>
      <c r="B60" s="142">
        <f>E17</f>
        <v>0</v>
      </c>
      <c r="C60" s="159" t="s">
        <v>127</v>
      </c>
      <c r="D60" s="144">
        <f>E16</f>
        <v>106.7</v>
      </c>
      <c r="E60" s="145">
        <f>B60*D60</f>
        <v>0</v>
      </c>
    </row>
    <row r="61" spans="1:5">
      <c r="A61" s="141" t="s">
        <v>131</v>
      </c>
      <c r="B61" s="142">
        <v>1</v>
      </c>
      <c r="C61" s="159" t="s">
        <v>2</v>
      </c>
      <c r="D61" s="144">
        <v>12</v>
      </c>
      <c r="E61" s="145">
        <f>B61*D61</f>
        <v>12</v>
      </c>
    </row>
    <row r="62" spans="1:5" ht="13.5" thickBot="1">
      <c r="A62" s="152"/>
      <c r="B62" s="161"/>
      <c r="C62" s="5065" t="s">
        <v>132</v>
      </c>
      <c r="D62" s="5065"/>
      <c r="E62" s="154">
        <f>SUM(E59:E61)</f>
        <v>1412</v>
      </c>
    </row>
    <row r="63" spans="1:5" ht="13.5" thickTop="1">
      <c r="A63" s="149"/>
      <c r="B63" s="134"/>
      <c r="C63" s="135"/>
      <c r="D63" s="135"/>
      <c r="E63" s="135"/>
    </row>
    <row r="64" spans="1:5" ht="13.5" thickBot="1">
      <c r="A64" s="133" t="s">
        <v>146</v>
      </c>
      <c r="B64" s="134"/>
      <c r="C64" s="135"/>
      <c r="D64" s="135"/>
      <c r="E64" s="135"/>
    </row>
    <row r="65" spans="1:5" ht="13.5" thickTop="1">
      <c r="A65" s="136" t="s">
        <v>122</v>
      </c>
      <c r="B65" s="137">
        <v>1.02</v>
      </c>
      <c r="C65" s="157" t="s">
        <v>2</v>
      </c>
      <c r="D65" s="165">
        <f>SUM(E62)</f>
        <v>1412</v>
      </c>
      <c r="E65" s="140">
        <f>B65*D65</f>
        <v>1440.24</v>
      </c>
    </row>
    <row r="66" spans="1:5">
      <c r="A66" s="141" t="s">
        <v>135</v>
      </c>
      <c r="B66" s="166">
        <v>9.4600000000000009</v>
      </c>
      <c r="C66" s="159" t="s">
        <v>144</v>
      </c>
      <c r="D66" s="166">
        <f>SUM(E10)</f>
        <v>320</v>
      </c>
      <c r="E66" s="145">
        <f>B66*D66</f>
        <v>3027.2</v>
      </c>
    </row>
    <row r="67" spans="1:5">
      <c r="A67" s="141" t="s">
        <v>117</v>
      </c>
      <c r="B67" s="142">
        <v>50</v>
      </c>
      <c r="C67" s="159" t="s">
        <v>138</v>
      </c>
      <c r="D67" s="166">
        <f>E9</f>
        <v>5</v>
      </c>
      <c r="E67" s="145">
        <f>B67*D67</f>
        <v>250</v>
      </c>
    </row>
    <row r="68" spans="1:5">
      <c r="A68" s="141" t="s">
        <v>121</v>
      </c>
      <c r="B68" s="166">
        <v>3.07</v>
      </c>
      <c r="C68" s="159" t="s">
        <v>144</v>
      </c>
      <c r="D68" s="166">
        <f>+E11</f>
        <v>100</v>
      </c>
      <c r="E68" s="145">
        <f>B68*D68</f>
        <v>307</v>
      </c>
    </row>
    <row r="69" spans="1:5">
      <c r="A69" s="141" t="s">
        <v>147</v>
      </c>
      <c r="B69" s="142">
        <v>0.5</v>
      </c>
      <c r="C69" s="159" t="s">
        <v>148</v>
      </c>
      <c r="D69" s="166">
        <v>321.60000000000002</v>
      </c>
      <c r="E69" s="145">
        <f>B69*D69</f>
        <v>160.80000000000001</v>
      </c>
    </row>
    <row r="70" spans="1:5">
      <c r="A70" s="141" t="s">
        <v>149</v>
      </c>
      <c r="B70" s="160"/>
      <c r="C70" s="159"/>
      <c r="D70" s="144"/>
      <c r="E70" s="145">
        <f>SUM(E66+E67+E65+E68)*0.03</f>
        <v>150.72999999999999</v>
      </c>
    </row>
    <row r="71" spans="1:5" ht="13.5" thickBot="1">
      <c r="A71" s="152" t="s">
        <v>43</v>
      </c>
      <c r="B71" s="161"/>
      <c r="C71" s="5065" t="s">
        <v>132</v>
      </c>
      <c r="D71" s="5065"/>
      <c r="E71" s="154">
        <f>SUM(E65:E70)</f>
        <v>5335.97</v>
      </c>
    </row>
    <row r="72" spans="1:5" ht="13.5" thickTop="1">
      <c r="A72" s="149"/>
      <c r="B72" s="134"/>
      <c r="C72" s="164"/>
      <c r="D72" s="162"/>
      <c r="E72" s="162"/>
    </row>
    <row r="73" spans="1:5" ht="13.5" thickBot="1">
      <c r="A73" s="133" t="s">
        <v>150</v>
      </c>
      <c r="B73" s="134"/>
      <c r="C73" s="164"/>
      <c r="D73" s="135"/>
      <c r="E73" s="135"/>
    </row>
    <row r="74" spans="1:5" ht="13.5" thickTop="1">
      <c r="A74" s="136" t="s">
        <v>151</v>
      </c>
      <c r="B74" s="137">
        <v>1</v>
      </c>
      <c r="C74" s="157" t="s">
        <v>2</v>
      </c>
      <c r="D74" s="165">
        <f>SUM(E23)</f>
        <v>1018.7</v>
      </c>
      <c r="E74" s="140">
        <f>B74*D74</f>
        <v>1018.7</v>
      </c>
    </row>
    <row r="75" spans="1:5">
      <c r="A75" s="141" t="s">
        <v>117</v>
      </c>
      <c r="B75" s="142">
        <v>69</v>
      </c>
      <c r="C75" s="159" t="s">
        <v>138</v>
      </c>
      <c r="D75" s="166">
        <f>E9</f>
        <v>5</v>
      </c>
      <c r="E75" s="145">
        <f>B75*D75</f>
        <v>345</v>
      </c>
    </row>
    <row r="76" spans="1:5">
      <c r="A76" s="141" t="s">
        <v>135</v>
      </c>
      <c r="B76" s="142">
        <v>11.51</v>
      </c>
      <c r="C76" s="159" t="s">
        <v>144</v>
      </c>
      <c r="D76" s="166">
        <f>SUM(E10)</f>
        <v>320</v>
      </c>
      <c r="E76" s="145">
        <f>B76*D76</f>
        <v>3683.2</v>
      </c>
    </row>
    <row r="77" spans="1:5">
      <c r="A77" s="141" t="s">
        <v>147</v>
      </c>
      <c r="B77" s="142">
        <v>0.5</v>
      </c>
      <c r="C77" s="159" t="s">
        <v>148</v>
      </c>
      <c r="D77" s="166">
        <v>650</v>
      </c>
      <c r="E77" s="145">
        <f>B77*D77</f>
        <v>325</v>
      </c>
    </row>
    <row r="78" spans="1:5">
      <c r="A78" s="141" t="s">
        <v>149</v>
      </c>
      <c r="B78" s="160"/>
      <c r="C78" s="159"/>
      <c r="D78" s="144"/>
      <c r="E78" s="145">
        <f>SUM(E74+E75+E76)*0.03</f>
        <v>151.41</v>
      </c>
    </row>
    <row r="79" spans="1:5" ht="13.5" thickBot="1">
      <c r="A79" s="152"/>
      <c r="B79" s="161"/>
      <c r="C79" s="5065" t="s">
        <v>132</v>
      </c>
      <c r="D79" s="5065"/>
      <c r="E79" s="154">
        <f>SUM(E74:E78)</f>
        <v>5523.31</v>
      </c>
    </row>
    <row r="80" spans="1:5" ht="13.5" thickTop="1">
      <c r="A80" s="45"/>
      <c r="B80" s="130"/>
      <c r="C80" s="132"/>
      <c r="D80" s="155"/>
      <c r="E80" s="155"/>
    </row>
    <row r="81" spans="1:5" ht="13.5" thickBot="1">
      <c r="A81" s="133" t="s">
        <v>152</v>
      </c>
      <c r="B81" s="134"/>
      <c r="C81" s="135"/>
      <c r="D81" s="135"/>
      <c r="E81" s="135"/>
    </row>
    <row r="82" spans="1:5" ht="13.5" thickTop="1">
      <c r="A82" s="136" t="s">
        <v>153</v>
      </c>
      <c r="B82" s="167">
        <v>2.5999999999999999E-2</v>
      </c>
      <c r="C82" s="157" t="s">
        <v>2</v>
      </c>
      <c r="D82" s="165">
        <f>SUM(E71)</f>
        <v>5335.97</v>
      </c>
      <c r="E82" s="140">
        <f>B82*D82</f>
        <v>138.74</v>
      </c>
    </row>
    <row r="83" spans="1:5">
      <c r="A83" s="141" t="s">
        <v>154</v>
      </c>
      <c r="B83" s="160">
        <v>3.3000000000000002E-2</v>
      </c>
      <c r="C83" s="159" t="s">
        <v>155</v>
      </c>
      <c r="D83" s="166">
        <v>45</v>
      </c>
      <c r="E83" s="145">
        <f>B83*D83</f>
        <v>1.49</v>
      </c>
    </row>
    <row r="84" spans="1:5">
      <c r="A84" s="141" t="s">
        <v>156</v>
      </c>
      <c r="B84" s="142">
        <v>1</v>
      </c>
      <c r="C84" s="159" t="s">
        <v>42</v>
      </c>
      <c r="D84" s="168">
        <v>5</v>
      </c>
      <c r="E84" s="145">
        <f>B84*D84</f>
        <v>5</v>
      </c>
    </row>
    <row r="85" spans="1:5">
      <c r="A85" s="141" t="s">
        <v>41</v>
      </c>
      <c r="B85" s="142">
        <v>1</v>
      </c>
      <c r="C85" s="159" t="s">
        <v>11</v>
      </c>
      <c r="D85" s="166">
        <v>95.62</v>
      </c>
      <c r="E85" s="145">
        <f>B85*D85</f>
        <v>95.62</v>
      </c>
    </row>
    <row r="86" spans="1:5" ht="13.5" thickBot="1">
      <c r="A86" s="152"/>
      <c r="B86" s="161"/>
      <c r="C86" s="5065" t="s">
        <v>157</v>
      </c>
      <c r="D86" s="5065"/>
      <c r="E86" s="154">
        <f>SUM(E82:E85)</f>
        <v>240.85</v>
      </c>
    </row>
    <row r="87" spans="1:5" ht="13.5" thickTop="1">
      <c r="A87" s="45"/>
      <c r="B87" s="130"/>
      <c r="C87" s="169"/>
      <c r="D87" s="169"/>
      <c r="E87" s="155"/>
    </row>
    <row r="88" spans="1:5" ht="13.5" thickBot="1">
      <c r="A88" s="170" t="s">
        <v>158</v>
      </c>
      <c r="B88" s="171"/>
      <c r="C88" s="172"/>
      <c r="D88" s="171"/>
      <c r="E88" s="171"/>
    </row>
    <row r="89" spans="1:5" ht="14.25" thickTop="1" thickBot="1">
      <c r="A89" s="173" t="s">
        <v>159</v>
      </c>
      <c r="B89" s="173">
        <v>2.5999999999999999E-2</v>
      </c>
      <c r="C89" s="174" t="s">
        <v>160</v>
      </c>
      <c r="D89" s="175">
        <f>E71</f>
        <v>5335.97</v>
      </c>
      <c r="E89" s="176">
        <f>B89*D89</f>
        <v>138.74</v>
      </c>
    </row>
    <row r="90" spans="1:5" ht="14.25" thickTop="1" thickBot="1">
      <c r="A90" s="173" t="s">
        <v>154</v>
      </c>
      <c r="B90" s="173">
        <v>3.3000000000000002E-2</v>
      </c>
      <c r="C90" s="174" t="s">
        <v>161</v>
      </c>
      <c r="D90" s="177">
        <f>+D83</f>
        <v>45</v>
      </c>
      <c r="E90" s="176">
        <f>B90*D90</f>
        <v>1.49</v>
      </c>
    </row>
    <row r="91" spans="1:5" ht="14.25" thickTop="1" thickBot="1">
      <c r="A91" s="173" t="s">
        <v>156</v>
      </c>
      <c r="B91" s="178">
        <v>1</v>
      </c>
      <c r="C91" s="174" t="s">
        <v>61</v>
      </c>
      <c r="D91" s="177">
        <v>5</v>
      </c>
      <c r="E91" s="176">
        <f>B91*D91</f>
        <v>5</v>
      </c>
    </row>
    <row r="92" spans="1:5" ht="14.25" thickTop="1" thickBot="1">
      <c r="A92" s="173" t="s">
        <v>162</v>
      </c>
      <c r="B92" s="178">
        <v>1</v>
      </c>
      <c r="C92" s="174" t="s">
        <v>163</v>
      </c>
      <c r="D92" s="177">
        <v>110.26</v>
      </c>
      <c r="E92" s="176">
        <f>B92*D92</f>
        <v>110.26</v>
      </c>
    </row>
    <row r="93" spans="1:5" ht="14.25" thickTop="1" thickBot="1">
      <c r="A93" s="173"/>
      <c r="B93" s="173"/>
      <c r="C93" s="5065" t="s">
        <v>164</v>
      </c>
      <c r="D93" s="5065"/>
      <c r="E93" s="179">
        <f>SUM(E89:E92)</f>
        <v>255.49</v>
      </c>
    </row>
    <row r="94" spans="1:5" ht="13.5" thickTop="1">
      <c r="A94" s="149"/>
      <c r="B94" s="134"/>
      <c r="C94" s="135"/>
      <c r="D94" s="162"/>
      <c r="E94" s="162"/>
    </row>
    <row r="95" spans="1:5" ht="13.5" thickBot="1">
      <c r="A95" s="156" t="s">
        <v>165</v>
      </c>
      <c r="B95" s="134"/>
      <c r="C95" s="135"/>
      <c r="D95" s="135"/>
      <c r="E95" s="135"/>
    </row>
    <row r="96" spans="1:5" ht="13.5" thickTop="1">
      <c r="A96" s="136" t="s">
        <v>166</v>
      </c>
      <c r="B96" s="180">
        <v>2.5999999999999999E-2</v>
      </c>
      <c r="C96" s="157" t="s">
        <v>2</v>
      </c>
      <c r="D96" s="165">
        <f>SUM(E71)</f>
        <v>5335.97</v>
      </c>
      <c r="E96" s="140">
        <f>B96*D96</f>
        <v>138.74</v>
      </c>
    </row>
    <row r="97" spans="1:5">
      <c r="A97" s="141" t="s">
        <v>154</v>
      </c>
      <c r="B97" s="181">
        <v>3.3000000000000002E-2</v>
      </c>
      <c r="C97" s="159" t="s">
        <v>155</v>
      </c>
      <c r="D97" s="166">
        <f>+D83</f>
        <v>45</v>
      </c>
      <c r="E97" s="145">
        <f>B97*D97</f>
        <v>1.49</v>
      </c>
    </row>
    <row r="98" spans="1:5">
      <c r="A98" s="141" t="s">
        <v>156</v>
      </c>
      <c r="B98" s="142">
        <v>1</v>
      </c>
      <c r="C98" s="159" t="s">
        <v>42</v>
      </c>
      <c r="D98" s="168">
        <v>5</v>
      </c>
      <c r="E98" s="145">
        <f>B98*D98</f>
        <v>5</v>
      </c>
    </row>
    <row r="99" spans="1:5">
      <c r="A99" s="141" t="s">
        <v>167</v>
      </c>
      <c r="B99" s="182">
        <v>5.2999999999999999E-2</v>
      </c>
      <c r="C99" s="159" t="s">
        <v>120</v>
      </c>
      <c r="D99" s="166">
        <f>SUM(E10)</f>
        <v>320</v>
      </c>
      <c r="E99" s="145">
        <f>B99*D99</f>
        <v>16.96</v>
      </c>
    </row>
    <row r="100" spans="1:5">
      <c r="A100" s="141" t="s">
        <v>162</v>
      </c>
      <c r="B100" s="142">
        <v>1</v>
      </c>
      <c r="C100" s="159" t="s">
        <v>11</v>
      </c>
      <c r="D100" s="166">
        <v>110.26</v>
      </c>
      <c r="E100" s="145">
        <f>B100*D100</f>
        <v>110.26</v>
      </c>
    </row>
    <row r="101" spans="1:5" ht="13.5" thickBot="1">
      <c r="A101" s="152"/>
      <c r="B101" s="161"/>
      <c r="C101" s="5065" t="s">
        <v>157</v>
      </c>
      <c r="D101" s="5065"/>
      <c r="E101" s="154">
        <f>SUM(E96:E100)</f>
        <v>272.45</v>
      </c>
    </row>
    <row r="102" spans="1:5" ht="13.5" thickTop="1">
      <c r="A102" s="149"/>
      <c r="B102" s="134"/>
      <c r="C102" s="135"/>
      <c r="D102" s="162"/>
      <c r="E102" s="163"/>
    </row>
    <row r="103" spans="1:5" ht="13.5" thickBot="1">
      <c r="A103" s="156" t="s">
        <v>168</v>
      </c>
      <c r="B103" s="134"/>
      <c r="C103" s="135"/>
      <c r="D103" s="135"/>
      <c r="E103" s="135"/>
    </row>
    <row r="104" spans="1:5" ht="13.5" thickTop="1">
      <c r="A104" s="136" t="s">
        <v>166</v>
      </c>
      <c r="B104" s="180">
        <v>2.5999999999999999E-2</v>
      </c>
      <c r="C104" s="157" t="s">
        <v>2</v>
      </c>
      <c r="D104" s="165">
        <f>SUM(E71)</f>
        <v>5335.97</v>
      </c>
      <c r="E104" s="140">
        <f t="shared" ref="E104:E109" si="1">B104*D104</f>
        <v>138.74</v>
      </c>
    </row>
    <row r="105" spans="1:5">
      <c r="A105" s="141" t="s">
        <v>154</v>
      </c>
      <c r="B105" s="181">
        <v>3.3000000000000002E-2</v>
      </c>
      <c r="C105" s="159" t="s">
        <v>155</v>
      </c>
      <c r="D105" s="166">
        <f>+D83</f>
        <v>45</v>
      </c>
      <c r="E105" s="145">
        <f t="shared" si="1"/>
        <v>1.49</v>
      </c>
    </row>
    <row r="106" spans="1:5">
      <c r="A106" s="141" t="s">
        <v>156</v>
      </c>
      <c r="B106" s="142">
        <v>1</v>
      </c>
      <c r="C106" s="159" t="s">
        <v>42</v>
      </c>
      <c r="D106" s="168">
        <v>5</v>
      </c>
      <c r="E106" s="145">
        <f t="shared" si="1"/>
        <v>5</v>
      </c>
    </row>
    <row r="107" spans="1:5">
      <c r="A107" s="141" t="s">
        <v>167</v>
      </c>
      <c r="B107" s="182">
        <v>5.2999999999999999E-2</v>
      </c>
      <c r="C107" s="159" t="s">
        <v>120</v>
      </c>
      <c r="D107" s="166">
        <f>SUM(E10)</f>
        <v>320</v>
      </c>
      <c r="E107" s="145">
        <f t="shared" si="1"/>
        <v>16.96</v>
      </c>
    </row>
    <row r="108" spans="1:5">
      <c r="A108" s="141" t="s">
        <v>169</v>
      </c>
      <c r="B108" s="182">
        <v>1.4999999999999999E-2</v>
      </c>
      <c r="C108" s="159" t="s">
        <v>138</v>
      </c>
      <c r="D108" s="166">
        <v>220</v>
      </c>
      <c r="E108" s="145">
        <f t="shared" si="1"/>
        <v>3.3</v>
      </c>
    </row>
    <row r="109" spans="1:5">
      <c r="A109" s="141" t="s">
        <v>162</v>
      </c>
      <c r="B109" s="142">
        <v>1</v>
      </c>
      <c r="C109" s="159" t="s">
        <v>11</v>
      </c>
      <c r="D109" s="166">
        <v>110.26</v>
      </c>
      <c r="E109" s="145">
        <f t="shared" si="1"/>
        <v>110.26</v>
      </c>
    </row>
    <row r="110" spans="1:5" ht="13.5" thickBot="1">
      <c r="A110" s="152"/>
      <c r="B110" s="161"/>
      <c r="C110" s="5065" t="s">
        <v>157</v>
      </c>
      <c r="D110" s="5065"/>
      <c r="E110" s="154">
        <f>SUM(E104:E109)</f>
        <v>275.75</v>
      </c>
    </row>
    <row r="111" spans="1:5" ht="13.5" thickTop="1">
      <c r="A111" s="149"/>
      <c r="B111" s="134"/>
      <c r="C111" s="135"/>
      <c r="D111" s="162"/>
      <c r="E111" s="163"/>
    </row>
    <row r="112" spans="1:5" ht="13.5" thickBot="1">
      <c r="A112" s="156" t="s">
        <v>170</v>
      </c>
      <c r="B112" s="134"/>
      <c r="C112" s="135"/>
      <c r="D112" s="135"/>
      <c r="E112" s="135"/>
    </row>
    <row r="113" spans="1:5" ht="13.5" thickTop="1">
      <c r="A113" s="136" t="s">
        <v>171</v>
      </c>
      <c r="B113" s="180">
        <v>6.3E-2</v>
      </c>
      <c r="C113" s="157" t="s">
        <v>2</v>
      </c>
      <c r="D113" s="183">
        <f>SUM(E79)</f>
        <v>5523.31</v>
      </c>
      <c r="E113" s="140">
        <f>B113*D113</f>
        <v>347.97</v>
      </c>
    </row>
    <row r="114" spans="1:5">
      <c r="A114" s="141" t="s">
        <v>154</v>
      </c>
      <c r="B114" s="142">
        <v>0.33</v>
      </c>
      <c r="C114" s="159" t="s">
        <v>155</v>
      </c>
      <c r="D114" s="168">
        <f>+D105</f>
        <v>45</v>
      </c>
      <c r="E114" s="145">
        <f>B114*D114</f>
        <v>14.85</v>
      </c>
    </row>
    <row r="115" spans="1:5">
      <c r="A115" s="141" t="s">
        <v>156</v>
      </c>
      <c r="B115" s="142">
        <v>1</v>
      </c>
      <c r="C115" s="159" t="s">
        <v>42</v>
      </c>
      <c r="D115" s="168">
        <v>6</v>
      </c>
      <c r="E115" s="145">
        <f>B115*D115</f>
        <v>6</v>
      </c>
    </row>
    <row r="116" spans="1:5">
      <c r="A116" s="141" t="s">
        <v>172</v>
      </c>
      <c r="B116" s="142">
        <v>1</v>
      </c>
      <c r="C116" s="159" t="s">
        <v>42</v>
      </c>
      <c r="D116" s="168">
        <v>5</v>
      </c>
      <c r="E116" s="145">
        <f>B116*D116</f>
        <v>5</v>
      </c>
    </row>
    <row r="117" spans="1:5">
      <c r="A117" s="141" t="s">
        <v>41</v>
      </c>
      <c r="B117" s="142">
        <v>1</v>
      </c>
      <c r="C117" s="159" t="s">
        <v>11</v>
      </c>
      <c r="D117" s="168">
        <v>115.23</v>
      </c>
      <c r="E117" s="145">
        <f>B117*D117</f>
        <v>115.23</v>
      </c>
    </row>
    <row r="118" spans="1:5" ht="13.5" thickBot="1">
      <c r="A118" s="152"/>
      <c r="B118" s="161"/>
      <c r="C118" s="5065" t="s">
        <v>157</v>
      </c>
      <c r="D118" s="5065"/>
      <c r="E118" s="154">
        <f>SUM(E113:E117)</f>
        <v>489.05</v>
      </c>
    </row>
    <row r="119" spans="1:5" ht="13.5" thickTop="1">
      <c r="A119" s="149"/>
      <c r="B119" s="134"/>
      <c r="C119" s="135"/>
      <c r="D119" s="162"/>
      <c r="E119" s="163"/>
    </row>
    <row r="120" spans="1:5" ht="13.5" thickBot="1">
      <c r="A120" s="156" t="s">
        <v>173</v>
      </c>
      <c r="B120" s="134"/>
      <c r="C120" s="135"/>
      <c r="D120" s="135"/>
      <c r="E120" s="135"/>
    </row>
    <row r="121" spans="1:5" ht="13.5" thickTop="1">
      <c r="A121" s="136" t="s">
        <v>171</v>
      </c>
      <c r="B121" s="180">
        <v>6.3E-2</v>
      </c>
      <c r="C121" s="157" t="s">
        <v>2</v>
      </c>
      <c r="D121" s="183">
        <f>SUM(E79)</f>
        <v>5523.31</v>
      </c>
      <c r="E121" s="140">
        <f t="shared" ref="E121:E126" si="2">B121*D121</f>
        <v>347.97</v>
      </c>
    </row>
    <row r="122" spans="1:5">
      <c r="A122" s="141" t="s">
        <v>154</v>
      </c>
      <c r="B122" s="142">
        <v>0.33</v>
      </c>
      <c r="C122" s="159" t="s">
        <v>155</v>
      </c>
      <c r="D122" s="168">
        <f>+D114</f>
        <v>45</v>
      </c>
      <c r="E122" s="145">
        <f t="shared" si="2"/>
        <v>14.85</v>
      </c>
    </row>
    <row r="123" spans="1:5">
      <c r="A123" s="141" t="s">
        <v>156</v>
      </c>
      <c r="B123" s="142">
        <v>1</v>
      </c>
      <c r="C123" s="159" t="s">
        <v>42</v>
      </c>
      <c r="D123" s="168">
        <v>6</v>
      </c>
      <c r="E123" s="145">
        <f t="shared" si="2"/>
        <v>6</v>
      </c>
    </row>
    <row r="124" spans="1:5">
      <c r="A124" s="141" t="s">
        <v>172</v>
      </c>
      <c r="B124" s="142">
        <v>1</v>
      </c>
      <c r="C124" s="159" t="s">
        <v>42</v>
      </c>
      <c r="D124" s="168">
        <v>5</v>
      </c>
      <c r="E124" s="145">
        <f t="shared" si="2"/>
        <v>5</v>
      </c>
    </row>
    <row r="125" spans="1:5">
      <c r="A125" s="141" t="s">
        <v>169</v>
      </c>
      <c r="B125" s="182">
        <v>4.4999999999999998E-2</v>
      </c>
      <c r="C125" s="159" t="s">
        <v>138</v>
      </c>
      <c r="D125" s="168">
        <v>220</v>
      </c>
      <c r="E125" s="145">
        <f t="shared" si="2"/>
        <v>9.9</v>
      </c>
    </row>
    <row r="126" spans="1:5">
      <c r="A126" s="141" t="s">
        <v>41</v>
      </c>
      <c r="B126" s="142">
        <v>1</v>
      </c>
      <c r="C126" s="159" t="s">
        <v>11</v>
      </c>
      <c r="D126" s="168">
        <v>115.23</v>
      </c>
      <c r="E126" s="145">
        <f t="shared" si="2"/>
        <v>115.23</v>
      </c>
    </row>
    <row r="127" spans="1:5" ht="13.5" thickBot="1">
      <c r="A127" s="152"/>
      <c r="B127" s="161"/>
      <c r="C127" s="5065" t="s">
        <v>157</v>
      </c>
      <c r="D127" s="5065"/>
      <c r="E127" s="154">
        <f>SUM(E121:E126)</f>
        <v>498.95</v>
      </c>
    </row>
    <row r="128" spans="1:5" ht="13.5" thickTop="1">
      <c r="A128" s="149"/>
      <c r="B128" s="134"/>
      <c r="C128" s="135"/>
      <c r="D128" s="162"/>
      <c r="E128" s="163"/>
    </row>
    <row r="129" spans="1:5" ht="13.5" thickBot="1">
      <c r="A129" s="156" t="s">
        <v>174</v>
      </c>
      <c r="B129" s="134"/>
      <c r="C129" s="135"/>
      <c r="D129" s="135"/>
      <c r="E129" s="135"/>
    </row>
    <row r="130" spans="1:5" ht="13.5" thickTop="1">
      <c r="A130" s="136" t="s">
        <v>175</v>
      </c>
      <c r="B130" s="137">
        <v>0.06</v>
      </c>
      <c r="C130" s="157" t="s">
        <v>2</v>
      </c>
      <c r="D130" s="158">
        <f>SUM(E79)</f>
        <v>5523.31</v>
      </c>
      <c r="E130" s="140">
        <f>B130*D130</f>
        <v>331.4</v>
      </c>
    </row>
    <row r="131" spans="1:5">
      <c r="A131" s="141" t="s">
        <v>154</v>
      </c>
      <c r="B131" s="142">
        <v>0.33</v>
      </c>
      <c r="C131" s="159" t="s">
        <v>155</v>
      </c>
      <c r="D131" s="144">
        <f>+D122</f>
        <v>45</v>
      </c>
      <c r="E131" s="145">
        <f>B131*D131</f>
        <v>14.85</v>
      </c>
    </row>
    <row r="132" spans="1:5">
      <c r="A132" s="141" t="s">
        <v>176</v>
      </c>
      <c r="B132" s="142">
        <v>1</v>
      </c>
      <c r="C132" s="159" t="s">
        <v>42</v>
      </c>
      <c r="D132" s="159">
        <v>6</v>
      </c>
      <c r="E132" s="145">
        <f>B132*D132</f>
        <v>6</v>
      </c>
    </row>
    <row r="133" spans="1:5">
      <c r="A133" s="141" t="s">
        <v>41</v>
      </c>
      <c r="B133" s="142">
        <v>1</v>
      </c>
      <c r="C133" s="159" t="s">
        <v>11</v>
      </c>
      <c r="D133" s="144">
        <v>118.69</v>
      </c>
      <c r="E133" s="145">
        <f>B133*D133</f>
        <v>118.69</v>
      </c>
    </row>
    <row r="134" spans="1:5" ht="13.5" thickBot="1">
      <c r="A134" s="152"/>
      <c r="B134" s="161"/>
      <c r="C134" s="5065" t="s">
        <v>157</v>
      </c>
      <c r="D134" s="5065"/>
      <c r="E134" s="154">
        <f>SUM(E130:E133)</f>
        <v>470.94</v>
      </c>
    </row>
    <row r="135" spans="1:5" ht="13.5" thickTop="1">
      <c r="A135" s="45"/>
      <c r="B135" s="130"/>
      <c r="C135" s="131"/>
      <c r="D135" s="155"/>
      <c r="E135" s="155"/>
    </row>
    <row r="136" spans="1:5" ht="13.5" thickBot="1">
      <c r="A136" s="156" t="s">
        <v>177</v>
      </c>
      <c r="B136" s="134"/>
      <c r="C136" s="135"/>
      <c r="D136" s="135"/>
      <c r="E136" s="135"/>
    </row>
    <row r="137" spans="1:5" ht="13.5" thickTop="1">
      <c r="A137" s="136" t="s">
        <v>178</v>
      </c>
      <c r="B137" s="180">
        <v>4.0000000000000001E-3</v>
      </c>
      <c r="C137" s="157" t="s">
        <v>2</v>
      </c>
      <c r="D137" s="158">
        <f>SUM(E71)</f>
        <v>5335.97</v>
      </c>
      <c r="E137" s="140">
        <f>B137*D137</f>
        <v>21.34</v>
      </c>
    </row>
    <row r="138" spans="1:5">
      <c r="A138" s="141" t="s">
        <v>154</v>
      </c>
      <c r="B138" s="184">
        <v>0.11</v>
      </c>
      <c r="C138" s="159" t="s">
        <v>155</v>
      </c>
      <c r="D138" s="144">
        <f>+D131</f>
        <v>45</v>
      </c>
      <c r="E138" s="145">
        <f>B138*D138</f>
        <v>4.95</v>
      </c>
    </row>
    <row r="139" spans="1:5">
      <c r="A139" s="141" t="s">
        <v>41</v>
      </c>
      <c r="B139" s="142">
        <v>1</v>
      </c>
      <c r="C139" s="159" t="s">
        <v>13</v>
      </c>
      <c r="D139" s="144">
        <v>35</v>
      </c>
      <c r="E139" s="145">
        <f>B139*D139</f>
        <v>35</v>
      </c>
    </row>
    <row r="140" spans="1:5" ht="13.5" thickBot="1">
      <c r="A140" s="152"/>
      <c r="B140" s="161"/>
      <c r="C140" s="5065" t="s">
        <v>179</v>
      </c>
      <c r="D140" s="5065"/>
      <c r="E140" s="154">
        <f>SUM(E137:E139)</f>
        <v>61.29</v>
      </c>
    </row>
    <row r="141" spans="1:5" ht="13.5" thickTop="1">
      <c r="A141" s="45"/>
      <c r="B141" s="130"/>
      <c r="C141" s="131"/>
      <c r="D141" s="155"/>
      <c r="E141" s="155"/>
    </row>
    <row r="142" spans="1:5" ht="13.5" thickBot="1">
      <c r="A142" s="185" t="s">
        <v>180</v>
      </c>
      <c r="B142" s="130"/>
      <c r="C142" s="131"/>
      <c r="D142" s="155"/>
      <c r="E142" s="155"/>
    </row>
    <row r="143" spans="1:5" ht="13.5" thickTop="1">
      <c r="A143" s="136" t="s">
        <v>181</v>
      </c>
      <c r="B143" s="137">
        <v>1</v>
      </c>
      <c r="C143" s="157" t="s">
        <v>126</v>
      </c>
      <c r="D143" s="158">
        <f>+E15</f>
        <v>2300</v>
      </c>
      <c r="E143" s="140">
        <f>B143*D143</f>
        <v>2300</v>
      </c>
    </row>
    <row r="144" spans="1:5">
      <c r="A144" s="186" t="s">
        <v>41</v>
      </c>
      <c r="B144" s="142">
        <v>1</v>
      </c>
      <c r="C144" s="159" t="s">
        <v>126</v>
      </c>
      <c r="D144" s="144">
        <v>246.86</v>
      </c>
      <c r="E144" s="145">
        <f>B144*D144</f>
        <v>246.86</v>
      </c>
    </row>
    <row r="145" spans="1:5">
      <c r="A145" s="141" t="s">
        <v>182</v>
      </c>
      <c r="B145" s="142">
        <v>2</v>
      </c>
      <c r="C145" s="159" t="s">
        <v>183</v>
      </c>
      <c r="D145" s="144">
        <v>35</v>
      </c>
      <c r="E145" s="145">
        <f>B145*D145</f>
        <v>70</v>
      </c>
    </row>
    <row r="146" spans="1:5" ht="13.5" thickBot="1">
      <c r="A146" s="152"/>
      <c r="B146" s="161"/>
      <c r="C146" s="5065" t="s">
        <v>184</v>
      </c>
      <c r="D146" s="5065"/>
      <c r="E146" s="154">
        <f>SUM(E143:E145)</f>
        <v>2616.86</v>
      </c>
    </row>
    <row r="147" spans="1:5" ht="13.5" thickTop="1">
      <c r="A147" s="45"/>
      <c r="B147" s="130"/>
      <c r="C147" s="131"/>
      <c r="D147" s="155"/>
      <c r="E147" s="155"/>
    </row>
    <row r="148" spans="1:5" ht="13.5" thickBot="1">
      <c r="A148" s="185" t="s">
        <v>185</v>
      </c>
      <c r="B148" s="130"/>
      <c r="C148" s="131"/>
      <c r="D148" s="155"/>
      <c r="E148" s="155"/>
    </row>
    <row r="149" spans="1:5" ht="13.5" thickTop="1">
      <c r="A149" s="136" t="s">
        <v>181</v>
      </c>
      <c r="B149" s="137">
        <v>1</v>
      </c>
      <c r="C149" s="157" t="s">
        <v>126</v>
      </c>
      <c r="D149" s="158">
        <f>+D143</f>
        <v>2300</v>
      </c>
      <c r="E149" s="140">
        <f>B149*D149</f>
        <v>2300</v>
      </c>
    </row>
    <row r="150" spans="1:5">
      <c r="A150" s="186" t="s">
        <v>41</v>
      </c>
      <c r="B150" s="142">
        <v>1</v>
      </c>
      <c r="C150" s="159" t="s">
        <v>126</v>
      </c>
      <c r="D150" s="144">
        <v>82.28</v>
      </c>
      <c r="E150" s="145">
        <f>B150*D150</f>
        <v>82.28</v>
      </c>
    </row>
    <row r="151" spans="1:5">
      <c r="A151" s="141" t="s">
        <v>182</v>
      </c>
      <c r="B151" s="142">
        <v>2</v>
      </c>
      <c r="C151" s="159" t="s">
        <v>183</v>
      </c>
      <c r="D151" s="144">
        <v>35</v>
      </c>
      <c r="E151" s="145">
        <f>B151*D151</f>
        <v>70</v>
      </c>
    </row>
    <row r="152" spans="1:5" ht="13.5" thickBot="1">
      <c r="A152" s="152"/>
      <c r="B152" s="161"/>
      <c r="C152" s="5065" t="s">
        <v>184</v>
      </c>
      <c r="D152" s="5065"/>
      <c r="E152" s="154">
        <f>SUM(E149:E151)</f>
        <v>2452.2800000000002</v>
      </c>
    </row>
    <row r="153" spans="1:5" ht="13.5" thickTop="1">
      <c r="A153" s="45"/>
      <c r="B153" s="130"/>
      <c r="C153" s="131"/>
      <c r="D153" s="155"/>
      <c r="E153" s="155"/>
    </row>
    <row r="154" spans="1:5">
      <c r="A154" s="187" t="s">
        <v>186</v>
      </c>
      <c r="B154" s="188"/>
      <c r="C154" s="189"/>
      <c r="D154" s="189"/>
      <c r="E154" s="189"/>
    </row>
    <row r="155" spans="1:5" ht="13.5" thickBot="1">
      <c r="A155" s="133" t="s">
        <v>187</v>
      </c>
      <c r="B155" s="134"/>
      <c r="C155" s="135"/>
      <c r="D155" s="135"/>
      <c r="E155" s="135"/>
    </row>
    <row r="156" spans="1:5" ht="13.5" thickTop="1">
      <c r="A156" s="136" t="s">
        <v>122</v>
      </c>
      <c r="B156" s="167">
        <v>0.52</v>
      </c>
      <c r="C156" s="157" t="s">
        <v>2</v>
      </c>
      <c r="D156" s="165">
        <f>E29</f>
        <v>1218.7</v>
      </c>
      <c r="E156" s="140">
        <f>B156*D156</f>
        <v>633.72</v>
      </c>
    </row>
    <row r="157" spans="1:5">
      <c r="A157" s="141" t="s">
        <v>124</v>
      </c>
      <c r="B157" s="160">
        <v>0.85</v>
      </c>
      <c r="C157" s="159" t="s">
        <v>2</v>
      </c>
      <c r="D157" s="166">
        <f>E23</f>
        <v>1018.7</v>
      </c>
      <c r="E157" s="145">
        <f>B157*D157</f>
        <v>865.9</v>
      </c>
    </row>
    <row r="158" spans="1:5">
      <c r="A158" s="141" t="s">
        <v>117</v>
      </c>
      <c r="B158" s="166">
        <v>60</v>
      </c>
      <c r="C158" s="159" t="s">
        <v>138</v>
      </c>
      <c r="D158" s="166">
        <f>E9</f>
        <v>5</v>
      </c>
      <c r="E158" s="145">
        <f>B158*D158</f>
        <v>300</v>
      </c>
    </row>
    <row r="159" spans="1:5">
      <c r="A159" s="141" t="s">
        <v>188</v>
      </c>
      <c r="B159" s="160">
        <v>6.4</v>
      </c>
      <c r="C159" s="190" t="s">
        <v>144</v>
      </c>
      <c r="D159" s="166">
        <f>E10</f>
        <v>320</v>
      </c>
      <c r="E159" s="145">
        <f>B159*D159</f>
        <v>2048</v>
      </c>
    </row>
    <row r="160" spans="1:5">
      <c r="A160" s="141" t="s">
        <v>189</v>
      </c>
      <c r="B160" s="160">
        <v>0.5</v>
      </c>
      <c r="C160" s="159" t="s">
        <v>148</v>
      </c>
      <c r="D160" s="166">
        <v>650</v>
      </c>
      <c r="E160" s="145">
        <f>B160*D160</f>
        <v>325</v>
      </c>
    </row>
    <row r="161" spans="1:5">
      <c r="A161" s="186" t="s">
        <v>190</v>
      </c>
      <c r="B161" s="160"/>
      <c r="C161" s="144"/>
      <c r="D161" s="144"/>
      <c r="E161" s="145">
        <f>SUM(E158+E159)*0.03</f>
        <v>70.44</v>
      </c>
    </row>
    <row r="162" spans="1:5" ht="13.5" thickBot="1">
      <c r="A162" s="152"/>
      <c r="B162" s="161"/>
      <c r="C162" s="5065" t="s">
        <v>132</v>
      </c>
      <c r="D162" s="5065"/>
      <c r="E162" s="154">
        <f>SUM(E156:E161)</f>
        <v>4243.0600000000004</v>
      </c>
    </row>
    <row r="163" spans="1:5" ht="13.5" thickTop="1">
      <c r="A163" s="45"/>
      <c r="B163" s="130"/>
      <c r="C163" s="131"/>
      <c r="D163" s="155"/>
      <c r="E163" s="155"/>
    </row>
    <row r="164" spans="1:5" ht="13.5" thickBot="1">
      <c r="A164" s="156" t="s">
        <v>191</v>
      </c>
      <c r="B164" s="134"/>
      <c r="C164" s="135"/>
      <c r="D164" s="135"/>
      <c r="E164" s="135"/>
    </row>
    <row r="165" spans="1:5" ht="13.5" thickTop="1">
      <c r="A165" s="136" t="s">
        <v>192</v>
      </c>
      <c r="B165" s="165">
        <v>13</v>
      </c>
      <c r="C165" s="157" t="s">
        <v>3</v>
      </c>
      <c r="D165" s="165">
        <v>25.93</v>
      </c>
      <c r="E165" s="140">
        <f t="shared" ref="E165:E172" si="3">B165*D165</f>
        <v>337.09</v>
      </c>
    </row>
    <row r="166" spans="1:5">
      <c r="A166" s="141" t="s">
        <v>193</v>
      </c>
      <c r="B166" s="166">
        <v>13</v>
      </c>
      <c r="C166" s="159" t="s">
        <v>3</v>
      </c>
      <c r="D166" s="166">
        <v>17.02</v>
      </c>
      <c r="E166" s="145">
        <f t="shared" si="3"/>
        <v>221.26</v>
      </c>
    </row>
    <row r="167" spans="1:5">
      <c r="A167" s="186" t="s">
        <v>194</v>
      </c>
      <c r="B167" s="181">
        <v>3.1E-2</v>
      </c>
      <c r="C167" s="159" t="s">
        <v>2</v>
      </c>
      <c r="D167" s="166">
        <f>E79</f>
        <v>5523.31</v>
      </c>
      <c r="E167" s="145">
        <f t="shared" si="3"/>
        <v>171.22</v>
      </c>
    </row>
    <row r="168" spans="1:5">
      <c r="A168" s="141" t="s">
        <v>195</v>
      </c>
      <c r="B168" s="181">
        <v>0.01</v>
      </c>
      <c r="C168" s="159" t="s">
        <v>2</v>
      </c>
      <c r="D168" s="166">
        <f>SUM(E162)</f>
        <v>4243.0600000000004</v>
      </c>
      <c r="E168" s="145">
        <f t="shared" si="3"/>
        <v>42.43</v>
      </c>
    </row>
    <row r="169" spans="1:5">
      <c r="A169" s="141" t="s">
        <v>196</v>
      </c>
      <c r="B169" s="181">
        <v>0.03</v>
      </c>
      <c r="C169" s="159" t="s">
        <v>126</v>
      </c>
      <c r="D169" s="166">
        <f>E152</f>
        <v>2452.2800000000002</v>
      </c>
      <c r="E169" s="145">
        <f t="shared" si="3"/>
        <v>73.569999999999993</v>
      </c>
    </row>
    <row r="170" spans="1:5">
      <c r="A170" s="141" t="s">
        <v>197</v>
      </c>
      <c r="B170" s="181">
        <v>0.24199999999999999</v>
      </c>
      <c r="C170" s="159" t="s">
        <v>155</v>
      </c>
      <c r="D170" s="166">
        <v>24</v>
      </c>
      <c r="E170" s="145">
        <f t="shared" si="3"/>
        <v>5.81</v>
      </c>
    </row>
    <row r="171" spans="1:5">
      <c r="A171" s="141" t="s">
        <v>198</v>
      </c>
      <c r="B171" s="181">
        <v>2.3E-2</v>
      </c>
      <c r="C171" s="159" t="s">
        <v>148</v>
      </c>
      <c r="D171" s="166">
        <v>200</v>
      </c>
      <c r="E171" s="145">
        <f t="shared" si="3"/>
        <v>4.5999999999999996</v>
      </c>
    </row>
    <row r="172" spans="1:5">
      <c r="A172" s="141" t="s">
        <v>199</v>
      </c>
      <c r="B172" s="181">
        <v>0.01</v>
      </c>
      <c r="C172" s="159" t="s">
        <v>2</v>
      </c>
      <c r="D172" s="166">
        <v>650</v>
      </c>
      <c r="E172" s="145">
        <f t="shared" si="3"/>
        <v>6.5</v>
      </c>
    </row>
    <row r="173" spans="1:5" ht="13.5" thickBot="1">
      <c r="A173" s="152"/>
      <c r="B173" s="161"/>
      <c r="C173" s="5065" t="s">
        <v>157</v>
      </c>
      <c r="D173" s="5065"/>
      <c r="E173" s="154">
        <f>SUM(E165:E172)</f>
        <v>862.48</v>
      </c>
    </row>
    <row r="174" spans="1:5" ht="13.5" thickTop="1">
      <c r="A174" s="149"/>
      <c r="B174" s="134"/>
      <c r="C174" s="135"/>
      <c r="D174" s="155" t="s">
        <v>200</v>
      </c>
      <c r="E174" s="191">
        <f>E173-(E170+E171)</f>
        <v>852.07</v>
      </c>
    </row>
    <row r="175" spans="1:5" ht="13.5" thickBot="1">
      <c r="A175" s="192" t="s">
        <v>201</v>
      </c>
      <c r="B175" s="193"/>
      <c r="C175" s="194"/>
      <c r="D175" s="193"/>
      <c r="E175" s="193"/>
    </row>
    <row r="176" spans="1:5" ht="13.5" thickTop="1">
      <c r="A176" s="195" t="s">
        <v>202</v>
      </c>
      <c r="B176" s="196">
        <v>0.08</v>
      </c>
      <c r="C176" s="197" t="s">
        <v>118</v>
      </c>
      <c r="D176" s="198">
        <v>730</v>
      </c>
      <c r="E176" s="199">
        <f>ROUND(B176*D176,2)</f>
        <v>58.4</v>
      </c>
    </row>
    <row r="177" spans="1:5">
      <c r="A177" s="200" t="s">
        <v>203</v>
      </c>
      <c r="B177" s="201">
        <v>1</v>
      </c>
      <c r="C177" s="202" t="s">
        <v>11</v>
      </c>
      <c r="D177" s="203">
        <v>54.26</v>
      </c>
      <c r="E177" s="204">
        <f>ROUND(B177*D177,2)</f>
        <v>54.26</v>
      </c>
    </row>
    <row r="178" spans="1:5">
      <c r="A178" s="200" t="s">
        <v>204</v>
      </c>
      <c r="B178" s="201">
        <v>15</v>
      </c>
      <c r="C178" s="205" t="s">
        <v>46</v>
      </c>
      <c r="D178" s="203">
        <f>E176</f>
        <v>58.4</v>
      </c>
      <c r="E178" s="204">
        <f>ROUND(B178*D178,2)/100</f>
        <v>8.76</v>
      </c>
    </row>
    <row r="179" spans="1:5" ht="13.5" thickBot="1">
      <c r="A179" s="206"/>
      <c r="B179" s="207"/>
      <c r="C179" s="208"/>
      <c r="D179" s="209" t="s">
        <v>11</v>
      </c>
      <c r="E179" s="210">
        <f>SUM(E176:E178)</f>
        <v>121.42</v>
      </c>
    </row>
    <row r="180" spans="1:5" ht="13.5" thickTop="1">
      <c r="A180" s="45"/>
      <c r="B180" s="130"/>
      <c r="C180" s="131"/>
      <c r="D180" s="155"/>
      <c r="E180" s="155"/>
    </row>
    <row r="181" spans="1:5" ht="13.5" thickBot="1">
      <c r="A181" s="192" t="s">
        <v>205</v>
      </c>
      <c r="B181" s="211"/>
      <c r="C181" s="212"/>
      <c r="D181" s="211"/>
      <c r="E181" s="211"/>
    </row>
    <row r="182" spans="1:5" ht="13.5" thickTop="1">
      <c r="A182" s="195" t="s">
        <v>202</v>
      </c>
      <c r="B182" s="196">
        <v>0.08</v>
      </c>
      <c r="C182" s="197" t="s">
        <v>118</v>
      </c>
      <c r="D182" s="198">
        <v>850</v>
      </c>
      <c r="E182" s="199">
        <f>ROUND(B182*D182,2)</f>
        <v>68</v>
      </c>
    </row>
    <row r="183" spans="1:5">
      <c r="A183" s="213" t="s">
        <v>206</v>
      </c>
      <c r="B183" s="214">
        <v>0.02</v>
      </c>
      <c r="C183" s="215" t="s">
        <v>118</v>
      </c>
      <c r="D183" s="216">
        <v>350</v>
      </c>
      <c r="E183" s="204">
        <f>ROUND(B183*D183,2)</f>
        <v>7</v>
      </c>
    </row>
    <row r="184" spans="1:5">
      <c r="A184" s="200" t="s">
        <v>203</v>
      </c>
      <c r="B184" s="201">
        <v>1</v>
      </c>
      <c r="C184" s="202" t="s">
        <v>207</v>
      </c>
      <c r="D184" s="203">
        <v>67.180000000000007</v>
      </c>
      <c r="E184" s="204">
        <f>ROUND(B184*D184,2)</f>
        <v>67.180000000000007</v>
      </c>
    </row>
    <row r="185" spans="1:5">
      <c r="A185" s="200" t="s">
        <v>208</v>
      </c>
      <c r="B185" s="201">
        <v>15</v>
      </c>
      <c r="C185" s="205" t="s">
        <v>46</v>
      </c>
      <c r="D185" s="203">
        <f>E182+E183</f>
        <v>75</v>
      </c>
      <c r="E185" s="204">
        <f>ROUND(B185*D185,2)/100</f>
        <v>11.25</v>
      </c>
    </row>
    <row r="186" spans="1:5" ht="13.5" thickBot="1">
      <c r="A186" s="206"/>
      <c r="B186" s="207"/>
      <c r="C186" s="208"/>
      <c r="D186" s="209" t="s">
        <v>11</v>
      </c>
      <c r="E186" s="210">
        <f>SUM(E182:E185)</f>
        <v>153.43</v>
      </c>
    </row>
    <row r="187" spans="1:5" ht="13.5" thickTop="1">
      <c r="A187" s="45"/>
      <c r="B187" s="130"/>
      <c r="C187" s="131"/>
      <c r="D187" s="155"/>
      <c r="E187" s="155"/>
    </row>
    <row r="188" spans="1:5" ht="13.5" thickBot="1">
      <c r="A188" s="192" t="s">
        <v>209</v>
      </c>
      <c r="B188" s="211"/>
      <c r="C188" s="212"/>
      <c r="D188" s="211"/>
      <c r="E188" s="211"/>
    </row>
    <row r="189" spans="1:5" ht="13.5" thickTop="1">
      <c r="A189" s="195" t="s">
        <v>202</v>
      </c>
      <c r="B189" s="196">
        <v>0.08</v>
      </c>
      <c r="C189" s="197" t="s">
        <v>118</v>
      </c>
      <c r="D189" s="198">
        <v>725</v>
      </c>
      <c r="E189" s="199">
        <f>ROUND(B189*D189,2)</f>
        <v>58</v>
      </c>
    </row>
    <row r="190" spans="1:5">
      <c r="A190" s="200" t="s">
        <v>203</v>
      </c>
      <c r="B190" s="201">
        <v>1</v>
      </c>
      <c r="C190" s="202" t="s">
        <v>207</v>
      </c>
      <c r="D190" s="203">
        <v>45.6</v>
      </c>
      <c r="E190" s="204">
        <f>ROUND(B190*D190,2)</f>
        <v>45.6</v>
      </c>
    </row>
    <row r="191" spans="1:5">
      <c r="A191" s="200" t="s">
        <v>208</v>
      </c>
      <c r="B191" s="201">
        <v>15</v>
      </c>
      <c r="C191" s="205" t="s">
        <v>46</v>
      </c>
      <c r="D191" s="203">
        <f>E189</f>
        <v>58</v>
      </c>
      <c r="E191" s="204">
        <f>ROUND(B191*D191,2)/100</f>
        <v>8.6999999999999993</v>
      </c>
    </row>
    <row r="192" spans="1:5" ht="13.5" thickBot="1">
      <c r="A192" s="206"/>
      <c r="B192" s="207"/>
      <c r="C192" s="208"/>
      <c r="D192" s="209" t="s">
        <v>11</v>
      </c>
      <c r="E192" s="210">
        <f>SUM(E189:E191)</f>
        <v>112.3</v>
      </c>
    </row>
    <row r="193" spans="1:5" ht="13.5" thickTop="1">
      <c r="A193" s="217"/>
      <c r="B193" s="218"/>
      <c r="C193" s="219"/>
      <c r="D193" s="220"/>
      <c r="E193" s="221"/>
    </row>
    <row r="194" spans="1:5" ht="13.5" thickBot="1">
      <c r="A194" s="185" t="s">
        <v>210</v>
      </c>
      <c r="B194" s="130"/>
      <c r="C194" s="131"/>
      <c r="D194" s="155"/>
      <c r="E194" s="155"/>
    </row>
    <row r="195" spans="1:5" ht="13.5" thickTop="1">
      <c r="A195" s="136" t="s">
        <v>211</v>
      </c>
      <c r="B195" s="165">
        <v>1</v>
      </c>
      <c r="C195" s="157" t="s">
        <v>3</v>
      </c>
      <c r="D195" s="222">
        <v>8500</v>
      </c>
      <c r="E195" s="199">
        <f>ROUND(B195*D195,2)</f>
        <v>8500</v>
      </c>
    </row>
    <row r="196" spans="1:5">
      <c r="A196" s="141" t="s">
        <v>212</v>
      </c>
      <c r="B196" s="166">
        <v>1</v>
      </c>
      <c r="C196" s="159" t="s">
        <v>3</v>
      </c>
      <c r="D196" s="223">
        <v>400</v>
      </c>
      <c r="E196" s="204">
        <f>ROUND(B196*D196,2)</f>
        <v>400</v>
      </c>
    </row>
    <row r="197" spans="1:5" ht="13.5" thickBot="1">
      <c r="A197" s="152"/>
      <c r="B197" s="161"/>
      <c r="C197" s="224"/>
      <c r="D197" s="225"/>
      <c r="E197" s="154">
        <f>SUM(E195:E196)</f>
        <v>8900</v>
      </c>
    </row>
    <row r="198" spans="1:5" ht="13.5" thickTop="1">
      <c r="A198" s="45"/>
      <c r="B198" s="130"/>
      <c r="C198" s="131"/>
      <c r="D198" s="155"/>
      <c r="E198" s="155"/>
    </row>
    <row r="199" spans="1:5">
      <c r="A199" s="5065" t="s">
        <v>213</v>
      </c>
      <c r="B199" s="5065"/>
      <c r="C199" s="5065"/>
      <c r="D199" s="5065"/>
      <c r="E199" s="5065"/>
    </row>
    <row r="200" spans="1:5">
      <c r="A200" s="226"/>
      <c r="B200" s="226"/>
      <c r="C200" s="226"/>
      <c r="D200" s="226"/>
      <c r="E200" s="226"/>
    </row>
    <row r="201" spans="1:5">
      <c r="A201" s="227" t="s">
        <v>214</v>
      </c>
      <c r="B201" s="228">
        <v>1</v>
      </c>
      <c r="C201" s="229" t="s">
        <v>215</v>
      </c>
      <c r="D201" s="230">
        <v>2000</v>
      </c>
      <c r="E201" s="230">
        <f>B201*D201</f>
        <v>2000</v>
      </c>
    </row>
    <row r="202" spans="1:5">
      <c r="A202" s="231" t="s">
        <v>216</v>
      </c>
      <c r="B202" s="228">
        <v>1</v>
      </c>
      <c r="C202" s="229" t="s">
        <v>215</v>
      </c>
      <c r="D202" s="230">
        <v>1100</v>
      </c>
      <c r="E202" s="230">
        <f>B202*D202</f>
        <v>1100</v>
      </c>
    </row>
    <row r="203" spans="1:5">
      <c r="A203" s="231" t="s">
        <v>217</v>
      </c>
      <c r="B203" s="228">
        <v>1</v>
      </c>
      <c r="C203" s="229" t="s">
        <v>215</v>
      </c>
      <c r="D203" s="230">
        <f>2*650</f>
        <v>1300</v>
      </c>
      <c r="E203" s="230">
        <f>B203*D203</f>
        <v>1300</v>
      </c>
    </row>
    <row r="204" spans="1:5">
      <c r="A204" s="231" t="s">
        <v>218</v>
      </c>
      <c r="B204" s="228">
        <v>3</v>
      </c>
      <c r="C204" s="232" t="s">
        <v>118</v>
      </c>
      <c r="D204" s="230">
        <v>160.5</v>
      </c>
      <c r="E204" s="230">
        <f>B204*D204</f>
        <v>481.5</v>
      </c>
    </row>
    <row r="205" spans="1:5">
      <c r="A205" s="231" t="s">
        <v>219</v>
      </c>
      <c r="B205" s="228">
        <v>1</v>
      </c>
      <c r="C205" s="229" t="s">
        <v>3</v>
      </c>
      <c r="D205" s="230">
        <f>0.2*E204</f>
        <v>96.3</v>
      </c>
      <c r="E205" s="233">
        <f>D205*B205</f>
        <v>96.3</v>
      </c>
    </row>
    <row r="206" spans="1:5">
      <c r="A206" s="231" t="s">
        <v>220</v>
      </c>
      <c r="B206" s="228">
        <v>0.2</v>
      </c>
      <c r="C206" s="232" t="s">
        <v>46</v>
      </c>
      <c r="D206" s="230">
        <f>+SUM(E201:E205)</f>
        <v>4977.8</v>
      </c>
      <c r="E206" s="233">
        <f>D206*B206</f>
        <v>995.56</v>
      </c>
    </row>
    <row r="207" spans="1:5">
      <c r="A207" s="231"/>
      <c r="B207" s="231"/>
      <c r="C207" s="231"/>
      <c r="D207" s="234" t="s">
        <v>221</v>
      </c>
      <c r="E207" s="235">
        <f>SUM(E201:E206)</f>
        <v>5973.36</v>
      </c>
    </row>
    <row r="208" spans="1:5">
      <c r="A208" s="236"/>
      <c r="B208" s="236"/>
      <c r="C208" s="236"/>
      <c r="D208" s="234" t="s">
        <v>222</v>
      </c>
      <c r="E208" s="235">
        <f>+E207/8</f>
        <v>746.67</v>
      </c>
    </row>
    <row r="209" spans="1:5">
      <c r="A209" s="45"/>
      <c r="B209" s="130"/>
      <c r="C209" s="131"/>
      <c r="D209" s="155"/>
      <c r="E209" s="155"/>
    </row>
    <row r="210" spans="1:5">
      <c r="A210" s="5065" t="s">
        <v>223</v>
      </c>
      <c r="B210" s="5065"/>
      <c r="C210" s="5065"/>
      <c r="D210" s="5065"/>
      <c r="E210" s="5065"/>
    </row>
    <row r="211" spans="1:5">
      <c r="A211" s="226"/>
      <c r="B211" s="226"/>
      <c r="C211" s="226"/>
      <c r="D211" s="226"/>
      <c r="E211" s="226"/>
    </row>
    <row r="212" spans="1:5">
      <c r="A212" s="236" t="s">
        <v>224</v>
      </c>
      <c r="B212" s="237">
        <v>1</v>
      </c>
      <c r="C212" s="238" t="s">
        <v>148</v>
      </c>
      <c r="D212" s="239">
        <v>900</v>
      </c>
      <c r="E212" s="240">
        <f>SUM(D212*B212)</f>
        <v>900</v>
      </c>
    </row>
    <row r="213" spans="1:5">
      <c r="A213" s="236" t="s">
        <v>225</v>
      </c>
      <c r="B213" s="237">
        <v>2</v>
      </c>
      <c r="C213" s="238" t="s">
        <v>226</v>
      </c>
      <c r="D213" s="239">
        <v>620</v>
      </c>
      <c r="E213" s="240">
        <f>SUM(D213*B213)</f>
        <v>1240</v>
      </c>
    </row>
    <row r="214" spans="1:5">
      <c r="A214" s="236" t="s">
        <v>227</v>
      </c>
      <c r="B214" s="237">
        <v>1</v>
      </c>
      <c r="C214" s="238" t="s">
        <v>226</v>
      </c>
      <c r="D214" s="239">
        <v>1350</v>
      </c>
      <c r="E214" s="240">
        <f>SUM(D214*B214)</f>
        <v>1350</v>
      </c>
    </row>
    <row r="215" spans="1:5">
      <c r="A215" s="236" t="s">
        <v>228</v>
      </c>
      <c r="B215" s="237">
        <v>1</v>
      </c>
      <c r="C215" s="238" t="s">
        <v>148</v>
      </c>
      <c r="D215" s="239">
        <v>1100</v>
      </c>
      <c r="E215" s="240">
        <f>SUM(D215*B215)</f>
        <v>1100</v>
      </c>
    </row>
    <row r="216" spans="1:5">
      <c r="A216" s="236" t="s">
        <v>229</v>
      </c>
      <c r="B216" s="237">
        <v>1</v>
      </c>
      <c r="C216" s="238" t="s">
        <v>148</v>
      </c>
      <c r="D216" s="239">
        <v>1300</v>
      </c>
      <c r="E216" s="240">
        <f>SUM(D216*B216)</f>
        <v>1300</v>
      </c>
    </row>
    <row r="217" spans="1:5">
      <c r="A217" s="236"/>
      <c r="B217" s="237"/>
      <c r="C217" s="238"/>
      <c r="D217" s="241" t="s">
        <v>221</v>
      </c>
      <c r="E217" s="242">
        <f>SUM(E212:E216)</f>
        <v>5890</v>
      </c>
    </row>
    <row r="218" spans="1:5">
      <c r="A218" s="243"/>
      <c r="B218" s="243"/>
      <c r="C218" s="243"/>
      <c r="D218" s="241" t="s">
        <v>222</v>
      </c>
      <c r="E218" s="244">
        <f>+E217/8</f>
        <v>736.25</v>
      </c>
    </row>
    <row r="219" spans="1:5">
      <c r="A219" s="45"/>
      <c r="B219" s="130"/>
      <c r="C219" s="131"/>
      <c r="D219" s="155"/>
      <c r="E219" s="155"/>
    </row>
    <row r="220" spans="1:5">
      <c r="A220" s="123" t="s">
        <v>230</v>
      </c>
      <c r="B220" s="245">
        <v>1.85</v>
      </c>
      <c r="C220" s="246" t="s">
        <v>1</v>
      </c>
      <c r="D220" s="122"/>
      <c r="E220" s="122"/>
    </row>
    <row r="221" spans="1:5">
      <c r="A221" s="247" t="s">
        <v>231</v>
      </c>
      <c r="B221" s="248">
        <v>6.1</v>
      </c>
      <c r="C221" s="249" t="s">
        <v>1</v>
      </c>
      <c r="D221" s="248">
        <v>111.25</v>
      </c>
      <c r="E221" s="240">
        <f>SUM(D221*B221)</f>
        <v>678.63</v>
      </c>
    </row>
    <row r="222" spans="1:5">
      <c r="A222" s="247" t="s">
        <v>232</v>
      </c>
      <c r="B222" s="248">
        <v>0.5</v>
      </c>
      <c r="C222" s="249" t="s">
        <v>148</v>
      </c>
      <c r="D222" s="248">
        <f>E217</f>
        <v>5890</v>
      </c>
      <c r="E222" s="240">
        <f>SUM(D222*B222)</f>
        <v>2945</v>
      </c>
    </row>
    <row r="223" spans="1:5">
      <c r="A223" s="247" t="s">
        <v>233</v>
      </c>
      <c r="B223" s="248">
        <v>0.5</v>
      </c>
      <c r="C223" s="249" t="s">
        <v>148</v>
      </c>
      <c r="D223" s="248">
        <v>5820</v>
      </c>
      <c r="E223" s="240">
        <f>SUM(D223*B223)</f>
        <v>2910</v>
      </c>
    </row>
    <row r="224" spans="1:5">
      <c r="A224" s="247" t="s">
        <v>234</v>
      </c>
      <c r="B224" s="248">
        <v>0.37</v>
      </c>
      <c r="C224" s="249" t="s">
        <v>11</v>
      </c>
      <c r="D224" s="248">
        <f>E192</f>
        <v>112.3</v>
      </c>
      <c r="E224" s="240">
        <f>SUM(D224*B224)</f>
        <v>41.55</v>
      </c>
    </row>
    <row r="225" spans="1:5">
      <c r="A225" s="247" t="s">
        <v>235</v>
      </c>
      <c r="B225" s="248">
        <v>0.37</v>
      </c>
      <c r="C225" s="249" t="s">
        <v>11</v>
      </c>
      <c r="D225" s="248">
        <f>E186</f>
        <v>153.43</v>
      </c>
      <c r="E225" s="240">
        <f>SUM(D225*B225)</f>
        <v>56.77</v>
      </c>
    </row>
    <row r="226" spans="1:5">
      <c r="A226" s="247"/>
      <c r="B226" s="248"/>
      <c r="C226" s="5065" t="s">
        <v>236</v>
      </c>
      <c r="D226" s="5065"/>
      <c r="E226" s="250">
        <f>SUM(E221:E225)</f>
        <v>6631.95</v>
      </c>
    </row>
    <row r="227" spans="1:5">
      <c r="A227" s="247"/>
      <c r="B227" s="248"/>
      <c r="C227" s="5065" t="s">
        <v>237</v>
      </c>
      <c r="D227" s="5065"/>
      <c r="E227" s="250">
        <f>(E226/B220)</f>
        <v>3584.84</v>
      </c>
    </row>
    <row r="228" spans="1:5">
      <c r="A228" s="45"/>
      <c r="B228" s="130"/>
      <c r="C228" s="131"/>
      <c r="D228" s="155"/>
      <c r="E228" s="155"/>
    </row>
    <row r="229" spans="1:5">
      <c r="A229" s="45"/>
      <c r="B229" s="130"/>
      <c r="C229" s="131"/>
      <c r="D229" s="155"/>
      <c r="E229" s="155"/>
    </row>
    <row r="230" spans="1:5">
      <c r="A230" s="5065" t="s">
        <v>238</v>
      </c>
      <c r="B230" s="5065"/>
      <c r="C230" s="5065"/>
      <c r="D230" s="5065"/>
      <c r="E230" s="5065"/>
    </row>
    <row r="231" spans="1:5" ht="13.5" thickBot="1">
      <c r="A231" s="251" t="s">
        <v>239</v>
      </c>
      <c r="B231" s="252"/>
      <c r="C231" s="7"/>
      <c r="D231" s="7"/>
      <c r="E231" s="7"/>
    </row>
    <row r="232" spans="1:5" ht="13.5" thickTop="1">
      <c r="A232" s="253" t="s">
        <v>240</v>
      </c>
      <c r="B232" s="254">
        <v>1.05</v>
      </c>
      <c r="C232" s="255" t="s">
        <v>160</v>
      </c>
      <c r="D232" s="256">
        <f>E56</f>
        <v>5230.0200000000004</v>
      </c>
      <c r="E232" s="257">
        <f>B232*D232</f>
        <v>5491.52</v>
      </c>
    </row>
    <row r="233" spans="1:5">
      <c r="A233" s="258" t="s">
        <v>241</v>
      </c>
      <c r="B233" s="259">
        <v>1.87</v>
      </c>
      <c r="C233" s="260" t="s">
        <v>242</v>
      </c>
      <c r="D233" s="261">
        <f>E152</f>
        <v>2452.2800000000002</v>
      </c>
      <c r="E233" s="262">
        <f>B233*D233</f>
        <v>4585.76</v>
      </c>
    </row>
    <row r="234" spans="1:5" ht="13.5" thickBot="1">
      <c r="A234" s="263"/>
      <c r="B234" s="264"/>
      <c r="C234" s="5065" t="s">
        <v>243</v>
      </c>
      <c r="D234" s="5065"/>
      <c r="E234" s="265">
        <f>SUM(E232:E233)</f>
        <v>10077.280000000001</v>
      </c>
    </row>
    <row r="235" spans="1:5" ht="13.5" thickTop="1">
      <c r="A235" s="7"/>
      <c r="B235" s="252"/>
      <c r="C235" s="7"/>
      <c r="D235" s="7"/>
      <c r="E235" s="7"/>
    </row>
    <row r="236" spans="1:5" ht="13.5" thickBot="1">
      <c r="A236" s="170" t="s">
        <v>244</v>
      </c>
      <c r="B236" s="171"/>
      <c r="C236" s="172"/>
      <c r="D236" s="171"/>
      <c r="E236" s="171"/>
    </row>
    <row r="237" spans="1:5" ht="13.5" thickTop="1">
      <c r="A237" s="253" t="s">
        <v>240</v>
      </c>
      <c r="B237" s="254">
        <v>1.05</v>
      </c>
      <c r="C237" s="255" t="s">
        <v>160</v>
      </c>
      <c r="D237" s="256">
        <f>E56</f>
        <v>5230.0200000000004</v>
      </c>
      <c r="E237" s="257">
        <f>B237*D237</f>
        <v>5491.52</v>
      </c>
    </row>
    <row r="238" spans="1:5">
      <c r="A238" s="258" t="s">
        <v>241</v>
      </c>
      <c r="B238" s="259">
        <v>1.67</v>
      </c>
      <c r="C238" s="260" t="s">
        <v>242</v>
      </c>
      <c r="D238" s="261">
        <f>E152</f>
        <v>2452.2800000000002</v>
      </c>
      <c r="E238" s="262">
        <f>B238*D238</f>
        <v>4095.31</v>
      </c>
    </row>
    <row r="239" spans="1:5">
      <c r="A239" s="258" t="s">
        <v>245</v>
      </c>
      <c r="B239" s="259">
        <f>1/0.12</f>
        <v>8.33</v>
      </c>
      <c r="C239" s="260" t="s">
        <v>163</v>
      </c>
      <c r="D239" s="266">
        <v>185</v>
      </c>
      <c r="E239" s="262">
        <f>B239*D239</f>
        <v>1541.05</v>
      </c>
    </row>
    <row r="240" spans="1:5" ht="13.5" thickBot="1">
      <c r="A240" s="263"/>
      <c r="B240" s="264"/>
      <c r="C240" s="5065" t="s">
        <v>243</v>
      </c>
      <c r="D240" s="5065"/>
      <c r="E240" s="265">
        <f>SUM(E237:E239)</f>
        <v>11127.88</v>
      </c>
    </row>
    <row r="241" spans="1:5" ht="13.5" thickTop="1">
      <c r="A241" s="267"/>
      <c r="B241" s="267"/>
      <c r="C241" s="268"/>
      <c r="D241" s="268"/>
      <c r="E241" s="269"/>
    </row>
    <row r="242" spans="1:5" ht="13.5" thickBot="1">
      <c r="A242" s="251" t="s">
        <v>246</v>
      </c>
      <c r="B242" s="252"/>
      <c r="C242" s="7"/>
      <c r="D242" s="7"/>
      <c r="E242" s="7"/>
    </row>
    <row r="243" spans="1:5" ht="14.25" thickTop="1" thickBot="1">
      <c r="A243" s="253" t="s">
        <v>247</v>
      </c>
      <c r="B243" s="270">
        <v>1</v>
      </c>
      <c r="C243" s="255" t="s">
        <v>3</v>
      </c>
      <c r="D243" s="256">
        <v>3245</v>
      </c>
      <c r="E243" s="257">
        <f>B243*D243</f>
        <v>3245</v>
      </c>
    </row>
    <row r="244" spans="1:5" ht="14.25" thickTop="1" thickBot="1">
      <c r="A244" s="271" t="s">
        <v>248</v>
      </c>
      <c r="B244" s="272">
        <v>0.12</v>
      </c>
      <c r="C244" s="273" t="s">
        <v>2</v>
      </c>
      <c r="D244" s="274">
        <f>+E234</f>
        <v>10077.280000000001</v>
      </c>
      <c r="E244" s="257">
        <f>B244*D244</f>
        <v>1209.27</v>
      </c>
    </row>
    <row r="245" spans="1:5" ht="14.25" thickTop="1" thickBot="1">
      <c r="A245" s="170" t="s">
        <v>244</v>
      </c>
      <c r="B245" s="272">
        <v>0.08</v>
      </c>
      <c r="C245" s="273" t="s">
        <v>2</v>
      </c>
      <c r="D245" s="274">
        <f>+E240</f>
        <v>11127.88</v>
      </c>
      <c r="E245" s="257">
        <f>B245*D245</f>
        <v>890.23</v>
      </c>
    </row>
    <row r="246" spans="1:5" ht="14.25" thickTop="1" thickBot="1">
      <c r="A246" s="271" t="s">
        <v>249</v>
      </c>
      <c r="B246" s="272">
        <v>1</v>
      </c>
      <c r="C246" s="273" t="s">
        <v>3</v>
      </c>
      <c r="D246" s="274">
        <v>9500</v>
      </c>
      <c r="E246" s="257">
        <f>B246*D246</f>
        <v>9500</v>
      </c>
    </row>
    <row r="247" spans="1:5" ht="13.5" thickTop="1">
      <c r="A247" s="258" t="s">
        <v>63</v>
      </c>
      <c r="B247" s="259">
        <v>1</v>
      </c>
      <c r="C247" s="260" t="s">
        <v>3</v>
      </c>
      <c r="D247" s="261">
        <v>1200</v>
      </c>
      <c r="E247" s="257">
        <f>B247*D247</f>
        <v>1200</v>
      </c>
    </row>
    <row r="248" spans="1:5" ht="13.5" thickBot="1">
      <c r="A248" s="263"/>
      <c r="B248" s="264"/>
      <c r="C248" s="5065" t="s">
        <v>243</v>
      </c>
      <c r="D248" s="5065"/>
      <c r="E248" s="265">
        <f>SUM(E243:E247)</f>
        <v>16044.5</v>
      </c>
    </row>
    <row r="249" spans="1:5" ht="13.5" thickTop="1">
      <c r="A249" s="267"/>
      <c r="B249" s="267"/>
      <c r="C249" s="268"/>
      <c r="D249" s="268"/>
      <c r="E249" s="269"/>
    </row>
    <row r="250" spans="1:5">
      <c r="A250" s="275" t="s">
        <v>250</v>
      </c>
      <c r="B250" s="252"/>
      <c r="C250" s="7"/>
      <c r="D250" s="7"/>
      <c r="E250" s="7"/>
    </row>
    <row r="251" spans="1:5" ht="13.5" thickBot="1">
      <c r="A251" s="276" t="s">
        <v>251</v>
      </c>
      <c r="B251" s="252"/>
      <c r="C251" s="7"/>
      <c r="D251" s="7"/>
      <c r="E251" s="7"/>
    </row>
    <row r="252" spans="1:5" ht="13.5" thickTop="1">
      <c r="A252" s="277" t="s">
        <v>37</v>
      </c>
      <c r="B252" s="278">
        <v>1</v>
      </c>
      <c r="C252" s="279" t="s">
        <v>61</v>
      </c>
      <c r="D252" s="280">
        <v>200</v>
      </c>
      <c r="E252" s="140">
        <f t="shared" ref="E252:E270" si="4">ROUND(B252*D252,2)</f>
        <v>200</v>
      </c>
    </row>
    <row r="253" spans="1:5" s="538" customFormat="1">
      <c r="A253" s="534" t="s">
        <v>252</v>
      </c>
      <c r="B253" s="535">
        <v>9.19</v>
      </c>
      <c r="C253" s="281" t="s">
        <v>2</v>
      </c>
      <c r="D253" s="536">
        <f>+E426</f>
        <v>1756.83</v>
      </c>
      <c r="E253" s="537">
        <f t="shared" si="4"/>
        <v>16145.27</v>
      </c>
    </row>
    <row r="254" spans="1:5">
      <c r="A254" s="282" t="s">
        <v>253</v>
      </c>
      <c r="B254" s="283">
        <v>6.05</v>
      </c>
      <c r="C254" s="284" t="s">
        <v>2</v>
      </c>
      <c r="D254" s="285">
        <v>52.6</v>
      </c>
      <c r="E254" s="145">
        <f t="shared" si="4"/>
        <v>318.23</v>
      </c>
    </row>
    <row r="255" spans="1:5">
      <c r="A255" s="282" t="s">
        <v>254</v>
      </c>
      <c r="B255" s="283">
        <v>3.77</v>
      </c>
      <c r="C255" s="284" t="s">
        <v>2</v>
      </c>
      <c r="D255" s="285">
        <v>55</v>
      </c>
      <c r="E255" s="145">
        <f t="shared" si="4"/>
        <v>207.35</v>
      </c>
    </row>
    <row r="256" spans="1:5">
      <c r="A256" s="286" t="s">
        <v>255</v>
      </c>
      <c r="B256" s="287"/>
      <c r="C256" s="288"/>
      <c r="D256" s="285"/>
      <c r="E256" s="145"/>
    </row>
    <row r="257" spans="1:5">
      <c r="A257" s="282" t="s">
        <v>256</v>
      </c>
      <c r="B257" s="283">
        <v>0.25</v>
      </c>
      <c r="C257" s="284" t="s">
        <v>2</v>
      </c>
      <c r="D257" s="289">
        <f>+E234</f>
        <v>10077.280000000001</v>
      </c>
      <c r="E257" s="145">
        <f t="shared" si="4"/>
        <v>2519.3200000000002</v>
      </c>
    </row>
    <row r="258" spans="1:5">
      <c r="A258" s="282" t="s">
        <v>257</v>
      </c>
      <c r="B258" s="283">
        <v>0.2</v>
      </c>
      <c r="C258" s="284" t="s">
        <v>2</v>
      </c>
      <c r="D258" s="285">
        <f>+E240</f>
        <v>11127.88</v>
      </c>
      <c r="E258" s="145">
        <f t="shared" si="4"/>
        <v>2225.58</v>
      </c>
    </row>
    <row r="259" spans="1:5">
      <c r="A259" s="282"/>
      <c r="B259" s="283"/>
      <c r="C259" s="284"/>
      <c r="D259" s="285"/>
      <c r="E259" s="145"/>
    </row>
    <row r="260" spans="1:5">
      <c r="A260" s="282" t="s">
        <v>258</v>
      </c>
      <c r="B260" s="283">
        <v>6.44</v>
      </c>
      <c r="C260" s="284" t="s">
        <v>11</v>
      </c>
      <c r="D260" s="285">
        <f>+E174</f>
        <v>852.07</v>
      </c>
      <c r="E260" s="145">
        <f t="shared" si="4"/>
        <v>5487.33</v>
      </c>
    </row>
    <row r="261" spans="1:5">
      <c r="A261" s="282"/>
      <c r="B261" s="283"/>
      <c r="C261" s="284"/>
      <c r="D261" s="285"/>
      <c r="E261" s="145"/>
    </row>
    <row r="262" spans="1:5">
      <c r="A262" s="282" t="s">
        <v>259</v>
      </c>
      <c r="B262" s="283">
        <v>1.04</v>
      </c>
      <c r="C262" s="284" t="s">
        <v>11</v>
      </c>
      <c r="D262" s="285">
        <f>+E101</f>
        <v>272.45</v>
      </c>
      <c r="E262" s="145">
        <f t="shared" si="4"/>
        <v>283.35000000000002</v>
      </c>
    </row>
    <row r="263" spans="1:5">
      <c r="A263" s="282" t="s">
        <v>260</v>
      </c>
      <c r="B263" s="283">
        <v>1</v>
      </c>
      <c r="C263" s="284" t="s">
        <v>11</v>
      </c>
      <c r="D263" s="285">
        <f>+E127</f>
        <v>498.95</v>
      </c>
      <c r="E263" s="145">
        <f t="shared" si="4"/>
        <v>498.95</v>
      </c>
    </row>
    <row r="264" spans="1:5">
      <c r="A264" s="282" t="s">
        <v>177</v>
      </c>
      <c r="B264" s="283">
        <v>8.91</v>
      </c>
      <c r="C264" s="284" t="s">
        <v>1</v>
      </c>
      <c r="D264" s="285">
        <f>+E140</f>
        <v>61.29</v>
      </c>
      <c r="E264" s="145">
        <f t="shared" si="4"/>
        <v>546.09</v>
      </c>
    </row>
    <row r="265" spans="1:5">
      <c r="A265" s="282" t="s">
        <v>261</v>
      </c>
      <c r="B265" s="283">
        <v>1.01</v>
      </c>
      <c r="C265" s="284" t="s">
        <v>11</v>
      </c>
      <c r="D265" s="285">
        <v>107.16</v>
      </c>
      <c r="E265" s="145">
        <f t="shared" si="4"/>
        <v>108.23</v>
      </c>
    </row>
    <row r="266" spans="1:5">
      <c r="A266" s="282"/>
      <c r="B266" s="283"/>
      <c r="C266" s="284"/>
      <c r="D266" s="285"/>
      <c r="E266" s="145"/>
    </row>
    <row r="267" spans="1:5">
      <c r="A267" s="290" t="s">
        <v>262</v>
      </c>
      <c r="B267" s="291">
        <v>1</v>
      </c>
      <c r="C267" s="292" t="s">
        <v>3</v>
      </c>
      <c r="D267" s="293"/>
      <c r="E267" s="294">
        <f t="shared" si="4"/>
        <v>0</v>
      </c>
    </row>
    <row r="268" spans="1:5">
      <c r="A268" s="282" t="s">
        <v>263</v>
      </c>
      <c r="B268" s="283">
        <v>1</v>
      </c>
      <c r="C268" s="284" t="s">
        <v>3</v>
      </c>
      <c r="D268" s="285">
        <v>3500</v>
      </c>
      <c r="E268" s="145">
        <f t="shared" si="4"/>
        <v>3500</v>
      </c>
    </row>
    <row r="269" spans="1:5">
      <c r="A269" s="295" t="s">
        <v>264</v>
      </c>
      <c r="B269" s="296">
        <v>1</v>
      </c>
      <c r="C269" s="297" t="s">
        <v>61</v>
      </c>
      <c r="D269" s="298">
        <v>100</v>
      </c>
      <c r="E269" s="299">
        <f t="shared" si="4"/>
        <v>100</v>
      </c>
    </row>
    <row r="270" spans="1:5">
      <c r="A270" s="295" t="s">
        <v>265</v>
      </c>
      <c r="B270" s="296">
        <v>1</v>
      </c>
      <c r="C270" s="297" t="s">
        <v>61</v>
      </c>
      <c r="D270" s="298">
        <v>100</v>
      </c>
      <c r="E270" s="299">
        <f t="shared" si="4"/>
        <v>100</v>
      </c>
    </row>
    <row r="271" spans="1:5" ht="13.5" thickBot="1">
      <c r="A271" s="300"/>
      <c r="B271" s="301"/>
      <c r="C271" s="5065" t="s">
        <v>266</v>
      </c>
      <c r="D271" s="5065"/>
      <c r="E271" s="302">
        <f>SUM(E252:E270)</f>
        <v>32239.7</v>
      </c>
    </row>
    <row r="272" spans="1:5" ht="13.5" thickTop="1">
      <c r="A272" s="267"/>
      <c r="B272" s="267"/>
      <c r="C272" s="268"/>
      <c r="D272" s="268"/>
      <c r="E272" s="269"/>
    </row>
    <row r="273" spans="1:5">
      <c r="A273" s="5065" t="s">
        <v>267</v>
      </c>
      <c r="B273" s="5065"/>
      <c r="C273" s="5065"/>
      <c r="D273" s="5065"/>
      <c r="E273" s="5065"/>
    </row>
    <row r="274" spans="1:5" ht="20.25">
      <c r="A274" s="303"/>
      <c r="B274" s="303"/>
      <c r="C274" s="303"/>
      <c r="D274" s="303"/>
      <c r="E274" s="303"/>
    </row>
    <row r="275" spans="1:5">
      <c r="A275" s="304" t="s">
        <v>268</v>
      </c>
      <c r="B275" s="305">
        <v>2.13</v>
      </c>
      <c r="C275" s="306" t="s">
        <v>269</v>
      </c>
      <c r="D275" s="307"/>
      <c r="E275" s="307"/>
    </row>
    <row r="276" spans="1:5" ht="13.5" thickBot="1">
      <c r="A276" s="308" t="s">
        <v>270</v>
      </c>
      <c r="B276" s="305"/>
      <c r="C276" s="306"/>
      <c r="D276" s="307"/>
      <c r="E276" s="307"/>
    </row>
    <row r="277" spans="1:5" ht="13.5" thickTop="1">
      <c r="A277" s="309" t="s">
        <v>271</v>
      </c>
      <c r="B277" s="310">
        <v>1.05</v>
      </c>
      <c r="C277" s="311" t="s">
        <v>2</v>
      </c>
      <c r="D277" s="312">
        <f>+E47</f>
        <v>5479.96</v>
      </c>
      <c r="E277" s="313">
        <f>B277*D277</f>
        <v>5753.96</v>
      </c>
    </row>
    <row r="278" spans="1:5">
      <c r="A278" s="314" t="s">
        <v>272</v>
      </c>
      <c r="B278" s="315">
        <v>2.13</v>
      </c>
      <c r="C278" s="316" t="s">
        <v>126</v>
      </c>
      <c r="D278" s="317">
        <f>+E146</f>
        <v>2616.86</v>
      </c>
      <c r="E278" s="318">
        <f>B278*D278</f>
        <v>5573.91</v>
      </c>
    </row>
    <row r="279" spans="1:5">
      <c r="A279" s="319" t="s">
        <v>273</v>
      </c>
      <c r="B279" s="320">
        <v>1.41</v>
      </c>
      <c r="C279" s="321" t="s">
        <v>118</v>
      </c>
      <c r="D279" s="322">
        <v>420</v>
      </c>
      <c r="E279" s="318">
        <f>B279*D279</f>
        <v>592.20000000000005</v>
      </c>
    </row>
    <row r="280" spans="1:5" ht="13.5" thickBot="1">
      <c r="A280" s="323"/>
      <c r="B280" s="324"/>
      <c r="C280" s="324"/>
      <c r="D280" s="325" t="s">
        <v>274</v>
      </c>
      <c r="E280" s="326">
        <f>SUM(E277:E278)</f>
        <v>11327.87</v>
      </c>
    </row>
    <row r="281" spans="1:5" ht="14.25" thickTop="1" thickBot="1">
      <c r="A281" s="327"/>
      <c r="B281" s="328">
        <v>0.6</v>
      </c>
      <c r="C281" s="327"/>
      <c r="D281" s="329" t="s">
        <v>275</v>
      </c>
      <c r="E281" s="330">
        <f>E280*B281</f>
        <v>6796.72</v>
      </c>
    </row>
    <row r="282" spans="1:5" ht="14.25" thickTop="1" thickBot="1">
      <c r="A282" s="308" t="s">
        <v>276</v>
      </c>
      <c r="B282" s="305"/>
      <c r="C282" s="306"/>
      <c r="D282" s="307"/>
      <c r="E282" s="307"/>
    </row>
    <row r="283" spans="1:5" ht="13.5" thickTop="1">
      <c r="A283" s="309" t="s">
        <v>277</v>
      </c>
      <c r="B283" s="331">
        <v>1</v>
      </c>
      <c r="C283" s="311" t="s">
        <v>3</v>
      </c>
      <c r="D283" s="332">
        <v>1442</v>
      </c>
      <c r="E283" s="313">
        <f>B283*D283</f>
        <v>1442</v>
      </c>
    </row>
    <row r="284" spans="1:5">
      <c r="A284" s="333" t="s">
        <v>278</v>
      </c>
      <c r="B284" s="334">
        <v>5</v>
      </c>
      <c r="C284" s="335" t="s">
        <v>279</v>
      </c>
      <c r="D284" s="336">
        <v>45</v>
      </c>
      <c r="E284" s="318">
        <f>B284*D284</f>
        <v>225</v>
      </c>
    </row>
    <row r="285" spans="1:5">
      <c r="A285" s="333" t="s">
        <v>280</v>
      </c>
      <c r="B285" s="334">
        <v>2</v>
      </c>
      <c r="C285" s="335" t="s">
        <v>183</v>
      </c>
      <c r="D285" s="337">
        <v>32</v>
      </c>
      <c r="E285" s="318">
        <f>B285*D285</f>
        <v>64</v>
      </c>
    </row>
    <row r="286" spans="1:5" ht="13.5" thickBot="1">
      <c r="A286" s="319" t="s">
        <v>63</v>
      </c>
      <c r="B286" s="338">
        <v>30</v>
      </c>
      <c r="C286" s="339" t="s">
        <v>46</v>
      </c>
      <c r="D286" s="340">
        <f>+SUM(E283:E285)</f>
        <v>1731</v>
      </c>
      <c r="E286" s="341">
        <f>+(B286/100)*D286</f>
        <v>519.29999999999995</v>
      </c>
    </row>
    <row r="287" spans="1:5" ht="14.25" thickTop="1" thickBot="1">
      <c r="A287" s="342"/>
      <c r="B287" s="342"/>
      <c r="C287" s="343"/>
      <c r="D287" s="329" t="s">
        <v>275</v>
      </c>
      <c r="E287" s="330">
        <f>SUM(E283:E286)</f>
        <v>2250.3000000000002</v>
      </c>
    </row>
    <row r="288" spans="1:5" ht="14.25" thickTop="1" thickBot="1">
      <c r="A288" s="327"/>
      <c r="B288" s="344"/>
      <c r="C288" s="344"/>
      <c r="D288" s="345"/>
      <c r="E288" s="346"/>
    </row>
    <row r="289" spans="1:5" ht="14.25" thickTop="1" thickBot="1">
      <c r="A289" s="327"/>
      <c r="B289" s="5065" t="s">
        <v>281</v>
      </c>
      <c r="C289" s="5065"/>
      <c r="D289" s="5065"/>
      <c r="E289" s="347">
        <f>+E281+E287</f>
        <v>9047.02</v>
      </c>
    </row>
    <row r="290" spans="1:5" ht="13.5" thickTop="1">
      <c r="A290" s="348"/>
      <c r="B290" s="348"/>
      <c r="C290" s="348"/>
      <c r="D290" s="348"/>
      <c r="E290" s="348"/>
    </row>
    <row r="291" spans="1:5" ht="13.5" thickBot="1">
      <c r="A291" s="349" t="s">
        <v>38</v>
      </c>
      <c r="B291" s="350"/>
      <c r="C291" s="351"/>
      <c r="D291" s="352"/>
      <c r="E291" s="353"/>
    </row>
    <row r="292" spans="1:5" ht="13.5" thickTop="1">
      <c r="A292" s="354" t="s">
        <v>282</v>
      </c>
      <c r="B292" s="355">
        <v>0.64</v>
      </c>
      <c r="C292" s="356" t="s">
        <v>2</v>
      </c>
      <c r="D292" s="355">
        <v>240.23</v>
      </c>
      <c r="E292" s="357">
        <f>B292*D292</f>
        <v>153.75</v>
      </c>
    </row>
    <row r="293" spans="1:5" ht="13.5" thickBot="1">
      <c r="A293" s="358"/>
      <c r="B293" s="359"/>
      <c r="C293" s="359"/>
      <c r="D293" s="359"/>
      <c r="E293" s="360">
        <f>E292</f>
        <v>153.75</v>
      </c>
    </row>
    <row r="294" spans="1:5" ht="13.5" thickTop="1">
      <c r="A294" s="361"/>
      <c r="B294" s="361"/>
      <c r="C294" s="361"/>
      <c r="D294" s="361"/>
      <c r="E294" s="361"/>
    </row>
    <row r="295" spans="1:5" ht="13.5" thickBot="1">
      <c r="A295" s="361"/>
      <c r="B295" s="361"/>
      <c r="C295" s="361"/>
      <c r="D295" s="361"/>
      <c r="E295" s="361"/>
    </row>
    <row r="296" spans="1:5" ht="14.25" thickTop="1" thickBot="1">
      <c r="A296" s="361"/>
      <c r="B296" s="361"/>
      <c r="C296" s="362"/>
      <c r="D296" s="363" t="s">
        <v>283</v>
      </c>
      <c r="E296" s="364">
        <f>E293+E289</f>
        <v>9200.77</v>
      </c>
    </row>
    <row r="297" spans="1:5" ht="13.5" thickTop="1">
      <c r="A297" s="361"/>
      <c r="B297" s="361"/>
      <c r="C297" s="361"/>
      <c r="D297" s="361"/>
      <c r="E297" s="361"/>
    </row>
    <row r="298" spans="1:5">
      <c r="A298" s="365"/>
      <c r="B298" s="365"/>
      <c r="C298" s="365"/>
      <c r="D298" s="365"/>
      <c r="E298" s="365"/>
    </row>
    <row r="299" spans="1:5">
      <c r="A299" s="539" t="s">
        <v>284</v>
      </c>
      <c r="B299" s="540"/>
      <c r="C299" s="540"/>
      <c r="D299" s="540"/>
      <c r="E299" s="540"/>
    </row>
    <row r="300" spans="1:5">
      <c r="A300" s="541" t="s">
        <v>285</v>
      </c>
      <c r="B300" s="542" t="s">
        <v>286</v>
      </c>
      <c r="C300" s="542" t="s">
        <v>287</v>
      </c>
      <c r="D300" s="542" t="s">
        <v>288</v>
      </c>
      <c r="E300" s="542" t="s">
        <v>289</v>
      </c>
    </row>
    <row r="301" spans="1:5">
      <c r="A301" s="543" t="s">
        <v>290</v>
      </c>
      <c r="B301" s="544">
        <v>1</v>
      </c>
      <c r="C301" s="545" t="s">
        <v>12</v>
      </c>
      <c r="D301" s="610">
        <v>1250.8</v>
      </c>
      <c r="E301" s="544">
        <f>+D301*B301</f>
        <v>1250.8</v>
      </c>
    </row>
    <row r="302" spans="1:5">
      <c r="A302" s="543" t="s">
        <v>291</v>
      </c>
      <c r="B302" s="544">
        <v>3.2</v>
      </c>
      <c r="C302" s="545" t="s">
        <v>292</v>
      </c>
      <c r="D302" s="544">
        <v>185.76</v>
      </c>
      <c r="E302" s="544">
        <f>+D302*B302</f>
        <v>594.42999999999995</v>
      </c>
    </row>
    <row r="303" spans="1:5">
      <c r="A303" s="543" t="s">
        <v>293</v>
      </c>
      <c r="B303" s="544">
        <v>1</v>
      </c>
      <c r="C303" s="545" t="s">
        <v>294</v>
      </c>
      <c r="D303" s="544">
        <f>+E302*0.2</f>
        <v>118.89</v>
      </c>
      <c r="E303" s="544">
        <f>+D303*B303</f>
        <v>118.89</v>
      </c>
    </row>
    <row r="304" spans="1:5">
      <c r="A304" s="543" t="s">
        <v>295</v>
      </c>
      <c r="B304" s="544">
        <v>1</v>
      </c>
      <c r="C304" s="545" t="s">
        <v>12</v>
      </c>
      <c r="D304" s="544">
        <v>150</v>
      </c>
      <c r="E304" s="544">
        <f>+D304*B304</f>
        <v>150</v>
      </c>
    </row>
    <row r="305" spans="1:5">
      <c r="A305" s="546"/>
      <c r="B305" s="547"/>
      <c r="C305" s="548"/>
      <c r="D305" s="549" t="s">
        <v>296</v>
      </c>
      <c r="E305" s="549">
        <f>SUM(E301:E304)</f>
        <v>2114.12</v>
      </c>
    </row>
    <row r="306" spans="1:5">
      <c r="A306" s="613"/>
      <c r="B306" s="614" t="s">
        <v>297</v>
      </c>
      <c r="C306" s="615">
        <v>14.15</v>
      </c>
      <c r="D306" s="613"/>
      <c r="E306" s="613"/>
    </row>
    <row r="307" spans="1:5">
      <c r="A307" s="613"/>
      <c r="B307" s="613"/>
      <c r="C307" s="615"/>
      <c r="D307" s="616" t="s">
        <v>298</v>
      </c>
      <c r="E307" s="617">
        <f>+E305/C306</f>
        <v>149.41</v>
      </c>
    </row>
    <row r="308" spans="1:5">
      <c r="A308" s="377"/>
      <c r="B308" s="377"/>
      <c r="C308" s="379"/>
      <c r="D308" s="611"/>
      <c r="E308" s="612"/>
    </row>
    <row r="309" spans="1:5">
      <c r="A309" s="366" t="s">
        <v>299</v>
      </c>
      <c r="B309" s="367"/>
      <c r="C309" s="367"/>
      <c r="D309" s="367"/>
      <c r="E309" s="367"/>
    </row>
    <row r="310" spans="1:5">
      <c r="A310" s="368" t="s">
        <v>285</v>
      </c>
      <c r="B310" s="369" t="s">
        <v>286</v>
      </c>
      <c r="C310" s="369" t="s">
        <v>287</v>
      </c>
      <c r="D310" s="369" t="s">
        <v>288</v>
      </c>
      <c r="E310" s="369" t="s">
        <v>289</v>
      </c>
    </row>
    <row r="311" spans="1:5">
      <c r="A311" s="370" t="s">
        <v>290</v>
      </c>
      <c r="B311" s="371">
        <v>1</v>
      </c>
      <c r="C311" s="372" t="s">
        <v>12</v>
      </c>
      <c r="D311" s="371">
        <v>1229.5999999999999</v>
      </c>
      <c r="E311" s="371">
        <v>1229.5999999999999</v>
      </c>
    </row>
    <row r="312" spans="1:5">
      <c r="A312" s="370" t="s">
        <v>291</v>
      </c>
      <c r="B312" s="371">
        <v>3.2</v>
      </c>
      <c r="C312" s="372" t="s">
        <v>292</v>
      </c>
      <c r="D312" s="371">
        <v>210</v>
      </c>
      <c r="E312" s="371">
        <v>672</v>
      </c>
    </row>
    <row r="313" spans="1:5">
      <c r="A313" s="370" t="s">
        <v>293</v>
      </c>
      <c r="B313" s="371">
        <v>1</v>
      </c>
      <c r="C313" s="372" t="s">
        <v>294</v>
      </c>
      <c r="D313" s="371">
        <v>134.4</v>
      </c>
      <c r="E313" s="371">
        <v>134.4</v>
      </c>
    </row>
    <row r="314" spans="1:5">
      <c r="A314" s="370" t="s">
        <v>295</v>
      </c>
      <c r="B314" s="371">
        <v>1</v>
      </c>
      <c r="C314" s="372" t="s">
        <v>12</v>
      </c>
      <c r="D314" s="371">
        <v>150</v>
      </c>
      <c r="E314" s="371">
        <v>150</v>
      </c>
    </row>
    <row r="315" spans="1:5">
      <c r="A315" s="373"/>
      <c r="B315" s="374"/>
      <c r="C315" s="375"/>
      <c r="D315" s="376" t="s">
        <v>296</v>
      </c>
      <c r="E315" s="376">
        <v>2186</v>
      </c>
    </row>
    <row r="316" spans="1:5" ht="13.5" thickBot="1">
      <c r="A316" s="377"/>
      <c r="B316" s="378" t="s">
        <v>297</v>
      </c>
      <c r="C316" s="379">
        <v>11.7</v>
      </c>
      <c r="D316" s="377"/>
      <c r="E316" s="377"/>
    </row>
    <row r="317" spans="1:5" ht="13.5" thickBot="1">
      <c r="A317" s="377"/>
      <c r="B317" s="377"/>
      <c r="C317" s="379"/>
      <c r="D317" s="380" t="s">
        <v>298</v>
      </c>
      <c r="E317" s="381">
        <f>+E315/C316</f>
        <v>186.84</v>
      </c>
    </row>
    <row r="318" spans="1:5">
      <c r="A318" s="382"/>
      <c r="B318" s="383"/>
      <c r="C318" s="382"/>
      <c r="D318" s="383"/>
      <c r="E318" s="383"/>
    </row>
    <row r="319" spans="1:5" ht="13.5" thickBot="1">
      <c r="A319" s="384" t="s">
        <v>300</v>
      </c>
      <c r="B319" s="385"/>
      <c r="C319" s="385"/>
      <c r="D319" s="385"/>
      <c r="E319" s="385"/>
    </row>
    <row r="320" spans="1:5" ht="13.5" thickTop="1">
      <c r="A320" s="386"/>
      <c r="B320" s="387" t="s">
        <v>286</v>
      </c>
      <c r="C320" s="387" t="s">
        <v>287</v>
      </c>
      <c r="D320" s="387" t="s">
        <v>288</v>
      </c>
      <c r="E320" s="388" t="s">
        <v>289</v>
      </c>
    </row>
    <row r="321" spans="1:5">
      <c r="A321" s="389" t="s">
        <v>301</v>
      </c>
      <c r="B321" s="390">
        <v>1</v>
      </c>
      <c r="C321" s="391" t="s">
        <v>302</v>
      </c>
      <c r="D321" s="392">
        <v>2200</v>
      </c>
      <c r="E321" s="393">
        <f>+D321*B321</f>
        <v>2200</v>
      </c>
    </row>
    <row r="322" spans="1:5">
      <c r="A322" s="394" t="s">
        <v>303</v>
      </c>
      <c r="B322" s="395">
        <v>4</v>
      </c>
      <c r="C322" s="391" t="s">
        <v>302</v>
      </c>
      <c r="D322" s="392">
        <v>650</v>
      </c>
      <c r="E322" s="393">
        <f>+D322*B322</f>
        <v>2600</v>
      </c>
    </row>
    <row r="323" spans="1:5">
      <c r="A323" s="394" t="s">
        <v>304</v>
      </c>
      <c r="B323" s="395">
        <v>3</v>
      </c>
      <c r="C323" s="391" t="s">
        <v>302</v>
      </c>
      <c r="D323" s="392">
        <v>650</v>
      </c>
      <c r="E323" s="393">
        <f>+D323*B323</f>
        <v>1950</v>
      </c>
    </row>
    <row r="324" spans="1:5">
      <c r="A324" s="394" t="s">
        <v>305</v>
      </c>
      <c r="B324" s="395">
        <v>1</v>
      </c>
      <c r="C324" s="391" t="s">
        <v>302</v>
      </c>
      <c r="D324" s="392">
        <v>96</v>
      </c>
      <c r="E324" s="393">
        <f>+D324*B324</f>
        <v>96</v>
      </c>
    </row>
    <row r="325" spans="1:5">
      <c r="A325" s="396"/>
      <c r="B325" s="397"/>
      <c r="C325" s="391"/>
      <c r="D325" s="398" t="s">
        <v>306</v>
      </c>
      <c r="E325" s="399">
        <f>SUM(E321:E324)</f>
        <v>6846</v>
      </c>
    </row>
    <row r="326" spans="1:5" ht="13.5" thickBot="1">
      <c r="A326" s="400" t="s">
        <v>297</v>
      </c>
      <c r="B326" s="401">
        <v>55.99</v>
      </c>
      <c r="C326" s="402" t="s">
        <v>302</v>
      </c>
      <c r="D326" s="401"/>
      <c r="E326" s="403"/>
    </row>
    <row r="327" spans="1:5" ht="13.5" thickTop="1">
      <c r="A327" s="404"/>
      <c r="B327" s="405"/>
      <c r="C327" s="405"/>
      <c r="D327" s="406" t="s">
        <v>307</v>
      </c>
      <c r="E327" s="407">
        <f>+ROUND(E325/B326,2)</f>
        <v>122.27</v>
      </c>
    </row>
    <row r="328" spans="1:5">
      <c r="A328" s="408"/>
      <c r="B328" s="408"/>
      <c r="C328" s="408"/>
      <c r="D328" s="408"/>
      <c r="E328" s="408"/>
    </row>
    <row r="329" spans="1:5">
      <c r="A329" s="555" t="s">
        <v>308</v>
      </c>
      <c r="B329" s="556"/>
      <c r="C329" s="556"/>
      <c r="D329" s="556"/>
      <c r="E329" s="556"/>
    </row>
    <row r="330" spans="1:5">
      <c r="A330" s="555" t="s">
        <v>309</v>
      </c>
      <c r="B330" s="550"/>
      <c r="C330" s="551"/>
      <c r="D330" s="550"/>
      <c r="E330" s="550"/>
    </row>
    <row r="331" spans="1:5">
      <c r="A331" s="557" t="s">
        <v>408</v>
      </c>
      <c r="B331" s="550">
        <v>1</v>
      </c>
      <c r="C331" s="551" t="s">
        <v>148</v>
      </c>
      <c r="D331" s="550">
        <f>659*3</f>
        <v>1977</v>
      </c>
      <c r="E331" s="558">
        <f>B331*D331</f>
        <v>1977</v>
      </c>
    </row>
    <row r="332" spans="1:5">
      <c r="A332" s="557" t="s">
        <v>310</v>
      </c>
      <c r="B332" s="550">
        <v>3</v>
      </c>
      <c r="C332" s="551" t="s">
        <v>46</v>
      </c>
      <c r="D332" s="550">
        <f>E331</f>
        <v>1977</v>
      </c>
      <c r="E332" s="558">
        <f>(B332*D332)/100</f>
        <v>59.31</v>
      </c>
    </row>
    <row r="333" spans="1:5">
      <c r="A333" s="557" t="s">
        <v>311</v>
      </c>
      <c r="B333" s="550">
        <v>21</v>
      </c>
      <c r="C333" s="551" t="s">
        <v>312</v>
      </c>
      <c r="D333" s="559"/>
      <c r="E333" s="560">
        <f>SUM(E331:E332)</f>
        <v>2036.31</v>
      </c>
    </row>
    <row r="334" spans="1:5">
      <c r="A334" s="557"/>
      <c r="B334" s="550"/>
      <c r="C334" s="561" t="s">
        <v>313</v>
      </c>
      <c r="D334" s="561"/>
      <c r="E334" s="560">
        <f>E333/B333</f>
        <v>96.97</v>
      </c>
    </row>
    <row r="335" spans="1:5">
      <c r="A335" s="417"/>
      <c r="B335" s="418"/>
      <c r="C335" s="417"/>
      <c r="D335" s="417"/>
      <c r="E335" s="562"/>
    </row>
    <row r="336" spans="1:5">
      <c r="A336" s="555" t="s">
        <v>308</v>
      </c>
      <c r="B336" s="550"/>
      <c r="C336" s="563"/>
      <c r="D336" s="550"/>
      <c r="E336" s="550"/>
    </row>
    <row r="337" spans="1:7">
      <c r="A337" s="564" t="s">
        <v>314</v>
      </c>
      <c r="B337" s="550">
        <v>1</v>
      </c>
      <c r="C337" s="565" t="s">
        <v>2</v>
      </c>
      <c r="D337" s="550">
        <v>1000</v>
      </c>
      <c r="E337" s="550">
        <f>B337*D337</f>
        <v>1000</v>
      </c>
    </row>
    <row r="338" spans="1:7">
      <c r="A338" s="566"/>
      <c r="B338" s="567" t="s">
        <v>315</v>
      </c>
      <c r="C338" s="565"/>
      <c r="D338" s="550"/>
      <c r="E338" s="568">
        <f>SUM(E337:E337)</f>
        <v>1000</v>
      </c>
    </row>
    <row r="339" spans="1:7">
      <c r="A339" s="569" t="s">
        <v>316</v>
      </c>
      <c r="B339" s="552">
        <v>1</v>
      </c>
      <c r="C339" s="553" t="s">
        <v>2</v>
      </c>
      <c r="D339" s="554">
        <f>+E334</f>
        <v>96.97</v>
      </c>
      <c r="E339" s="570">
        <f>B339*D339</f>
        <v>96.97</v>
      </c>
    </row>
    <row r="340" spans="1:7">
      <c r="A340" s="571"/>
      <c r="B340" s="571"/>
      <c r="C340" s="571"/>
      <c r="D340" s="572" t="s">
        <v>317</v>
      </c>
      <c r="E340" s="573">
        <f>E339+E338</f>
        <v>1096.97</v>
      </c>
    </row>
    <row r="341" spans="1:7">
      <c r="A341" s="578"/>
      <c r="B341" s="578"/>
      <c r="C341" s="578"/>
      <c r="D341" s="579"/>
      <c r="E341" s="580"/>
    </row>
    <row r="342" spans="1:7">
      <c r="A342" s="422"/>
      <c r="B342" s="422"/>
      <c r="C342" s="421"/>
      <c r="D342" s="423"/>
      <c r="E342" s="424"/>
    </row>
    <row r="343" spans="1:7">
      <c r="A343" s="2026" t="s">
        <v>300</v>
      </c>
      <c r="B343" s="2027"/>
      <c r="C343" s="2027"/>
      <c r="D343" s="2027"/>
      <c r="E343" s="2027"/>
      <c r="F343" s="2028"/>
      <c r="G343" s="2028"/>
    </row>
    <row r="344" spans="1:7">
      <c r="A344" s="581"/>
      <c r="B344" s="582" t="s">
        <v>286</v>
      </c>
      <c r="C344" s="582" t="s">
        <v>287</v>
      </c>
      <c r="D344" s="582" t="s">
        <v>288</v>
      </c>
      <c r="E344" s="582" t="s">
        <v>289</v>
      </c>
    </row>
    <row r="345" spans="1:7">
      <c r="A345" s="583" t="s">
        <v>301</v>
      </c>
      <c r="B345" s="584">
        <v>1</v>
      </c>
      <c r="C345" s="585" t="s">
        <v>302</v>
      </c>
      <c r="D345" s="586">
        <v>2200</v>
      </c>
      <c r="E345" s="586">
        <f>+D345*B345</f>
        <v>2200</v>
      </c>
    </row>
    <row r="346" spans="1:7">
      <c r="A346" s="587" t="s">
        <v>303</v>
      </c>
      <c r="B346" s="588">
        <v>4</v>
      </c>
      <c r="C346" s="585" t="s">
        <v>302</v>
      </c>
      <c r="D346" s="586">
        <v>659</v>
      </c>
      <c r="E346" s="586">
        <f>+D346*B346</f>
        <v>2636</v>
      </c>
    </row>
    <row r="347" spans="1:7">
      <c r="A347" s="587" t="s">
        <v>304</v>
      </c>
      <c r="B347" s="588">
        <v>3</v>
      </c>
      <c r="C347" s="585" t="s">
        <v>302</v>
      </c>
      <c r="D347" s="586">
        <v>659</v>
      </c>
      <c r="E347" s="586">
        <f>+D347*B347</f>
        <v>1977</v>
      </c>
    </row>
    <row r="348" spans="1:7">
      <c r="A348" s="587" t="s">
        <v>305</v>
      </c>
      <c r="B348" s="588">
        <v>1</v>
      </c>
      <c r="C348" s="585" t="s">
        <v>302</v>
      </c>
      <c r="D348" s="586">
        <f>SUM(E345:E347)*0.03</f>
        <v>204.39</v>
      </c>
      <c r="E348" s="586">
        <f>+D348*B348</f>
        <v>204.39</v>
      </c>
    </row>
    <row r="349" spans="1:7">
      <c r="A349" s="581"/>
      <c r="B349" s="581"/>
      <c r="C349" s="585"/>
      <c r="D349" s="589" t="s">
        <v>306</v>
      </c>
      <c r="E349" s="590">
        <f>SUM(E345:E348)</f>
        <v>7017.39</v>
      </c>
    </row>
    <row r="350" spans="1:7">
      <c r="A350" s="591" t="s">
        <v>297</v>
      </c>
      <c r="B350" s="592">
        <v>38.299999999999997</v>
      </c>
      <c r="C350" s="593" t="s">
        <v>302</v>
      </c>
      <c r="D350" s="592"/>
      <c r="E350" s="592"/>
    </row>
    <row r="351" spans="1:7">
      <c r="A351" s="591"/>
      <c r="B351" s="592"/>
      <c r="C351" s="592"/>
      <c r="D351" s="589" t="s">
        <v>307</v>
      </c>
      <c r="E351" s="594">
        <f>+ROUND(E349/B350,2)</f>
        <v>183.22</v>
      </c>
    </row>
    <row r="352" spans="1:7">
      <c r="A352" s="574"/>
      <c r="B352" s="575"/>
      <c r="C352" s="575"/>
      <c r="D352" s="576"/>
      <c r="E352" s="577"/>
    </row>
    <row r="353" spans="1:5" ht="13.5" thickBot="1">
      <c r="A353" s="425" t="s">
        <v>318</v>
      </c>
      <c r="B353" s="426"/>
      <c r="C353" s="410"/>
      <c r="D353" s="409"/>
      <c r="E353" s="409"/>
    </row>
    <row r="354" spans="1:5" ht="14.25" thickTop="1" thickBot="1">
      <c r="A354" s="411" t="s">
        <v>319</v>
      </c>
      <c r="B354" s="412">
        <v>1</v>
      </c>
      <c r="C354" s="413" t="s">
        <v>148</v>
      </c>
      <c r="D354" s="414">
        <v>3900</v>
      </c>
      <c r="E354" s="415">
        <f>B354*D354</f>
        <v>3900</v>
      </c>
    </row>
    <row r="355" spans="1:5" ht="14.25" thickTop="1" thickBot="1">
      <c r="A355" s="427" t="s">
        <v>320</v>
      </c>
      <c r="B355" s="428">
        <v>6</v>
      </c>
      <c r="C355" s="429" t="s">
        <v>3</v>
      </c>
      <c r="D355" s="430">
        <v>90</v>
      </c>
      <c r="E355" s="415">
        <f t="shared" ref="E355:E361" si="5">B355*D355</f>
        <v>540</v>
      </c>
    </row>
    <row r="356" spans="1:5" ht="14.25" thickTop="1" thickBot="1">
      <c r="A356" s="427" t="s">
        <v>321</v>
      </c>
      <c r="B356" s="428">
        <v>1</v>
      </c>
      <c r="C356" s="429" t="s">
        <v>42</v>
      </c>
      <c r="D356" s="430">
        <v>1500</v>
      </c>
      <c r="E356" s="415">
        <f t="shared" si="5"/>
        <v>1500</v>
      </c>
    </row>
    <row r="357" spans="1:5" ht="14.25" thickTop="1" thickBot="1">
      <c r="A357" s="427" t="s">
        <v>322</v>
      </c>
      <c r="B357" s="428">
        <v>1</v>
      </c>
      <c r="C357" s="429" t="s">
        <v>42</v>
      </c>
      <c r="D357" s="430">
        <v>1300</v>
      </c>
      <c r="E357" s="415">
        <f t="shared" si="5"/>
        <v>1300</v>
      </c>
    </row>
    <row r="358" spans="1:5" ht="14.25" thickTop="1" thickBot="1">
      <c r="A358" s="427"/>
      <c r="B358" s="428"/>
      <c r="C358" s="429"/>
      <c r="D358" s="430"/>
      <c r="E358" s="415">
        <f t="shared" si="5"/>
        <v>0</v>
      </c>
    </row>
    <row r="359" spans="1:5" ht="14.25" thickTop="1" thickBot="1">
      <c r="A359" s="431" t="s">
        <v>323</v>
      </c>
      <c r="B359" s="428"/>
      <c r="C359" s="429"/>
      <c r="D359" s="430"/>
      <c r="E359" s="415">
        <f t="shared" si="5"/>
        <v>0</v>
      </c>
    </row>
    <row r="360" spans="1:5" ht="14.25" thickTop="1" thickBot="1">
      <c r="A360" s="427" t="s">
        <v>324</v>
      </c>
      <c r="B360" s="428">
        <v>5</v>
      </c>
      <c r="C360" s="429" t="s">
        <v>3</v>
      </c>
      <c r="D360" s="430">
        <v>350</v>
      </c>
      <c r="E360" s="415">
        <f t="shared" si="5"/>
        <v>1750</v>
      </c>
    </row>
    <row r="361" spans="1:5" ht="13.5" thickTop="1">
      <c r="A361" s="416" t="s">
        <v>325</v>
      </c>
      <c r="B361" s="417">
        <v>3</v>
      </c>
      <c r="C361" s="419" t="s">
        <v>312</v>
      </c>
      <c r="D361" s="420">
        <v>1400</v>
      </c>
      <c r="E361" s="415">
        <f t="shared" si="5"/>
        <v>4200</v>
      </c>
    </row>
    <row r="362" spans="1:5">
      <c r="A362" s="432"/>
      <c r="B362" s="433"/>
      <c r="C362" s="434"/>
      <c r="D362" s="435"/>
      <c r="E362" s="436">
        <f>SUM(E354:E361)</f>
        <v>13190</v>
      </c>
    </row>
    <row r="363" spans="1:5" ht="13.5" thickBot="1">
      <c r="A363" s="437"/>
      <c r="B363" s="438"/>
      <c r="C363" s="439" t="s">
        <v>313</v>
      </c>
      <c r="D363" s="440"/>
      <c r="E363" s="441"/>
    </row>
    <row r="364" spans="1:5" ht="13.5" thickTop="1">
      <c r="A364" s="442"/>
      <c r="B364" s="443">
        <v>300</v>
      </c>
      <c r="C364" s="442"/>
      <c r="D364" s="442"/>
      <c r="E364" s="444">
        <f>+E362/B364</f>
        <v>43.97</v>
      </c>
    </row>
    <row r="365" spans="1:5" ht="15">
      <c r="A365" s="445"/>
      <c r="B365" s="445"/>
      <c r="C365" s="445"/>
      <c r="D365" s="445"/>
      <c r="E365" s="445"/>
    </row>
    <row r="366" spans="1:5" ht="21.75" thickBot="1">
      <c r="A366" s="446" t="s">
        <v>326</v>
      </c>
      <c r="B366" s="446"/>
      <c r="C366" s="446"/>
      <c r="D366" s="446"/>
      <c r="E366" s="446"/>
    </row>
    <row r="367" spans="1:5" ht="13.5" thickTop="1">
      <c r="A367" s="447" t="s">
        <v>327</v>
      </c>
      <c r="B367" s="448"/>
      <c r="C367" s="449"/>
      <c r="D367" s="450"/>
      <c r="E367" s="451"/>
    </row>
    <row r="368" spans="1:5">
      <c r="A368" s="452" t="s">
        <v>328</v>
      </c>
      <c r="B368" s="453" t="s">
        <v>47</v>
      </c>
      <c r="C368" s="454">
        <v>1</v>
      </c>
      <c r="D368" s="455">
        <v>3500</v>
      </c>
      <c r="E368" s="456">
        <f>+C368*D368</f>
        <v>3500</v>
      </c>
    </row>
    <row r="369" spans="1:5">
      <c r="A369" s="452" t="s">
        <v>329</v>
      </c>
      <c r="B369" s="453" t="s">
        <v>47</v>
      </c>
      <c r="C369" s="454">
        <v>1</v>
      </c>
      <c r="D369" s="455">
        <v>168</v>
      </c>
      <c r="E369" s="456">
        <f t="shared" ref="E369:E375" si="6">+C369*D369</f>
        <v>168</v>
      </c>
    </row>
    <row r="370" spans="1:5">
      <c r="A370" s="452" t="s">
        <v>330</v>
      </c>
      <c r="B370" s="453" t="s">
        <v>47</v>
      </c>
      <c r="C370" s="454">
        <v>1</v>
      </c>
      <c r="D370" s="455">
        <v>81.25</v>
      </c>
      <c r="E370" s="456">
        <f t="shared" si="6"/>
        <v>81.25</v>
      </c>
    </row>
    <row r="371" spans="1:5">
      <c r="A371" s="452" t="s">
        <v>331</v>
      </c>
      <c r="B371" s="453" t="s">
        <v>118</v>
      </c>
      <c r="C371" s="454">
        <v>8</v>
      </c>
      <c r="D371" s="457">
        <v>195</v>
      </c>
      <c r="E371" s="456">
        <f t="shared" si="6"/>
        <v>1560</v>
      </c>
    </row>
    <row r="372" spans="1:5">
      <c r="A372" s="452" t="s">
        <v>332</v>
      </c>
      <c r="B372" s="453" t="s">
        <v>47</v>
      </c>
      <c r="C372" s="454">
        <v>1</v>
      </c>
      <c r="D372" s="457">
        <v>250</v>
      </c>
      <c r="E372" s="456">
        <f t="shared" si="6"/>
        <v>250</v>
      </c>
    </row>
    <row r="373" spans="1:5">
      <c r="A373" s="452" t="s">
        <v>333</v>
      </c>
      <c r="B373" s="453" t="s">
        <v>3</v>
      </c>
      <c r="C373" s="454">
        <v>0.2</v>
      </c>
      <c r="D373" s="457">
        <f>+E371</f>
        <v>1560</v>
      </c>
      <c r="E373" s="456">
        <f t="shared" si="6"/>
        <v>312</v>
      </c>
    </row>
    <row r="374" spans="1:5">
      <c r="A374" s="452" t="s">
        <v>334</v>
      </c>
      <c r="B374" s="453" t="s">
        <v>183</v>
      </c>
      <c r="C374" s="454">
        <v>0.25</v>
      </c>
      <c r="D374" s="457">
        <v>325</v>
      </c>
      <c r="E374" s="456">
        <f t="shared" si="6"/>
        <v>81.25</v>
      </c>
    </row>
    <row r="375" spans="1:5" ht="13.5" thickBot="1">
      <c r="A375" s="458" t="s">
        <v>335</v>
      </c>
      <c r="B375" s="459" t="s">
        <v>47</v>
      </c>
      <c r="C375" s="460">
        <v>1</v>
      </c>
      <c r="D375" s="461">
        <v>45</v>
      </c>
      <c r="E375" s="456">
        <f t="shared" si="6"/>
        <v>45</v>
      </c>
    </row>
    <row r="376" spans="1:5" ht="13.5" thickTop="1">
      <c r="A376" s="462"/>
      <c r="B376" s="463"/>
      <c r="C376" s="464"/>
      <c r="D376" s="465" t="s">
        <v>336</v>
      </c>
      <c r="E376" s="466">
        <f>SUM(E368:E375)</f>
        <v>5997.5</v>
      </c>
    </row>
    <row r="377" spans="1:5">
      <c r="A377" s="462"/>
      <c r="B377" s="463"/>
      <c r="C377" s="464"/>
      <c r="D377" s="467"/>
      <c r="E377" s="467"/>
    </row>
    <row r="378" spans="1:5">
      <c r="A378" s="468" t="s">
        <v>297</v>
      </c>
      <c r="B378" s="463" t="s">
        <v>47</v>
      </c>
      <c r="C378" s="464">
        <v>5</v>
      </c>
      <c r="D378" s="463" t="s">
        <v>337</v>
      </c>
      <c r="E378" s="463"/>
    </row>
    <row r="379" spans="1:5">
      <c r="A379" s="469"/>
      <c r="B379" s="469"/>
      <c r="C379" s="470"/>
      <c r="D379" s="467" t="s">
        <v>338</v>
      </c>
      <c r="E379" s="471">
        <f>E376/C378</f>
        <v>1199.5</v>
      </c>
    </row>
    <row r="380" spans="1:5" ht="15">
      <c r="A380" s="445"/>
      <c r="B380" s="445"/>
      <c r="C380" s="445"/>
      <c r="D380" s="445"/>
      <c r="E380" s="445"/>
    </row>
    <row r="381" spans="1:5" ht="15">
      <c r="A381" s="472" t="s">
        <v>339</v>
      </c>
      <c r="B381" s="445" t="s">
        <v>340</v>
      </c>
      <c r="C381" s="445" t="s">
        <v>286</v>
      </c>
      <c r="D381" s="473" t="s">
        <v>288</v>
      </c>
      <c r="E381" s="473" t="s">
        <v>289</v>
      </c>
    </row>
    <row r="382" spans="1:5" ht="15">
      <c r="A382" s="445" t="s">
        <v>341</v>
      </c>
      <c r="B382" s="474" t="s">
        <v>3</v>
      </c>
      <c r="C382" s="473">
        <v>1</v>
      </c>
      <c r="D382" s="445">
        <v>31.75</v>
      </c>
      <c r="E382" s="445">
        <f t="shared" ref="E382:E388" si="7">+D382*C382</f>
        <v>31.75</v>
      </c>
    </row>
    <row r="383" spans="1:5" ht="15">
      <c r="A383" s="445" t="s">
        <v>342</v>
      </c>
      <c r="B383" s="474" t="s">
        <v>3</v>
      </c>
      <c r="C383" s="473">
        <v>1</v>
      </c>
      <c r="D383" s="445">
        <v>270</v>
      </c>
      <c r="E383" s="445">
        <f t="shared" si="7"/>
        <v>270</v>
      </c>
    </row>
    <row r="384" spans="1:5" ht="15">
      <c r="A384" s="445" t="s">
        <v>343</v>
      </c>
      <c r="B384" s="474" t="s">
        <v>3</v>
      </c>
      <c r="C384" s="473">
        <v>1</v>
      </c>
      <c r="D384" s="445">
        <v>30.68</v>
      </c>
      <c r="E384" s="445">
        <f t="shared" si="7"/>
        <v>30.68</v>
      </c>
    </row>
    <row r="385" spans="1:5" ht="15">
      <c r="A385" s="445" t="s">
        <v>344</v>
      </c>
      <c r="B385" s="474" t="s">
        <v>3</v>
      </c>
      <c r="C385" s="473">
        <v>1</v>
      </c>
      <c r="D385" s="445">
        <v>501.62</v>
      </c>
      <c r="E385" s="445">
        <f t="shared" si="7"/>
        <v>501.62</v>
      </c>
    </row>
    <row r="386" spans="1:5" ht="15">
      <c r="A386" s="445" t="s">
        <v>345</v>
      </c>
      <c r="B386" s="474" t="s">
        <v>3</v>
      </c>
      <c r="C386" s="473">
        <v>1</v>
      </c>
      <c r="D386" s="445">
        <v>65</v>
      </c>
      <c r="E386" s="445">
        <f t="shared" si="7"/>
        <v>65</v>
      </c>
    </row>
    <row r="387" spans="1:5" ht="15">
      <c r="A387" s="445" t="s">
        <v>346</v>
      </c>
      <c r="B387" s="474" t="s">
        <v>3</v>
      </c>
      <c r="C387" s="473">
        <v>1</v>
      </c>
      <c r="D387" s="445">
        <v>950</v>
      </c>
      <c r="E387" s="445">
        <f t="shared" si="7"/>
        <v>950</v>
      </c>
    </row>
    <row r="388" spans="1:5" ht="15">
      <c r="A388" s="445"/>
      <c r="C388" s="445"/>
      <c r="D388" s="445"/>
      <c r="E388" s="445">
        <f t="shared" si="7"/>
        <v>0</v>
      </c>
    </row>
    <row r="389" spans="1:5" ht="15">
      <c r="A389" s="445"/>
      <c r="C389" s="445"/>
      <c r="D389" s="445"/>
      <c r="E389" s="445">
        <f>SUM(E382:E388)</f>
        <v>1849.05</v>
      </c>
    </row>
    <row r="390" spans="1:5" ht="15">
      <c r="A390" s="445" t="s">
        <v>347</v>
      </c>
      <c r="C390" s="445"/>
      <c r="D390" s="445"/>
      <c r="E390" s="445">
        <v>600</v>
      </c>
    </row>
    <row r="391" spans="1:5" ht="15">
      <c r="A391" s="445"/>
      <c r="C391" s="445"/>
      <c r="D391" s="445"/>
      <c r="E391" s="472">
        <f>SUM(E389:E390)</f>
        <v>2449.0500000000002</v>
      </c>
    </row>
    <row r="392" spans="1:5" ht="15">
      <c r="A392" s="445"/>
      <c r="B392" s="445"/>
      <c r="C392" s="445"/>
      <c r="D392" s="445"/>
      <c r="E392" s="445"/>
    </row>
    <row r="393" spans="1:5" ht="15">
      <c r="A393" s="445" t="s">
        <v>348</v>
      </c>
      <c r="B393" s="445"/>
      <c r="C393" s="445"/>
      <c r="D393" s="445"/>
      <c r="E393" s="445"/>
    </row>
    <row r="394" spans="1:5" ht="13.5" thickBot="1">
      <c r="A394" s="475" t="s">
        <v>349</v>
      </c>
      <c r="B394" s="476"/>
      <c r="C394" s="477"/>
      <c r="D394" s="477"/>
      <c r="E394" s="477"/>
    </row>
    <row r="395" spans="1:5" ht="13.5" thickTop="1">
      <c r="A395" s="478" t="s">
        <v>240</v>
      </c>
      <c r="B395" s="479">
        <v>1.05</v>
      </c>
      <c r="C395" s="480" t="s">
        <v>160</v>
      </c>
      <c r="D395" s="481">
        <f>+E56</f>
        <v>5230.0200000000004</v>
      </c>
      <c r="E395" s="482">
        <f>B395*D395</f>
        <v>5491.52</v>
      </c>
    </row>
    <row r="396" spans="1:5">
      <c r="A396" s="483"/>
      <c r="B396" s="484"/>
      <c r="C396" s="485"/>
      <c r="D396" s="486"/>
      <c r="E396" s="487"/>
    </row>
    <row r="397" spans="1:5" ht="13.5" thickBot="1">
      <c r="A397" s="488"/>
      <c r="B397" s="489"/>
      <c r="C397" s="5065" t="s">
        <v>243</v>
      </c>
      <c r="D397" s="5065"/>
      <c r="E397" s="490">
        <f>SUM(E395:E396)</f>
        <v>5491.52</v>
      </c>
    </row>
    <row r="398" spans="1:5" ht="13.5" thickTop="1">
      <c r="A398" s="483" t="s">
        <v>297</v>
      </c>
      <c r="B398" s="476">
        <v>5</v>
      </c>
      <c r="C398" s="477"/>
      <c r="D398" s="477"/>
      <c r="E398" s="491">
        <f>+E397/B398</f>
        <v>1098.3</v>
      </c>
    </row>
    <row r="399" spans="1:5" ht="15">
      <c r="A399" s="445"/>
      <c r="B399" s="445"/>
      <c r="C399" s="445"/>
      <c r="D399" s="445"/>
      <c r="E399" s="445"/>
    </row>
    <row r="400" spans="1:5">
      <c r="A400" s="5065" t="s">
        <v>350</v>
      </c>
      <c r="B400" s="5065"/>
      <c r="C400" s="5065"/>
      <c r="D400" s="5065"/>
      <c r="E400" s="5065"/>
    </row>
    <row r="401" spans="1:5" ht="15">
      <c r="A401" s="492"/>
      <c r="B401" s="445"/>
      <c r="C401" s="445"/>
      <c r="D401" s="445"/>
      <c r="E401" s="445"/>
    </row>
    <row r="402" spans="1:5" ht="15">
      <c r="A402" s="492"/>
      <c r="B402" s="445"/>
      <c r="C402" s="445"/>
      <c r="D402" s="445"/>
      <c r="E402" s="445"/>
    </row>
    <row r="403" spans="1:5" ht="15">
      <c r="A403" s="493" t="s">
        <v>351</v>
      </c>
      <c r="B403" s="445"/>
      <c r="C403" s="445"/>
      <c r="D403" s="445"/>
      <c r="E403" s="445"/>
    </row>
    <row r="404" spans="1:5" ht="15">
      <c r="A404" s="493" t="s">
        <v>352</v>
      </c>
      <c r="B404" s="445"/>
      <c r="C404" s="445"/>
      <c r="D404" s="445"/>
      <c r="E404" s="445"/>
    </row>
    <row r="405" spans="1:5" ht="15">
      <c r="A405" s="493" t="s">
        <v>353</v>
      </c>
      <c r="B405" s="445"/>
      <c r="C405" s="445"/>
      <c r="D405" s="445"/>
      <c r="E405" s="445"/>
    </row>
    <row r="406" spans="1:5" ht="15">
      <c r="A406" s="494"/>
      <c r="B406" s="445"/>
      <c r="C406" s="445"/>
      <c r="D406" s="445"/>
      <c r="E406" s="445"/>
    </row>
    <row r="407" spans="1:5" ht="26.25">
      <c r="A407" s="494"/>
      <c r="B407" s="495" t="s">
        <v>354</v>
      </c>
      <c r="C407" s="496" t="s">
        <v>355</v>
      </c>
      <c r="D407" s="445"/>
      <c r="E407" s="445"/>
    </row>
    <row r="408" spans="1:5" ht="15">
      <c r="A408" s="497" t="s">
        <v>356</v>
      </c>
      <c r="B408" s="498">
        <v>3400</v>
      </c>
      <c r="C408" s="495">
        <v>187</v>
      </c>
      <c r="D408" s="445"/>
      <c r="E408" s="445"/>
    </row>
    <row r="409" spans="1:5" ht="15">
      <c r="A409" s="494"/>
      <c r="B409" s="445"/>
      <c r="C409" s="499"/>
      <c r="D409" s="445"/>
      <c r="E409" s="445"/>
    </row>
    <row r="410" spans="1:5" ht="15">
      <c r="A410" s="494" t="s">
        <v>357</v>
      </c>
      <c r="B410" s="445"/>
      <c r="C410" s="445"/>
      <c r="D410" s="445"/>
      <c r="E410" s="445"/>
    </row>
    <row r="411" spans="1:5" ht="15">
      <c r="A411" s="500" t="s">
        <v>358</v>
      </c>
      <c r="B411" s="501">
        <v>1</v>
      </c>
      <c r="C411" s="502" t="s">
        <v>148</v>
      </c>
      <c r="D411" s="503">
        <f>B408</f>
        <v>3400</v>
      </c>
      <c r="E411" s="501">
        <f>B411*D411</f>
        <v>3400</v>
      </c>
    </row>
    <row r="412" spans="1:5">
      <c r="A412" s="504" t="s">
        <v>359</v>
      </c>
      <c r="B412" s="505">
        <v>12</v>
      </c>
      <c r="C412" s="506" t="s">
        <v>138</v>
      </c>
      <c r="D412" s="507">
        <v>195</v>
      </c>
      <c r="E412" s="505">
        <f>B412*D412</f>
        <v>2340</v>
      </c>
    </row>
    <row r="413" spans="1:5">
      <c r="A413" s="504" t="s">
        <v>360</v>
      </c>
      <c r="B413" s="505">
        <v>0.15</v>
      </c>
      <c r="C413" s="506" t="s">
        <v>46</v>
      </c>
      <c r="D413" s="507">
        <f>+E412</f>
        <v>2340</v>
      </c>
      <c r="E413" s="505">
        <f>B413*D413</f>
        <v>351</v>
      </c>
    </row>
    <row r="414" spans="1:5">
      <c r="A414" s="504"/>
      <c r="B414" s="504"/>
      <c r="C414" s="504"/>
      <c r="D414" s="508" t="s">
        <v>361</v>
      </c>
      <c r="E414" s="509">
        <f>SUM(E411:E413)</f>
        <v>6091</v>
      </c>
    </row>
    <row r="415" spans="1:5">
      <c r="A415" s="504"/>
      <c r="B415" s="504"/>
      <c r="C415" s="504"/>
      <c r="D415" s="508" t="s">
        <v>362</v>
      </c>
      <c r="E415" s="509">
        <f>E414/8</f>
        <v>761.38</v>
      </c>
    </row>
    <row r="416" spans="1:5">
      <c r="A416" s="510"/>
      <c r="B416" s="510"/>
      <c r="C416" s="510"/>
      <c r="D416" s="511"/>
      <c r="E416" s="512"/>
    </row>
    <row r="417" spans="1:5">
      <c r="A417" s="513" t="s">
        <v>363</v>
      </c>
    </row>
    <row r="418" spans="1:5">
      <c r="A418" s="514" t="s">
        <v>364</v>
      </c>
      <c r="B418" s="505">
        <v>1</v>
      </c>
      <c r="C418" s="506" t="s">
        <v>148</v>
      </c>
      <c r="D418" s="507">
        <f>1100*2</f>
        <v>2200</v>
      </c>
      <c r="E418" s="505">
        <f>B418*D418</f>
        <v>2200</v>
      </c>
    </row>
    <row r="419" spans="1:5">
      <c r="A419" s="514" t="s">
        <v>365</v>
      </c>
      <c r="B419" s="505">
        <v>1</v>
      </c>
      <c r="C419" s="506" t="s">
        <v>148</v>
      </c>
      <c r="D419" s="507">
        <f>750*3</f>
        <v>2250</v>
      </c>
      <c r="E419" s="505">
        <f>B419*D419</f>
        <v>2250</v>
      </c>
    </row>
    <row r="420" spans="1:5">
      <c r="A420" s="504"/>
      <c r="B420" s="504"/>
      <c r="C420" s="504"/>
      <c r="D420" s="508" t="s">
        <v>366</v>
      </c>
      <c r="E420" s="509">
        <f>SUM(E418:E419)</f>
        <v>4450</v>
      </c>
    </row>
    <row r="421" spans="1:5">
      <c r="A421" s="504"/>
      <c r="B421" s="504"/>
      <c r="C421" s="504"/>
      <c r="D421" s="508" t="s">
        <v>367</v>
      </c>
      <c r="E421" s="509">
        <f>E420/8</f>
        <v>556.25</v>
      </c>
    </row>
    <row r="422" spans="1:5">
      <c r="E422" s="515"/>
    </row>
    <row r="423" spans="1:5">
      <c r="E423" s="515"/>
    </row>
    <row r="424" spans="1:5">
      <c r="A424" s="5065" t="s">
        <v>368</v>
      </c>
      <c r="B424" s="5065"/>
      <c r="C424" s="5065"/>
      <c r="D424" s="516" t="s">
        <v>369</v>
      </c>
      <c r="E424" s="509">
        <f>E415+E421</f>
        <v>1317.63</v>
      </c>
    </row>
    <row r="425" spans="1:5">
      <c r="A425" s="5065" t="s">
        <v>368</v>
      </c>
      <c r="B425" s="5065"/>
      <c r="C425" s="5065"/>
      <c r="D425" s="516" t="s">
        <v>370</v>
      </c>
      <c r="E425" s="509">
        <f>E420+E414</f>
        <v>10541</v>
      </c>
    </row>
    <row r="426" spans="1:5">
      <c r="A426" s="5065" t="s">
        <v>371</v>
      </c>
      <c r="B426" s="5065"/>
      <c r="C426" s="5065"/>
      <c r="D426" s="516" t="s">
        <v>372</v>
      </c>
      <c r="E426" s="509">
        <f>E425/6</f>
        <v>1756.83</v>
      </c>
    </row>
    <row r="429" spans="1:5">
      <c r="A429" s="7"/>
      <c r="B429" s="252"/>
      <c r="C429" s="7"/>
      <c r="D429" s="7"/>
      <c r="E429" s="7"/>
    </row>
    <row r="430" spans="1:5">
      <c r="A430" s="275" t="s">
        <v>373</v>
      </c>
      <c r="B430" s="252"/>
      <c r="C430" s="7"/>
      <c r="D430" s="7"/>
      <c r="E430" s="7"/>
    </row>
    <row r="431" spans="1:5" ht="13.5" thickBot="1">
      <c r="A431" s="276" t="s">
        <v>251</v>
      </c>
      <c r="B431" s="252"/>
      <c r="C431" s="7"/>
      <c r="D431" s="7"/>
      <c r="E431" s="7"/>
    </row>
    <row r="432" spans="1:5" ht="13.5" thickTop="1">
      <c r="A432" s="277" t="s">
        <v>37</v>
      </c>
      <c r="B432" s="298">
        <v>1</v>
      </c>
      <c r="C432" s="297" t="s">
        <v>61</v>
      </c>
      <c r="D432" s="298">
        <v>300</v>
      </c>
      <c r="E432" s="299">
        <f>ROUND(B432*D432,2)</f>
        <v>300</v>
      </c>
    </row>
    <row r="433" spans="1:5">
      <c r="A433" s="517" t="s">
        <v>374</v>
      </c>
      <c r="B433" s="518">
        <v>3.75</v>
      </c>
      <c r="C433" s="519" t="s">
        <v>2</v>
      </c>
      <c r="D433" s="520">
        <v>240.23</v>
      </c>
      <c r="E433" s="299">
        <f t="shared" ref="E433:E448" si="8">ROUND(B433*D433,2)</f>
        <v>900.86</v>
      </c>
    </row>
    <row r="434" spans="1:5">
      <c r="A434" s="282" t="s">
        <v>253</v>
      </c>
      <c r="B434" s="518">
        <v>3.52</v>
      </c>
      <c r="C434" s="519" t="s">
        <v>2</v>
      </c>
      <c r="D434" s="520">
        <v>122.27</v>
      </c>
      <c r="E434" s="299">
        <f t="shared" si="8"/>
        <v>430.39</v>
      </c>
    </row>
    <row r="435" spans="1:5">
      <c r="A435" s="282" t="s">
        <v>254</v>
      </c>
      <c r="B435" s="518">
        <v>1</v>
      </c>
      <c r="C435" s="519" t="s">
        <v>3</v>
      </c>
      <c r="D435" s="520">
        <v>300</v>
      </c>
      <c r="E435" s="299">
        <f t="shared" si="8"/>
        <v>300</v>
      </c>
    </row>
    <row r="436" spans="1:5">
      <c r="A436" s="282"/>
      <c r="B436" s="518"/>
      <c r="C436" s="519"/>
      <c r="D436" s="520"/>
      <c r="E436" s="299"/>
    </row>
    <row r="437" spans="1:5">
      <c r="A437" s="286" t="s">
        <v>255</v>
      </c>
      <c r="B437" s="521"/>
      <c r="C437" s="522"/>
      <c r="D437" s="520"/>
      <c r="E437" s="299">
        <f t="shared" si="8"/>
        <v>0</v>
      </c>
    </row>
    <row r="438" spans="1:5">
      <c r="A438" s="282" t="s">
        <v>375</v>
      </c>
      <c r="B438" s="518">
        <v>0.25</v>
      </c>
      <c r="C438" s="519" t="s">
        <v>2</v>
      </c>
      <c r="D438" s="520">
        <f>+E234</f>
        <v>10077.280000000001</v>
      </c>
      <c r="E438" s="299">
        <f t="shared" si="8"/>
        <v>2519.3200000000002</v>
      </c>
    </row>
    <row r="439" spans="1:5">
      <c r="A439" s="282" t="s">
        <v>376</v>
      </c>
      <c r="B439" s="518">
        <v>0.2</v>
      </c>
      <c r="C439" s="519" t="s">
        <v>2</v>
      </c>
      <c r="D439" s="520">
        <f>+E240</f>
        <v>11127.88</v>
      </c>
      <c r="E439" s="299">
        <f t="shared" si="8"/>
        <v>2225.58</v>
      </c>
    </row>
    <row r="440" spans="1:5">
      <c r="A440" s="282"/>
      <c r="B440" s="518"/>
      <c r="C440" s="519"/>
      <c r="D440" s="520"/>
      <c r="E440" s="299">
        <f t="shared" si="8"/>
        <v>0</v>
      </c>
    </row>
    <row r="441" spans="1:5">
      <c r="A441" s="282" t="s">
        <v>258</v>
      </c>
      <c r="B441" s="518">
        <v>6.16</v>
      </c>
      <c r="C441" s="519" t="s">
        <v>11</v>
      </c>
      <c r="D441" s="520">
        <f>+E174</f>
        <v>852.07</v>
      </c>
      <c r="E441" s="299">
        <f t="shared" si="8"/>
        <v>5248.75</v>
      </c>
    </row>
    <row r="442" spans="1:5">
      <c r="A442" s="282"/>
      <c r="B442" s="518"/>
      <c r="C442" s="519"/>
      <c r="D442" s="520"/>
      <c r="E442" s="299">
        <f t="shared" si="8"/>
        <v>0</v>
      </c>
    </row>
    <row r="443" spans="1:5">
      <c r="A443" s="282" t="s">
        <v>152</v>
      </c>
      <c r="B443" s="518">
        <v>3.12</v>
      </c>
      <c r="C443" s="519" t="s">
        <v>11</v>
      </c>
      <c r="D443" s="520">
        <f>+E86</f>
        <v>240.85</v>
      </c>
      <c r="E443" s="299">
        <f t="shared" si="8"/>
        <v>751.45</v>
      </c>
    </row>
    <row r="444" spans="1:5">
      <c r="A444" s="282" t="s">
        <v>377</v>
      </c>
      <c r="B444" s="518">
        <v>5.04</v>
      </c>
      <c r="C444" s="519" t="s">
        <v>11</v>
      </c>
      <c r="D444" s="520">
        <f>+E93</f>
        <v>255.49</v>
      </c>
      <c r="E444" s="299">
        <f t="shared" si="8"/>
        <v>1287.67</v>
      </c>
    </row>
    <row r="445" spans="1:5">
      <c r="A445" s="282" t="s">
        <v>260</v>
      </c>
      <c r="B445" s="518">
        <v>0.81</v>
      </c>
      <c r="C445" s="519" t="s">
        <v>11</v>
      </c>
      <c r="D445" s="520">
        <f>+E127</f>
        <v>498.95</v>
      </c>
      <c r="E445" s="299">
        <f t="shared" si="8"/>
        <v>404.15</v>
      </c>
    </row>
    <row r="446" spans="1:5">
      <c r="A446" s="282" t="s">
        <v>177</v>
      </c>
      <c r="B446" s="518">
        <v>8.4</v>
      </c>
      <c r="C446" s="519" t="s">
        <v>1</v>
      </c>
      <c r="D446" s="520">
        <f>+E140</f>
        <v>61.29</v>
      </c>
      <c r="E446" s="299">
        <f t="shared" si="8"/>
        <v>514.84</v>
      </c>
    </row>
    <row r="447" spans="1:5">
      <c r="A447" s="282" t="s">
        <v>261</v>
      </c>
      <c r="B447" s="518">
        <v>8.16</v>
      </c>
      <c r="C447" s="519" t="s">
        <v>11</v>
      </c>
      <c r="D447" s="520">
        <v>0</v>
      </c>
      <c r="E447" s="299">
        <f t="shared" si="8"/>
        <v>0</v>
      </c>
    </row>
    <row r="448" spans="1:5">
      <c r="A448" s="282"/>
      <c r="B448" s="518"/>
      <c r="C448" s="519"/>
      <c r="D448" s="520"/>
      <c r="E448" s="299">
        <f t="shared" si="8"/>
        <v>0</v>
      </c>
    </row>
    <row r="449" spans="1:5" ht="13.5" thickBot="1">
      <c r="A449" s="300"/>
      <c r="B449" s="523"/>
      <c r="C449" s="5065" t="s">
        <v>266</v>
      </c>
      <c r="D449" s="5065"/>
      <c r="E449" s="302">
        <f>SUM(E432:E448)</f>
        <v>14883.01</v>
      </c>
    </row>
    <row r="450" spans="1:5" ht="13.5" thickTop="1"/>
    <row r="451" spans="1:5">
      <c r="A451" s="44" t="s">
        <v>378</v>
      </c>
      <c r="B451" t="s">
        <v>379</v>
      </c>
      <c r="C451">
        <v>1</v>
      </c>
      <c r="D451" s="328">
        <v>9500</v>
      </c>
      <c r="E451" s="524">
        <f>+E449+D451</f>
        <v>24383.01</v>
      </c>
    </row>
    <row r="452" spans="1:5">
      <c r="A452" s="44" t="s">
        <v>380</v>
      </c>
      <c r="B452" t="s">
        <v>381</v>
      </c>
      <c r="D452" s="328">
        <v>3500</v>
      </c>
      <c r="E452" s="524">
        <f>+E449+D452</f>
        <v>18383.009999999998</v>
      </c>
    </row>
    <row r="455" spans="1:5" ht="15">
      <c r="A455" s="525" t="s">
        <v>382</v>
      </c>
      <c r="B455" s="526"/>
      <c r="C455" s="526"/>
      <c r="D455" s="526"/>
      <c r="E455" s="526"/>
    </row>
    <row r="456" spans="1:5" ht="15">
      <c r="A456" s="527"/>
      <c r="B456" s="527" t="s">
        <v>286</v>
      </c>
      <c r="C456" s="527" t="s">
        <v>287</v>
      </c>
      <c r="D456" s="527" t="s">
        <v>288</v>
      </c>
      <c r="E456" s="527" t="s">
        <v>289</v>
      </c>
    </row>
    <row r="457" spans="1:5" ht="15">
      <c r="A457" s="527" t="s">
        <v>383</v>
      </c>
      <c r="B457" s="528">
        <v>1</v>
      </c>
      <c r="C457" s="528" t="s">
        <v>12</v>
      </c>
      <c r="D457" s="528">
        <v>1899.6</v>
      </c>
      <c r="E457" s="528">
        <f>+B457*D457</f>
        <v>1899.6</v>
      </c>
    </row>
    <row r="458" spans="1:5" ht="15">
      <c r="A458" s="527" t="s">
        <v>384</v>
      </c>
      <c r="B458" s="528">
        <v>5.2</v>
      </c>
      <c r="C458" s="528" t="s">
        <v>292</v>
      </c>
      <c r="D458" s="528">
        <v>191</v>
      </c>
      <c r="E458" s="528">
        <f>+B458*D458</f>
        <v>993.2</v>
      </c>
    </row>
    <row r="459" spans="1:5" ht="15">
      <c r="A459" s="527" t="s">
        <v>293</v>
      </c>
      <c r="B459" s="528">
        <v>0.2</v>
      </c>
      <c r="C459" s="528" t="s">
        <v>46</v>
      </c>
      <c r="D459" s="528">
        <v>993.2</v>
      </c>
      <c r="E459" s="528">
        <f>+B459*D459</f>
        <v>198.64</v>
      </c>
    </row>
    <row r="460" spans="1:5" ht="15">
      <c r="A460" s="527" t="s">
        <v>385</v>
      </c>
      <c r="B460" s="528">
        <v>1</v>
      </c>
      <c r="C460" s="528" t="s">
        <v>12</v>
      </c>
      <c r="D460" s="528">
        <v>162.5</v>
      </c>
      <c r="E460" s="528">
        <f>+B460*D460</f>
        <v>162.5</v>
      </c>
    </row>
    <row r="461" spans="1:5" ht="45">
      <c r="A461" s="527"/>
      <c r="B461" s="528"/>
      <c r="C461" s="528"/>
      <c r="D461" s="529" t="s">
        <v>222</v>
      </c>
      <c r="E461" s="530">
        <f>SUM(E457:E460)</f>
        <v>3253.94</v>
      </c>
    </row>
    <row r="462" spans="1:5" ht="15">
      <c r="A462" s="527"/>
      <c r="B462" s="528"/>
      <c r="C462" s="528"/>
      <c r="D462" s="528"/>
      <c r="E462" s="528"/>
    </row>
    <row r="463" spans="1:5" ht="15">
      <c r="A463" s="531" t="s">
        <v>386</v>
      </c>
      <c r="B463" s="530">
        <v>124.77</v>
      </c>
      <c r="C463" s="530" t="s">
        <v>387</v>
      </c>
      <c r="D463" s="530"/>
      <c r="E463" s="530"/>
    </row>
    <row r="464" spans="1:5" ht="15">
      <c r="A464" s="531"/>
      <c r="B464" s="530"/>
      <c r="C464" s="530"/>
      <c r="D464" s="530"/>
      <c r="E464" s="530"/>
    </row>
    <row r="465" spans="1:5" ht="15">
      <c r="A465" s="531"/>
      <c r="B465" s="530"/>
      <c r="C465" s="530"/>
      <c r="D465" s="530" t="s">
        <v>388</v>
      </c>
      <c r="E465" s="530">
        <f>+E461/B463</f>
        <v>26.08</v>
      </c>
    </row>
    <row r="466" spans="1:5">
      <c r="A466" s="532"/>
      <c r="B466" s="533"/>
      <c r="C466" s="533"/>
      <c r="D466" s="533"/>
      <c r="E466" s="533"/>
    </row>
    <row r="467" spans="1:5" ht="15">
      <c r="A467" s="531" t="s">
        <v>389</v>
      </c>
      <c r="B467" s="531"/>
      <c r="C467" s="531"/>
      <c r="D467" s="531"/>
      <c r="E467" s="531"/>
    </row>
    <row r="468" spans="1:5" ht="15">
      <c r="A468" s="531"/>
      <c r="B468" s="531" t="s">
        <v>286</v>
      </c>
      <c r="C468" s="531" t="s">
        <v>287</v>
      </c>
      <c r="D468" s="531" t="s">
        <v>288</v>
      </c>
      <c r="E468" s="531" t="s">
        <v>289</v>
      </c>
    </row>
    <row r="469" spans="1:5" ht="15">
      <c r="A469" s="527" t="s">
        <v>390</v>
      </c>
      <c r="B469" s="528">
        <v>1</v>
      </c>
      <c r="C469" s="528" t="s">
        <v>302</v>
      </c>
      <c r="D469" s="528">
        <v>3895</v>
      </c>
      <c r="E469" s="528">
        <v>3895</v>
      </c>
    </row>
    <row r="470" spans="1:5" ht="15">
      <c r="A470" s="527" t="s">
        <v>391</v>
      </c>
      <c r="B470" s="528">
        <v>12</v>
      </c>
      <c r="C470" s="528" t="s">
        <v>392</v>
      </c>
      <c r="D470" s="528">
        <v>191</v>
      </c>
      <c r="E470" s="528">
        <v>2292</v>
      </c>
    </row>
    <row r="471" spans="1:5" ht="15">
      <c r="A471" s="527" t="s">
        <v>393</v>
      </c>
      <c r="B471" s="528">
        <v>1</v>
      </c>
      <c r="C471" s="528" t="s">
        <v>294</v>
      </c>
      <c r="D471" s="528">
        <v>2292</v>
      </c>
      <c r="E471" s="528">
        <v>2292</v>
      </c>
    </row>
    <row r="472" spans="1:5" ht="15">
      <c r="A472" s="527" t="s">
        <v>394</v>
      </c>
      <c r="B472" s="528">
        <v>1</v>
      </c>
      <c r="C472" s="528" t="s">
        <v>395</v>
      </c>
      <c r="D472" s="528">
        <v>162.5</v>
      </c>
      <c r="E472" s="528">
        <v>162.5</v>
      </c>
    </row>
    <row r="473" spans="1:5" ht="15">
      <c r="A473" s="527" t="s">
        <v>396</v>
      </c>
      <c r="B473" s="528"/>
      <c r="C473" s="528"/>
      <c r="D473" s="528"/>
      <c r="E473" s="530">
        <v>8641.5</v>
      </c>
    </row>
    <row r="474" spans="1:5" ht="15">
      <c r="A474" s="531" t="s">
        <v>297</v>
      </c>
      <c r="B474" s="530">
        <v>125</v>
      </c>
      <c r="C474" s="530" t="s">
        <v>397</v>
      </c>
      <c r="D474" s="530"/>
      <c r="E474" s="530"/>
    </row>
    <row r="475" spans="1:5" ht="15">
      <c r="A475" s="531" t="s">
        <v>398</v>
      </c>
      <c r="B475" s="530"/>
      <c r="C475" s="530"/>
      <c r="D475" s="530"/>
      <c r="E475" s="530">
        <f>+E473/B474</f>
        <v>69.13</v>
      </c>
    </row>
    <row r="476" spans="1:5">
      <c r="A476" s="532"/>
      <c r="B476" s="533"/>
      <c r="C476" s="533"/>
      <c r="D476" s="533"/>
      <c r="E476" s="533"/>
    </row>
    <row r="477" spans="1:5">
      <c r="A477" s="532"/>
      <c r="B477" s="533"/>
      <c r="C477" s="533"/>
      <c r="D477" s="533"/>
      <c r="E477" s="533"/>
    </row>
    <row r="478" spans="1:5" ht="45">
      <c r="A478" s="626" t="s">
        <v>399</v>
      </c>
      <c r="B478" s="627"/>
      <c r="C478" s="627"/>
      <c r="D478" s="627"/>
      <c r="E478" s="627"/>
    </row>
    <row r="479" spans="1:5" ht="15">
      <c r="A479" s="627"/>
      <c r="B479" s="627" t="s">
        <v>286</v>
      </c>
      <c r="C479" s="627" t="s">
        <v>287</v>
      </c>
      <c r="D479" s="627" t="s">
        <v>288</v>
      </c>
      <c r="E479" s="627" t="s">
        <v>289</v>
      </c>
    </row>
    <row r="480" spans="1:5" ht="15">
      <c r="A480" s="628" t="s">
        <v>400</v>
      </c>
      <c r="B480" s="629">
        <v>1</v>
      </c>
      <c r="C480" s="630" t="s">
        <v>401</v>
      </c>
      <c r="D480" s="629">
        <v>75</v>
      </c>
      <c r="E480" s="629">
        <f>+B480*D480</f>
        <v>75</v>
      </c>
    </row>
    <row r="481" spans="1:5" ht="15">
      <c r="A481" s="628" t="s">
        <v>402</v>
      </c>
      <c r="B481" s="629">
        <v>20</v>
      </c>
      <c r="C481" s="630" t="s">
        <v>403</v>
      </c>
      <c r="D481" s="629">
        <v>18.21</v>
      </c>
      <c r="E481" s="629">
        <f>+B481*D481</f>
        <v>364.2</v>
      </c>
    </row>
    <row r="482" spans="1:5" ht="15">
      <c r="A482" s="628" t="s">
        <v>404</v>
      </c>
      <c r="B482" s="629">
        <v>1</v>
      </c>
      <c r="C482" s="630" t="s">
        <v>401</v>
      </c>
      <c r="D482" s="629">
        <f>+E475</f>
        <v>69.13</v>
      </c>
      <c r="E482" s="629">
        <f>+B482*D482</f>
        <v>69.13</v>
      </c>
    </row>
    <row r="483" spans="1:5" ht="15">
      <c r="A483" s="628" t="s">
        <v>405</v>
      </c>
      <c r="B483" s="629">
        <v>1</v>
      </c>
      <c r="C483" s="630" t="s">
        <v>401</v>
      </c>
      <c r="D483" s="629">
        <v>12</v>
      </c>
      <c r="E483" s="629">
        <f>+B483*D483</f>
        <v>12</v>
      </c>
    </row>
    <row r="484" spans="1:5" ht="15">
      <c r="A484" s="628" t="s">
        <v>406</v>
      </c>
      <c r="B484" s="629">
        <v>1</v>
      </c>
      <c r="C484" s="630" t="s">
        <v>401</v>
      </c>
      <c r="D484" s="629">
        <v>26.08</v>
      </c>
      <c r="E484" s="629">
        <f>+B484*D484</f>
        <v>26.08</v>
      </c>
    </row>
    <row r="485" spans="1:5" ht="15">
      <c r="A485" s="623" t="s">
        <v>398</v>
      </c>
      <c r="B485" s="624"/>
      <c r="C485" s="624"/>
      <c r="D485" s="624"/>
      <c r="E485" s="625">
        <f>SUM(E480:E484)</f>
        <v>546.41</v>
      </c>
    </row>
    <row r="488" spans="1:5" ht="15">
      <c r="A488" s="595" t="s">
        <v>415</v>
      </c>
      <c r="B488" s="595"/>
      <c r="C488" s="596"/>
      <c r="D488" s="596"/>
      <c r="E488" s="596"/>
    </row>
    <row r="489" spans="1:5" ht="15">
      <c r="A489" s="595"/>
      <c r="B489" s="595"/>
      <c r="C489" s="596"/>
      <c r="D489" s="596"/>
      <c r="E489" s="596"/>
    </row>
    <row r="490" spans="1:5">
      <c r="A490" s="597" t="s">
        <v>416</v>
      </c>
      <c r="B490" s="597" t="s">
        <v>417</v>
      </c>
      <c r="C490" s="596"/>
      <c r="D490" s="596"/>
      <c r="E490" s="596"/>
    </row>
    <row r="491" spans="1:5" ht="25.5">
      <c r="A491" s="598" t="s">
        <v>418</v>
      </c>
      <c r="B491" s="599"/>
      <c r="C491" s="596"/>
      <c r="D491" s="596"/>
      <c r="E491" s="596"/>
    </row>
    <row r="492" spans="1:5" ht="25.5">
      <c r="A492" s="598" t="s">
        <v>419</v>
      </c>
      <c r="B492" s="599"/>
      <c r="C492" s="596"/>
      <c r="D492" s="596"/>
      <c r="E492" s="596"/>
    </row>
    <row r="493" spans="1:5">
      <c r="A493" s="598"/>
      <c r="B493" s="599"/>
      <c r="C493" s="596"/>
      <c r="D493" s="596"/>
      <c r="E493" s="596"/>
    </row>
    <row r="494" spans="1:5">
      <c r="A494" s="598" t="s">
        <v>420</v>
      </c>
      <c r="B494" s="600">
        <v>368.75</v>
      </c>
      <c r="C494" s="596"/>
      <c r="D494" s="596"/>
      <c r="E494" s="596"/>
    </row>
    <row r="495" spans="1:5">
      <c r="A495" s="598"/>
      <c r="B495" s="600"/>
      <c r="C495" s="596"/>
      <c r="D495" s="596"/>
      <c r="E495" s="596"/>
    </row>
    <row r="496" spans="1:5" ht="25.5">
      <c r="A496" s="598" t="s">
        <v>421</v>
      </c>
      <c r="B496" s="600">
        <v>117</v>
      </c>
      <c r="C496" s="596"/>
      <c r="D496" s="596"/>
      <c r="E496" s="596"/>
    </row>
    <row r="497" spans="1:5">
      <c r="A497" s="598"/>
      <c r="B497" s="600"/>
      <c r="C497" s="596"/>
      <c r="D497" s="596"/>
      <c r="E497" s="596"/>
    </row>
    <row r="498" spans="1:5">
      <c r="A498" s="598" t="s">
        <v>422</v>
      </c>
      <c r="B498" s="600">
        <f>0.2*B496</f>
        <v>23.4</v>
      </c>
      <c r="C498" s="596"/>
      <c r="D498" s="596"/>
      <c r="E498" s="596"/>
    </row>
    <row r="499" spans="1:5">
      <c r="A499" s="598"/>
      <c r="B499" s="600"/>
      <c r="C499" s="596"/>
      <c r="D499" s="596"/>
      <c r="E499" s="596"/>
    </row>
    <row r="500" spans="1:5">
      <c r="A500" s="598" t="s">
        <v>423</v>
      </c>
      <c r="B500" s="600">
        <v>118.75</v>
      </c>
      <c r="C500" s="596"/>
      <c r="D500" s="596"/>
      <c r="E500" s="596"/>
    </row>
    <row r="501" spans="1:5">
      <c r="A501" s="598"/>
      <c r="B501" s="600"/>
      <c r="C501" s="596"/>
      <c r="D501" s="596"/>
      <c r="E501" s="596"/>
    </row>
    <row r="502" spans="1:5">
      <c r="A502" s="598" t="s">
        <v>424</v>
      </c>
      <c r="B502" s="600">
        <v>27.02</v>
      </c>
      <c r="C502" s="596"/>
      <c r="D502" s="596"/>
      <c r="E502" s="596"/>
    </row>
    <row r="503" spans="1:5">
      <c r="A503" s="601"/>
      <c r="B503" s="599"/>
      <c r="C503" s="596"/>
      <c r="D503" s="596"/>
      <c r="E503" s="596"/>
    </row>
    <row r="504" spans="1:5">
      <c r="A504" s="601" t="s">
        <v>425</v>
      </c>
      <c r="B504" s="599">
        <f>SUM(B494:B503)</f>
        <v>654.91999999999996</v>
      </c>
      <c r="C504" s="596"/>
      <c r="D504" s="596"/>
      <c r="E504" s="596"/>
    </row>
    <row r="505" spans="1:5">
      <c r="A505" s="601" t="s">
        <v>426</v>
      </c>
      <c r="B505" s="602"/>
      <c r="C505" s="596"/>
      <c r="D505" s="596"/>
      <c r="E505" s="596"/>
    </row>
    <row r="506" spans="1:5" ht="15">
      <c r="A506" s="603" t="s">
        <v>427</v>
      </c>
      <c r="B506" s="603">
        <f>+B504/8.75</f>
        <v>74.849999999999994</v>
      </c>
      <c r="C506" s="596"/>
      <c r="D506" s="596"/>
      <c r="E506" s="596"/>
    </row>
    <row r="509" spans="1:5">
      <c r="A509" s="5065" t="s">
        <v>428</v>
      </c>
      <c r="B509" s="5065"/>
      <c r="C509" s="5065"/>
      <c r="D509" s="5065"/>
      <c r="E509" s="5065"/>
    </row>
    <row r="510" spans="1:5">
      <c r="A510" s="604"/>
      <c r="B510" s="605" t="s">
        <v>286</v>
      </c>
      <c r="C510" s="605" t="s">
        <v>287</v>
      </c>
      <c r="D510" s="605" t="s">
        <v>288</v>
      </c>
      <c r="E510" s="605" t="s">
        <v>289</v>
      </c>
    </row>
    <row r="511" spans="1:5">
      <c r="A511" s="604" t="s">
        <v>429</v>
      </c>
      <c r="B511" s="606">
        <v>1</v>
      </c>
      <c r="C511" s="607" t="s">
        <v>12</v>
      </c>
      <c r="D511" s="608">
        <v>1250.8</v>
      </c>
      <c r="E511" s="608">
        <f>+D511*B511</f>
        <v>1250.8</v>
      </c>
    </row>
    <row r="512" spans="1:5">
      <c r="A512" s="604" t="s">
        <v>430</v>
      </c>
      <c r="B512" s="606">
        <v>3.2</v>
      </c>
      <c r="C512" s="607" t="s">
        <v>292</v>
      </c>
      <c r="D512" s="608">
        <f>+D302</f>
        <v>185.76</v>
      </c>
      <c r="E512" s="608">
        <f>+D512*B512</f>
        <v>594.42999999999995</v>
      </c>
    </row>
    <row r="513" spans="1:5">
      <c r="A513" s="604" t="s">
        <v>293</v>
      </c>
      <c r="B513" s="606">
        <v>0.2</v>
      </c>
      <c r="C513" s="607" t="s">
        <v>46</v>
      </c>
      <c r="D513" s="608">
        <f>+E512</f>
        <v>594.42999999999995</v>
      </c>
      <c r="E513" s="608">
        <f>+D513*B513</f>
        <v>118.89</v>
      </c>
    </row>
    <row r="514" spans="1:5">
      <c r="A514" s="604" t="s">
        <v>431</v>
      </c>
      <c r="B514" s="606">
        <v>1</v>
      </c>
      <c r="C514" s="607" t="s">
        <v>12</v>
      </c>
      <c r="D514" s="608">
        <v>162.5</v>
      </c>
      <c r="E514" s="608">
        <f>+D514*B514</f>
        <v>162.5</v>
      </c>
    </row>
    <row r="515" spans="1:5">
      <c r="A515" s="604"/>
      <c r="B515" s="604"/>
      <c r="C515" s="618"/>
      <c r="D515" s="619" t="s">
        <v>222</v>
      </c>
      <c r="E515" s="609">
        <f>SUM(E511:E514)</f>
        <v>2126.62</v>
      </c>
    </row>
    <row r="516" spans="1:5">
      <c r="A516" s="604" t="s">
        <v>432</v>
      </c>
      <c r="B516" s="620">
        <v>55</v>
      </c>
      <c r="C516" s="604" t="s">
        <v>433</v>
      </c>
      <c r="D516" s="604"/>
      <c r="E516" s="604"/>
    </row>
    <row r="517" spans="1:5">
      <c r="A517" s="604"/>
      <c r="B517" s="604"/>
      <c r="C517" s="604"/>
      <c r="D517" s="621" t="s">
        <v>434</v>
      </c>
      <c r="E517" s="622">
        <f>E515/B516</f>
        <v>38.67</v>
      </c>
    </row>
    <row r="520" spans="1:5" ht="20.25">
      <c r="A520" s="631" t="s">
        <v>455</v>
      </c>
      <c r="B520" s="632"/>
      <c r="C520" s="633"/>
      <c r="D520" s="632"/>
      <c r="E520" s="632"/>
    </row>
    <row r="521" spans="1:5" ht="18.75">
      <c r="A521" s="634"/>
      <c r="B521" s="632"/>
      <c r="C521" s="633"/>
      <c r="D521" s="632"/>
      <c r="E521" s="632"/>
    </row>
    <row r="522" spans="1:5">
      <c r="A522" s="635" t="s">
        <v>435</v>
      </c>
      <c r="B522" s="632"/>
      <c r="C522" s="633"/>
      <c r="D522" s="632"/>
      <c r="E522" s="632"/>
    </row>
    <row r="523" spans="1:5">
      <c r="A523" s="635"/>
      <c r="B523" s="632"/>
      <c r="C523" s="633"/>
      <c r="D523" s="632"/>
      <c r="E523" s="632"/>
    </row>
    <row r="524" spans="1:5">
      <c r="A524" s="636" t="s">
        <v>436</v>
      </c>
      <c r="B524" s="637"/>
      <c r="C524" s="638"/>
      <c r="D524" s="637"/>
      <c r="E524" s="637"/>
    </row>
    <row r="525" spans="1:5">
      <c r="A525" s="639" t="s">
        <v>437</v>
      </c>
      <c r="B525" s="640">
        <v>1</v>
      </c>
      <c r="C525" s="633" t="s">
        <v>215</v>
      </c>
      <c r="D525" s="640">
        <v>1977</v>
      </c>
      <c r="E525" s="640">
        <f>+D525*B525</f>
        <v>1977</v>
      </c>
    </row>
    <row r="526" spans="1:5">
      <c r="A526" s="639" t="s">
        <v>330</v>
      </c>
      <c r="B526" s="640">
        <v>1</v>
      </c>
      <c r="C526" s="633" t="s">
        <v>215</v>
      </c>
      <c r="D526" s="640">
        <v>1100</v>
      </c>
      <c r="E526" s="640">
        <f>+D526*B526</f>
        <v>1100</v>
      </c>
    </row>
    <row r="527" spans="1:5">
      <c r="A527" s="639" t="s">
        <v>438</v>
      </c>
      <c r="B527" s="640">
        <v>1</v>
      </c>
      <c r="C527" s="633" t="s">
        <v>215</v>
      </c>
      <c r="D527" s="640">
        <f>3*659</f>
        <v>1977</v>
      </c>
      <c r="E527" s="640">
        <f>+D527*B527</f>
        <v>1977</v>
      </c>
    </row>
    <row r="528" spans="1:5">
      <c r="A528" s="639" t="s">
        <v>439</v>
      </c>
      <c r="B528" s="640">
        <v>1</v>
      </c>
      <c r="C528" s="633" t="s">
        <v>440</v>
      </c>
      <c r="D528" s="640">
        <v>1318</v>
      </c>
      <c r="E528" s="640">
        <f>+D528*B528</f>
        <v>1318</v>
      </c>
    </row>
    <row r="529" spans="1:5">
      <c r="A529" s="639" t="s">
        <v>441</v>
      </c>
      <c r="B529" s="640">
        <v>1</v>
      </c>
      <c r="C529" s="633" t="s">
        <v>215</v>
      </c>
      <c r="D529" s="640">
        <v>1318</v>
      </c>
      <c r="E529" s="640">
        <f>+D529*B529</f>
        <v>1318</v>
      </c>
    </row>
    <row r="530" spans="1:5">
      <c r="A530" s="639"/>
      <c r="B530" s="632"/>
      <c r="C530" s="633"/>
      <c r="D530" s="641" t="s">
        <v>442</v>
      </c>
      <c r="E530" s="637">
        <f>SUM(E525:E529)</f>
        <v>7690</v>
      </c>
    </row>
    <row r="531" spans="1:5">
      <c r="A531" s="635"/>
      <c r="B531" s="632"/>
      <c r="C531" s="633"/>
      <c r="D531" s="632"/>
      <c r="E531" s="632"/>
    </row>
    <row r="532" spans="1:5">
      <c r="A532" s="639" t="s">
        <v>386</v>
      </c>
      <c r="B532" s="632">
        <v>1800</v>
      </c>
      <c r="C532" s="633" t="s">
        <v>11</v>
      </c>
      <c r="D532" s="632"/>
      <c r="E532" s="632"/>
    </row>
    <row r="533" spans="1:5">
      <c r="A533" s="635"/>
      <c r="B533" s="632"/>
      <c r="C533" s="633"/>
      <c r="D533" s="632"/>
      <c r="E533" s="632"/>
    </row>
    <row r="534" spans="1:5" ht="15.75">
      <c r="A534" s="639" t="s">
        <v>417</v>
      </c>
      <c r="B534" s="632"/>
      <c r="C534" s="633"/>
      <c r="D534" s="632"/>
      <c r="E534" s="642">
        <f>E530/B532</f>
        <v>4.2699999999999996</v>
      </c>
    </row>
    <row r="535" spans="1:5" ht="15.75">
      <c r="A535" s="639"/>
      <c r="B535" s="632"/>
      <c r="C535" s="633"/>
      <c r="D535" s="632"/>
      <c r="E535" s="642"/>
    </row>
    <row r="536" spans="1:5">
      <c r="A536" s="635" t="s">
        <v>443</v>
      </c>
      <c r="B536" s="632"/>
      <c r="C536" s="633"/>
      <c r="D536" s="632"/>
      <c r="E536" s="632"/>
    </row>
    <row r="537" spans="1:5">
      <c r="A537" s="635"/>
      <c r="B537" s="632"/>
      <c r="C537" s="633"/>
      <c r="D537" s="632"/>
      <c r="E537" s="632"/>
    </row>
    <row r="538" spans="1:5">
      <c r="A538" s="635" t="s">
        <v>444</v>
      </c>
      <c r="B538" s="632"/>
      <c r="C538" s="633"/>
      <c r="D538" s="632"/>
      <c r="E538" s="632"/>
    </row>
    <row r="539" spans="1:5">
      <c r="A539" s="639" t="s">
        <v>445</v>
      </c>
      <c r="B539" s="640">
        <v>0.5</v>
      </c>
      <c r="C539" s="633" t="s">
        <v>118</v>
      </c>
      <c r="D539" s="640">
        <v>100</v>
      </c>
      <c r="E539" s="640">
        <f>+D539*B539</f>
        <v>50</v>
      </c>
    </row>
    <row r="540" spans="1:5">
      <c r="A540" s="639" t="s">
        <v>446</v>
      </c>
      <c r="B540" s="640">
        <v>0.5</v>
      </c>
      <c r="C540" s="633" t="s">
        <v>118</v>
      </c>
      <c r="D540" s="640">
        <v>22</v>
      </c>
      <c r="E540" s="640">
        <f>+D540*B540</f>
        <v>11</v>
      </c>
    </row>
    <row r="541" spans="1:5" ht="15.75">
      <c r="A541" s="635"/>
      <c r="B541" s="632"/>
      <c r="C541" s="633"/>
      <c r="D541" s="632"/>
      <c r="E541" s="642">
        <f>SUM(E539:E540)</f>
        <v>61</v>
      </c>
    </row>
    <row r="542" spans="1:5">
      <c r="A542" s="635"/>
      <c r="B542" s="632"/>
      <c r="C542" s="633"/>
      <c r="D542" s="632"/>
      <c r="E542" s="632"/>
    </row>
    <row r="543" spans="1:5">
      <c r="A543" s="639" t="s">
        <v>447</v>
      </c>
      <c r="B543" s="643">
        <v>9.7699999999999992E-3</v>
      </c>
      <c r="C543" s="633" t="s">
        <v>2</v>
      </c>
      <c r="D543" s="632">
        <v>900</v>
      </c>
      <c r="E543" s="640">
        <f>+D543*B543</f>
        <v>8.7899999999999991</v>
      </c>
    </row>
    <row r="544" spans="1:5" ht="15.75">
      <c r="A544" s="635"/>
      <c r="B544" s="632"/>
      <c r="C544" s="633"/>
      <c r="D544" s="632"/>
      <c r="E544" s="642">
        <f>SUM(E543:E543)</f>
        <v>8.7899999999999991</v>
      </c>
    </row>
    <row r="545" spans="1:5">
      <c r="A545" s="635" t="s">
        <v>448</v>
      </c>
      <c r="B545" s="632"/>
      <c r="C545" s="633"/>
      <c r="D545" s="632"/>
      <c r="E545" s="632"/>
    </row>
    <row r="546" spans="1:5">
      <c r="A546" s="635"/>
      <c r="B546" s="632"/>
      <c r="C546" s="633"/>
      <c r="D546" s="632"/>
      <c r="E546" s="632"/>
    </row>
    <row r="547" spans="1:5">
      <c r="A547" s="639" t="s">
        <v>449</v>
      </c>
      <c r="B547" s="632">
        <v>8</v>
      </c>
      <c r="C547" s="633" t="s">
        <v>47</v>
      </c>
      <c r="D547" s="632">
        <v>2687.5</v>
      </c>
      <c r="E547" s="640">
        <f>+D547*B547</f>
        <v>21500</v>
      </c>
    </row>
    <row r="548" spans="1:5">
      <c r="A548" s="639" t="s">
        <v>450</v>
      </c>
      <c r="B548" s="632">
        <v>8</v>
      </c>
      <c r="C548" s="633" t="s">
        <v>47</v>
      </c>
      <c r="D548" s="632">
        <v>400</v>
      </c>
      <c r="E548" s="640">
        <f>+D548*B548</f>
        <v>3200</v>
      </c>
    </row>
    <row r="549" spans="1:5">
      <c r="A549" s="644" t="s">
        <v>451</v>
      </c>
      <c r="B549" s="645">
        <v>8</v>
      </c>
      <c r="C549" s="646" t="s">
        <v>47</v>
      </c>
      <c r="D549" s="645">
        <v>2321.59</v>
      </c>
      <c r="E549" s="645">
        <f>D549*B549</f>
        <v>18572.72</v>
      </c>
    </row>
    <row r="550" spans="1:5">
      <c r="A550" s="639" t="s">
        <v>452</v>
      </c>
      <c r="B550" s="632">
        <v>8</v>
      </c>
      <c r="C550" s="633" t="s">
        <v>47</v>
      </c>
      <c r="D550" s="632">
        <v>3392.5</v>
      </c>
      <c r="E550" s="645">
        <f>D550*B550</f>
        <v>27140</v>
      </c>
    </row>
    <row r="551" spans="1:5">
      <c r="A551" s="639" t="s">
        <v>453</v>
      </c>
      <c r="B551" s="632">
        <v>8</v>
      </c>
      <c r="C551" s="633" t="s">
        <v>47</v>
      </c>
      <c r="D551" s="632">
        <v>812.5</v>
      </c>
      <c r="E551" s="645">
        <f>D551*B551</f>
        <v>6500</v>
      </c>
    </row>
    <row r="552" spans="1:5">
      <c r="A552" s="635"/>
      <c r="B552" s="632"/>
      <c r="C552" s="633"/>
      <c r="D552" s="632"/>
      <c r="E552" s="647">
        <f>SUM(E547:E551)</f>
        <v>76912.72</v>
      </c>
    </row>
    <row r="553" spans="1:5">
      <c r="A553" s="635" t="s">
        <v>297</v>
      </c>
      <c r="B553" s="632">
        <v>1800</v>
      </c>
      <c r="C553" s="633" t="s">
        <v>11</v>
      </c>
      <c r="D553" s="632"/>
      <c r="E553" s="632"/>
    </row>
    <row r="554" spans="1:5" ht="15.75">
      <c r="A554" s="635" t="s">
        <v>417</v>
      </c>
      <c r="B554" s="632"/>
      <c r="C554" s="633"/>
      <c r="D554" s="632"/>
      <c r="E554" s="642">
        <f>E552/B553</f>
        <v>42.73</v>
      </c>
    </row>
    <row r="555" spans="1:5">
      <c r="A555" s="635"/>
      <c r="B555" s="632"/>
      <c r="C555" s="633"/>
      <c r="D555" s="632"/>
      <c r="E555" s="632"/>
    </row>
    <row r="556" spans="1:5">
      <c r="A556" s="635"/>
      <c r="B556" s="632"/>
      <c r="C556" s="633"/>
      <c r="D556" s="632"/>
      <c r="E556" s="632"/>
    </row>
    <row r="557" spans="1:5" ht="18.75">
      <c r="A557" s="634" t="s">
        <v>454</v>
      </c>
      <c r="B557" s="632"/>
      <c r="C557" s="633"/>
      <c r="D557" s="632"/>
      <c r="E557" s="648">
        <f>E534+E554+E544+E541</f>
        <v>116.79</v>
      </c>
    </row>
    <row r="560" spans="1:5" ht="45">
      <c r="A560" s="626" t="s">
        <v>399</v>
      </c>
      <c r="B560" s="627"/>
      <c r="C560" s="627"/>
      <c r="D560" s="627"/>
      <c r="E560" s="627"/>
    </row>
    <row r="561" spans="1:5" ht="15">
      <c r="A561" s="627"/>
      <c r="B561" s="627" t="s">
        <v>286</v>
      </c>
      <c r="C561" s="627" t="s">
        <v>287</v>
      </c>
      <c r="D561" s="627" t="s">
        <v>288</v>
      </c>
      <c r="E561" s="627" t="s">
        <v>289</v>
      </c>
    </row>
    <row r="562" spans="1:5" ht="15">
      <c r="A562" s="628" t="s">
        <v>400</v>
      </c>
      <c r="B562" s="629">
        <v>1</v>
      </c>
      <c r="C562" s="630" t="s">
        <v>401</v>
      </c>
      <c r="D562" s="629">
        <v>75</v>
      </c>
      <c r="E562" s="629">
        <f>+B562*D562</f>
        <v>75</v>
      </c>
    </row>
    <row r="563" spans="1:5" ht="15">
      <c r="A563" s="628" t="s">
        <v>402</v>
      </c>
      <c r="B563" s="629">
        <v>20</v>
      </c>
      <c r="C563" s="630" t="s">
        <v>403</v>
      </c>
      <c r="D563" s="629">
        <v>19.22</v>
      </c>
      <c r="E563" s="629">
        <f>+B563*D563</f>
        <v>384.4</v>
      </c>
    </row>
    <row r="564" spans="1:5" ht="15">
      <c r="A564" s="628" t="s">
        <v>404</v>
      </c>
      <c r="B564" s="629">
        <v>1</v>
      </c>
      <c r="C564" s="630" t="s">
        <v>401</v>
      </c>
      <c r="D564" s="629">
        <f>+E557</f>
        <v>116.79</v>
      </c>
      <c r="E564" s="629">
        <f>+B564*D564</f>
        <v>116.79</v>
      </c>
    </row>
    <row r="565" spans="1:5" ht="15">
      <c r="A565" s="628" t="s">
        <v>405</v>
      </c>
      <c r="B565" s="629">
        <v>1</v>
      </c>
      <c r="C565" s="630" t="s">
        <v>401</v>
      </c>
      <c r="D565" s="629">
        <v>12</v>
      </c>
      <c r="E565" s="629">
        <f>+B565*D565</f>
        <v>12</v>
      </c>
    </row>
    <row r="566" spans="1:5" ht="15">
      <c r="A566" s="628" t="s">
        <v>406</v>
      </c>
      <c r="B566" s="629">
        <v>1</v>
      </c>
      <c r="C566" s="630" t="s">
        <v>401</v>
      </c>
      <c r="D566" s="629">
        <v>26.8</v>
      </c>
      <c r="E566" s="629">
        <f>+B566*D566</f>
        <v>26.8</v>
      </c>
    </row>
    <row r="567" spans="1:5" ht="15">
      <c r="A567" s="628" t="s">
        <v>398</v>
      </c>
      <c r="B567" s="629"/>
      <c r="C567" s="629"/>
      <c r="D567" s="629"/>
      <c r="E567" s="707">
        <f>SUM(E562:E566)</f>
        <v>614.99</v>
      </c>
    </row>
    <row r="570" spans="1:5" ht="13.5" thickBot="1">
      <c r="A570" s="751" t="s">
        <v>522</v>
      </c>
      <c r="B570" s="752"/>
      <c r="C570" s="753"/>
      <c r="D570" s="752"/>
      <c r="E570" s="752"/>
    </row>
    <row r="571" spans="1:5" ht="13.5" thickTop="1">
      <c r="A571" s="754" t="s">
        <v>121</v>
      </c>
      <c r="B571" s="755">
        <v>10</v>
      </c>
      <c r="C571" s="756" t="s">
        <v>120</v>
      </c>
      <c r="D571" s="755">
        <v>100</v>
      </c>
      <c r="E571" s="757">
        <f t="shared" ref="E571:E576" si="9">ROUND(B571*D571,2)</f>
        <v>1000</v>
      </c>
    </row>
    <row r="572" spans="1:5">
      <c r="A572" s="758" t="s">
        <v>523</v>
      </c>
      <c r="B572" s="759">
        <v>1</v>
      </c>
      <c r="C572" s="748" t="s">
        <v>148</v>
      </c>
      <c r="D572" s="759">
        <v>3500</v>
      </c>
      <c r="E572" s="760">
        <f t="shared" si="9"/>
        <v>3500</v>
      </c>
    </row>
    <row r="573" spans="1:5">
      <c r="A573" s="758" t="s">
        <v>524</v>
      </c>
      <c r="B573" s="759">
        <v>1</v>
      </c>
      <c r="C573" s="748" t="s">
        <v>148</v>
      </c>
      <c r="D573" s="759"/>
      <c r="E573" s="760">
        <f t="shared" si="9"/>
        <v>0</v>
      </c>
    </row>
    <row r="574" spans="1:5">
      <c r="A574" s="591" t="s">
        <v>525</v>
      </c>
      <c r="B574" s="759">
        <v>0.25</v>
      </c>
      <c r="C574" s="748" t="s">
        <v>148</v>
      </c>
      <c r="D574" s="759">
        <v>1977</v>
      </c>
      <c r="E574" s="760">
        <f t="shared" si="9"/>
        <v>494.25</v>
      </c>
    </row>
    <row r="575" spans="1:5">
      <c r="A575" s="591" t="s">
        <v>526</v>
      </c>
      <c r="B575" s="759">
        <v>1</v>
      </c>
      <c r="C575" s="748" t="s">
        <v>148</v>
      </c>
      <c r="D575" s="759">
        <f>659*4</f>
        <v>2636</v>
      </c>
      <c r="E575" s="760">
        <f t="shared" si="9"/>
        <v>2636</v>
      </c>
    </row>
    <row r="576" spans="1:5" ht="13.5" thickBot="1">
      <c r="A576" s="761" t="s">
        <v>527</v>
      </c>
      <c r="B576" s="762">
        <v>1</v>
      </c>
      <c r="C576" s="763" t="s">
        <v>148</v>
      </c>
      <c r="D576" s="762"/>
      <c r="E576" s="764">
        <f t="shared" si="9"/>
        <v>0</v>
      </c>
    </row>
    <row r="577" spans="1:5" ht="13.5" thickTop="1">
      <c r="A577" s="765" t="s">
        <v>297</v>
      </c>
      <c r="B577" s="766">
        <v>850</v>
      </c>
      <c r="C577" s="767" t="s">
        <v>528</v>
      </c>
      <c r="D577" s="768" t="s">
        <v>529</v>
      </c>
      <c r="E577" s="769">
        <f>SUM(E571:E576)</f>
        <v>7630.25</v>
      </c>
    </row>
    <row r="578" spans="1:5" ht="13.5" thickBot="1">
      <c r="A578" s="770"/>
      <c r="B578" s="771"/>
      <c r="C578" s="772"/>
      <c r="D578" s="773" t="s">
        <v>530</v>
      </c>
      <c r="E578" s="774">
        <f>E577/B577</f>
        <v>8.98</v>
      </c>
    </row>
    <row r="579" spans="1:5" ht="13.5" thickTop="1">
      <c r="A579" s="775"/>
      <c r="B579" s="775"/>
      <c r="C579" s="775"/>
      <c r="D579" s="775"/>
      <c r="E579" s="775"/>
    </row>
    <row r="580" spans="1:5">
      <c r="A580" s="776" t="s">
        <v>531</v>
      </c>
      <c r="B580" s="777"/>
      <c r="C580" s="748"/>
      <c r="D580" s="777"/>
      <c r="E580" s="777"/>
    </row>
    <row r="581" spans="1:5">
      <c r="A581" s="778" t="s">
        <v>532</v>
      </c>
      <c r="B581" s="778" t="s">
        <v>30</v>
      </c>
      <c r="C581" s="778" t="s">
        <v>533</v>
      </c>
      <c r="D581" s="778" t="s">
        <v>534</v>
      </c>
      <c r="E581" s="779" t="s">
        <v>535</v>
      </c>
    </row>
    <row r="582" spans="1:5">
      <c r="A582" s="758" t="s">
        <v>536</v>
      </c>
      <c r="B582" s="780">
        <v>4</v>
      </c>
      <c r="C582" s="748" t="s">
        <v>138</v>
      </c>
      <c r="D582" s="780">
        <v>253.67</v>
      </c>
      <c r="E582" s="781">
        <f>ROUND(B582*D582,2)</f>
        <v>1014.68</v>
      </c>
    </row>
    <row r="583" spans="1:5">
      <c r="A583" s="758" t="s">
        <v>537</v>
      </c>
      <c r="B583" s="780">
        <v>1</v>
      </c>
      <c r="C583" s="748" t="s">
        <v>148</v>
      </c>
      <c r="D583" s="780">
        <v>3500</v>
      </c>
      <c r="E583" s="781">
        <f>ROUND(B583*D583,2)</f>
        <v>3500</v>
      </c>
    </row>
    <row r="584" spans="1:5">
      <c r="A584" s="591" t="s">
        <v>538</v>
      </c>
      <c r="B584" s="780">
        <v>1</v>
      </c>
      <c r="C584" s="748" t="s">
        <v>148</v>
      </c>
      <c r="D584" s="780">
        <v>1977</v>
      </c>
      <c r="E584" s="781">
        <f>ROUND(B584*D584,2)</f>
        <v>1977</v>
      </c>
    </row>
    <row r="585" spans="1:5">
      <c r="A585" s="591" t="s">
        <v>526</v>
      </c>
      <c r="B585" s="780">
        <v>1</v>
      </c>
      <c r="C585" s="748" t="s">
        <v>148</v>
      </c>
      <c r="D585" s="780">
        <f>659*4</f>
        <v>2636</v>
      </c>
      <c r="E585" s="781">
        <f>ROUND(B585*D585,2)</f>
        <v>2636</v>
      </c>
    </row>
    <row r="586" spans="1:5" ht="25.5">
      <c r="A586" s="782" t="s">
        <v>539</v>
      </c>
      <c r="B586" s="780">
        <v>1</v>
      </c>
      <c r="C586" s="748" t="s">
        <v>148</v>
      </c>
      <c r="D586" s="780"/>
      <c r="E586" s="781">
        <f>ROUND(B586*D586,2)</f>
        <v>0</v>
      </c>
    </row>
    <row r="587" spans="1:5">
      <c r="A587" s="758" t="s">
        <v>297</v>
      </c>
      <c r="B587" s="780">
        <v>450</v>
      </c>
      <c r="C587" s="748" t="s">
        <v>528</v>
      </c>
      <c r="D587" s="749" t="s">
        <v>529</v>
      </c>
      <c r="E587" s="783">
        <f>SUM(E582:E586)</f>
        <v>9127.68</v>
      </c>
    </row>
    <row r="588" spans="1:5">
      <c r="A588" s="758"/>
      <c r="B588" s="777"/>
      <c r="C588" s="748"/>
      <c r="D588" s="749" t="s">
        <v>530</v>
      </c>
      <c r="E588" s="783">
        <f>E587/B587</f>
        <v>20.28</v>
      </c>
    </row>
    <row r="589" spans="1:5" ht="15">
      <c r="A589" s="596"/>
      <c r="B589" s="596"/>
      <c r="C589" s="748"/>
      <c r="D589" s="749" t="s">
        <v>530</v>
      </c>
      <c r="E589" s="750">
        <f>+(E578+E588)/2</f>
        <v>14.63</v>
      </c>
    </row>
  </sheetData>
  <customSheetViews>
    <customSheetView guid="{43BC9397-3E8C-478C-B548-E4A845A7F82B}">
      <pageMargins left="0.7" right="0.7" top="0.75" bottom="0.75" header="0.3" footer="0.3"/>
      <pageSetup paperSize="9" orientation="portrait" r:id="rId1"/>
    </customSheetView>
  </customSheetViews>
  <mergeCells count="39">
    <mergeCell ref="C56:D56"/>
    <mergeCell ref="A8:E8"/>
    <mergeCell ref="C23:D23"/>
    <mergeCell ref="C29:D29"/>
    <mergeCell ref="C38:D38"/>
    <mergeCell ref="C47:D47"/>
    <mergeCell ref="C146:D146"/>
    <mergeCell ref="C62:D62"/>
    <mergeCell ref="C71:D71"/>
    <mergeCell ref="C79:D79"/>
    <mergeCell ref="C86:D86"/>
    <mergeCell ref="C93:D93"/>
    <mergeCell ref="C101:D101"/>
    <mergeCell ref="C110:D110"/>
    <mergeCell ref="C118:D118"/>
    <mergeCell ref="C127:D127"/>
    <mergeCell ref="C134:D134"/>
    <mergeCell ref="C140:D140"/>
    <mergeCell ref="C271:D271"/>
    <mergeCell ref="C152:D152"/>
    <mergeCell ref="C162:D162"/>
    <mergeCell ref="C173:D173"/>
    <mergeCell ref="A199:E199"/>
    <mergeCell ref="A210:E210"/>
    <mergeCell ref="C226:D226"/>
    <mergeCell ref="C227:D227"/>
    <mergeCell ref="A230:E230"/>
    <mergeCell ref="C234:D234"/>
    <mergeCell ref="C240:D240"/>
    <mergeCell ref="C248:D248"/>
    <mergeCell ref="A426:C426"/>
    <mergeCell ref="C449:D449"/>
    <mergeCell ref="A509:E509"/>
    <mergeCell ref="A273:E273"/>
    <mergeCell ref="B289:D289"/>
    <mergeCell ref="C397:D397"/>
    <mergeCell ref="A400:E400"/>
    <mergeCell ref="A424:C424"/>
    <mergeCell ref="A425:C425"/>
  </mergeCell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0"/>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1"/>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2"/>
  <dimension ref="B4:D27"/>
  <sheetViews>
    <sheetView workbookViewId="0"/>
  </sheetViews>
  <sheetFormatPr baseColWidth="10" defaultColWidth="11.42578125" defaultRowHeight="12.75"/>
  <cols>
    <col min="3" max="3" width="26.85546875" bestFit="1" customWidth="1"/>
    <col min="4" max="4" width="11.28515625" bestFit="1" customWidth="1"/>
  </cols>
  <sheetData>
    <row r="4" spans="2:4" s="1043" customFormat="1" ht="20.100000000000001" customHeight="1">
      <c r="B4" s="1044" t="s">
        <v>984</v>
      </c>
      <c r="C4" s="1044" t="s">
        <v>985</v>
      </c>
      <c r="D4" s="1044" t="s">
        <v>986</v>
      </c>
    </row>
    <row r="5" spans="2:4">
      <c r="B5" s="1042" t="s">
        <v>0</v>
      </c>
      <c r="C5" s="1041" t="s">
        <v>988</v>
      </c>
      <c r="D5" s="504"/>
    </row>
    <row r="6" spans="2:4">
      <c r="B6" s="1042" t="s">
        <v>0</v>
      </c>
      <c r="C6" s="1041" t="s">
        <v>987</v>
      </c>
      <c r="D6" s="504"/>
    </row>
    <row r="7" spans="2:4">
      <c r="B7" s="1042" t="s">
        <v>0</v>
      </c>
      <c r="C7" s="1041" t="s">
        <v>989</v>
      </c>
      <c r="D7" s="504"/>
    </row>
    <row r="9" spans="2:4">
      <c r="B9" s="1042" t="s">
        <v>10</v>
      </c>
      <c r="C9" s="1041" t="s">
        <v>988</v>
      </c>
      <c r="D9" s="504"/>
    </row>
    <row r="10" spans="2:4">
      <c r="B10" s="219" t="s">
        <v>10</v>
      </c>
      <c r="C10" s="1041" t="s">
        <v>990</v>
      </c>
      <c r="D10" s="504"/>
    </row>
    <row r="11" spans="2:4">
      <c r="B11" s="1042" t="s">
        <v>10</v>
      </c>
      <c r="C11" s="1041" t="s">
        <v>987</v>
      </c>
      <c r="D11" s="504"/>
    </row>
    <row r="12" spans="2:4">
      <c r="B12" s="1042" t="s">
        <v>10</v>
      </c>
      <c r="C12" s="1041" t="s">
        <v>989</v>
      </c>
      <c r="D12" s="504"/>
    </row>
    <row r="13" spans="2:4">
      <c r="B13" s="205" t="s">
        <v>10</v>
      </c>
      <c r="C13" s="1041" t="s">
        <v>991</v>
      </c>
      <c r="D13" s="504"/>
    </row>
    <row r="15" spans="2:4">
      <c r="B15" s="205" t="s">
        <v>997</v>
      </c>
      <c r="C15" s="1041" t="s">
        <v>992</v>
      </c>
      <c r="D15" s="504">
        <v>26</v>
      </c>
    </row>
    <row r="16" spans="2:4">
      <c r="B16" s="205" t="s">
        <v>997</v>
      </c>
      <c r="C16" s="1041" t="s">
        <v>988</v>
      </c>
      <c r="D16" s="504"/>
    </row>
    <row r="17" spans="2:4">
      <c r="B17" s="205" t="s">
        <v>997</v>
      </c>
      <c r="C17" s="1041" t="s">
        <v>995</v>
      </c>
      <c r="D17" s="504"/>
    </row>
    <row r="18" spans="2:4">
      <c r="B18" s="205" t="s">
        <v>997</v>
      </c>
      <c r="C18" s="1041" t="s">
        <v>987</v>
      </c>
      <c r="D18" s="504"/>
    </row>
    <row r="19" spans="2:4">
      <c r="B19" s="205" t="s">
        <v>997</v>
      </c>
      <c r="C19" s="1041" t="s">
        <v>996</v>
      </c>
      <c r="D19" s="504"/>
    </row>
    <row r="20" spans="2:4">
      <c r="B20" s="205" t="s">
        <v>997</v>
      </c>
      <c r="C20" s="1041" t="s">
        <v>1002</v>
      </c>
      <c r="D20" s="504"/>
    </row>
    <row r="21" spans="2:4">
      <c r="B21" s="205" t="s">
        <v>546</v>
      </c>
      <c r="C21" s="1041" t="s">
        <v>992</v>
      </c>
      <c r="D21" s="504" t="s">
        <v>1006</v>
      </c>
    </row>
    <row r="22" spans="2:4">
      <c r="B22" s="205" t="s">
        <v>546</v>
      </c>
      <c r="C22" s="1041" t="s">
        <v>988</v>
      </c>
      <c r="D22" s="504"/>
    </row>
    <row r="23" spans="2:4">
      <c r="B23" s="205" t="s">
        <v>546</v>
      </c>
      <c r="C23" s="1041" t="s">
        <v>995</v>
      </c>
      <c r="D23" s="504"/>
    </row>
    <row r="24" spans="2:4">
      <c r="B24" s="205" t="s">
        <v>546</v>
      </c>
      <c r="C24" s="1041" t="s">
        <v>987</v>
      </c>
      <c r="D24" s="504" t="s">
        <v>1007</v>
      </c>
    </row>
    <row r="25" spans="2:4">
      <c r="B25" s="205" t="s">
        <v>546</v>
      </c>
      <c r="C25" s="1041" t="s">
        <v>996</v>
      </c>
      <c r="D25" s="504"/>
    </row>
    <row r="26" spans="2:4">
      <c r="B26" s="205" t="s">
        <v>546</v>
      </c>
      <c r="C26" s="1041" t="s">
        <v>989</v>
      </c>
      <c r="D26" s="504"/>
    </row>
    <row r="27" spans="2:4">
      <c r="B27" s="205" t="s">
        <v>546</v>
      </c>
      <c r="C27" s="1041" t="s">
        <v>991</v>
      </c>
      <c r="D27" s="504"/>
    </row>
  </sheetData>
  <customSheetViews>
    <customSheetView guid="{43BC9397-3E8C-478C-B548-E4A845A7F82B}" showPageBreaks="1" printArea="1"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7AD1E4522FFE40942C1F1FD62D8B37" ma:contentTypeVersion="9" ma:contentTypeDescription="Create a new document." ma:contentTypeScope="" ma:versionID="b0c5d58d245ff7dba8663206ac42bac1">
  <xsd:schema xmlns:xsd="http://www.w3.org/2001/XMLSchema" xmlns:xs="http://www.w3.org/2001/XMLSchema" xmlns:p="http://schemas.microsoft.com/office/2006/metadata/properties" xmlns:ns3="6d54907c-77e9-4e93-95fd-68b0959b412c" xmlns:ns4="47541994-cb4e-4d4e-a3f4-b12e93ab67ab" targetNamespace="http://schemas.microsoft.com/office/2006/metadata/properties" ma:root="true" ma:fieldsID="9750ed6fdd99fba6cb2bdf38f7b65a98" ns3:_="" ns4:_="">
    <xsd:import namespace="6d54907c-77e9-4e93-95fd-68b0959b412c"/>
    <xsd:import namespace="47541994-cb4e-4d4e-a3f4-b12e93ab67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4907c-77e9-4e93-95fd-68b0959b4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41994-cb4e-4d4e-a3f4-b12e93ab67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4FC60-1619-4CA2-A14D-1C321A019CAA}">
  <ds:schemaRefs>
    <ds:schemaRef ds:uri="http://schemas.microsoft.com/sharepoint/v3/contenttype/forms"/>
  </ds:schemaRefs>
</ds:datastoreItem>
</file>

<file path=customXml/itemProps2.xml><?xml version="1.0" encoding="utf-8"?>
<ds:datastoreItem xmlns:ds="http://schemas.openxmlformats.org/officeDocument/2006/customXml" ds:itemID="{681BCFB9-7F96-4790-A99D-788C769CE966}">
  <ds:schemaRefs>
    <ds:schemaRef ds:uri="6d54907c-77e9-4e93-95fd-68b0959b412c"/>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http://purl.org/dc/terms/"/>
    <ds:schemaRef ds:uri="http://schemas.openxmlformats.org/package/2006/metadata/core-properties"/>
    <ds:schemaRef ds:uri="47541994-cb4e-4d4e-a3f4-b12e93ab67ab"/>
  </ds:schemaRefs>
</ds:datastoreItem>
</file>

<file path=customXml/itemProps3.xml><?xml version="1.0" encoding="utf-8"?>
<ds:datastoreItem xmlns:ds="http://schemas.openxmlformats.org/officeDocument/2006/customXml" ds:itemID="{5F999B4E-E75B-41DB-A8D6-1297122E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4907c-77e9-4e93-95fd-68b0959b412c"/>
    <ds:schemaRef ds:uri="47541994-cb4e-4d4e-a3f4-b12e93ab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12</vt:i4>
      </vt:variant>
    </vt:vector>
  </HeadingPairs>
  <TitlesOfParts>
    <vt:vector size="56" baseType="lpstr">
      <vt:lpstr>PARTIDAS VIEJAS</vt:lpstr>
      <vt:lpstr>ACUEDUCTO</vt:lpstr>
      <vt:lpstr>quimicos</vt:lpstr>
      <vt:lpstr>LPU</vt:lpstr>
      <vt:lpstr>MOV. TIERRA ALC.</vt:lpstr>
      <vt:lpstr>Especificaciones Técnicas</vt:lpstr>
      <vt:lpstr>Pre Villar Pando Limpio (2)</vt:lpstr>
      <vt:lpstr>Pre Villar Pando Limpio (3)</vt:lpstr>
      <vt:lpstr>Pre Villarpando 2022</vt:lpstr>
      <vt:lpstr>Volumetría</vt:lpstr>
      <vt:lpstr>Hoja10</vt:lpstr>
      <vt:lpstr>Hoja8</vt:lpstr>
      <vt:lpstr>ANALISIS PTAP VP</vt:lpstr>
      <vt:lpstr>Analic. Alim.VP</vt:lpstr>
      <vt:lpstr>Analic. Estruc.VP</vt:lpstr>
      <vt:lpstr>MT TUBERIAS</vt:lpstr>
      <vt:lpstr>Analisis Definitivo</vt:lpstr>
      <vt:lpstr>ANALISIS PTAP</vt:lpstr>
      <vt:lpstr>ANALISIS General</vt:lpstr>
      <vt:lpstr>Hoja4</vt:lpstr>
      <vt:lpstr>Analic. Estruc.</vt:lpstr>
      <vt:lpstr>Analic. Alim.</vt:lpstr>
      <vt:lpstr>CASA QUIMICO</vt:lpstr>
      <vt:lpstr>MT-A</vt:lpstr>
      <vt:lpstr>MT-H</vt:lpstr>
      <vt:lpstr>MT-C</vt:lpstr>
      <vt:lpstr>MT-G</vt:lpstr>
      <vt:lpstr>MT-F</vt:lpstr>
      <vt:lpstr>Hoja7</vt:lpstr>
      <vt:lpstr>Hoja5</vt:lpstr>
      <vt:lpstr>SDAN</vt:lpstr>
      <vt:lpstr>CASETA CLORACION</vt:lpstr>
      <vt:lpstr>Hoja6</vt:lpstr>
      <vt:lpstr>VOLUMENES Y AREAS</vt:lpstr>
      <vt:lpstr>Partes Planta</vt:lpstr>
      <vt:lpstr>Hoja3</vt:lpstr>
      <vt:lpstr>Hoja2</vt:lpstr>
      <vt:lpstr>ANALISIS DEPOSITO</vt:lpstr>
      <vt:lpstr>Hoja1</vt:lpstr>
      <vt:lpstr>Carcamo de Bombeo 30m3</vt:lpstr>
      <vt:lpstr>ANALISIS </vt:lpstr>
      <vt:lpstr>Hoja11</vt:lpstr>
      <vt:lpstr>Hoja9</vt:lpstr>
      <vt:lpstr>PARA PREGUNTAR</vt:lpstr>
      <vt:lpstr>ACUEDUCTO!Área_de_impresión</vt:lpstr>
      <vt:lpstr>'Especificaciones Técnicas'!Área_de_impresión</vt:lpstr>
      <vt:lpstr>'PARA PREGUNTAR'!Área_de_impresión</vt:lpstr>
      <vt:lpstr>'Pre Villar Pando Limpio (2)'!Área_de_impresión</vt:lpstr>
      <vt:lpstr>'Pre Villar Pando Limpio (3)'!Área_de_impresión</vt:lpstr>
      <vt:lpstr>'Pre Villarpando 2022'!Área_de_impresión</vt:lpstr>
      <vt:lpstr>'Pre Villar Pando Limpio (2)'!AreaTotal1</vt:lpstr>
      <vt:lpstr>'Pre Villar Pando Limpio (3)'!AreaTotal1</vt:lpstr>
      <vt:lpstr>ACUEDUCTO!Títulos_a_imprimir</vt:lpstr>
      <vt:lpstr>'Pre Villar Pando Limpio (2)'!Títulos_a_imprimir</vt:lpstr>
      <vt:lpstr>'Pre Villar Pando Limpio (3)'!Títulos_a_imprimir</vt:lpstr>
      <vt:lpstr>'Pre Villarpando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Planta Potabilizadora Villarpando</dc:title>
  <dc:creator>MCTG</dc:creator>
  <cp:lastModifiedBy>Daniel Emilio Feliz Pérez</cp:lastModifiedBy>
  <cp:lastPrinted>2022-02-08T19:20:37Z</cp:lastPrinted>
  <dcterms:created xsi:type="dcterms:W3CDTF">2008-12-18T14:18:57Z</dcterms:created>
  <dcterms:modified xsi:type="dcterms:W3CDTF">2022-02-08T19:23:12Z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0x010100987AD1E4522FFE40942C1F1FD62D8B37</vt:lpwstr>
  </property>
  <property fmtid="{D5CDD505-2E9C-101B-9397-08002B2CF9AE}" pid="3" name="BbLiveLinkDefaultFiles">
    <vt:lpwstr>669c8a78-a06c-460f-bff1-1205b0e66465</vt:lpwstr>
  </property>
</Properties>
</file>